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2015 NHTS\1Final_NHTS_CA_2017 Data\Supporting Documents\"/>
    </mc:Choice>
  </mc:AlternateContent>
  <bookViews>
    <workbookView xWindow="0" yWindow="0" windowWidth="28800" windowHeight="11985" activeTab="1"/>
  </bookViews>
  <sheets>
    <sheet name="Variables" sheetId="1" r:id="rId1"/>
    <sheet name="Value Lookup" sheetId="2" r:id="rId2"/>
    <sheet name="Tables" sheetId="3" r:id="rId3"/>
    <sheet name="Weights" sheetId="4" r:id="rId4"/>
    <sheet name="Frequencies" sheetId="5" r:id="rId5"/>
  </sheets>
  <definedNames>
    <definedName name="_xlnm._FilterDatabase" localSheetId="0" hidden="1">Variables!$I$1:$I$458</definedName>
  </definedNames>
  <calcPr calcId="152511"/>
</workbook>
</file>

<file path=xl/calcChain.xml><?xml version="1.0" encoding="utf-8"?>
<calcChain xmlns="http://schemas.openxmlformats.org/spreadsheetml/2006/main">
  <c r="F449" i="1" l="1"/>
  <c r="E449" i="1"/>
  <c r="F220" i="1"/>
  <c r="E220" i="1"/>
  <c r="F219" i="1"/>
  <c r="E219" i="1"/>
  <c r="F402" i="1"/>
  <c r="E402" i="1"/>
  <c r="F221" i="1"/>
  <c r="E221" i="1"/>
  <c r="F223" i="1"/>
  <c r="E223" i="1"/>
  <c r="F252" i="1"/>
  <c r="E252" i="1"/>
  <c r="F253" i="1"/>
  <c r="E253" i="1"/>
  <c r="F256" i="1"/>
  <c r="E256" i="1"/>
  <c r="F162" i="1"/>
  <c r="E162" i="1"/>
  <c r="F161" i="1"/>
  <c r="E161" i="1"/>
  <c r="F198" i="1"/>
  <c r="E198" i="1"/>
  <c r="F200" i="1"/>
  <c r="E200" i="1"/>
  <c r="F199" i="1"/>
  <c r="E199" i="1"/>
  <c r="F159" i="1"/>
  <c r="E159" i="1"/>
  <c r="F403" i="1"/>
  <c r="E403" i="1"/>
  <c r="F201" i="1"/>
  <c r="E201" i="1"/>
  <c r="F348" i="1"/>
  <c r="E348" i="1"/>
  <c r="F328" i="1"/>
  <c r="E328" i="1"/>
  <c r="F250" i="1"/>
  <c r="E250" i="1"/>
  <c r="F258" i="1"/>
  <c r="E258" i="1"/>
  <c r="F335" i="1"/>
  <c r="E335" i="1"/>
  <c r="F202" i="1"/>
  <c r="E202" i="1"/>
  <c r="F306" i="1"/>
  <c r="E306" i="1"/>
  <c r="F308" i="1"/>
  <c r="E308" i="1"/>
  <c r="F310" i="1"/>
  <c r="E310" i="1"/>
  <c r="F307" i="1"/>
  <c r="E307" i="1"/>
  <c r="F309" i="1"/>
  <c r="E309" i="1"/>
  <c r="F304" i="1"/>
  <c r="E304" i="1"/>
  <c r="F303" i="1"/>
  <c r="E303" i="1"/>
  <c r="F302" i="1"/>
  <c r="E302" i="1"/>
  <c r="F301" i="1"/>
  <c r="E301" i="1"/>
  <c r="F300" i="1"/>
  <c r="E300" i="1"/>
  <c r="F299" i="1"/>
  <c r="E299" i="1"/>
  <c r="F298" i="1"/>
  <c r="E298" i="1"/>
  <c r="F297" i="1"/>
  <c r="E297" i="1"/>
  <c r="F305" i="1"/>
  <c r="E305" i="1"/>
  <c r="F296" i="1"/>
  <c r="E296" i="1"/>
  <c r="F160" i="1"/>
  <c r="E160" i="1"/>
  <c r="F204" i="1"/>
  <c r="E204" i="1"/>
  <c r="F50" i="1"/>
  <c r="E50" i="1"/>
  <c r="F49" i="1"/>
  <c r="E49" i="1"/>
  <c r="F66" i="1"/>
  <c r="E66" i="1"/>
  <c r="F82" i="1"/>
  <c r="E82" i="1"/>
  <c r="F81" i="1"/>
  <c r="E81" i="1"/>
  <c r="F65" i="1"/>
  <c r="E65" i="1"/>
  <c r="F64" i="1"/>
  <c r="E64" i="1"/>
  <c r="F63" i="1"/>
  <c r="E63" i="1"/>
  <c r="F225" i="1"/>
  <c r="E225" i="1"/>
  <c r="F14" i="1"/>
  <c r="E14" i="1"/>
  <c r="F62" i="1"/>
  <c r="E62" i="1"/>
  <c r="F439" i="1"/>
  <c r="E439" i="1"/>
  <c r="F254" i="1"/>
  <c r="E254" i="1"/>
  <c r="F255" i="1"/>
  <c r="E255" i="1"/>
  <c r="F257" i="1"/>
  <c r="E257" i="1"/>
  <c r="F251" i="1"/>
  <c r="E251" i="1"/>
  <c r="F187" i="1"/>
  <c r="E187" i="1"/>
  <c r="F189" i="1"/>
  <c r="E189" i="1"/>
  <c r="F186" i="1"/>
  <c r="E186" i="1"/>
  <c r="F185" i="1"/>
  <c r="E185" i="1"/>
  <c r="F184" i="1"/>
  <c r="E184" i="1"/>
  <c r="F183" i="1"/>
  <c r="E183" i="1"/>
  <c r="F182" i="1"/>
  <c r="E182" i="1"/>
  <c r="F188" i="1"/>
  <c r="E188" i="1"/>
  <c r="F181" i="1"/>
  <c r="E181" i="1"/>
  <c r="F168" i="1"/>
  <c r="E168" i="1"/>
  <c r="F378" i="1"/>
  <c r="E378" i="1"/>
  <c r="F369" i="1"/>
  <c r="E369" i="1"/>
  <c r="F216" i="1"/>
  <c r="E216" i="1"/>
  <c r="F79" i="1"/>
  <c r="E79" i="1"/>
  <c r="F78" i="1"/>
  <c r="E78" i="1"/>
  <c r="F222" i="1"/>
  <c r="E222" i="1"/>
  <c r="F24" i="1"/>
  <c r="E24" i="1"/>
  <c r="F28" i="1"/>
  <c r="E28" i="1"/>
  <c r="F4" i="1"/>
  <c r="E4" i="1"/>
  <c r="F12" i="1"/>
  <c r="E12" i="1"/>
  <c r="F13" i="1"/>
  <c r="E13" i="1"/>
  <c r="F26" i="1"/>
  <c r="E26" i="1"/>
  <c r="F22" i="1"/>
  <c r="E22" i="1"/>
  <c r="F23" i="1"/>
  <c r="E23" i="1"/>
  <c r="F25" i="1"/>
  <c r="E25" i="1"/>
  <c r="F3" i="1"/>
  <c r="E3" i="1"/>
  <c r="F5" i="1"/>
  <c r="E5" i="1"/>
  <c r="F226" i="1"/>
  <c r="E226" i="1"/>
  <c r="F227" i="1"/>
  <c r="E227" i="1"/>
  <c r="F412" i="1"/>
  <c r="E412" i="1"/>
  <c r="F411" i="1"/>
  <c r="E411" i="1"/>
  <c r="F410" i="1"/>
  <c r="E410" i="1"/>
  <c r="F57" i="1"/>
  <c r="E57" i="1"/>
  <c r="F46" i="1"/>
  <c r="E46" i="1"/>
  <c r="F54" i="1"/>
  <c r="E54" i="1"/>
  <c r="F53" i="1"/>
  <c r="E53" i="1"/>
  <c r="F52" i="1"/>
  <c r="E52" i="1"/>
  <c r="F51" i="1"/>
  <c r="E51" i="1"/>
  <c r="F47" i="1"/>
  <c r="E47" i="1"/>
  <c r="F48" i="1"/>
  <c r="E48" i="1"/>
  <c r="F68" i="1"/>
  <c r="E68" i="1"/>
  <c r="F56" i="1"/>
  <c r="E56" i="1"/>
  <c r="F55" i="1"/>
  <c r="E55" i="1"/>
  <c r="F75" i="1"/>
  <c r="E75" i="1"/>
  <c r="F381" i="1"/>
  <c r="E381" i="1"/>
  <c r="F61" i="1"/>
  <c r="E61" i="1"/>
  <c r="F129" i="1"/>
  <c r="E129" i="1"/>
  <c r="F127" i="1"/>
  <c r="E127" i="1"/>
  <c r="F128" i="1"/>
  <c r="E128" i="1"/>
  <c r="F115" i="1"/>
  <c r="E115" i="1"/>
  <c r="F114" i="1"/>
  <c r="E114" i="1"/>
  <c r="F113" i="1"/>
  <c r="E113" i="1"/>
  <c r="F112" i="1"/>
  <c r="E112" i="1"/>
  <c r="F111" i="1"/>
  <c r="E111" i="1"/>
  <c r="F110" i="1"/>
  <c r="E110" i="1"/>
  <c r="F109" i="1"/>
  <c r="E109" i="1"/>
  <c r="F126" i="1"/>
  <c r="E126" i="1"/>
  <c r="F108" i="1"/>
  <c r="E108" i="1"/>
  <c r="F125" i="1"/>
  <c r="E125" i="1"/>
  <c r="F124" i="1"/>
  <c r="E124" i="1"/>
  <c r="F123" i="1"/>
  <c r="E123" i="1"/>
  <c r="F122" i="1"/>
  <c r="E122" i="1"/>
  <c r="F121" i="1"/>
  <c r="E121" i="1"/>
  <c r="F120" i="1"/>
  <c r="E120" i="1"/>
  <c r="F119" i="1"/>
  <c r="E119" i="1"/>
  <c r="F118" i="1"/>
  <c r="E118" i="1"/>
  <c r="F117" i="1"/>
  <c r="E117" i="1"/>
  <c r="F116" i="1"/>
  <c r="E116" i="1"/>
  <c r="F107" i="1"/>
  <c r="E107" i="1"/>
  <c r="F351" i="1"/>
  <c r="E351" i="1"/>
  <c r="F374" i="1"/>
  <c r="E374" i="1"/>
  <c r="F455" i="1"/>
  <c r="E455" i="1"/>
  <c r="F59" i="1"/>
  <c r="E59" i="1"/>
  <c r="F105" i="1"/>
  <c r="E105" i="1"/>
  <c r="F103" i="1"/>
  <c r="E103" i="1"/>
  <c r="F104" i="1"/>
  <c r="E104" i="1"/>
  <c r="F91" i="1"/>
  <c r="E91" i="1"/>
  <c r="F90" i="1"/>
  <c r="E90" i="1"/>
  <c r="F89" i="1"/>
  <c r="E89" i="1"/>
  <c r="F88" i="1"/>
  <c r="E88" i="1"/>
  <c r="F87" i="1"/>
  <c r="E87" i="1"/>
  <c r="F86" i="1"/>
  <c r="E86" i="1"/>
  <c r="F85" i="1"/>
  <c r="E85" i="1"/>
  <c r="F102" i="1"/>
  <c r="E102" i="1"/>
  <c r="F84" i="1"/>
  <c r="E84" i="1"/>
  <c r="F101" i="1"/>
  <c r="E101" i="1"/>
  <c r="F100" i="1"/>
  <c r="E100" i="1"/>
  <c r="F99" i="1"/>
  <c r="E99" i="1"/>
  <c r="F98" i="1"/>
  <c r="E98" i="1"/>
  <c r="F97" i="1"/>
  <c r="E97" i="1"/>
  <c r="F96" i="1"/>
  <c r="E96" i="1"/>
  <c r="F95" i="1"/>
  <c r="E95" i="1"/>
  <c r="F94" i="1"/>
  <c r="E94" i="1"/>
  <c r="F93" i="1"/>
  <c r="E93" i="1"/>
  <c r="F92" i="1"/>
  <c r="E92" i="1"/>
  <c r="F83" i="1"/>
  <c r="E83" i="1"/>
  <c r="F352" i="1"/>
  <c r="E352" i="1"/>
  <c r="F195" i="1"/>
  <c r="E195" i="1"/>
  <c r="F77" i="1"/>
  <c r="E77" i="1"/>
  <c r="F33" i="1"/>
  <c r="E33" i="1"/>
  <c r="F339" i="1"/>
  <c r="E339" i="1"/>
  <c r="F146" i="1"/>
  <c r="E146" i="1"/>
  <c r="F404" i="1"/>
  <c r="E404" i="1"/>
  <c r="F349" i="1"/>
  <c r="E349" i="1"/>
  <c r="F372" i="1"/>
  <c r="E372" i="1"/>
  <c r="F366" i="1"/>
  <c r="E366" i="1"/>
  <c r="F38" i="1"/>
  <c r="E38" i="1"/>
  <c r="F36" i="1"/>
  <c r="E36" i="1"/>
  <c r="F41" i="1"/>
  <c r="E41" i="1"/>
  <c r="F40" i="1"/>
  <c r="E40" i="1"/>
  <c r="F42" i="1"/>
  <c r="E42" i="1"/>
  <c r="F446" i="1"/>
  <c r="E446" i="1"/>
  <c r="F453" i="1"/>
  <c r="E453" i="1"/>
  <c r="F448" i="1"/>
  <c r="E448" i="1"/>
  <c r="F440" i="1"/>
  <c r="E440" i="1"/>
  <c r="F438" i="1"/>
  <c r="E438" i="1"/>
  <c r="F365" i="1"/>
  <c r="E365" i="1"/>
  <c r="F415" i="1"/>
  <c r="E415" i="1"/>
  <c r="F166" i="1"/>
  <c r="E166" i="1"/>
  <c r="F208" i="1"/>
  <c r="E208" i="1"/>
  <c r="F207" i="1"/>
  <c r="E207" i="1"/>
  <c r="F206" i="1"/>
  <c r="E206" i="1"/>
  <c r="F205" i="1"/>
  <c r="E205" i="1"/>
  <c r="F355" i="1"/>
  <c r="E355" i="1"/>
  <c r="F354" i="1"/>
  <c r="E354" i="1"/>
  <c r="F229" i="1"/>
  <c r="E229" i="1"/>
  <c r="F228" i="1"/>
  <c r="E228" i="1"/>
  <c r="F345" i="1"/>
  <c r="E345" i="1"/>
  <c r="F154" i="1"/>
  <c r="E154" i="1"/>
  <c r="F343" i="1"/>
  <c r="E343" i="1"/>
  <c r="F153" i="1"/>
  <c r="E153" i="1"/>
  <c r="F347" i="1"/>
  <c r="E347" i="1"/>
  <c r="F155" i="1"/>
  <c r="E155" i="1"/>
  <c r="F193" i="1"/>
  <c r="E193" i="1"/>
  <c r="F346" i="1"/>
  <c r="E346" i="1"/>
  <c r="F152" i="1"/>
  <c r="E152" i="1"/>
  <c r="F357" i="1"/>
  <c r="E357" i="1"/>
  <c r="F422" i="1"/>
  <c r="E422" i="1"/>
  <c r="F356" i="1"/>
  <c r="E356" i="1"/>
  <c r="F279" i="1"/>
  <c r="E279" i="1"/>
  <c r="F278" i="1"/>
  <c r="E278" i="1"/>
  <c r="F280" i="1"/>
  <c r="E280" i="1"/>
  <c r="F277" i="1"/>
  <c r="E277" i="1"/>
  <c r="F276" i="1"/>
  <c r="E276" i="1"/>
  <c r="F409" i="1"/>
  <c r="E409" i="1"/>
  <c r="F344" i="1"/>
  <c r="E344" i="1"/>
  <c r="F148" i="1"/>
  <c r="F237" i="1"/>
  <c r="E237" i="1"/>
  <c r="F236" i="1"/>
  <c r="E236" i="1"/>
  <c r="F238" i="1"/>
  <c r="E238" i="1"/>
  <c r="F235" i="1"/>
  <c r="E235" i="1"/>
  <c r="F234" i="1"/>
  <c r="E234" i="1"/>
  <c r="F233" i="1"/>
  <c r="E233" i="1"/>
  <c r="F232" i="1"/>
  <c r="E232" i="1"/>
  <c r="F231" i="1"/>
  <c r="E231" i="1"/>
  <c r="F230" i="1"/>
  <c r="E230" i="1"/>
  <c r="F273" i="1"/>
  <c r="E273" i="1"/>
  <c r="F274" i="1"/>
  <c r="E274" i="1"/>
  <c r="F271" i="1"/>
  <c r="E271" i="1"/>
  <c r="F272" i="1"/>
  <c r="E272" i="1"/>
  <c r="F275" i="1"/>
  <c r="E275" i="1"/>
  <c r="F74" i="1"/>
  <c r="E74" i="1"/>
  <c r="F197" i="1"/>
  <c r="E197" i="1"/>
  <c r="F190" i="1"/>
  <c r="E190" i="1"/>
  <c r="F380" i="1"/>
  <c r="E380" i="1"/>
  <c r="F291" i="1"/>
  <c r="E291" i="1"/>
  <c r="F294" i="1"/>
  <c r="E294" i="1"/>
  <c r="F295" i="1"/>
  <c r="E295" i="1"/>
  <c r="F292" i="1"/>
  <c r="E292" i="1"/>
  <c r="F293" i="1"/>
  <c r="E293" i="1"/>
  <c r="F289" i="1"/>
  <c r="E289" i="1"/>
  <c r="F288" i="1"/>
  <c r="E288" i="1"/>
  <c r="F287" i="1"/>
  <c r="E287" i="1"/>
  <c r="F286" i="1"/>
  <c r="E286" i="1"/>
  <c r="F285" i="1"/>
  <c r="E285" i="1"/>
  <c r="F284" i="1"/>
  <c r="E284" i="1"/>
  <c r="F283" i="1"/>
  <c r="E283" i="1"/>
  <c r="F282" i="1"/>
  <c r="E282" i="1"/>
  <c r="F290" i="1"/>
  <c r="E290" i="1"/>
  <c r="F281" i="1"/>
  <c r="E281" i="1"/>
  <c r="F73" i="1"/>
  <c r="E73" i="1"/>
  <c r="F224" i="1"/>
  <c r="E224" i="1"/>
  <c r="F156" i="1"/>
  <c r="E156" i="1"/>
  <c r="F376" i="1"/>
  <c r="E376" i="1"/>
  <c r="F377" i="1"/>
  <c r="E377" i="1"/>
  <c r="F215" i="1"/>
  <c r="E215" i="1"/>
  <c r="F32" i="1"/>
  <c r="E32" i="1"/>
  <c r="F147" i="1"/>
  <c r="E147" i="1"/>
  <c r="F364" i="1"/>
  <c r="E364" i="1"/>
  <c r="F157" i="1"/>
  <c r="E157" i="1"/>
  <c r="F375" i="1"/>
  <c r="E375" i="1"/>
  <c r="F340" i="1"/>
  <c r="E340" i="1"/>
  <c r="F330" i="1"/>
  <c r="E330" i="1"/>
  <c r="F139" i="1"/>
  <c r="E139" i="1"/>
  <c r="F138" i="1"/>
  <c r="E138" i="1"/>
  <c r="F137" i="1"/>
  <c r="E137" i="1"/>
  <c r="F136" i="1"/>
  <c r="E136" i="1"/>
  <c r="F135" i="1"/>
  <c r="E135" i="1"/>
  <c r="F134" i="1"/>
  <c r="E134" i="1"/>
  <c r="F133" i="1"/>
  <c r="E133" i="1"/>
  <c r="F132" i="1"/>
  <c r="E132" i="1"/>
  <c r="F145" i="1"/>
  <c r="E145" i="1"/>
  <c r="F144" i="1"/>
  <c r="E144" i="1"/>
  <c r="F143" i="1"/>
  <c r="E143" i="1"/>
  <c r="F142" i="1"/>
  <c r="E142" i="1"/>
  <c r="F141" i="1"/>
  <c r="E141" i="1"/>
  <c r="F140" i="1"/>
  <c r="E140" i="1"/>
  <c r="F131" i="1"/>
  <c r="E131" i="1"/>
  <c r="F34" i="1"/>
  <c r="E34" i="1"/>
  <c r="F17" i="1"/>
  <c r="E17" i="1"/>
  <c r="F15" i="1"/>
  <c r="E15" i="1"/>
  <c r="F18" i="1"/>
  <c r="E18" i="1"/>
  <c r="F368" i="1"/>
  <c r="E368" i="1"/>
  <c r="F367" i="1"/>
  <c r="E367" i="1"/>
  <c r="F19" i="1"/>
  <c r="E19" i="1"/>
  <c r="F16" i="1"/>
  <c r="E16" i="1"/>
  <c r="F164" i="1"/>
  <c r="E164" i="1"/>
  <c r="F167" i="1"/>
  <c r="E167" i="1"/>
  <c r="F58" i="1"/>
  <c r="E58" i="1"/>
  <c r="F72" i="1"/>
  <c r="E72" i="1"/>
  <c r="F401" i="1"/>
  <c r="E401" i="1"/>
  <c r="F71" i="1"/>
  <c r="E71" i="1"/>
  <c r="F196" i="1"/>
  <c r="E196" i="1"/>
  <c r="F169" i="1"/>
  <c r="E169" i="1"/>
  <c r="F408" i="1"/>
  <c r="E408" i="1"/>
  <c r="F407" i="1"/>
  <c r="E407" i="1"/>
  <c r="F9" i="1"/>
  <c r="E9" i="1"/>
  <c r="F8" i="1"/>
  <c r="E8" i="1"/>
  <c r="F213" i="1"/>
  <c r="E213" i="1"/>
  <c r="F212" i="1"/>
  <c r="E212" i="1"/>
  <c r="F191" i="1"/>
  <c r="E191" i="1"/>
  <c r="F260" i="1"/>
  <c r="E260" i="1"/>
  <c r="F259" i="1"/>
  <c r="E259" i="1"/>
  <c r="F7" i="1"/>
  <c r="E7" i="1"/>
  <c r="F6" i="1"/>
  <c r="E6" i="1"/>
  <c r="F163" i="1"/>
  <c r="E163" i="1"/>
  <c r="F217" i="1"/>
  <c r="E217" i="1"/>
  <c r="F67" i="1"/>
  <c r="E67" i="1"/>
  <c r="F443" i="1"/>
  <c r="E443" i="1"/>
  <c r="F442" i="1"/>
  <c r="E442" i="1"/>
  <c r="F35" i="1"/>
  <c r="E35" i="1"/>
  <c r="F445" i="1"/>
  <c r="E445" i="1"/>
  <c r="F406" i="1"/>
  <c r="E406" i="1"/>
  <c r="F414" i="1"/>
  <c r="E414" i="1"/>
  <c r="F444" i="1"/>
  <c r="E444" i="1"/>
  <c r="F353" i="1"/>
  <c r="E353" i="1"/>
  <c r="F363" i="1"/>
  <c r="E363" i="1"/>
  <c r="F165" i="1"/>
  <c r="E165" i="1"/>
  <c r="F31" i="1"/>
  <c r="E31" i="1"/>
  <c r="F437" i="1"/>
  <c r="E437" i="1"/>
  <c r="F430" i="1"/>
  <c r="E430" i="1"/>
  <c r="F436" i="1"/>
  <c r="E436" i="1"/>
  <c r="F429" i="1"/>
  <c r="E429" i="1"/>
  <c r="F435" i="1"/>
  <c r="E435" i="1"/>
  <c r="F428" i="1"/>
  <c r="E428" i="1"/>
  <c r="F434" i="1"/>
  <c r="E434" i="1"/>
  <c r="F427" i="1"/>
  <c r="E427" i="1"/>
  <c r="F106" i="1"/>
  <c r="E106" i="1"/>
  <c r="F130" i="1"/>
  <c r="E130" i="1"/>
  <c r="F2" i="1"/>
  <c r="E2" i="1"/>
  <c r="F359" i="1"/>
  <c r="E359" i="1"/>
  <c r="F441" i="1"/>
  <c r="E441" i="1"/>
  <c r="F358" i="1"/>
  <c r="E358" i="1"/>
  <c r="F395" i="1"/>
  <c r="E395" i="1"/>
  <c r="F393" i="1"/>
  <c r="E393" i="1"/>
  <c r="F394" i="1"/>
  <c r="E394" i="1"/>
  <c r="F390" i="1"/>
  <c r="E390" i="1"/>
  <c r="F389" i="1"/>
  <c r="E389" i="1"/>
  <c r="F388" i="1"/>
  <c r="E388" i="1"/>
  <c r="F387" i="1"/>
  <c r="E387" i="1"/>
  <c r="F386" i="1"/>
  <c r="E386" i="1"/>
  <c r="F385" i="1"/>
  <c r="E385" i="1"/>
  <c r="F384" i="1"/>
  <c r="E384" i="1"/>
  <c r="F383" i="1"/>
  <c r="E383" i="1"/>
  <c r="F392" i="1"/>
  <c r="E392" i="1"/>
  <c r="F391" i="1"/>
  <c r="E391" i="1"/>
  <c r="F382" i="1"/>
  <c r="E382" i="1"/>
  <c r="F361" i="1"/>
  <c r="E361" i="1"/>
  <c r="F400" i="1"/>
  <c r="E400" i="1"/>
  <c r="F399" i="1"/>
  <c r="E399" i="1"/>
  <c r="F360" i="1"/>
  <c r="E360" i="1"/>
  <c r="F405" i="1"/>
  <c r="E405" i="1"/>
  <c r="F396" i="1"/>
  <c r="E396" i="1"/>
  <c r="F419" i="1"/>
  <c r="E419" i="1"/>
  <c r="F70" i="1"/>
  <c r="E70" i="1"/>
  <c r="F69" i="1"/>
  <c r="E69" i="1"/>
  <c r="F420" i="1"/>
  <c r="E420" i="1"/>
  <c r="F362" i="1"/>
  <c r="E362" i="1"/>
  <c r="F421" i="1"/>
  <c r="E421" i="1"/>
  <c r="F21" i="1"/>
  <c r="E21" i="1"/>
  <c r="F20" i="1"/>
  <c r="E20" i="1"/>
  <c r="F214" i="1"/>
  <c r="E214" i="1"/>
  <c r="F433" i="1"/>
  <c r="E433" i="1"/>
  <c r="F426" i="1"/>
  <c r="E426" i="1"/>
  <c r="F432" i="1"/>
  <c r="E432" i="1"/>
  <c r="F425" i="1"/>
  <c r="E425" i="1"/>
  <c r="F431" i="1"/>
  <c r="E431" i="1"/>
  <c r="F424" i="1"/>
  <c r="E424" i="1"/>
  <c r="F158" i="1"/>
  <c r="E158" i="1"/>
  <c r="F334" i="1"/>
  <c r="E334" i="1"/>
  <c r="F413" i="1"/>
  <c r="E413" i="1"/>
  <c r="F452" i="1"/>
  <c r="E452" i="1"/>
  <c r="F451" i="1"/>
  <c r="E451" i="1"/>
  <c r="F11" i="1"/>
  <c r="E11" i="1"/>
  <c r="F10" i="1"/>
  <c r="E10" i="1"/>
  <c r="F332" i="1"/>
  <c r="E332" i="1"/>
  <c r="F331" i="1"/>
  <c r="E331" i="1"/>
  <c r="F203" i="1"/>
  <c r="E203" i="1"/>
  <c r="F423" i="1"/>
  <c r="E423" i="1"/>
  <c r="F27" i="1"/>
  <c r="E27" i="1"/>
  <c r="F29" i="1"/>
  <c r="E29" i="1"/>
  <c r="F39" i="1"/>
  <c r="E39" i="1"/>
  <c r="F37" i="1"/>
  <c r="E37" i="1"/>
  <c r="F44" i="1"/>
  <c r="E44" i="1"/>
  <c r="F43" i="1"/>
  <c r="E43" i="1"/>
  <c r="F45" i="1"/>
  <c r="E45" i="1"/>
  <c r="F151" i="1"/>
  <c r="E151" i="1"/>
  <c r="F76" i="1"/>
  <c r="E76" i="1"/>
  <c r="F80" i="1"/>
  <c r="E80" i="1"/>
  <c r="F397" i="1"/>
  <c r="E397" i="1"/>
  <c r="F150" i="1"/>
  <c r="E150" i="1"/>
  <c r="F60" i="1"/>
  <c r="E60" i="1"/>
  <c r="F338" i="1"/>
  <c r="E338" i="1"/>
  <c r="F341" i="1"/>
  <c r="E341" i="1"/>
  <c r="F342" i="1"/>
  <c r="E342" i="1"/>
  <c r="F350" i="1"/>
  <c r="E350" i="1"/>
  <c r="F210" i="1"/>
  <c r="E210" i="1"/>
  <c r="F209" i="1"/>
  <c r="E209" i="1"/>
  <c r="F329" i="1"/>
  <c r="E329" i="1"/>
  <c r="F211" i="1"/>
  <c r="E211" i="1"/>
  <c r="F458" i="1"/>
  <c r="E458" i="1"/>
  <c r="F450" i="1"/>
  <c r="E450" i="1"/>
  <c r="F261" i="1"/>
  <c r="E261" i="1"/>
  <c r="F267" i="1"/>
  <c r="E267" i="1"/>
  <c r="F266" i="1"/>
  <c r="E266" i="1"/>
  <c r="F264" i="1"/>
  <c r="E264" i="1"/>
  <c r="F262" i="1"/>
  <c r="E262" i="1"/>
  <c r="F270" i="1"/>
  <c r="E270" i="1"/>
  <c r="F265" i="1"/>
  <c r="E265" i="1"/>
  <c r="F268" i="1"/>
  <c r="E268" i="1"/>
  <c r="F263" i="1"/>
  <c r="E263" i="1"/>
  <c r="F269" i="1"/>
  <c r="E269" i="1"/>
  <c r="F454" i="1"/>
  <c r="E454" i="1"/>
  <c r="F333" i="1"/>
  <c r="E333" i="1"/>
  <c r="F398" i="1"/>
  <c r="E398" i="1"/>
  <c r="F447" i="1"/>
  <c r="E447" i="1"/>
  <c r="F417" i="1"/>
  <c r="E417" i="1"/>
  <c r="F416" i="1"/>
  <c r="E416" i="1"/>
  <c r="F418" i="1"/>
  <c r="E418" i="1"/>
  <c r="F457" i="1"/>
  <c r="E457" i="1"/>
  <c r="F192" i="1"/>
  <c r="E192" i="1"/>
  <c r="F194" i="1"/>
  <c r="E194" i="1"/>
  <c r="F371" i="1"/>
  <c r="E371" i="1"/>
  <c r="F373" i="1"/>
  <c r="E373" i="1"/>
  <c r="F218" i="1"/>
  <c r="E218" i="1"/>
  <c r="F456" i="1"/>
  <c r="E456" i="1"/>
  <c r="F323" i="1"/>
  <c r="E323" i="1"/>
  <c r="F326" i="1"/>
  <c r="E326" i="1"/>
  <c r="F327" i="1"/>
  <c r="E327" i="1"/>
  <c r="F324" i="1"/>
  <c r="E324" i="1"/>
  <c r="F325" i="1"/>
  <c r="E325" i="1"/>
  <c r="F319" i="1"/>
  <c r="E319" i="1"/>
  <c r="F318" i="1"/>
  <c r="E318" i="1"/>
  <c r="F317" i="1"/>
  <c r="E317" i="1"/>
  <c r="F316" i="1"/>
  <c r="E316" i="1"/>
  <c r="F315" i="1"/>
  <c r="E315" i="1"/>
  <c r="F314" i="1"/>
  <c r="E314" i="1"/>
  <c r="F313" i="1"/>
  <c r="E313" i="1"/>
  <c r="F312" i="1"/>
  <c r="E312" i="1"/>
  <c r="F322" i="1"/>
  <c r="E322" i="1"/>
  <c r="F321" i="1"/>
  <c r="E321" i="1"/>
  <c r="F320" i="1"/>
  <c r="E320" i="1"/>
  <c r="F311" i="1"/>
  <c r="E311" i="1"/>
  <c r="F178" i="1"/>
  <c r="E178" i="1"/>
  <c r="F171" i="1"/>
  <c r="E171" i="1"/>
  <c r="F180" i="1"/>
  <c r="E180" i="1"/>
  <c r="F177" i="1"/>
  <c r="E177" i="1"/>
  <c r="F176" i="1"/>
  <c r="E176" i="1"/>
  <c r="F175" i="1"/>
  <c r="E175" i="1"/>
  <c r="F174" i="1"/>
  <c r="E174" i="1"/>
  <c r="F173" i="1"/>
  <c r="E173" i="1"/>
  <c r="F179" i="1"/>
  <c r="E179" i="1"/>
  <c r="F172" i="1"/>
  <c r="E172" i="1"/>
  <c r="F170" i="1"/>
  <c r="E170" i="1"/>
  <c r="F379" i="1"/>
  <c r="E379" i="1"/>
  <c r="F370" i="1"/>
  <c r="E370" i="1"/>
  <c r="F337" i="1"/>
  <c r="E337" i="1"/>
  <c r="F336" i="1"/>
  <c r="E336" i="1"/>
  <c r="F30" i="1"/>
  <c r="E30" i="1"/>
  <c r="F248" i="1"/>
  <c r="E248" i="1"/>
  <c r="F247" i="1"/>
  <c r="E247" i="1"/>
  <c r="F249" i="1"/>
  <c r="E249" i="1"/>
  <c r="F246" i="1"/>
  <c r="E246" i="1"/>
  <c r="F245" i="1"/>
  <c r="E245" i="1"/>
  <c r="F244" i="1"/>
  <c r="E244" i="1"/>
  <c r="F243" i="1"/>
  <c r="E243" i="1"/>
  <c r="F242" i="1"/>
  <c r="E242" i="1"/>
  <c r="F241" i="1"/>
  <c r="E241" i="1"/>
  <c r="F240" i="1"/>
  <c r="E240" i="1"/>
  <c r="F239" i="1"/>
  <c r="E239" i="1"/>
  <c r="F149" i="1"/>
  <c r="E149" i="1"/>
</calcChain>
</file>

<file path=xl/comments1.xml><?xml version="1.0" encoding="utf-8"?>
<comments xmlns="http://schemas.openxmlformats.org/spreadsheetml/2006/main">
  <authors>
    <author/>
  </authors>
  <commentList>
    <comment ref="A3" authorId="0" shapeId="0">
      <text>
        <r>
          <rPr>
            <sz val="9"/>
            <color rgb="FF000000"/>
            <rFont val="Calibri"/>
          </rPr>
          <t>HOUSEID {not displaying table with 18,140 unique values}</t>
        </r>
      </text>
    </comment>
    <comment ref="A6" authorId="0" shapeId="0">
      <text>
        <r>
          <rPr>
            <sz val="9"/>
            <color rgb="FF000000"/>
            <rFont val="Calibri"/>
          </rPr>
          <t>TDAYDAT2 {not displaying table with 254 unique values}</t>
        </r>
      </text>
    </comment>
    <comment ref="A9" authorId="0" shapeId="0">
      <text>
        <r>
          <rPr>
            <sz val="9"/>
            <color rgb="FF000000"/>
            <rFont val="Calibri"/>
          </rPr>
          <t>DIFFDATE {not displaying table with 101 unique values}</t>
        </r>
      </text>
    </comment>
    <comment ref="A161" authorId="0" shapeId="0">
      <text>
        <r>
          <rPr>
            <sz val="9"/>
            <color rgb="FF000000"/>
            <rFont val="Calibri"/>
          </rPr>
          <t>ODEVICE_O {not displaying table with 197 unique values}</t>
        </r>
      </text>
    </comment>
    <comment ref="A808" authorId="0" shapeId="0">
      <text>
        <r>
          <rPr>
            <sz val="9"/>
            <color rgb="FF000000"/>
            <rFont val="Calibri"/>
          </rPr>
          <t>HBHTNRNT17 {not displaying table with 8,680 unique values}</t>
        </r>
      </text>
    </comment>
    <comment ref="A811" authorId="0" shapeId="0">
      <text>
        <r>
          <rPr>
            <sz val="9"/>
            <color rgb="FF000000"/>
            <rFont val="Calibri"/>
          </rPr>
          <t>HBPPOPDN17 {not displaying table with 9,372 unique values}</t>
        </r>
      </text>
    </comment>
    <comment ref="A814" authorId="0" shapeId="0">
      <text>
        <r>
          <rPr>
            <sz val="9"/>
            <color rgb="FF000000"/>
            <rFont val="Calibri"/>
          </rPr>
          <t>HBRESDN17 {not displaying table with 9,372 unique values}</t>
        </r>
      </text>
    </comment>
    <comment ref="A817" authorId="0" shapeId="0">
      <text>
        <r>
          <rPr>
            <sz val="9"/>
            <color rgb="FF000000"/>
            <rFont val="Calibri"/>
          </rPr>
          <t>HTEEMPDN17 {not displaying table with 5,278 unique values}</t>
        </r>
      </text>
    </comment>
    <comment ref="A820" authorId="0" shapeId="0">
      <text>
        <r>
          <rPr>
            <sz val="9"/>
            <color rgb="FF000000"/>
            <rFont val="Calibri"/>
          </rPr>
          <t>HTHTNRNT17 {not displaying table with 5,240 unique values}</t>
        </r>
      </text>
    </comment>
    <comment ref="A823" authorId="0" shapeId="0">
      <text>
        <r>
          <rPr>
            <sz val="9"/>
            <color rgb="FF000000"/>
            <rFont val="Calibri"/>
          </rPr>
          <t>HTPPOPDN17 {not displaying table with 5,278 unique values}</t>
        </r>
      </text>
    </comment>
    <comment ref="A826" authorId="0" shapeId="0">
      <text>
        <r>
          <rPr>
            <sz val="9"/>
            <color rgb="FF000000"/>
            <rFont val="Calibri"/>
          </rPr>
          <t>HTRESDN17 {not displaying table with 5,278 unique values}</t>
        </r>
      </text>
    </comment>
    <comment ref="A854" authorId="0" shapeId="0">
      <text>
        <r>
          <rPr>
            <sz val="9"/>
            <color rgb="FF000000"/>
            <rFont val="Calibri"/>
          </rPr>
          <t>HOUSEID {not displaying table with 18,140 unique values}</t>
        </r>
      </text>
    </comment>
    <comment ref="A870" authorId="0" shapeId="0">
      <text>
        <r>
          <rPr>
            <sz val="9"/>
            <color rgb="FF000000"/>
            <rFont val="Calibri"/>
          </rPr>
          <t>PERINDT2 {not displaying table with 377 unique values}</t>
        </r>
      </text>
    </comment>
    <comment ref="A873" authorId="0" shapeId="0">
      <text>
        <r>
          <rPr>
            <sz val="9"/>
            <color rgb="FF000000"/>
            <rFont val="Calibri"/>
          </rPr>
          <t>R_AGE {not displaying table with 102 unique values}</t>
        </r>
      </text>
    </comment>
    <comment ref="A1590" authorId="0" shapeId="0">
      <text>
        <r>
          <rPr>
            <sz val="9"/>
            <color rgb="FF000000"/>
            <rFont val="Calibri"/>
          </rPr>
          <t>TIMETOWK {not displaying table with 112 unique values}</t>
        </r>
      </text>
    </comment>
    <comment ref="A1717" authorId="0" shapeId="0">
      <text>
        <r>
          <rPr>
            <sz val="9"/>
            <color rgb="FF000000"/>
            <rFont val="Calibri"/>
          </rPr>
          <t>WRKTIME {not displaying table with 341 unique values}</t>
        </r>
      </text>
    </comment>
    <comment ref="A2197" authorId="0" shapeId="0">
      <text>
        <r>
          <rPr>
            <sz val="9"/>
            <color rgb="FF000000"/>
            <rFont val="Calibri"/>
          </rPr>
          <t>YEARMILE {not displaying table with 661 unique values}</t>
        </r>
      </text>
    </comment>
    <comment ref="A2332" authorId="0" shapeId="0">
      <text>
        <r>
          <rPr>
            <sz val="9"/>
            <color rgb="FF000000"/>
            <rFont val="Calibri"/>
          </rPr>
          <t>RACE_O {not displaying table with 191 unique values}</t>
        </r>
      </text>
    </comment>
    <comment ref="A3204" authorId="0" shapeId="0">
      <text>
        <r>
          <rPr>
            <sz val="9"/>
            <color rgb="FF000000"/>
            <rFont val="Calibri"/>
          </rPr>
          <t>GCDWORK {not displaying table with 3,417 unique values}</t>
        </r>
      </text>
    </comment>
    <comment ref="A3313" authorId="0" shapeId="0">
      <text>
        <r>
          <rPr>
            <sz val="9"/>
            <color rgb="FF000000"/>
            <rFont val="Calibri"/>
          </rPr>
          <t>DISTTOWK17 {not displaying table with 4,030 unique values}</t>
        </r>
      </text>
    </comment>
    <comment ref="A3318" authorId="0" shapeId="0">
      <text>
        <r>
          <rPr>
            <sz val="9"/>
            <color rgb="FF000000"/>
            <rFont val="Calibri"/>
          </rPr>
          <t>DISTTOSC17 {not displaying table with 1,050 unique values}</t>
        </r>
      </text>
    </comment>
    <comment ref="A3328" authorId="0" shapeId="0">
      <text>
        <r>
          <rPr>
            <sz val="9"/>
            <color rgb="FF000000"/>
            <rFont val="Calibri"/>
          </rPr>
          <t>R_AGE_IMP {not displaying table with 102 unique values}</t>
        </r>
      </text>
    </comment>
    <comment ref="A3358" authorId="0" shapeId="0">
      <text>
        <r>
          <rPr>
            <sz val="9"/>
            <color rgb="FF000000"/>
            <rFont val="Calibri"/>
          </rPr>
          <t>HOUSEID {not displaying table with 17,324 unique values}</t>
        </r>
      </text>
    </comment>
    <comment ref="A3659" authorId="0" shapeId="0">
      <text>
        <r>
          <rPr>
            <sz val="9"/>
            <color rgb="FF000000"/>
            <rFont val="Calibri"/>
          </rPr>
          <t>MODEL {not displaying table with 936 unique values}</t>
        </r>
      </text>
    </comment>
    <comment ref="A3742" authorId="0" shapeId="0">
      <text>
        <r>
          <rPr>
            <sz val="9"/>
            <color rgb="FF000000"/>
            <rFont val="Calibri"/>
          </rPr>
          <t>OD_READ {not displaying table with 17,522 unique values}</t>
        </r>
      </text>
    </comment>
    <comment ref="A3750" authorId="0" shapeId="0">
      <text>
        <r>
          <rPr>
            <sz val="9"/>
            <color rgb="FF000000"/>
            <rFont val="Calibri"/>
          </rPr>
          <t>OD_DATE {not displaying table with 399 unique values}</t>
        </r>
      </text>
    </comment>
    <comment ref="A3870" authorId="0" shapeId="0">
      <text>
        <r>
          <rPr>
            <sz val="9"/>
            <color rgb="FF000000"/>
            <rFont val="Calibri"/>
          </rPr>
          <t>VEHMILES {not displaying table with 911 unique values}</t>
        </r>
      </text>
    </comment>
    <comment ref="A3914" authorId="0" shapeId="0">
      <text>
        <r>
          <rPr>
            <sz val="9"/>
            <color rgb="FF000000"/>
            <rFont val="Calibri"/>
          </rPr>
          <t>ESTMILES {not displaying table with 779 unique values}</t>
        </r>
      </text>
    </comment>
    <comment ref="A3939" authorId="0" shapeId="0">
      <text>
        <r>
          <rPr>
            <sz val="9"/>
            <color rgb="FF000000"/>
            <rFont val="Calibri"/>
          </rPr>
          <t>ANNMILES {not displaying table with 1,677 unique values}</t>
        </r>
      </text>
    </comment>
    <comment ref="A3950" authorId="0" shapeId="0">
      <text>
        <r>
          <rPr>
            <sz val="9"/>
            <color rgb="FF000000"/>
            <rFont val="Calibri"/>
          </rPr>
          <t>HOUSEID {not displaying table with 16,607 unique values}</t>
        </r>
      </text>
    </comment>
    <comment ref="A4122" authorId="0" shapeId="0">
      <text>
        <r>
          <rPr>
            <sz val="9"/>
            <color rgb="FF000000"/>
            <rFont val="Calibri"/>
          </rPr>
          <t>STRTTIME {not displaying table with 1,247 unique values}</t>
        </r>
      </text>
    </comment>
    <comment ref="A4125" authorId="0" shapeId="0">
      <text>
        <r>
          <rPr>
            <sz val="9"/>
            <color rgb="FF000000"/>
            <rFont val="Calibri"/>
          </rPr>
          <t>ENDTIME {not displaying table with 1,279 unique values}</t>
        </r>
      </text>
    </comment>
    <comment ref="A4128" authorId="0" shapeId="0">
      <text>
        <r>
          <rPr>
            <sz val="9"/>
            <color rgb="FF000000"/>
            <rFont val="Calibri"/>
          </rPr>
          <t>STRTTIME17 {not displaying table with 54,585 unique values}</t>
        </r>
      </text>
    </comment>
    <comment ref="A4131" authorId="0" shapeId="0">
      <text>
        <r>
          <rPr>
            <sz val="9"/>
            <color rgb="FF000000"/>
            <rFont val="Calibri"/>
          </rPr>
          <t>ENDTIME17 {not displaying table with 62,163 unique values}</t>
        </r>
      </text>
    </comment>
    <comment ref="A4300" authorId="0" shapeId="0">
      <text>
        <r>
          <rPr>
            <sz val="9"/>
            <color rgb="FF000000"/>
            <rFont val="Calibri"/>
          </rPr>
          <t>TRVLCMIN {not displaying table with 326 unique values}</t>
        </r>
      </text>
    </comment>
    <comment ref="A4304" authorId="0" shapeId="0">
      <text>
        <r>
          <rPr>
            <sz val="9"/>
            <color rgb="FF000000"/>
            <rFont val="Calibri"/>
          </rPr>
          <t>TRPMILES17 {not displaying table with 25,538 unique values}</t>
        </r>
      </text>
    </comment>
    <comment ref="A4307" authorId="0" shapeId="0">
      <text>
        <r>
          <rPr>
            <sz val="9"/>
            <color rgb="FF000000"/>
            <rFont val="Calibri"/>
          </rPr>
          <t>TRPMILES {not displaying table with 25,556 unique values}</t>
        </r>
      </text>
    </comment>
    <comment ref="A4311" authorId="0" shapeId="0">
      <text>
        <r>
          <rPr>
            <sz val="9"/>
            <color rgb="FF000000"/>
            <rFont val="Calibri"/>
          </rPr>
          <t>WKBK_DIST {not displaying table with 412 unique values}</t>
        </r>
      </text>
    </comment>
    <comment ref="A4949" authorId="0" shapeId="0">
      <text>
        <r>
          <rPr>
            <sz val="9"/>
            <color rgb="FF000000"/>
            <rFont val="Calibri"/>
          </rPr>
          <t>DWELTIME {not displaying table with 810 unique values}</t>
        </r>
      </text>
    </comment>
    <comment ref="A4958" authorId="0" shapeId="0">
      <text>
        <r>
          <rPr>
            <sz val="9"/>
            <color rgb="FF000000"/>
            <rFont val="Calibri"/>
          </rPr>
          <t>VMT_MILE {not displaying table with 23,166 unique values}</t>
        </r>
      </text>
    </comment>
    <comment ref="A4962" authorId="0" shapeId="0">
      <text>
        <r>
          <rPr>
            <sz val="9"/>
            <color rgb="FF000000"/>
            <rFont val="Calibri"/>
          </rPr>
          <t>VMT_MILE17 {not displaying table with 23,149 unique values}</t>
        </r>
      </text>
    </comment>
    <comment ref="A5367" authorId="0" shapeId="0">
      <text>
        <r>
          <rPr>
            <sz val="9"/>
            <color rgb="FF000000"/>
            <rFont val="Calibri"/>
          </rPr>
          <t>TDCASEID {not displaying table with 134,424 unique values}</t>
        </r>
      </text>
    </comment>
    <comment ref="A5371" authorId="0" shapeId="0">
      <text>
        <r>
          <rPr>
            <sz val="9"/>
            <color rgb="FF000000"/>
            <rFont val="Calibri"/>
          </rPr>
          <t>HOUSEID {not displaying table with 18,140 unique values}</t>
        </r>
      </text>
    </comment>
    <comment ref="A5454" authorId="0" shapeId="0">
      <text>
        <r>
          <rPr>
            <sz val="9"/>
            <color rgb="FF000000"/>
            <rFont val="Calibri"/>
          </rPr>
          <t>LONGITUDE {not displaying table with 72,498 unique values}</t>
        </r>
      </text>
    </comment>
    <comment ref="A5457" authorId="0" shapeId="0">
      <text>
        <r>
          <rPr>
            <sz val="9"/>
            <color rgb="FF000000"/>
            <rFont val="Calibri"/>
          </rPr>
          <t>LATITUDE {not displaying table with 72,453 unique values}</t>
        </r>
      </text>
    </comment>
    <comment ref="A5460" authorId="0" shapeId="0">
      <text>
        <r>
          <rPr>
            <sz val="9"/>
            <color rgb="FF000000"/>
            <rFont val="Calibri"/>
          </rPr>
          <t>LOCNAME {not displaying table with 37,057 unique values}</t>
        </r>
      </text>
    </comment>
    <comment ref="A5463" authorId="0" shapeId="0">
      <text>
        <r>
          <rPr>
            <sz val="9"/>
            <color rgb="FF000000"/>
            <rFont val="Calibri"/>
          </rPr>
          <t>STREETADDR {not displaying table with 67,174 unique values}</t>
        </r>
      </text>
    </comment>
    <comment ref="A5466" authorId="0" shapeId="0">
      <text>
        <r>
          <rPr>
            <sz val="9"/>
            <color rgb="FF000000"/>
            <rFont val="Calibri"/>
          </rPr>
          <t>CITY {not displaying table with 1,761 unique values}</t>
        </r>
      </text>
    </comment>
    <comment ref="A5565" authorId="0" shapeId="0">
      <text>
        <r>
          <rPr>
            <sz val="9"/>
            <color rgb="FF000000"/>
            <rFont val="Calibri"/>
          </rPr>
          <t>ZIP {not displaying table with 2,630 unique values}</t>
        </r>
      </text>
    </comment>
    <comment ref="A5612" authorId="0" shapeId="0">
      <text>
        <r>
          <rPr>
            <sz val="9"/>
            <color rgb="FF000000"/>
            <rFont val="Calibri"/>
          </rPr>
          <t>FULLADDR {not displaying table with 67,731 unique values}</t>
        </r>
      </text>
    </comment>
    <comment ref="A5615" authorId="0" shapeId="0">
      <text>
        <r>
          <rPr>
            <sz val="9"/>
            <color rgb="FF000000"/>
            <rFont val="Calibri"/>
          </rPr>
          <t>FULLFIPS {not displaying table with 16,859 unique values}</t>
        </r>
      </text>
    </comment>
    <comment ref="A5672" authorId="0" shapeId="0">
      <text>
        <r>
          <rPr>
            <sz val="9"/>
            <color rgb="FF000000"/>
            <rFont val="Calibri"/>
          </rPr>
          <t>CNTYFIPS {not displaying table with 102 unique values}</t>
        </r>
      </text>
    </comment>
    <comment ref="A5676" authorId="0" shapeId="0">
      <text>
        <r>
          <rPr>
            <sz val="9"/>
            <color rgb="FF000000"/>
            <rFont val="Calibri"/>
          </rPr>
          <t>TRACTFIPS {not displaying table with 6,229 unique values}</t>
        </r>
      </text>
    </comment>
    <comment ref="A5694" authorId="0" shapeId="0">
      <text>
        <r>
          <rPr>
            <sz val="9"/>
            <color rgb="FF000000"/>
            <rFont val="Calibri"/>
          </rPr>
          <t>CBSA {not displaying table with 228 unique values}</t>
        </r>
      </text>
    </comment>
  </commentList>
</comments>
</file>

<file path=xl/sharedStrings.xml><?xml version="1.0" encoding="utf-8"?>
<sst xmlns="http://schemas.openxmlformats.org/spreadsheetml/2006/main" count="37446" uniqueCount="7045">
  <si>
    <t>NAME</t>
  </si>
  <si>
    <t>LABEL</t>
  </si>
  <si>
    <t>QUESTION TEXT</t>
  </si>
  <si>
    <t>DATA TYPE</t>
  </si>
  <si>
    <t>VALUES</t>
  </si>
  <si>
    <t>FREQUENCIES</t>
  </si>
  <si>
    <t>TABLE:
HOUSEHOLD</t>
  </si>
  <si>
    <t>TABLE:
PERSON</t>
  </si>
  <si>
    <t>TABLE:
VEHICLE</t>
  </si>
  <si>
    <t>TABLE:
TRIP</t>
  </si>
  <si>
    <t>TABLE:
LOCATION</t>
  </si>
  <si>
    <t>ADDON SPONSOR(S)</t>
  </si>
  <si>
    <t>AGERANGE</t>
  </si>
  <si>
    <t>Age range</t>
  </si>
  <si>
    <t>[$NEXT_HHMEM_AAGE]Because we want to make sure to ask questions that are age appropriate, in which age group [$DO_YOU2] belong...</t>
  </si>
  <si>
    <t>TEXT</t>
  </si>
  <si>
    <t>ALT_1</t>
  </si>
  <si>
    <t>Alternative Mode of Transportation: Public Transportation</t>
  </si>
  <si>
    <t>If you were unable to use your household vehicle(s), which of the following options would be available to you to get you from place to place? 
Please SELECT ALL that apply.</t>
  </si>
  <si>
    <t>ALT_2</t>
  </si>
  <si>
    <t>Alternative Mode of Transportation: Passenger to Friend or Family Member</t>
  </si>
  <si>
    <t>ALT_3</t>
  </si>
  <si>
    <t>Alternative Mode of Transportation: Rental Car</t>
  </si>
  <si>
    <t>ALT_4</t>
  </si>
  <si>
    <t>Alternative Mode of Transportation: Bicycle</t>
  </si>
  <si>
    <t>ALT_5</t>
  </si>
  <si>
    <t>Alternative Mode of Transportation: Walk</t>
  </si>
  <si>
    <t>ALT_6</t>
  </si>
  <si>
    <t>Alternative Mode of Transportation: Taxi</t>
  </si>
  <si>
    <t>ALT_7</t>
  </si>
  <si>
    <t>Alternative Mode of Transportation: None</t>
  </si>
  <si>
    <t>ALT_DK</t>
  </si>
  <si>
    <t>Alternative Mode of Transportation: Does Not Know Answer</t>
  </si>
  <si>
    <t>ALT_O</t>
  </si>
  <si>
    <t>Alternative Mode of Transportation (Other)</t>
  </si>
  <si>
    <t>ALT_RF</t>
  </si>
  <si>
    <t>Alternative Mode of Transportation: Refused to Answer</t>
  </si>
  <si>
    <t>ALT_SE</t>
  </si>
  <si>
    <t>Alternative Mode of Transportation: Something Else</t>
  </si>
  <si>
    <t>ANNMILES</t>
  </si>
  <si>
    <t>Self-reported annualized mile estimate</t>
  </si>
  <si>
    <t>NUMERIC</t>
  </si>
  <si>
    <t>AWAYHOME</t>
  </si>
  <si>
    <t>Reason respondent did not start their travel day with a home-based activity</t>
  </si>
  <si>
    <t>AWAYHOME17</t>
  </si>
  <si>
    <t>Reason respondent was not at their home location at the start of their travel day</t>
  </si>
  <si>
    <t>BIKE</t>
  </si>
  <si>
    <t>Frequency of Bicycle Use for Travel</t>
  </si>
  <si>
    <t>Bike</t>
  </si>
  <si>
    <t>BIKE2SAVE</t>
  </si>
  <si>
    <t>Bicycle to Reduce Financial Burden of Travel</t>
  </si>
  <si>
    <t>I bike to places to save money.</t>
  </si>
  <si>
    <t>BIKE4EX</t>
  </si>
  <si>
    <t>Count of Bike Trips for Exercise</t>
  </si>
  <si>
    <t>How many of these bicycle rides were strictly to exercise?</t>
  </si>
  <si>
    <t>BIKE_D</t>
  </si>
  <si>
    <t xml:space="preserve">Reason for Not Biking More: No nearby paths or trails </t>
  </si>
  <si>
    <t>Which of the following keeps you from biking more?
Please SELECT ALL that apply.</t>
  </si>
  <si>
    <t>BIKE_DK</t>
  </si>
  <si>
    <t>Reason for Not Biking More: Does not know answer</t>
  </si>
  <si>
    <t>BIKE_F</t>
  </si>
  <si>
    <t>Reason for Not Biking More: No sidewalks or sidewalks are in poor condition</t>
  </si>
  <si>
    <t>BIKE_G</t>
  </si>
  <si>
    <t xml:space="preserve">Reason for Not Biking More: Street crossings are unsafe </t>
  </si>
  <si>
    <t>BIKE_K</t>
  </si>
  <si>
    <t>Reason for Not Biking More: Heavy traffic with too many cars</t>
  </si>
  <si>
    <t>BIKE_P</t>
  </si>
  <si>
    <t>Reason for Not Biking More: Not enough lighting at night</t>
  </si>
  <si>
    <t>BIKE_R</t>
  </si>
  <si>
    <t>Reason for Not Biking More: No nearby parks</t>
  </si>
  <si>
    <t>BIKE_RF</t>
  </si>
  <si>
    <t>Reason for Not Biking More: Refused to answer</t>
  </si>
  <si>
    <t>BIKESHARE</t>
  </si>
  <si>
    <t>Count of Bike Share Program Usage</t>
  </si>
  <si>
    <t>Now we want you to think about the past 30 days.  In the past 30 days, how many times did [$YOU1] use a bike share program (e.g. Bikeshare, Zagster, or CycleHop)?</t>
  </si>
  <si>
    <t>BIKE_Z</t>
  </si>
  <si>
    <t>Reason for Not Biking More: None of the above</t>
  </si>
  <si>
    <t>BKMORE_CA_1</t>
  </si>
  <si>
    <t>Reason for Not Biking: Health issues</t>
  </si>
  <si>
    <t>The California Department of Transportation wants to know the TOP THREE reasons that keep [$YOU1] from biking (or biking more often) to [$YOUR_THEIR] destination(s)?  
Please SELECT THE TOP THREE reasons:</t>
  </si>
  <si>
    <t>California Department of Transportation</t>
  </si>
  <si>
    <t>BKMORE_CA_10</t>
  </si>
  <si>
    <t>Reason for Not Biking: Air quality</t>
  </si>
  <si>
    <t>BKMORE_CA_11</t>
  </si>
  <si>
    <t>Reason for Not Biking: No shops or other conveniences nearby</t>
  </si>
  <si>
    <t>BKMORE_CA_12</t>
  </si>
  <si>
    <t>Reason for Not Biking: Prefer to drive</t>
  </si>
  <si>
    <t>BKMORE_CA_2</t>
  </si>
  <si>
    <t>Reason for Not Biking: No one to bike with</t>
  </si>
  <si>
    <t>BKMORE_CA_3</t>
  </si>
  <si>
    <t>Reason for Not Biking: No nearby paths or trails</t>
  </si>
  <si>
    <t>BKMORE_CA_4</t>
  </si>
  <si>
    <t>Reason for Not Biking: Not enough bike lanes / wide curb lanes</t>
  </si>
  <si>
    <t>BKMORE_CA_5</t>
  </si>
  <si>
    <t>Reason for Not Biking: No sidewalks or sidewalks are narrow / in poor condition</t>
  </si>
  <si>
    <t>BKMORE_CA_6</t>
  </si>
  <si>
    <t>Reason for Not Biking: Utility poles in middle of sidewalk</t>
  </si>
  <si>
    <t>BKMORE_CA_7</t>
  </si>
  <si>
    <t>Reason for Not Biking: Too far</t>
  </si>
  <si>
    <t>BKMORE_CA_8</t>
  </si>
  <si>
    <t>Reason for Not Biking: Safety concerns</t>
  </si>
  <si>
    <t>BKMORE_CA_9</t>
  </si>
  <si>
    <t>Reason for Not Biking: Too much traffic</t>
  </si>
  <si>
    <t>BKMORE_CA_DK</t>
  </si>
  <si>
    <t>Reason for Not Biking: Does Not Know Answer</t>
  </si>
  <si>
    <t>BKMORE_CA_NA</t>
  </si>
  <si>
    <t>Reason for Not Biking: No other reasons</t>
  </si>
  <si>
    <t>BKMORE_CA_O</t>
  </si>
  <si>
    <t>Reason for Not Biking (Other)</t>
  </si>
  <si>
    <t xml:space="preserve">Please describe what keeps [$YOU1] from biking (or biking more often) to [$YOUR_THEIR] destination(s)?  </t>
  </si>
  <si>
    <t>BKMORE_CA_RF</t>
  </si>
  <si>
    <t>Reason for Not Biking: Refused to Answer</t>
  </si>
  <si>
    <t>BKMORE_CA_SE</t>
  </si>
  <si>
    <t>Reason for Not Biking: Something Else</t>
  </si>
  <si>
    <t>BLOCKFIPS</t>
  </si>
  <si>
    <t>Census Block FIPS Code (2014 TIGER/Line)</t>
  </si>
  <si>
    <t>BORNINUS</t>
  </si>
  <si>
    <t>Born in United States</t>
  </si>
  <si>
    <t xml:space="preserve">[$WERE_YOU_CAP] born in the United States? </t>
  </si>
  <si>
    <t>BUS</t>
  </si>
  <si>
    <t>Frequency of Bus Use for Travel</t>
  </si>
  <si>
    <t>Bus</t>
  </si>
  <si>
    <t>CAR</t>
  </si>
  <si>
    <t>Frequency of Personal Vehicle Use for Travel</t>
  </si>
  <si>
    <t>Personal Vehicle (Car/Truck/SUV)</t>
  </si>
  <si>
    <t>CARRODE</t>
  </si>
  <si>
    <t>Count of People in Vehicle to Work</t>
  </si>
  <si>
    <t>How many people, including [$YOURSELF2], usually rode to work in the vehicle last week?</t>
  </si>
  <si>
    <t>CARSHARE</t>
  </si>
  <si>
    <t>Count of Care Share Program Usage</t>
  </si>
  <si>
    <t>In the past 30 days, how many times did [$YOU1] use a car sharing service where a car can be rented by the hour (e.g. Zipcar or Car2Go)?</t>
  </si>
  <si>
    <t>CBSA</t>
  </si>
  <si>
    <t>OMB Core Based Statistical Area</t>
  </si>
  <si>
    <t>CDIVMSAR</t>
  </si>
  <si>
    <t>Grouping of household by combination of census division, MSA status, and presence of a subway system when population greater than 1 million</t>
  </si>
  <si>
    <t>CENSUS_D</t>
  </si>
  <si>
    <t>2010 Census division classification for the respondent's home address</t>
  </si>
  <si>
    <t>CENSUS_R</t>
  </si>
  <si>
    <t>Census region classification for home address</t>
  </si>
  <si>
    <t>CITY</t>
  </si>
  <si>
    <t>City</t>
  </si>
  <si>
    <t>CNTTDHH</t>
  </si>
  <si>
    <t>Count of household trips on travel day</t>
  </si>
  <si>
    <t>CNTTDTR</t>
  </si>
  <si>
    <t>Count of person trips on travel day</t>
  </si>
  <si>
    <t>CNTYFIPS</t>
  </si>
  <si>
    <t>Census County FIPS Code (2014 TIGER/Line)</t>
  </si>
  <si>
    <t>CONDDK</t>
  </si>
  <si>
    <t>Does Not Know if Medical Condition Results in Reduced Day-to-Day Travel</t>
  </si>
  <si>
    <t>[$MEDCOND_RECALL]
Please SELECT ALL that apply.</t>
  </si>
  <si>
    <t>CONDNIGH</t>
  </si>
  <si>
    <t>Medical Condition Results in Limiting Driving to Daytime</t>
  </si>
  <si>
    <t>CONDNONE</t>
  </si>
  <si>
    <t>No Medical Condition Results in Reduced Day-to-Day Travel</t>
  </si>
  <si>
    <t>CONDPUB</t>
  </si>
  <si>
    <t>Medical Condition Results in Using Bus or Subway Less Frequently</t>
  </si>
  <si>
    <t>CONDRF</t>
  </si>
  <si>
    <t>Refused to Answer if Medical Condition Results in Reduced Day-to-Day Travel</t>
  </si>
  <si>
    <t>CONDRIDE</t>
  </si>
  <si>
    <t>Medical Condition Results in Asking Others for Rides</t>
  </si>
  <si>
    <t>CONDRIVE</t>
  </si>
  <si>
    <t>Medical Condition Results in Giving up Driving</t>
  </si>
  <si>
    <t>CONDSPEC</t>
  </si>
  <si>
    <t>Medical Condition Results in Using Special Transportation Services</t>
  </si>
  <si>
    <t>CONDTAX</t>
  </si>
  <si>
    <t>Medical Condition Results in Using a Reduced Fare Taxi</t>
  </si>
  <si>
    <t>CONDTRAV</t>
  </si>
  <si>
    <t>Medical Condition Results in Reduced Day-to-Day Travel</t>
  </si>
  <si>
    <t>COUNTRY</t>
  </si>
  <si>
    <t>Country</t>
  </si>
  <si>
    <t>CSA</t>
  </si>
  <si>
    <t>OMB Combined Statistical Area</t>
  </si>
  <si>
    <t>DELIVER</t>
  </si>
  <si>
    <t>Count of Times Purchased Online for Delivery in Last 30 Days</t>
  </si>
  <si>
    <t>Thank you for reporting [$YOUR2] travel details! Now we have a few more questions to help us understand why [$YOU_TRAVEL] the way [$YOU_THEY] do.
In the past 30 days, how many times did [$YOU1] purchase something online and have it delivered?</t>
  </si>
  <si>
    <t>DIARY</t>
  </si>
  <si>
    <t>Travel Diary completion status</t>
  </si>
  <si>
    <t>DIARYCMP</t>
  </si>
  <si>
    <t>Person Completed Log</t>
  </si>
  <si>
    <t>Now we are going to ask you about each of the places [$YOU1] went during [$YOUR_THEIR] travel day.  It will help you to have [$YOUR_THEIR] completed travel log with you as you complete this part of the survey.
[$CPLOG_RECALL]</t>
  </si>
  <si>
    <t>DIARYHAV</t>
  </si>
  <si>
    <t>Person Had Log During Survey</t>
  </si>
  <si>
    <t>Do you have [$YOUR2] completed travel log to refer to as you report [$YOUR_THEIR] travel?</t>
  </si>
  <si>
    <t>DIFFDATE</t>
  </si>
  <si>
    <t>Number of Days Between Travel Date and Survey Completion Date</t>
  </si>
  <si>
    <t>DISTTOSC17</t>
  </si>
  <si>
    <t>Road network distance, in miles, between respondent's home location and school location, sourced using Google Distance Matrix API (https://maps.googleapis.com/maps/api/distancematrix/)</t>
  </si>
  <si>
    <t>DISTTOWK17</t>
  </si>
  <si>
    <t>Road network distance, in miles, between respondent's home location and work location, sourced using Google Distance Matrix API (https://maps.googleapis.com/maps/api/distancematrix/)</t>
  </si>
  <si>
    <t>DRIVER</t>
  </si>
  <si>
    <t>Driver status, derived</t>
  </si>
  <si>
    <t>DROP_PRK</t>
  </si>
  <si>
    <t>Parked or Dropped Off at Station</t>
  </si>
  <si>
    <t>Did [$YOU1] park at the [$BUS_TRAIN] station or [$WERE_U_THEY] dropped off?</t>
  </si>
  <si>
    <t>DRVR</t>
  </si>
  <si>
    <t>Driver status</t>
  </si>
  <si>
    <t>[$DO_YOU_CAP] drive?</t>
  </si>
  <si>
    <t>DRVRCNT</t>
  </si>
  <si>
    <t>Number of drivers in household</t>
  </si>
  <si>
    <t>DRVR_FLG</t>
  </si>
  <si>
    <t>Respondent drove on trip</t>
  </si>
  <si>
    <t>DWELTIME</t>
  </si>
  <si>
    <t>Time at destination</t>
  </si>
  <si>
    <t>EDUC</t>
  </si>
  <si>
    <t>Educational Attainment</t>
  </si>
  <si>
    <t>What is the highest grade or degree that [$YOU_HAVE] earned?</t>
  </si>
  <si>
    <t>ENDAMPM</t>
  </si>
  <si>
    <t>Trip End Time: AM/PM</t>
  </si>
  <si>
    <t>What time did [$YOU1] arrive here?
You left the previous place [$LOCNAME] at [$LOCDEPTIME]</t>
  </si>
  <si>
    <t>ENDHOUR</t>
  </si>
  <si>
    <t>Trip End Time: Hour (1-12)</t>
  </si>
  <si>
    <t>ENDMINTE</t>
  </si>
  <si>
    <t>Trip End Time: Minute (0-59)</t>
  </si>
  <si>
    <t>ENDTIME</t>
  </si>
  <si>
    <t>Trip End Time (HHMM)</t>
  </si>
  <si>
    <t>ENDTIME17</t>
  </si>
  <si>
    <t>Trip End Time (ISO 8601 Date and Time)</t>
  </si>
  <si>
    <t>ESTMILE2</t>
  </si>
  <si>
    <t>Range of Estimated Miles Driven in Vehicle</t>
  </si>
  <si>
    <t>Would you say it was...</t>
  </si>
  <si>
    <t>ESTMILES</t>
  </si>
  <si>
    <t>Estimated Miles Driven in Vehicle</t>
  </si>
  <si>
    <t>About how many miles has this vehicle been driven by all drivers since [$YOU_HAVE2:R[$SELPERNO:C]] had it?</t>
  </si>
  <si>
    <t>FLAG100</t>
  </si>
  <si>
    <t>Whether all household members completed interview</t>
  </si>
  <si>
    <t>FLEXTIME</t>
  </si>
  <si>
    <t>Flex Time</t>
  </si>
  <si>
    <t>At [$YOUR_THEIR][$PRIMARY] job, [$DO_YOU] have the ability to set or change [$YOUR_THEIR] own start time?</t>
  </si>
  <si>
    <t>FRSTHM</t>
  </si>
  <si>
    <t>Travel day began with a home-based activity</t>
  </si>
  <si>
    <t>FRSTHM17</t>
  </si>
  <si>
    <t>Travel day began at home location</t>
  </si>
  <si>
    <t>FUELTYPE</t>
  </si>
  <si>
    <t>Fuel Type</t>
  </si>
  <si>
    <t xml:space="preserve">What type of fuel does it run on? </t>
  </si>
  <si>
    <t>FUELTYPE_O</t>
  </si>
  <si>
    <t>Fuel Type (Other)</t>
  </si>
  <si>
    <t xml:space="preserve">Please describe what type of fuel it runs on. </t>
  </si>
  <si>
    <t>FULLADDR</t>
  </si>
  <si>
    <t>Complete Address with Formatting</t>
  </si>
  <si>
    <t>FULLFIPS</t>
  </si>
  <si>
    <t>Census Block FIPS Code (Comprehensive) (2014 TIGER/Line)</t>
  </si>
  <si>
    <t>GASPRICE</t>
  </si>
  <si>
    <t>Price of gasoline, in cents, on respondent's travel day</t>
  </si>
  <si>
    <t>GCDWORK</t>
  </si>
  <si>
    <t>Minimum geodesic (Great Circle) distance between home location and work location in meters, using WGS84 coordinate system</t>
  </si>
  <si>
    <t>GT1JBLWK</t>
  </si>
  <si>
    <t>More than One Job</t>
  </si>
  <si>
    <t>[$DO_YOU_CAP2] have more than one job?  We mean more than one employer, not just multiple job sites.</t>
  </si>
  <si>
    <t>HBHTNRNT</t>
  </si>
  <si>
    <t>Category of the percent of renter-occupied housing in the census block group of the household's home location.</t>
  </si>
  <si>
    <t>HBHTNRNT17</t>
  </si>
  <si>
    <t>Percent of renter-occupied housing in the census block group of the household's home location.</t>
  </si>
  <si>
    <t>HBPPOPDN</t>
  </si>
  <si>
    <t>Category of population density (persons per square mile) in the census block group of the household's home location.</t>
  </si>
  <si>
    <t>HBPPOPDN17</t>
  </si>
  <si>
    <t>Population density (persons per square mile) in the census block group of the household's home location.</t>
  </si>
  <si>
    <t>HBRESDN</t>
  </si>
  <si>
    <t>Category of housing units per square mile in the census block group of the household's home location.</t>
  </si>
  <si>
    <t>HBRESDN17</t>
  </si>
  <si>
    <t>Housing units per square mile in the census block group of the household's home location.</t>
  </si>
  <si>
    <t>HEALTH</t>
  </si>
  <si>
    <t>Opinion of Health</t>
  </si>
  <si>
    <t>Would you say that in general [$YOUR2] health is...</t>
  </si>
  <si>
    <t>HFUEL</t>
  </si>
  <si>
    <t>Type of Hybrid Vehicle</t>
  </si>
  <si>
    <t>What type of vehicle is it?</t>
  </si>
  <si>
    <t>HFUEL_O</t>
  </si>
  <si>
    <t>Type of Hybrid Vehicle (Other)</t>
  </si>
  <si>
    <t xml:space="preserve">Please describe the type of hybrid vehicle it is? </t>
  </si>
  <si>
    <t>HH_CBSA</t>
  </si>
  <si>
    <t>Core Based Statistical Area (CBSA) FIPS code for the respondent's home address</t>
  </si>
  <si>
    <t>HHFAMINC</t>
  </si>
  <si>
    <t>Household income</t>
  </si>
  <si>
    <t>Please identify which category represents your total household income, before taxes, for last year.</t>
  </si>
  <si>
    <t>HH_HISP</t>
  </si>
  <si>
    <t>Hispanic status of household respondent</t>
  </si>
  <si>
    <t>HHMEMDRV</t>
  </si>
  <si>
    <t>Household member drove on trip</t>
  </si>
  <si>
    <t>HH_ONTD</t>
  </si>
  <si>
    <t>Number of household members on trip including respondent</t>
  </si>
  <si>
    <t>HH_RACE</t>
  </si>
  <si>
    <t>Race of household respondent</t>
  </si>
  <si>
    <t>HHRELATD</t>
  </si>
  <si>
    <t>At least two household persons are related</t>
  </si>
  <si>
    <t>HHRESP</t>
  </si>
  <si>
    <t>Person identifier of household respondent</t>
  </si>
  <si>
    <t xml:space="preserve">First, we will start with some questions about your household. Please select your name from the drop down list below. 
The person providing this information needs to be an adult household member. 
</t>
  </si>
  <si>
    <t>HHSIZE</t>
  </si>
  <si>
    <t>Count of household members</t>
  </si>
  <si>
    <t>Including yourself, how many people live in your home?</t>
  </si>
  <si>
    <t>HHSTATE</t>
  </si>
  <si>
    <t>Household state</t>
  </si>
  <si>
    <t>HHSTFIPS</t>
  </si>
  <si>
    <t>State FIPS for household address</t>
  </si>
  <si>
    <t>HHVEHCNT</t>
  </si>
  <si>
    <t>Count of household vehicles</t>
  </si>
  <si>
    <t>How many motor vehicles are owned, leased, or available for regular use by the people who currently live in your household?
Please be sure to include motorcycles, mopeds and RVs.</t>
  </si>
  <si>
    <t>HOMELOC_1</t>
  </si>
  <si>
    <t>Home Location: Cost / Price of home</t>
  </si>
  <si>
    <t>What are the TOP THREE reasons you chose your current home location?</t>
  </si>
  <si>
    <t>Texas Department of Transportation
Indian Nations Council of Governments
North Central Texas Council of Governments
Des Moines Metropolitan Planning Organization
California Department of Transportation</t>
  </si>
  <si>
    <t>HOMELOC_10</t>
  </si>
  <si>
    <t>Home Location: Close to public transportation</t>
  </si>
  <si>
    <t>North Central Texas Council of Governments
California Department of Transportation
Des Moines Metropolitan Planning Organization
Indian Nations Council of Governments
Texas Department of Transportation</t>
  </si>
  <si>
    <t>HOMELOC_11</t>
  </si>
  <si>
    <t>Home Location: Close to scenic locations</t>
  </si>
  <si>
    <t>Indian Nations Council of Governments
California Department of Transportation
Des Moines Metropolitan Planning Organization
Texas Department of Transportation
North Central Texas Council of Governments</t>
  </si>
  <si>
    <t>HOMELOC_2</t>
  </si>
  <si>
    <t>Home Location: Home size and characteristics</t>
  </si>
  <si>
    <t>Texas Department of Transportation
North Central Texas Council of Governments
California Department of Transportation
Des Moines Metropolitan Planning Organization
Indian Nations Council of Governments</t>
  </si>
  <si>
    <t>HOMELOC_3</t>
  </si>
  <si>
    <t>Home Location: Neighborhood characteristics</t>
  </si>
  <si>
    <t>California Department of Transportation
Texas Department of Transportation
Indian Nations Council of Governments
North Central Texas Council of Governments
Des Moines Metropolitan Planning Organization</t>
  </si>
  <si>
    <t>HOMELOC_4</t>
  </si>
  <si>
    <t>Home Location: Home or lot size</t>
  </si>
  <si>
    <t>North Central Texas Council of Governments
Texas Department of Transportation
Indian Nations Council of Governments
Des Moines Metropolitan Planning Organization
California Department of Transportation</t>
  </si>
  <si>
    <t>HOMELOC_5</t>
  </si>
  <si>
    <t>Home Location: School district / System</t>
  </si>
  <si>
    <t>Indian Nations Council of Governments
Des Moines Metropolitan Planning Organization
Texas Department of Transportation
California Department of Transportation
North Central Texas Council of Governments</t>
  </si>
  <si>
    <t>HOMELOC_6</t>
  </si>
  <si>
    <t>Home Location: Convenient to work</t>
  </si>
  <si>
    <t>California Department of Transportation
Indian Nations Council of Governments
North Central Texas Council of Governments
Des Moines Metropolitan Planning Organization
Texas Department of Transportation</t>
  </si>
  <si>
    <t>HOMELOC_7</t>
  </si>
  <si>
    <t xml:space="preserve">Home Location: Convenient to school </t>
  </si>
  <si>
    <t>California Department of Transportation
Texas Department of Transportation
Indian Nations Council of Governments
Des Moines Metropolitan Planning Organization
North Central Texas Council of Governments</t>
  </si>
  <si>
    <t>HOMELOC_8</t>
  </si>
  <si>
    <t>Home Location: Convenient to retail</t>
  </si>
  <si>
    <t>Des Moines Metropolitan Planning Organization
California Department of Transportation
Texas Department of Transportation
Indian Nations Council of Governments
North Central Texas Council of Governments</t>
  </si>
  <si>
    <t>HOMELOC_9</t>
  </si>
  <si>
    <t>Home Location: Close to friends &amp; family</t>
  </si>
  <si>
    <t>Indian Nations Council of Governments
Texas Department of Transportation
Des Moines Metropolitan Planning Organization
California Department of Transportation
North Central Texas Council of Governments</t>
  </si>
  <si>
    <t>HOMELOC_DK</t>
  </si>
  <si>
    <t>Home Location: Does Not Know Answer</t>
  </si>
  <si>
    <t>Indian Nations Council of Governments
North Central Texas Council of Governments
California Department of Transportation
Des Moines Metropolitan Planning Organization
Texas Department of Transportation</t>
  </si>
  <si>
    <t>HOMELOC_NA</t>
  </si>
  <si>
    <t>Home Location: No other reasons</t>
  </si>
  <si>
    <t>Des Moines Metropolitan Planning Organization
Texas Department of Transportation
North Central Texas Council of Governments
California Department of Transportation
Indian Nations Council of Governments</t>
  </si>
  <si>
    <t>HOMELOC_RF</t>
  </si>
  <si>
    <t>Home Location: Refused to Answer</t>
  </si>
  <si>
    <t>Indian Nations Council of Governments
North Central Texas Council of Governments
Texas Department of Transportation
Des Moines Metropolitan Planning Organization
California Department of Transportation</t>
  </si>
  <si>
    <t>HOMEOWN</t>
  </si>
  <si>
    <t>Home Ownership</t>
  </si>
  <si>
    <t>Do you own or rent your home?</t>
  </si>
  <si>
    <t>HOMEOWN_IMP</t>
  </si>
  <si>
    <t>Home Ownership (imputed)</t>
  </si>
  <si>
    <t>HOMEOWOS</t>
  </si>
  <si>
    <t>Home Ownership (Other)</t>
  </si>
  <si>
    <t>Please describe your arrangement.</t>
  </si>
  <si>
    <t>HOUSEID</t>
  </si>
  <si>
    <t>HOUSEHOLD Table: Household Identifier
PERSON Table: Household Identifier
LOCATION Table: Household Identifier
VEHICLE Table: Household Identifier
TRIP Table: Household Identifier</t>
  </si>
  <si>
    <t>HOWFRPOS</t>
  </si>
  <si>
    <t>Mode(s) Used from Transit to Trip Destination (Other)</t>
  </si>
  <si>
    <t xml:space="preserve">Please describe how [$YOU1] got from the [$MODETEXT] to [$LOCNAME]?   </t>
  </si>
  <si>
    <t>HOWPUBOS</t>
  </si>
  <si>
    <t>Mode(s) Used to Transit from Trip Origin (Other)</t>
  </si>
  <si>
    <t xml:space="preserve">How did [$YOU1] get to [$MODETEXT]? </t>
  </si>
  <si>
    <t>HTEEMPDN</t>
  </si>
  <si>
    <t>Category of workers per square mile in the census tract of the household's home location.</t>
  </si>
  <si>
    <t>HTEEMPDN17</t>
  </si>
  <si>
    <t>Workers per square mile in the census tract of the household's home location.</t>
  </si>
  <si>
    <t>HTHTNRNT</t>
  </si>
  <si>
    <t>Category of the percent of renter-occupied housing in the census tract of the household's home location.</t>
  </si>
  <si>
    <t>HTHTNRNT17</t>
  </si>
  <si>
    <t>Percent of renter-occupied housing in the census tract of the household's home location.</t>
  </si>
  <si>
    <t>HTPPOPDN</t>
  </si>
  <si>
    <t>Category of population density (persons per square mile) in the census tract of the household's home location.</t>
  </si>
  <si>
    <t>HTPPOPDN17</t>
  </si>
  <si>
    <t>Population density (persons per square mile) in the census tract of the household's home location.</t>
  </si>
  <si>
    <t>HTRESDN</t>
  </si>
  <si>
    <t>Category of housing units per square mile in the census tract of the household's home location.</t>
  </si>
  <si>
    <t>HTRESDN17</t>
  </si>
  <si>
    <t>Housing units per square mile in the census tract of the household's home location.</t>
  </si>
  <si>
    <t>HYBRID</t>
  </si>
  <si>
    <t>Hybrid vehicle</t>
  </si>
  <si>
    <t>JOBCATOS</t>
  </si>
  <si>
    <t>Job Category (Other)</t>
  </si>
  <si>
    <t>Please describe [$YOUR2_2] primary job.</t>
  </si>
  <si>
    <t>LANDLINE</t>
  </si>
  <si>
    <t>Landline Telephone Status</t>
  </si>
  <si>
    <t>Do you have a landline telephone?</t>
  </si>
  <si>
    <t>LANG</t>
  </si>
  <si>
    <t>Survey Language</t>
  </si>
  <si>
    <t>What language do you prefer?</t>
  </si>
  <si>
    <t>LATITUDE</t>
  </si>
  <si>
    <t>Latitude (WGS 84 / EPSG: 4326)</t>
  </si>
  <si>
    <t>LD_DIST</t>
  </si>
  <si>
    <t>Road network distance, in miles, between respondent's home location and geographical center of most frequently visited long distance city. Network distance and city's geographical center sourced using Google Distance Matrix API.</t>
  </si>
  <si>
    <t>LIF_CYC</t>
  </si>
  <si>
    <t>Life Cycle classification for the household, derived by attributes pertaining to age, relationship, and work status.</t>
  </si>
  <si>
    <t>LOCNAME</t>
  </si>
  <si>
    <t>Name of Location (Entered/Selected by Respondent)</t>
  </si>
  <si>
    <t/>
  </si>
  <si>
    <t>LOCNO</t>
  </si>
  <si>
    <t>TRIP Table: Trip Destination Location Identifier
LOCATION Table: Location Identifier</t>
  </si>
  <si>
    <t>LOCTYPE</t>
  </si>
  <si>
    <t>Type of Location</t>
  </si>
  <si>
    <t>LONGITUDE</t>
  </si>
  <si>
    <t>Longitude (WGS 84 / EPSG: 4326)</t>
  </si>
  <si>
    <t>LOOP_TRIP</t>
  </si>
  <si>
    <t>Trip origin and destination at identical location</t>
  </si>
  <si>
    <t>LPACT</t>
  </si>
  <si>
    <t>Count of Times of Light or Moderate Physical Activity in Past Week</t>
  </si>
  <si>
    <t>During a typical week how many times [$DO_YOU] do light or moderate physical activity for more than 30 minutes?</t>
  </si>
  <si>
    <t>LSTTRDAY17</t>
  </si>
  <si>
    <t>Last trip before travel day</t>
  </si>
  <si>
    <t>When was the last time [$YOU1] made a trip to another address before [$TRAVDATE]?</t>
  </si>
  <si>
    <t>MAKE</t>
  </si>
  <si>
    <t>Vehicle Make</t>
  </si>
  <si>
    <t xml:space="preserve">What is the make of this vehicle?
Click and type below to quickly find the make:
</t>
  </si>
  <si>
    <t>MAKE_O</t>
  </si>
  <si>
    <t>Vehicle Make (Other)</t>
  </si>
  <si>
    <t>Please describe the make of this vehicle.</t>
  </si>
  <si>
    <t>MCA8_OS</t>
  </si>
  <si>
    <t>Medical Device Used: Something Else</t>
  </si>
  <si>
    <t>[$DO_YOU_CAP] use any of the following? 
Please SELECT ALL that apply.</t>
  </si>
  <si>
    <t>MCA8_OTH</t>
  </si>
  <si>
    <t>Medical Device Used (Other)</t>
  </si>
  <si>
    <t>Please describe the device.</t>
  </si>
  <si>
    <t>MCUSED</t>
  </si>
  <si>
    <t>Count of Motorcycle or Moped Trips</t>
  </si>
  <si>
    <t>In the past 30 days, about how many times [$HAVE_YOU] driven a motorcycle or moped on public roadways?</t>
  </si>
  <si>
    <t>MEDCOND</t>
  </si>
  <si>
    <t>Medical Condition</t>
  </si>
  <si>
    <t>[$DO_YOU_CAP] have a condition or handicap that makes it difficult to travel outside of the home?</t>
  </si>
  <si>
    <t>MEDCOND6</t>
  </si>
  <si>
    <t>Medical Condition, How Long</t>
  </si>
  <si>
    <t>How long [$HAVE_YOU] had this condition?</t>
  </si>
  <si>
    <t>MODEL</t>
  </si>
  <si>
    <t>Vehicle Model</t>
  </si>
  <si>
    <t>What is the model of this vehicle?
Click and type below to quickly find the model:</t>
  </si>
  <si>
    <t>MODEL_O</t>
  </si>
  <si>
    <t>Vehicle Model (Other)</t>
  </si>
  <si>
    <t>Please describe the model of this vehicle.</t>
  </si>
  <si>
    <t>MSACAT</t>
  </si>
  <si>
    <t>Metropolitan Statistical Area (MSA) category for the household's home address, based on household's home geocode and TIGER/Line Shapefiles.</t>
  </si>
  <si>
    <t>MSASIZE</t>
  </si>
  <si>
    <t>Population size category of the Metropolitan Statistical Area (MSA), from the 2010-2014 five-year American Community Survey (ACS) API.</t>
  </si>
  <si>
    <t>NBIKETRP</t>
  </si>
  <si>
    <t>Count of Bike Trips</t>
  </si>
  <si>
    <t xml:space="preserve">In the past 7 days, how many times did [$YOU1] ride a bicycle outside including bicycling to go somewhere or for exercise?  </t>
  </si>
  <si>
    <t>NOCONG</t>
  </si>
  <si>
    <t>Trip Time in Minutes to Work without Traffic</t>
  </si>
  <si>
    <t>How many minutes would it take to drive to [$YOUR2] workplace if there was no traffic?</t>
  </si>
  <si>
    <t>NONHHCNT</t>
  </si>
  <si>
    <t>Number of non-household members on trip</t>
  </si>
  <si>
    <t>NUMADLT</t>
  </si>
  <si>
    <t>Count of adult household members at least 18 years old</t>
  </si>
  <si>
    <t>NUMONTRP</t>
  </si>
  <si>
    <t>Number of people on trip including respondent</t>
  </si>
  <si>
    <t>NUMTRANS</t>
  </si>
  <si>
    <t>Count of Transfers</t>
  </si>
  <si>
    <t>How many times during [$YOUR2] commute to [$LOCNAME] did [$YOU_THEY] transfer (bus to bus, train to bus, train to train, etc)?</t>
  </si>
  <si>
    <t>NWALKTRP</t>
  </si>
  <si>
    <t>Count of Walk Trips</t>
  </si>
  <si>
    <t xml:space="preserve">Now we are going to ask some general questions about [$YOUR2] usual travel activities.
In the past 7 days, how many times did [$YOU1] take a walk outside including walks to go somewhere, exercise or to walk the dog? </t>
  </si>
  <si>
    <t>OCCAT</t>
  </si>
  <si>
    <t>Job Category</t>
  </si>
  <si>
    <t>Which best describes [$YOUR2_2][$PRIMARY] job?</t>
  </si>
  <si>
    <t>OD_DATE</t>
  </si>
  <si>
    <t>Odometer Reading: Date</t>
  </si>
  <si>
    <t>When was the odometer reading taken?</t>
  </si>
  <si>
    <t>OD_DAY</t>
  </si>
  <si>
    <t>Odometer Reading: Day</t>
  </si>
  <si>
    <t>ODEVICE</t>
  </si>
  <si>
    <t>Frequency of Other Device Use to Access the Internet (Not Desktop or Laptop Computer, Smartphone, or Tablet)</t>
  </si>
  <si>
    <t>Other device, specify</t>
  </si>
  <si>
    <t>ODEVICE_O</t>
  </si>
  <si>
    <t>Other Device Used to Access the Internet (That is Not a Desktop or Laptop Computer, Smartphone, or Tablet)</t>
  </si>
  <si>
    <t>OD_MONTH</t>
  </si>
  <si>
    <t>Odometer Reading: Month</t>
  </si>
  <si>
    <t>OD_READ</t>
  </si>
  <si>
    <t>Odometer Reading</t>
  </si>
  <si>
    <t>How many miles does [$VEHYEARTEXT] [$MAKETEXT] [$MODELTEXT] have on it?</t>
  </si>
  <si>
    <t>OD_YEAR</t>
  </si>
  <si>
    <t>Odometer Reading: Year</t>
  </si>
  <si>
    <t>O_LOCNO</t>
  </si>
  <si>
    <t>Trip Origin Location Identifier</t>
  </si>
  <si>
    <t>ONTD_P1</t>
  </si>
  <si>
    <t>Household Person Identifier on Trip: 1</t>
  </si>
  <si>
    <t>ONTD_P10</t>
  </si>
  <si>
    <t>Household Person Identifier on Trip: 10</t>
  </si>
  <si>
    <t>ONTD_P11</t>
  </si>
  <si>
    <t>Household Person Identifier on Trip: 11</t>
  </si>
  <si>
    <t>ONTD_P12</t>
  </si>
  <si>
    <t>Household Person Identifier on Trip: 12</t>
  </si>
  <si>
    <t>ONTD_P13</t>
  </si>
  <si>
    <t>Household Person Identifier on Trip: 13</t>
  </si>
  <si>
    <t>ONTD_P14</t>
  </si>
  <si>
    <t>Household Person Identifier on Trip: 14</t>
  </si>
  <si>
    <t>ONTD_P15</t>
  </si>
  <si>
    <t>Household Person Identifier on Trip: 15</t>
  </si>
  <si>
    <t>ONTD_P2</t>
  </si>
  <si>
    <t>Household Person Identifier on Trip: 2</t>
  </si>
  <si>
    <t>ONTD_P3</t>
  </si>
  <si>
    <t>Household Person Identifier on Trip: 3</t>
  </si>
  <si>
    <t>ONTD_P4</t>
  </si>
  <si>
    <t>Household Person Identifier on Trip: 4</t>
  </si>
  <si>
    <t>ONTD_P5</t>
  </si>
  <si>
    <t>Household Person Identifier on Trip: 5</t>
  </si>
  <si>
    <t>ONTD_P6</t>
  </si>
  <si>
    <t>Household Person Identifier on Trip: 6</t>
  </si>
  <si>
    <t>ONTD_P7</t>
  </si>
  <si>
    <t>Household Person Identifier on Trip: 7</t>
  </si>
  <si>
    <t>ONTD_P8</t>
  </si>
  <si>
    <t>Household Person Identifier on Trip: 8</t>
  </si>
  <si>
    <t>ONTD_P9</t>
  </si>
  <si>
    <t>Household Person Identifier on Trip: 9</t>
  </si>
  <si>
    <t>OUTCNTRY</t>
  </si>
  <si>
    <t>Respondent was out of the country on travel day.</t>
  </si>
  <si>
    <t>OUTOFTWN</t>
  </si>
  <si>
    <t>Away from home for entire travel day</t>
  </si>
  <si>
    <t>PARA</t>
  </si>
  <si>
    <t>Frequency of Paratransit Use for Travel</t>
  </si>
  <si>
    <t>Paratransit</t>
  </si>
  <si>
    <t>PAYPROF</t>
  </si>
  <si>
    <t>Work for Pay in Previous Week</t>
  </si>
  <si>
    <t>Last week, did [$YOU2] do any work for either pay or profit?</t>
  </si>
  <si>
    <t>PC</t>
  </si>
  <si>
    <t>Frequency of Desktop or Laptop Computer Use to Access the Internet</t>
  </si>
  <si>
    <t>Desktop or laptop computer</t>
  </si>
  <si>
    <t>PERINDT2</t>
  </si>
  <si>
    <t>Survey Completion Date</t>
  </si>
  <si>
    <t>PERSONID</t>
  </si>
  <si>
    <t>LOCATION Table: Person Identifier of Work and School Location
TRIP Table: Person Identifier
PERSON Table: Person Identifier</t>
  </si>
  <si>
    <t>PHYACT</t>
  </si>
  <si>
    <t>Level of Physical Activity</t>
  </si>
  <si>
    <t>Which of the following statements best describes how physically active [$YOU_ARE] in a typical week?</t>
  </si>
  <si>
    <t>PLACE</t>
  </si>
  <si>
    <t>Travel is a Financial Burden</t>
  </si>
  <si>
    <t>Getting from place to place costs too much.</t>
  </si>
  <si>
    <t>PRICE</t>
  </si>
  <si>
    <t>Price of Gasoline Affects Travel</t>
  </si>
  <si>
    <t>The price of gas affects the number of places I go.</t>
  </si>
  <si>
    <t>PRMACT</t>
  </si>
  <si>
    <t>Primary Activity in Previous Week</t>
  </si>
  <si>
    <t>During most of last week [$WERE_YOU2]...</t>
  </si>
  <si>
    <t>PROXY</t>
  </si>
  <si>
    <t>Trip info from respondent or proxy</t>
  </si>
  <si>
    <t>PSGR_FLG</t>
  </si>
  <si>
    <t>Respondent was passenger on trip</t>
  </si>
  <si>
    <t>PTMORE_1</t>
  </si>
  <si>
    <t>Reason for Not Taking Transit More: Infrequent service</t>
  </si>
  <si>
    <t>What keeps [$YOU1] from taking transit (or taking transit more often) to [$YOUR_THEIR] destination(s)?  
Please SELECT THE TOP THREE reasons:</t>
  </si>
  <si>
    <t>PTMORE_10</t>
  </si>
  <si>
    <t>Reason for Not Taking Transit More: Prefer to drive</t>
  </si>
  <si>
    <t>PTMORE_2</t>
  </si>
  <si>
    <t>Reason for Not Taking Transit More: Service does not run early or late enough</t>
  </si>
  <si>
    <t>PTMORE_3</t>
  </si>
  <si>
    <t>Reason for Not Taking Transit More: Unreliable service</t>
  </si>
  <si>
    <t>PTMORE_4</t>
  </si>
  <si>
    <t>Reason for Not Taking Transit More: Service too expensive</t>
  </si>
  <si>
    <t>PTMORE_5</t>
  </si>
  <si>
    <t>Reason for Not Taking Transit More: No stops near destination</t>
  </si>
  <si>
    <t>PTMORE_6</t>
  </si>
  <si>
    <t>Reason for Not Taking Transit More: Unsafe street crossings</t>
  </si>
  <si>
    <t>PTMORE_7</t>
  </si>
  <si>
    <t>Reason for Not Taking Transit More: Weather</t>
  </si>
  <si>
    <t>PTMORE_8</t>
  </si>
  <si>
    <t>Reason for Not Taking Transit More: Safety Concerns</t>
  </si>
  <si>
    <t>PTMORE_9</t>
  </si>
  <si>
    <t>Reason for Not Taking Transit More: Air quality</t>
  </si>
  <si>
    <t>PTMORE_DK</t>
  </si>
  <si>
    <t>Reason for Not Taking Transit More: Does Not Know Answer</t>
  </si>
  <si>
    <t>PTMORE_NA</t>
  </si>
  <si>
    <t>Reason for Not Taking Transit More: No Other Reasons</t>
  </si>
  <si>
    <t>PTMORE_O</t>
  </si>
  <si>
    <t>Reason for Not Taking Transit More (Other)</t>
  </si>
  <si>
    <t xml:space="preserve">Please describe what keeps [$YOU1] from taking transit (or taking transit more often) to [$YOUR_THEIR] destination(s)?  </t>
  </si>
  <si>
    <t>PTMORE_RF</t>
  </si>
  <si>
    <t>Reason for Not Taking Transit More: Refused to Answer</t>
  </si>
  <si>
    <t>PTMORE_SE</t>
  </si>
  <si>
    <t>Reason for Not Taking Transit More: Something Else</t>
  </si>
  <si>
    <t>PTRANS</t>
  </si>
  <si>
    <t>Public Transportation to Reduce Financial Burden of Travel</t>
  </si>
  <si>
    <t>I use public transportation to save money.</t>
  </si>
  <si>
    <t>PTUSED</t>
  </si>
  <si>
    <t>Count of Public Transit Usage</t>
  </si>
  <si>
    <t>In the past 30 days, about how many days [$HAVE_YOU] used public transportation such as buses, subways, streetcars, or commuter trains?  
Do not include taxis.</t>
  </si>
  <si>
    <t>PUBTIME</t>
  </si>
  <si>
    <t>Minutes Spent Transferring to Work</t>
  </si>
  <si>
    <t>How many minutes each day [$DO_YOU] usually spend transferring during [$YOUR_THEIR] commute TO work (e.g. bus to bus, train to train, bus to train)?</t>
  </si>
  <si>
    <t>PUBTRANS</t>
  </si>
  <si>
    <t>Public transportation used on trip</t>
  </si>
  <si>
    <t>QC_DAY</t>
  </si>
  <si>
    <t>Travel Day Data Quality Code: Person Abandoned Trip Reporting without Completing Entire Day's Travel</t>
  </si>
  <si>
    <t>QC_JOINT</t>
  </si>
  <si>
    <t>Travel Day Data Quality Code: Person Has Contradictory Intra-Household Joint/Shared Travel</t>
  </si>
  <si>
    <t>QC_LOC</t>
  </si>
  <si>
    <t>Travel Day Data Quality Code: Person Has Low-Precision Location Data</t>
  </si>
  <si>
    <t>QC_LOOP</t>
  </si>
  <si>
    <t>Travel Day Data Quality Code: Person Has Unrealistic Back-to-Back/Loop Travel</t>
  </si>
  <si>
    <t>QC_TIME</t>
  </si>
  <si>
    <t>Travel Day Data Quality Code: Person Has Travel with Unrealistic Durations</t>
  </si>
  <si>
    <t>RACE_1</t>
  </si>
  <si>
    <t>Race: White</t>
  </si>
  <si>
    <t>Which of the following describes [$YOUR2_2] race? 
Please SELECT ALL that apply.</t>
  </si>
  <si>
    <t>RACE_2</t>
  </si>
  <si>
    <t>Race: Black or African American</t>
  </si>
  <si>
    <t>RACE_3</t>
  </si>
  <si>
    <t>Race: Asian</t>
  </si>
  <si>
    <t>RACE_4</t>
  </si>
  <si>
    <t>Race: American Indian or Alaska Native</t>
  </si>
  <si>
    <t>RACE_5</t>
  </si>
  <si>
    <t>Race: Native Hawaiian or other Pacific Islander</t>
  </si>
  <si>
    <t>RACE_DK</t>
  </si>
  <si>
    <t>Race: Does Not Know Answer</t>
  </si>
  <si>
    <t>RACE_O</t>
  </si>
  <si>
    <t>Race: Some Other Race Description</t>
  </si>
  <si>
    <t>Please provide [$YOUR2_2] race.</t>
  </si>
  <si>
    <t>RACE_RF</t>
  </si>
  <si>
    <t>Race: Refused to Answer</t>
  </si>
  <si>
    <t>RACE_SE</t>
  </si>
  <si>
    <t>Race: Some Other Race</t>
  </si>
  <si>
    <t>R_AGE</t>
  </si>
  <si>
    <t>Age</t>
  </si>
  <si>
    <t>How old [$ARE_YOU]?
[$DISP_AGE]</t>
  </si>
  <si>
    <t>R_AGE_IMP</t>
  </si>
  <si>
    <t>Age (imputed)</t>
  </si>
  <si>
    <t>RAIL</t>
  </si>
  <si>
    <t>MSA heavy rail status for household</t>
  </si>
  <si>
    <t>RDTRP_50</t>
  </si>
  <si>
    <t>Made Round Trips at Least 50 Miles from Home</t>
  </si>
  <si>
    <t>Did [$YOU1] make any round trips to locations at least 50 miles from your home over the past two months?  Do not include any trips made as a daily commute.</t>
  </si>
  <si>
    <t>RDTRP_BUS</t>
  </si>
  <si>
    <t>Count of 50 Mile Round Trips Made for Business Purpose</t>
  </si>
  <si>
    <t>Of these 50+ mile trips, how many were for each of the following purposes?  If a trip had more than one purpose, please indicate the primary purpose.
Business:</t>
  </si>
  <si>
    <t>RDTRP_O</t>
  </si>
  <si>
    <t>Count of 50 Mile Round Trips Made for Other Purpose</t>
  </si>
  <si>
    <t>Other:</t>
  </si>
  <si>
    <t>RDTRP_PER</t>
  </si>
  <si>
    <t>Count of 50 Mile Round Trips Made for Personal Purpose</t>
  </si>
  <si>
    <t>Personal:</t>
  </si>
  <si>
    <t>RDTRP_REC</t>
  </si>
  <si>
    <t>Count of 50 Mile Round Trips Made for Recreation Purpose</t>
  </si>
  <si>
    <t>Recreation:</t>
  </si>
  <si>
    <t>RECMODE</t>
  </si>
  <si>
    <t>Survey mode at recruit completion</t>
  </si>
  <si>
    <t>RESP_CNT</t>
  </si>
  <si>
    <t>Count of responding persons per household</t>
  </si>
  <si>
    <t>RETMODE</t>
  </si>
  <si>
    <t>Survey mode at retrieval completion</t>
  </si>
  <si>
    <t>R_HISP</t>
  </si>
  <si>
    <t>Hispanic or Latino Origin</t>
  </si>
  <si>
    <t>[$NEXT_HHMEM_HISP][$ARE_YOU_CAP2] of Hispanic or Latino origin?</t>
  </si>
  <si>
    <t>R_HISP_IMP</t>
  </si>
  <si>
    <t>Hispanic or Latino Origin (imputed)</t>
  </si>
  <si>
    <t>RIDESHARE</t>
  </si>
  <si>
    <t>Count of Rideshare App Usage</t>
  </si>
  <si>
    <t>In the past 30 days, how many times [$HAVE_YOU] purchased a ride with a smartphone rideshare app (e.g. Uber, Lyft, Sidecar)?</t>
  </si>
  <si>
    <t>R_RACE</t>
  </si>
  <si>
    <t>Race</t>
  </si>
  <si>
    <t>R_RACE_IMP</t>
  </si>
  <si>
    <t>Race (imputed)</t>
  </si>
  <si>
    <t>R_RELAT</t>
  </si>
  <si>
    <t>Relationship</t>
  </si>
  <si>
    <t>What is [$YOUR2_2] relationship to [$YOU_R1]? Relationships include biological, adopted and step.</t>
  </si>
  <si>
    <t>R_RETMODE</t>
  </si>
  <si>
    <t>R_SEX</t>
  </si>
  <si>
    <t>Gender</t>
  </si>
  <si>
    <t>Gender:</t>
  </si>
  <si>
    <t>R_SEX_IMP</t>
  </si>
  <si>
    <t>Gender (imputed)</t>
  </si>
  <si>
    <t>SAMEPLC</t>
  </si>
  <si>
    <t>Reason for No Trips</t>
  </si>
  <si>
    <t>What was the main reason that [$YOU1] did not go anywhere on [$YOUR_THEIR] travel day?</t>
  </si>
  <si>
    <t>SAMEPLC_O</t>
  </si>
  <si>
    <t>Reason for No Trips (Other)</t>
  </si>
  <si>
    <t>SAMPAREA</t>
  </si>
  <si>
    <t>Sample Area</t>
  </si>
  <si>
    <t>SAMPSTRAT</t>
  </si>
  <si>
    <t>Primary Sampling Stratum Assignment</t>
  </si>
  <si>
    <t>SCHTRN1</t>
  </si>
  <si>
    <t>Mode to School</t>
  </si>
  <si>
    <t>How [$DO_YOU] usually get to school? 
Please SELECT THE ONE used for most of the distance.</t>
  </si>
  <si>
    <t>SCHTRN1O</t>
  </si>
  <si>
    <t>Mode to School (Other)</t>
  </si>
  <si>
    <t>How [$DO_YOU] usually get to school?</t>
  </si>
  <si>
    <t>SCHTRN2</t>
  </si>
  <si>
    <t>Mode from School</t>
  </si>
  <si>
    <t>How [$DO_YOU] usually leave school?
Please SELECT THE ONE used for most of the distance.</t>
  </si>
  <si>
    <t>SCHTRN2O</t>
  </si>
  <si>
    <t>Mode from School (Other)</t>
  </si>
  <si>
    <t>How [$DO_YOU] usually leave school?</t>
  </si>
  <si>
    <t>SCHTYP</t>
  </si>
  <si>
    <t>Student Status</t>
  </si>
  <si>
    <t>The Department of Transportation and your local community are interested in ensuring travel safety to and from school. The following questions will help identify issues that children might face in traveling between home and school for the most recent school year. 
What type of school [$DO_YOU2] attend?
Think about the most recent school attended.</t>
  </si>
  <si>
    <t>SCRESP</t>
  </si>
  <si>
    <t>Person identifier of mail screener respondent, always 1 to roster self first</t>
  </si>
  <si>
    <t>SPHONE</t>
  </si>
  <si>
    <t>Frequency of Smartphone Use to Access the Internet</t>
  </si>
  <si>
    <t>Smartphone</t>
  </si>
  <si>
    <t>SPONSCHG</t>
  </si>
  <si>
    <t>Flag indicating SPONSOR variable changed during retrieval</t>
  </si>
  <si>
    <t>SPONSOR</t>
  </si>
  <si>
    <t>Addon status when national and addon sample are unioned by geography</t>
  </si>
  <si>
    <t>STATE</t>
  </si>
  <si>
    <t>State</t>
  </si>
  <si>
    <t>STATEFIPS</t>
  </si>
  <si>
    <t>Census State FIPS Code (2014 TIGER/Line)</t>
  </si>
  <si>
    <t>STREETADDR</t>
  </si>
  <si>
    <t>Street Address</t>
  </si>
  <si>
    <t>STRTAMPM</t>
  </si>
  <si>
    <t>Trip Start Time: AM/PM</t>
  </si>
  <si>
    <t>What time did [$YOU1] leave here?</t>
  </si>
  <si>
    <t>STRTHR</t>
  </si>
  <si>
    <t>Trip Start Time: Hour (1-12)</t>
  </si>
  <si>
    <t>STRTMIN</t>
  </si>
  <si>
    <t>Trip Start Time: Minute (0-59)</t>
  </si>
  <si>
    <t>STRTTIME</t>
  </si>
  <si>
    <t>Trip Start Time (HHMM)</t>
  </si>
  <si>
    <t>STRTTIME17</t>
  </si>
  <si>
    <t>Trip Start Time (ISO 8601 Date and Time)</t>
  </si>
  <si>
    <t>TAB</t>
  </si>
  <si>
    <t>Frequency of Tablet Use to Access the Internet</t>
  </si>
  <si>
    <t>Tablet</t>
  </si>
  <si>
    <t>TAXI</t>
  </si>
  <si>
    <t>Frequency of Taxi Service or Rideshare Use for Travel</t>
  </si>
  <si>
    <t>Taxi service or rideshare such as Uber/Lyft</t>
  </si>
  <si>
    <t>TDAYDAT2</t>
  </si>
  <si>
    <t>Survey Travel Date</t>
  </si>
  <si>
    <t>TDAYDATE</t>
  </si>
  <si>
    <t>Date of travel day (YYYYMM)</t>
  </si>
  <si>
    <t>TDCASEID</t>
  </si>
  <si>
    <t>Unique identifier for every trip record in the file</t>
  </si>
  <si>
    <t>TDDRIVER</t>
  </si>
  <si>
    <t>Travel day driver status</t>
  </si>
  <si>
    <t>TDTRPNUM</t>
  </si>
  <si>
    <t>Incrementing travel day trip number, starting at 1 for each person in the file</t>
  </si>
  <si>
    <t>TDWKND</t>
  </si>
  <si>
    <t>Weekend trip</t>
  </si>
  <si>
    <t>TIMETOWK</t>
  </si>
  <si>
    <t>Trip Time to Work in Minutes</t>
  </si>
  <si>
    <t xml:space="preserve">Thinking about [$YOUR_THEIR] daily commute to work last week, how many minutes did it usually take [$YOU1] to get from home to [$YOUR_THEIR][$PRIMARY] job / work? </t>
  </si>
  <si>
    <t>TIMEZONE</t>
  </si>
  <si>
    <t>Time Zone</t>
  </si>
  <si>
    <t>TRACC1</t>
  </si>
  <si>
    <t>Mode(s) Used to Transit from Trip Origin: Walking</t>
  </si>
  <si>
    <t>How did [$YOU1] get to the [$MODETEXT]? 
Please SELECT ALL that apply.</t>
  </si>
  <si>
    <t>TRACC10</t>
  </si>
  <si>
    <t>Mode(s) Used to Transit from Trip Origin: School bus</t>
  </si>
  <si>
    <t>TRACC11</t>
  </si>
  <si>
    <t>Mode(s) Used to Transit from Trip Origin: Public Transit or commuter bus</t>
  </si>
  <si>
    <t>TRACC12</t>
  </si>
  <si>
    <t>Mode(s) Used to Transit from Trip Origin: Paratransit / Dial-a-ride</t>
  </si>
  <si>
    <t>TRACC13</t>
  </si>
  <si>
    <t>Mode(s) Used to Transit from Trip Origin: Private / Charter / Tour/ Shuttle bus</t>
  </si>
  <si>
    <t>TRACC14</t>
  </si>
  <si>
    <t>Mode(s) Used to Transit from Trip Origin: City-to-city bus (Greyhound, Megabus)</t>
  </si>
  <si>
    <t>TRACC15</t>
  </si>
  <si>
    <t>Mode(s) Used to Transit from Trip Origin: Amtrak / Commuter rail</t>
  </si>
  <si>
    <t>TRACC16</t>
  </si>
  <si>
    <t>Mode(s) Used to Transit from Trip Origin: Subway / Elevated / Light rail / Street car</t>
  </si>
  <si>
    <t>TRACC17</t>
  </si>
  <si>
    <t>Mode(s) Used to Transit from Trip Origin: Taxi / Limo (Including Uber / Lyft)</t>
  </si>
  <si>
    <t>TRACC18</t>
  </si>
  <si>
    <t>Mode(s) Used to Transit from Trip Origin: Rental car (including Zipcar / Car2Go)</t>
  </si>
  <si>
    <t>TRACC19</t>
  </si>
  <si>
    <t>Mode(s) Used to Transit from Trip Origin: Airplane</t>
  </si>
  <si>
    <t>TRACC2</t>
  </si>
  <si>
    <t>Mode(s) Used to Transit from Trip Origin: Bicycle</t>
  </si>
  <si>
    <t>TRACC20</t>
  </si>
  <si>
    <t>Mode(s) Used to Transit from Trip Origin: Boat</t>
  </si>
  <si>
    <t>TRACC3</t>
  </si>
  <si>
    <t>Mode(s) Used to Transit from Trip Origin: Car</t>
  </si>
  <si>
    <t>TRACC4</t>
  </si>
  <si>
    <t>Mode(s) Used to Transit from Trip Origin: SUV</t>
  </si>
  <si>
    <t>TRACC5</t>
  </si>
  <si>
    <t>Mode(s) Used to Transit from Trip Origin: Van</t>
  </si>
  <si>
    <t>TRACC6</t>
  </si>
  <si>
    <t>Mode(s) Used to Transit from Trip Origin: Pickup Truck</t>
  </si>
  <si>
    <t>TRACC7</t>
  </si>
  <si>
    <t>Mode(s) Used to Transit from Trip Origin: Golf cart / Segway</t>
  </si>
  <si>
    <t>TRACC8</t>
  </si>
  <si>
    <t>Mode(s) Used to Transit from Trip Origin: Motorcycle / Moped</t>
  </si>
  <si>
    <t>TRACC9</t>
  </si>
  <si>
    <t>Mode(s) Used to Transit from Trip Origin: RV (motor home / ATV / snowmobile)</t>
  </si>
  <si>
    <t>TRACCDK</t>
  </si>
  <si>
    <t>Mode(s) Used to Transit from Trip Origin: Does Not Know Answer</t>
  </si>
  <si>
    <t>TRACC_O</t>
  </si>
  <si>
    <t>Mode(s) Used to Transit from Trip Origin: Something Else</t>
  </si>
  <si>
    <t>TRACCRF</t>
  </si>
  <si>
    <t>Mode(s) Used to Transit from Trip Origin: Refused to Answer</t>
  </si>
  <si>
    <t>TRACCTM</t>
  </si>
  <si>
    <t>Trip Time to Transit Station in Minutes</t>
  </si>
  <si>
    <t xml:space="preserve">How many minutes did it take [$YOU1] to get to the [$BUS_TRAIN] station? </t>
  </si>
  <si>
    <t>TRACTFIPS</t>
  </si>
  <si>
    <t>Census Tract FIPS Code (2014 TIGER/Line)</t>
  </si>
  <si>
    <t>TRAIN</t>
  </si>
  <si>
    <t>Frequency of Train Use for Travel</t>
  </si>
  <si>
    <t>Train/Subway</t>
  </si>
  <si>
    <t>TRAVDAY</t>
  </si>
  <si>
    <t>Travel day - day of week</t>
  </si>
  <si>
    <t>TREGR1</t>
  </si>
  <si>
    <t>Mode(s) Used from Transit to Trip Destination: Walking</t>
  </si>
  <si>
    <t>How did [$YOU1] get from the [$MODETEXT] to [$LOCNAME]?
Please SELECT ALL that apply.</t>
  </si>
  <si>
    <t>TREGR10</t>
  </si>
  <si>
    <t>Mode(s) Used from Transit to Trip Destination: School bus</t>
  </si>
  <si>
    <t>TREGR11</t>
  </si>
  <si>
    <t>Mode(s) Used from Transit to Trip Destination: Public transit or commuter bus</t>
  </si>
  <si>
    <t>TREGR12</t>
  </si>
  <si>
    <t>Mode(s) Used from Transit to Trip Destination: Paratransit / Dial-a-ride</t>
  </si>
  <si>
    <t>TREGR13</t>
  </si>
  <si>
    <t>Mode(s) Used from Transit to Trip Destination: Private / Charter / Tour / Shuttle bus</t>
  </si>
  <si>
    <t>TREGR14</t>
  </si>
  <si>
    <t>Mode(s) Used from Transit to Trip Destination: City-to-city bus (Greyhound / Megabus)</t>
  </si>
  <si>
    <t>TREGR15</t>
  </si>
  <si>
    <t>Mode(s) Used from Transit to Trip Destination: Amtrak / Commuter rail</t>
  </si>
  <si>
    <t>TREGR16</t>
  </si>
  <si>
    <t>Mode(s) Used from Transit to Trip Destination: Subway / Elevated / Light rail / Street car</t>
  </si>
  <si>
    <t>TREGR17</t>
  </si>
  <si>
    <t>Mode(s) Used from Transit to Trip Destination: Taxi / Limo (including Uber / Lyft)</t>
  </si>
  <si>
    <t>TREGR18</t>
  </si>
  <si>
    <t>Mode(s) Used from Transit to Trip Destination: Rental car (including Zipcar / Car2Go)</t>
  </si>
  <si>
    <t>TREGR19</t>
  </si>
  <si>
    <t>Mode(s) Used from Transit to Trip Destination: Airplane</t>
  </si>
  <si>
    <t>TREGR2</t>
  </si>
  <si>
    <t>Mode(s) Used from Transit to Trip Destination: Bicycle</t>
  </si>
  <si>
    <t>TREGR20</t>
  </si>
  <si>
    <t>Mode(s) Used from Transit to Trip Destination: Boat</t>
  </si>
  <si>
    <t>TREGR3</t>
  </si>
  <si>
    <t>Mode(s) Used from Transit to Trip Destination: Car</t>
  </si>
  <si>
    <t>TREGR4</t>
  </si>
  <si>
    <t>Mode(s) Used from Transit to Trip Destination: SUV</t>
  </si>
  <si>
    <t>TREGR5</t>
  </si>
  <si>
    <t>Mode(s) Used from Transit to Trip Destination: Van</t>
  </si>
  <si>
    <t>TREGR6</t>
  </si>
  <si>
    <t>Mode(s) Used from Transit to Trip Destination: Pickup truck</t>
  </si>
  <si>
    <t>TREGR7</t>
  </si>
  <si>
    <t>Mode(s) Used from Transit to Trip Destination: Golf cart / Segway</t>
  </si>
  <si>
    <t>TREGR8</t>
  </si>
  <si>
    <t>Mode(s) Used from Transit to Trip Destination: Motorcycle / Moped</t>
  </si>
  <si>
    <t>TREGR9</t>
  </si>
  <si>
    <t>Mode(s) Used from Transit to Trip Destination: RV (motor home / ATV / snowmobile)</t>
  </si>
  <si>
    <t>TREGRDK</t>
  </si>
  <si>
    <t>Mode(s) Used from Transit to Trip Destination: Does Not Know Answer</t>
  </si>
  <si>
    <t>TREGR_O</t>
  </si>
  <si>
    <t>Mode(s) Used from Transit to Trip Destination: Something else</t>
  </si>
  <si>
    <t>TREGRRF</t>
  </si>
  <si>
    <t>Mode(s) Used from Transit to Trip Destination: Refused to Answer</t>
  </si>
  <si>
    <t>TREGRTM</t>
  </si>
  <si>
    <t>Time to Destination from Transit in Minutes</t>
  </si>
  <si>
    <t xml:space="preserve">How many minutes did it take [$YOU1] to get to [$LOCNAME] from the [$MODETEXT]? </t>
  </si>
  <si>
    <t>TRIP_CODE</t>
  </si>
  <si>
    <t>Household Has at Least One Person with a Travel Day Data Quality Code That Identifies Trip-Related Reporting That Is Not Realistic</t>
  </si>
  <si>
    <t>TRIPPURP</t>
  </si>
  <si>
    <t>Generalized purpose of trip, home-based and non-home based</t>
  </si>
  <si>
    <t>TRPACCMP</t>
  </si>
  <si>
    <t>Count of People on Trip</t>
  </si>
  <si>
    <t>TRPHHACC</t>
  </si>
  <si>
    <t>Count of Household Members on Trip</t>
  </si>
  <si>
    <t>TRPHHVEH</t>
  </si>
  <si>
    <t>Household Vehicle Used on Trip</t>
  </si>
  <si>
    <t>TRPMILES</t>
  </si>
  <si>
    <t>Trip distance in miles, derived from route geometry returned by Google Maps API, or from reported loop-trip distance</t>
  </si>
  <si>
    <t>TRPMILES17</t>
  </si>
  <si>
    <t>Trip distance in miles, derived from route geometry returned by Google Maps API</t>
  </si>
  <si>
    <t>TRPPUB</t>
  </si>
  <si>
    <t>Public Transit Usage on Trip</t>
  </si>
  <si>
    <t>Did [$YOU1] take a bus, subway, train, or some other type of public transportation during this trip?</t>
  </si>
  <si>
    <t>TRPTRANS</t>
  </si>
  <si>
    <t>Trip Mode, derived</t>
  </si>
  <si>
    <t>TRPTRANS17</t>
  </si>
  <si>
    <t>Trip Mode</t>
  </si>
  <si>
    <t>[$MODE_RECALL]</t>
  </si>
  <si>
    <t>TRPTRNOS</t>
  </si>
  <si>
    <t>Trip Mode (Other)</t>
  </si>
  <si>
    <t>How did [$YOU1] get to here?</t>
  </si>
  <si>
    <t>TRVLCMIN</t>
  </si>
  <si>
    <t>Trip Duration in Minutes</t>
  </si>
  <si>
    <t>TRWAITTM</t>
  </si>
  <si>
    <t>Transit wait time in minutes</t>
  </si>
  <si>
    <t>How many minutes did [$YOU1] have to wait for the [$BUS_TRAIN]?</t>
  </si>
  <si>
    <t>URBAN</t>
  </si>
  <si>
    <t>Household's urban area classification, based on home address and 2014 TIGER/Line Shapefile</t>
  </si>
  <si>
    <t>URBANSIZE</t>
  </si>
  <si>
    <t>Urban area size where home address is located</t>
  </si>
  <si>
    <t>URBRUR</t>
  </si>
  <si>
    <t>Household in urban/rural area</t>
  </si>
  <si>
    <t>USEPUBTR</t>
  </si>
  <si>
    <t>Public Transit Usage on Travel Date, derived</t>
  </si>
  <si>
    <t>USEPUBTR17</t>
  </si>
  <si>
    <t>Public Transit Usage on Travel Date</t>
  </si>
  <si>
    <t>Did [$YOU1] use a bus, subway, train, or some other type of public transportation during [$YOUR_THEIR] travel day?</t>
  </si>
  <si>
    <t>VEHAGE</t>
  </si>
  <si>
    <t>Age of vehicle, based on model year</t>
  </si>
  <si>
    <t>VEHID</t>
  </si>
  <si>
    <t>TRIP Table: Household Vehicle Identifier Used on Trip
VEHICLE Table: Vehicle Identifier</t>
  </si>
  <si>
    <t xml:space="preserve">What vehicle was used to get to [$LOCNAME]? </t>
  </si>
  <si>
    <t>VEHMILE2</t>
  </si>
  <si>
    <t>Range of Miles Driven in Vehicle Over Last Year</t>
  </si>
  <si>
    <t>VEHMILES</t>
  </si>
  <si>
    <t>Count of Miles Driven in Vehicle Over Last Year</t>
  </si>
  <si>
    <t>During the past 12 months, about how many miles was the [$VEHYEARTEXT] [$MAKETEXT] [$MODELTEXT] driven by all drivers?</t>
  </si>
  <si>
    <t>VEHOWNED</t>
  </si>
  <si>
    <t>Owned Vehicle Longer than a Year</t>
  </si>
  <si>
    <t>[$HAVE_YOU_CAP:R[$SELPERNO:C]] owned the [$VEHYEARTEXT] [$MAKETEXT] [$MODELTEXT] 1 year or more?</t>
  </si>
  <si>
    <t>VEHOWNMO</t>
  </si>
  <si>
    <t>Months of Vehicle Ownership</t>
  </si>
  <si>
    <t>About how many months [$HAVE_YOU:R[$SELPERNO:C]] owned the [$VEHYEARTEXT] [$MAKETEXT] [$MODELTEXT]?</t>
  </si>
  <si>
    <t>VEHTYOS</t>
  </si>
  <si>
    <t>Vehicle Type (Other)</t>
  </si>
  <si>
    <t xml:space="preserve">Please describe the type of vehicle. </t>
  </si>
  <si>
    <t>VEHTYPE</t>
  </si>
  <si>
    <t>Vehicle Type</t>
  </si>
  <si>
    <t xml:space="preserve">What type of vehicle is the [$VEHYEARTEXT] [$MAKETEXT] [$MODELTEXT]? </t>
  </si>
  <si>
    <t>VEHYEAR</t>
  </si>
  <si>
    <t>Vehicle Year</t>
  </si>
  <si>
    <t>Now, we would like you to tell us about each of the vehicles available to the people that live in your household. 
What's the year of the [$NEW_NEXT] vehicle?</t>
  </si>
  <si>
    <t>VERESTML</t>
  </si>
  <si>
    <t>Confirmation of Estimated Miles Driven in Vehicle</t>
  </si>
  <si>
    <t>You reported that the [$VEHYEARTEXT] [$MAKETEXT] [$MODELTEXT] was driven a total of [$ESTMILES:T] miles by all drivers since [$YOU_HAVE2:R[$SELPERNO:C]] had it.  Please confirm that this is correct?</t>
  </si>
  <si>
    <t>VERMILES</t>
  </si>
  <si>
    <t>Confirmation of Miles Driven in Vehicle</t>
  </si>
  <si>
    <t>You reported that the [$VEHYEARTEXT] [$MAKETEXT] [$MODELTEXT] was driven a total of [$VEHMILES:T] miles by all drivers during the past 12 months. Is this correct?</t>
  </si>
  <si>
    <t>VERYRMIL</t>
  </si>
  <si>
    <t>Confirmation of Miles Personally Driven in Vehicle</t>
  </si>
  <si>
    <t>You just said [$YOU1] personally drove [$YEARMILE:T] miles during the past 12 months.  Is this correct?</t>
  </si>
  <si>
    <t>VMT_MILE</t>
  </si>
  <si>
    <t>Trip distance in miles for personally driven vehicle trips, derived from route geometry returned by Google Maps API</t>
  </si>
  <si>
    <t>VMT_MILE17</t>
  </si>
  <si>
    <t>Trip distance in miles for personally driven vehicle trips, derived from route geometry returned by Google Maps API, or from reported loop-trip distance</t>
  </si>
  <si>
    <t>VPACT</t>
  </si>
  <si>
    <t>Count of Times of Vigorous Physical Activity in Past Week</t>
  </si>
  <si>
    <t>During a typical week how many times [$DO_YOU] do vigorous physical activity for more than 30 minutes?</t>
  </si>
  <si>
    <t>WALK</t>
  </si>
  <si>
    <t>Frequency of Walking for Travel</t>
  </si>
  <si>
    <t>Walk</t>
  </si>
  <si>
    <t>WALK2SAVE</t>
  </si>
  <si>
    <t>Walk to Reduce Financial Burden of Travel</t>
  </si>
  <si>
    <t>I walk to places to save money.</t>
  </si>
  <si>
    <t>WALK4EX</t>
  </si>
  <si>
    <t>Count of Walk Trips for Exercise</t>
  </si>
  <si>
    <t>How many of these walks were strictly for exercise?</t>
  </si>
  <si>
    <t>WALK_D</t>
  </si>
  <si>
    <t xml:space="preserve">Reason for Not Walking More: No nearby paths or trails </t>
  </si>
  <si>
    <t>Which of the following keeps you from walking more? 
Please SELECT ALL that apply.</t>
  </si>
  <si>
    <t>WALK_DK</t>
  </si>
  <si>
    <t>Reason for Not Walking More: Does not know answer</t>
  </si>
  <si>
    <t>WALK_E</t>
  </si>
  <si>
    <t>Reason for Not Walking More: No nearby parks</t>
  </si>
  <si>
    <t>WALK_F</t>
  </si>
  <si>
    <t>Reason for Not Walking More: No sidewalks or sidewalks are in poor condition</t>
  </si>
  <si>
    <t>WALK_G</t>
  </si>
  <si>
    <t>Reason for Not Walking More: Street crossings are unsafe</t>
  </si>
  <si>
    <t>WALK_K</t>
  </si>
  <si>
    <t>Reason for Not Walking More: Heavy traffic with too many cars</t>
  </si>
  <si>
    <t>WALK_Q</t>
  </si>
  <si>
    <t>Reason for Not Walking More: Not enough lighting at night</t>
  </si>
  <si>
    <t>WALK_RF</t>
  </si>
  <si>
    <t>Reason for Not Walking More: Refused to answer</t>
  </si>
  <si>
    <t>WALK_Z</t>
  </si>
  <si>
    <t>Reason for Not Walking More: None of the above</t>
  </si>
  <si>
    <t>W_CANE</t>
  </si>
  <si>
    <t>Medical Device Used: Cane</t>
  </si>
  <si>
    <t>W_CHAIR</t>
  </si>
  <si>
    <t>Medical Device Used: Wheelchair</t>
  </si>
  <si>
    <t>W_CRUTCH</t>
  </si>
  <si>
    <t>Medical Device Used: Crutches</t>
  </si>
  <si>
    <t>W_DOG</t>
  </si>
  <si>
    <t>Medical Device Used: Dog Assistance</t>
  </si>
  <si>
    <t>WEBUSE17</t>
  </si>
  <si>
    <t>Frequency of internet use</t>
  </si>
  <si>
    <t>WHODROVE</t>
  </si>
  <si>
    <t>Person Identifier Who Drove on Trip</t>
  </si>
  <si>
    <t>Who was the driver?</t>
  </si>
  <si>
    <t>WHOMAIN</t>
  </si>
  <si>
    <t>Vehicle Main Driver</t>
  </si>
  <si>
    <t xml:space="preserve">Who is the main driver? </t>
  </si>
  <si>
    <t>WHOPROXY</t>
  </si>
  <si>
    <t>Household Person Identifier Responsible for Trip Reporting</t>
  </si>
  <si>
    <t>WHYFROM</t>
  </si>
  <si>
    <t>Trip Origin Purpose</t>
  </si>
  <si>
    <t>What was [$YOUR2] main activity at [$LOCNAME]?</t>
  </si>
  <si>
    <t>WHYFROM_O</t>
  </si>
  <si>
    <t>Trip Origin Purpose (Other)</t>
  </si>
  <si>
    <t>WHYTO</t>
  </si>
  <si>
    <t>Trip Destination Purpose</t>
  </si>
  <si>
    <t>WHYTRP1S</t>
  </si>
  <si>
    <t>Trip purpose summary</t>
  </si>
  <si>
    <t>WHYTRP90</t>
  </si>
  <si>
    <t>Travel day trip purpose consistent with 1990 NPTS design.</t>
  </si>
  <si>
    <t>WHYTRPSP</t>
  </si>
  <si>
    <t>Trip Destination Purpose (Other)</t>
  </si>
  <si>
    <t>WKBK_DIST</t>
  </si>
  <si>
    <t>Loop trip distance</t>
  </si>
  <si>
    <t>What was the total distance traveled on [$YOUR2] [$MODE] trip (e.g., 1, 5, 10)?</t>
  </si>
  <si>
    <t>WKBK_UNIT</t>
  </si>
  <si>
    <t>Loop trip distance unit</t>
  </si>
  <si>
    <t>WKFMHMXX</t>
  </si>
  <si>
    <t>Count of Days Worked From Home in Last Month</t>
  </si>
  <si>
    <t>In the past 30 days, how many days did [$YOU1] work only from home or an alternate work place?</t>
  </si>
  <si>
    <t>WKFTPT</t>
  </si>
  <si>
    <t>Full-Time or Part-Time Worker</t>
  </si>
  <si>
    <t>[$DO_YOU_CAP2] work full-time or part-time at [$YOUR_THEIR2][$PRIMARY] job?  [$PRIMARY_EXP]
A full time job is at least 35 hours per week.</t>
  </si>
  <si>
    <t>WKMORE_CA_1</t>
  </si>
  <si>
    <t>Reason for Not Walking: Health issues</t>
  </si>
  <si>
    <t>The California Department of Transportation wants to know the TOP THREE reasons that keep [$YOU1] from walking (or walking more often) to [$YOUR_THEIR] destination(s)?  
Please SELECT THE TOP THREE reasons:</t>
  </si>
  <si>
    <t>WKMORE_CA_10</t>
  </si>
  <si>
    <t>Reason for Not Walking: Prefer to drive</t>
  </si>
  <si>
    <t>WKMORE_CA_2</t>
  </si>
  <si>
    <t>Reason for Not Walking: No one to walk with</t>
  </si>
  <si>
    <t>WKMORE_CA_3</t>
  </si>
  <si>
    <t>Reason for Not Walking: No nearby paths or trails</t>
  </si>
  <si>
    <t>WKMORE_CA_4</t>
  </si>
  <si>
    <t>Reason for Not Walking: No sidewalks/ sidewalks are in poor condition</t>
  </si>
  <si>
    <t>WKMORE_CA_5</t>
  </si>
  <si>
    <t>Reason for Not Walking: Too far to travel by walking</t>
  </si>
  <si>
    <t>WKMORE_CA_6</t>
  </si>
  <si>
    <t>Reason for Not Walking: Safety concerns</t>
  </si>
  <si>
    <t>WKMORE_CA_7</t>
  </si>
  <si>
    <t>Reason for Not Walking: Too much traffic</t>
  </si>
  <si>
    <t>WKMORE_CA_8</t>
  </si>
  <si>
    <t>Reason for Not Walking: Air quality</t>
  </si>
  <si>
    <t>WKMORE_CA_9</t>
  </si>
  <si>
    <t>Reason for Not Walking: No shops or other conveniences nearby</t>
  </si>
  <si>
    <t>WKMORE_CA_DK</t>
  </si>
  <si>
    <t>Reason for Not Walking: Does Not Know Answer</t>
  </si>
  <si>
    <t>WKMORE_CA_NA</t>
  </si>
  <si>
    <t>Reason for Not Walking: No other reasons</t>
  </si>
  <si>
    <t>WKMORE_CA_O</t>
  </si>
  <si>
    <t>Reason for Not Walking (Other)</t>
  </si>
  <si>
    <t>Please describe what keeps [$YOU1] from walking (or walking more often) to [$YOUR_THEIR] destination(s)?</t>
  </si>
  <si>
    <t>WKMORE_CA_RF</t>
  </si>
  <si>
    <t>Reason for Not Walking: Refused to Answer</t>
  </si>
  <si>
    <t>WKMORE_CA_SE</t>
  </si>
  <si>
    <t>Reason for Not Walking: Something Else</t>
  </si>
  <si>
    <t>WKRMHM</t>
  </si>
  <si>
    <t>Option of Working from Home</t>
  </si>
  <si>
    <t>[$DO_YOU_CAP] have the option of working from home or an alternate location instead of going into [$YOUR_THEIR][$PRIMARY] workplace?</t>
  </si>
  <si>
    <t>WKSTFIPS</t>
  </si>
  <si>
    <t xml:space="preserve">The state FIPS code for the respondent's geocoded work address. The state FIPS codes were identified using United States Census Bureau 2016 TIGER/Line Shapefiles. </t>
  </si>
  <si>
    <t>W_MTRCHR</t>
  </si>
  <si>
    <t>Medical Device Used: Motorized Wheelchair</t>
  </si>
  <si>
    <t>W_NONE</t>
  </si>
  <si>
    <t>Medical Device Used: None</t>
  </si>
  <si>
    <t>WORKER</t>
  </si>
  <si>
    <t>Worker status</t>
  </si>
  <si>
    <t>WORKER_IMP</t>
  </si>
  <si>
    <t>Worker status (imputed)</t>
  </si>
  <si>
    <t>WRKAMPM</t>
  </si>
  <si>
    <t>Arrival Time at Work: AM/PM</t>
  </si>
  <si>
    <t>WRKCOUNT</t>
  </si>
  <si>
    <t>Number of workers in household</t>
  </si>
  <si>
    <t>WRK_HOME</t>
  </si>
  <si>
    <t>Work from Home</t>
  </si>
  <si>
    <t>[$DO_YOU_CAP2] usually work from home?</t>
  </si>
  <si>
    <t>WRKHR</t>
  </si>
  <si>
    <t>Arrival Time at Work: Hour</t>
  </si>
  <si>
    <t>WRKMIN</t>
  </si>
  <si>
    <t>Arrival Time at Work: Minute</t>
  </si>
  <si>
    <t>WRKTIME</t>
  </si>
  <si>
    <t>Arrival Time at Work</t>
  </si>
  <si>
    <t>What time [$DO_YOU] usually arrive at [$YOUR_THEIR][$PRIMARY] job (e.g. 8:15 AM)?</t>
  </si>
  <si>
    <t>WRKTRANS</t>
  </si>
  <si>
    <t>Mode to Work</t>
  </si>
  <si>
    <t>How did [$YOU2] usually get to [$YOUR_THEIR2][$PRIMARY] job last week?  If you used more than one mode of transportation, please select the one used for most of the distance.</t>
  </si>
  <si>
    <t>WRKTRNOS</t>
  </si>
  <si>
    <t>Mode to Work (Other)</t>
  </si>
  <si>
    <t>How did [$YOU2] usually get to work last week?</t>
  </si>
  <si>
    <t>W_SCOOTR</t>
  </si>
  <si>
    <t>Medical Device Used: Motorized Scooter</t>
  </si>
  <si>
    <t>W_WHCANE</t>
  </si>
  <si>
    <t>Medical Device Used: White Cane</t>
  </si>
  <si>
    <t>W_WLKR</t>
  </si>
  <si>
    <t>Medical Device Used: Walker</t>
  </si>
  <si>
    <t>YEARMIL2</t>
  </si>
  <si>
    <t>Range of Miles Personally Driven in all Vehicles</t>
  </si>
  <si>
    <t>YEARMILE</t>
  </si>
  <si>
    <t>Miles Personally Driven in all Vehicles</t>
  </si>
  <si>
    <t>Please provide your best guess as to how many miles [$YOU1] personally drove during the past 12 months in all motorized vehicles.
Include all miles from work vehicles, rental cars and any other vehicles that are not owned by your household.</t>
  </si>
  <si>
    <t>YOUNGCHILD</t>
  </si>
  <si>
    <t>Count of persons with an age between 0 and 4 in household</t>
  </si>
  <si>
    <t>YRTOUS</t>
  </si>
  <si>
    <t>Year of Arrival in United States</t>
  </si>
  <si>
    <t xml:space="preserve">In what year did [$YOU1] come to the United States? </t>
  </si>
  <si>
    <t>YRTOUS2</t>
  </si>
  <si>
    <t>Range of Year of Arrival in United States</t>
  </si>
  <si>
    <t>Was it...</t>
  </si>
  <si>
    <t>ZIP</t>
  </si>
  <si>
    <t>Postal ZIP Code</t>
  </si>
  <si>
    <t>TABLE</t>
  </si>
  <si>
    <t>VALUE</t>
  </si>
  <si>
    <t>PERSON</t>
  </si>
  <si>
    <t>-8</t>
  </si>
  <si>
    <t>I don't know</t>
  </si>
  <si>
    <t>-7</t>
  </si>
  <si>
    <t>I prefer not to answer</t>
  </si>
  <si>
    <t>-1</t>
  </si>
  <si>
    <t>Appropriate skip</t>
  </si>
  <si>
    <t>01</t>
  </si>
  <si>
    <t xml:space="preserve">0-4 years old </t>
  </si>
  <si>
    <t>02</t>
  </si>
  <si>
    <t>5-15 years old</t>
  </si>
  <si>
    <t>03</t>
  </si>
  <si>
    <t>16-17 years old</t>
  </si>
  <si>
    <t>04</t>
  </si>
  <si>
    <t>18-64 years old</t>
  </si>
  <si>
    <t>05</t>
  </si>
  <si>
    <t>65-75 years old</t>
  </si>
  <si>
    <t>06</t>
  </si>
  <si>
    <t>76 years old or older</t>
  </si>
  <si>
    <t>-9</t>
  </si>
  <si>
    <t>Not ascertained</t>
  </si>
  <si>
    <t>Public transportation (bus, subway, light rail, etc.)</t>
  </si>
  <si>
    <t>Get a ride from a friend or family member</t>
  </si>
  <si>
    <t>Rental car (including Zipcar / Car2Go)</t>
  </si>
  <si>
    <t>Bicycle</t>
  </si>
  <si>
    <t xml:space="preserve">Taxi (regular taxi, Uber, Lyft, etc.) </t>
  </si>
  <si>
    <t>07</t>
  </si>
  <si>
    <t>None</t>
  </si>
  <si>
    <t>97</t>
  </si>
  <si>
    <t>Something Else</t>
  </si>
  <si>
    <t>VEHICLE</t>
  </si>
  <si>
    <t>Work</t>
  </si>
  <si>
    <t xml:space="preserve">Work-related meeting / trip </t>
  </si>
  <si>
    <t>Volunteer activities (not paid)</t>
  </si>
  <si>
    <t>Drop off /pick up someone</t>
  </si>
  <si>
    <t>Change type of transportation</t>
  </si>
  <si>
    <t>08</t>
  </si>
  <si>
    <t>Attend school as a student</t>
  </si>
  <si>
    <t>09</t>
  </si>
  <si>
    <t>Attend child care</t>
  </si>
  <si>
    <t>10</t>
  </si>
  <si>
    <t xml:space="preserve">Attend adult care </t>
  </si>
  <si>
    <t>11</t>
  </si>
  <si>
    <t>Buy goods (groceries, clothes, appliances, gas)</t>
  </si>
  <si>
    <t>12</t>
  </si>
  <si>
    <t>Buy services (dry cleaners, banking, service a car, pet care)</t>
  </si>
  <si>
    <t>13</t>
  </si>
  <si>
    <t>Buy meals (go out for a meal, snack, carry-out)</t>
  </si>
  <si>
    <t>14</t>
  </si>
  <si>
    <t>Other general errands (post office, library)</t>
  </si>
  <si>
    <t>15</t>
  </si>
  <si>
    <t>Recreational activities (visit parks, movies, bars, museums)</t>
  </si>
  <si>
    <t>16</t>
  </si>
  <si>
    <t>Exercise (go for a jog, walk, walk the dog, go to the gym)</t>
  </si>
  <si>
    <t>17</t>
  </si>
  <si>
    <t>Visit friends or relatives</t>
  </si>
  <si>
    <t>18</t>
  </si>
  <si>
    <t>Health care visit (medical, dental, therapy)</t>
  </si>
  <si>
    <t>19</t>
  </si>
  <si>
    <t>Religious or other community activities</t>
  </si>
  <si>
    <t>Something else</t>
  </si>
  <si>
    <t>Regular home activities (chores, sleep)</t>
  </si>
  <si>
    <t>Work from home (paid)</t>
  </si>
  <si>
    <t>HOUSEHOLD</t>
  </si>
  <si>
    <t xml:space="preserve">I prefer not to answer </t>
  </si>
  <si>
    <t xml:space="preserve">Daily </t>
  </si>
  <si>
    <t xml:space="preserve">A few times a week </t>
  </si>
  <si>
    <t xml:space="preserve">A few times a month </t>
  </si>
  <si>
    <t xml:space="preserve">A few times a year </t>
  </si>
  <si>
    <t>Never</t>
  </si>
  <si>
    <t xml:space="preserve">I don't know </t>
  </si>
  <si>
    <t>Strongly agree</t>
  </si>
  <si>
    <t>Agree</t>
  </si>
  <si>
    <t>Neither Agreeor Disagree</t>
  </si>
  <si>
    <t>Disagree</t>
  </si>
  <si>
    <t>Strongly disagree</t>
  </si>
  <si>
    <t>No nearby paths or trails</t>
  </si>
  <si>
    <t xml:space="preserve">No nearby parks </t>
  </si>
  <si>
    <t>No sidewalks or sidewalks are in poor condition</t>
  </si>
  <si>
    <t xml:space="preserve">Street crossings are unsafe </t>
  </si>
  <si>
    <t>Heavy traffic with too many cars</t>
  </si>
  <si>
    <t>Not enough lighting at night</t>
  </si>
  <si>
    <t>None of the above</t>
  </si>
  <si>
    <t>Health issues</t>
  </si>
  <si>
    <t>No one to bike with</t>
  </si>
  <si>
    <t>Not enough bike lanes or wide curb lanes</t>
  </si>
  <si>
    <t>No sidewalks / sidewalks are narrow or in poor condition</t>
  </si>
  <si>
    <t>Utility poles in the middle of the sidewalk</t>
  </si>
  <si>
    <t>Too far to travel by bike</t>
  </si>
  <si>
    <t>Safety concerns</t>
  </si>
  <si>
    <t>Too much traffic</t>
  </si>
  <si>
    <t>Air quality</t>
  </si>
  <si>
    <t>No shops or other conveniences nearby</t>
  </si>
  <si>
    <t>Prefer to drive</t>
  </si>
  <si>
    <t>No other choices apply</t>
  </si>
  <si>
    <t>LOCATION</t>
  </si>
  <si>
    <t>Yes</t>
  </si>
  <si>
    <t>No</t>
  </si>
  <si>
    <t>Daily</t>
  </si>
  <si>
    <t>A few times a week</t>
  </si>
  <si>
    <t>New England (ME, NH, VT, CT, MA, RI) MSA or CMSA of 1 million or more with heavy rail</t>
  </si>
  <si>
    <t>New England (ME, NH, VT, CT, MA, RI) MSA or CMSA of 1 million or more without heavy rail</t>
  </si>
  <si>
    <t>New England (ME, NH, VT, CT, MA, RI) MSA of less than 1 million</t>
  </si>
  <si>
    <t>New England (ME, NH, VT, CT, MA, RI) Not in a MSA</t>
  </si>
  <si>
    <t>21</t>
  </si>
  <si>
    <t>Mid-Atlantic (NY, NJ, PA) MSA or CMSA of 1 million or more with heavy rail</t>
  </si>
  <si>
    <t>22</t>
  </si>
  <si>
    <t>Mid-Atlantic (NY, NJ, PA) MSA or CMSA of 1 million or more without heavy rail</t>
  </si>
  <si>
    <t>23</t>
  </si>
  <si>
    <t>Mid-Atlantic (NY, NJ, PA) MSA of less than 1 million</t>
  </si>
  <si>
    <t>24</t>
  </si>
  <si>
    <t>Mid-Atlantic (NY, NJ, PA) Not in a MSA</t>
  </si>
  <si>
    <t>31</t>
  </si>
  <si>
    <t>East North Central (IL, IN, MI, OH, WI) MSA or CMSA of 1 million or more with heavy rail</t>
  </si>
  <si>
    <t>32</t>
  </si>
  <si>
    <t>East North Central (IL, IN, MI, OH, WI) MSA or CMSA of 1 million or more without heavy rail</t>
  </si>
  <si>
    <t>33</t>
  </si>
  <si>
    <t>East North Central (IL, IN, MI, OH, WI) MSA of less than 1 million</t>
  </si>
  <si>
    <t>34</t>
  </si>
  <si>
    <t>East North Central (IL, IN, MI, OH, WI) Not in a MSA</t>
  </si>
  <si>
    <t>41</t>
  </si>
  <si>
    <t>West North Central (IA, KS, MO, MN, ND, NE, SD) MSA or CMSA of 1 million or more with heavy rail</t>
  </si>
  <si>
    <t>42</t>
  </si>
  <si>
    <t>West North Central (IA, KS, MO, MN, ND, NE, SD) MSA or CMSA of 1 million or more without heavy rail</t>
  </si>
  <si>
    <t>43</t>
  </si>
  <si>
    <t>West North Central (IA, KS, MO, MN, ND, NE, SD) MSA of less than 1 million</t>
  </si>
  <si>
    <t>44</t>
  </si>
  <si>
    <t>West North Central (IA, KS, MO, MN, ND, NE, SD) Not in a MSA</t>
  </si>
  <si>
    <t>51</t>
  </si>
  <si>
    <t>South Atlantic (DE, FL, GA, MD, NC, SC, WV, VA) MSA or CMSA of 1 million or more with heavy rail</t>
  </si>
  <si>
    <t>52</t>
  </si>
  <si>
    <t>South Atlantic (DE, FL, GA, MD, NC, SC, WV, VA) MSA or CMSA of 1 million or more without heavy rail</t>
  </si>
  <si>
    <t>53</t>
  </si>
  <si>
    <t>South Atlantic (DE, FL, GA, MD, NC, SC, WV, VA) MSA of less than 1 million</t>
  </si>
  <si>
    <t>54</t>
  </si>
  <si>
    <t>South Atlantic (DE, FL, GA, MD, NC, SC, WV, VA) Not in a MSA</t>
  </si>
  <si>
    <t>61</t>
  </si>
  <si>
    <t>East South Central (AL, KY, MS, TN) MSA or CMSA of 1 million or more with heavy rail</t>
  </si>
  <si>
    <t>62</t>
  </si>
  <si>
    <t>East South Central (AL, KY, MS, TN) MSA or CMSA of 1 million or more without heavy rail</t>
  </si>
  <si>
    <t>63</t>
  </si>
  <si>
    <t>East South Central (AL, KY, MS, TN) MSA of less than 1 million</t>
  </si>
  <si>
    <t>64</t>
  </si>
  <si>
    <t>East South Central (AL, KY, MS, TN) Not in a MSA</t>
  </si>
  <si>
    <t>71</t>
  </si>
  <si>
    <t>West South Central (AR, LA, OK, TX) MSA or CMSA of 1 million or more with heavy rail</t>
  </si>
  <si>
    <t>72</t>
  </si>
  <si>
    <t>West South Central (AR, LA, OK, TX) MSA or CMSA of 1 million or more without heavy rail</t>
  </si>
  <si>
    <t>73</t>
  </si>
  <si>
    <t>West South Central (AR, LA, OK, TX) MSA of less than 1 million</t>
  </si>
  <si>
    <t>74</t>
  </si>
  <si>
    <t>West South Central (AR, LA, OK, TX) Not in a MSA</t>
  </si>
  <si>
    <t>81</t>
  </si>
  <si>
    <t>Mountain (AZ, CO, ID, MT, NM, NV, UT, WY) MSA or CMSA of 1 million or more with heavy rail</t>
  </si>
  <si>
    <t>82</t>
  </si>
  <si>
    <t>Mountain (AZ, CO, ID, MT, NM, NV, UT, WY) MSA or CMSA of 1 million or more without heavy rail</t>
  </si>
  <si>
    <t>83</t>
  </si>
  <si>
    <t>Mountain (AZ, CO, ID, MT, NM, NV, UT, WY) MSA of less than 1 million</t>
  </si>
  <si>
    <t>84</t>
  </si>
  <si>
    <t>Mountain (AZ, CO, ID, MT, NM, NV, UT, WY) Not in a MSA</t>
  </si>
  <si>
    <t>91</t>
  </si>
  <si>
    <t>Pacific (AK, CA, HI, OR, WA) MSA or CMSA of 1 million or more with heavy rail</t>
  </si>
  <si>
    <t>92</t>
  </si>
  <si>
    <t>Pacific (AK, CA, HI, OR, WA) MSA or CMSA of 1 million or more without heavy rail</t>
  </si>
  <si>
    <t>93</t>
  </si>
  <si>
    <t>Pacific (AK, CA, HI, OR, WA) MSA of less than 1 million</t>
  </si>
  <si>
    <t>94</t>
  </si>
  <si>
    <t>Pacific (AK, CA, HI, OR, WA) Not in a MSA</t>
  </si>
  <si>
    <t>New England</t>
  </si>
  <si>
    <t>Middle Atlantic</t>
  </si>
  <si>
    <t>East North Central</t>
  </si>
  <si>
    <t>West North Central</t>
  </si>
  <si>
    <t>South Atlantic</t>
  </si>
  <si>
    <t>East South Central</t>
  </si>
  <si>
    <t>West South Central</t>
  </si>
  <si>
    <t>Mountain</t>
  </si>
  <si>
    <t>Pacific</t>
  </si>
  <si>
    <t>Northeast</t>
  </si>
  <si>
    <t>Midwest</t>
  </si>
  <si>
    <t>South</t>
  </si>
  <si>
    <t>West</t>
  </si>
  <si>
    <t>Reduced [$YOUR2] day-to-day travel</t>
  </si>
  <si>
    <t>Asked others for rides</t>
  </si>
  <si>
    <t>Limited driving to daytime</t>
  </si>
  <si>
    <t>Given up driving altogether</t>
  </si>
  <si>
    <t>Used the bus or subway less frequently</t>
  </si>
  <si>
    <t>Used special transportation services such as Dial-A-Ride</t>
  </si>
  <si>
    <t>Used a reduced fare taxi</t>
  </si>
  <si>
    <t xml:space="preserve">No </t>
  </si>
  <si>
    <t>TRIP</t>
  </si>
  <si>
    <t xml:space="preserve">Parked </t>
  </si>
  <si>
    <t>Dropped off</t>
  </si>
  <si>
    <t>Walked / Biked to [$BUS_TRAIN]</t>
  </si>
  <si>
    <t>Less than a high school graduate</t>
  </si>
  <si>
    <t>High school graduate or GED</t>
  </si>
  <si>
    <t>Some college or associates degree</t>
  </si>
  <si>
    <t>Bachelor's degree</t>
  </si>
  <si>
    <t>Graduate degree or professional degree</t>
  </si>
  <si>
    <t>5,000 miles or less</t>
  </si>
  <si>
    <t>5,001 to 10,000 miles</t>
  </si>
  <si>
    <t>10,001 to 15,000 miles</t>
  </si>
  <si>
    <t>15,001 to 20,000 miles, or</t>
  </si>
  <si>
    <t>More than 20,000 miles?</t>
  </si>
  <si>
    <t>-88</t>
  </si>
  <si>
    <t>-77</t>
  </si>
  <si>
    <t>Gas</t>
  </si>
  <si>
    <t>Diesel</t>
  </si>
  <si>
    <t xml:space="preserve">Hybrid, electric or alternative fuel </t>
  </si>
  <si>
    <t xml:space="preserve">Some other fuel </t>
  </si>
  <si>
    <t>0</t>
  </si>
  <si>
    <t>0-4%</t>
  </si>
  <si>
    <t>5-14%</t>
  </si>
  <si>
    <t>20</t>
  </si>
  <si>
    <t>15-24%</t>
  </si>
  <si>
    <t>30</t>
  </si>
  <si>
    <t>25-34%</t>
  </si>
  <si>
    <t>40</t>
  </si>
  <si>
    <t>35-44%</t>
  </si>
  <si>
    <t>50</t>
  </si>
  <si>
    <t>45-54%</t>
  </si>
  <si>
    <t>60</t>
  </si>
  <si>
    <t>55-64%</t>
  </si>
  <si>
    <t>70</t>
  </si>
  <si>
    <t>65-74%</t>
  </si>
  <si>
    <t>80</t>
  </si>
  <si>
    <t>75-84%</t>
  </si>
  <si>
    <t>90</t>
  </si>
  <si>
    <t>85-94%</t>
  </si>
  <si>
    <t>95</t>
  </si>
  <si>
    <t>95-100%</t>
  </si>
  <si>
    <t>0-99</t>
  </si>
  <si>
    <t>300</t>
  </si>
  <si>
    <t>100-499</t>
  </si>
  <si>
    <t>750</t>
  </si>
  <si>
    <t>500-999</t>
  </si>
  <si>
    <t>1500</t>
  </si>
  <si>
    <t>1,000-1,999</t>
  </si>
  <si>
    <t>3000</t>
  </si>
  <si>
    <t>2,000-3,999</t>
  </si>
  <si>
    <t>7000</t>
  </si>
  <si>
    <t>4,000-9,999</t>
  </si>
  <si>
    <t>17000</t>
  </si>
  <si>
    <t>10,000-24,999</t>
  </si>
  <si>
    <t>30000</t>
  </si>
  <si>
    <t>25,000-999,999</t>
  </si>
  <si>
    <t>Excellent</t>
  </si>
  <si>
    <t>Very good</t>
  </si>
  <si>
    <t>Good</t>
  </si>
  <si>
    <t>Fair</t>
  </si>
  <si>
    <t>Poor</t>
  </si>
  <si>
    <t xml:space="preserve">Biodiesel </t>
  </si>
  <si>
    <t>Plug-in Hybrid (gas/electric e.g., Chevy Volt)</t>
  </si>
  <si>
    <t>Electric (e.g. Nissan Leaf)</t>
  </si>
  <si>
    <t>Hybrid (gas/electric, not plug-in e.g., Toyota Prius)</t>
  </si>
  <si>
    <t>10100</t>
  </si>
  <si>
    <t>Aberdeen, SD</t>
  </si>
  <si>
    <t>10140</t>
  </si>
  <si>
    <t>Aberdeen, WA</t>
  </si>
  <si>
    <t>10180</t>
  </si>
  <si>
    <t>Abilene, TX</t>
  </si>
  <si>
    <t>10300</t>
  </si>
  <si>
    <t>Adrian, MI</t>
  </si>
  <si>
    <t>10420</t>
  </si>
  <si>
    <t>Akron, OH</t>
  </si>
  <si>
    <t>10460</t>
  </si>
  <si>
    <t>Alamogordo, NM</t>
  </si>
  <si>
    <t>10500</t>
  </si>
  <si>
    <t>Albany, GA</t>
  </si>
  <si>
    <t>10540</t>
  </si>
  <si>
    <t>Albany, OR</t>
  </si>
  <si>
    <t>10580</t>
  </si>
  <si>
    <t>Albany-Schenectady-Troy, NY</t>
  </si>
  <si>
    <t>10620</t>
  </si>
  <si>
    <t>Albemarle, NC</t>
  </si>
  <si>
    <t>10660</t>
  </si>
  <si>
    <t>Albert Lea, MN</t>
  </si>
  <si>
    <t>10700</t>
  </si>
  <si>
    <t>Albertville, AL</t>
  </si>
  <si>
    <t>10740</t>
  </si>
  <si>
    <t>Albuquerque, NM</t>
  </si>
  <si>
    <t>10780</t>
  </si>
  <si>
    <t>Alexandria, LA</t>
  </si>
  <si>
    <t>10820</t>
  </si>
  <si>
    <t>Alexandria, MN</t>
  </si>
  <si>
    <t>10860</t>
  </si>
  <si>
    <t>Alice, TX</t>
  </si>
  <si>
    <t>10900</t>
  </si>
  <si>
    <t>Allentown-Bethlehem-Easton, PA-NJ</t>
  </si>
  <si>
    <t>10940</t>
  </si>
  <si>
    <t>Alma, MI</t>
  </si>
  <si>
    <t>10980</t>
  </si>
  <si>
    <t>Alpena, MI</t>
  </si>
  <si>
    <t>11020</t>
  </si>
  <si>
    <t>Altoona, PA</t>
  </si>
  <si>
    <t>11060</t>
  </si>
  <si>
    <t>Altus, OK</t>
  </si>
  <si>
    <t>11100</t>
  </si>
  <si>
    <t>Amarillo, TX</t>
  </si>
  <si>
    <t>11140</t>
  </si>
  <si>
    <t>Americus, GA</t>
  </si>
  <si>
    <t>11180</t>
  </si>
  <si>
    <t>Ames, IA</t>
  </si>
  <si>
    <t>11220</t>
  </si>
  <si>
    <t>Amsterdam, NY</t>
  </si>
  <si>
    <t>11260</t>
  </si>
  <si>
    <t>Anchorage, AK</t>
  </si>
  <si>
    <t>11380</t>
  </si>
  <si>
    <t>Andrews, TX</t>
  </si>
  <si>
    <t>11420</t>
  </si>
  <si>
    <t>Angola, IN</t>
  </si>
  <si>
    <t>11460</t>
  </si>
  <si>
    <t>Ann Arbor, MI</t>
  </si>
  <si>
    <t>11500</t>
  </si>
  <si>
    <t>Anniston-Oxford-Jacksonville, AL</t>
  </si>
  <si>
    <t>11540</t>
  </si>
  <si>
    <t>Appleton, WI</t>
  </si>
  <si>
    <t>11580</t>
  </si>
  <si>
    <t>Arcadia, FL</t>
  </si>
  <si>
    <t>11620</t>
  </si>
  <si>
    <t>Ardmore, OK</t>
  </si>
  <si>
    <t>11680</t>
  </si>
  <si>
    <t>Arkansas City-Winfield, KS</t>
  </si>
  <si>
    <t>11700</t>
  </si>
  <si>
    <t>Asheville, NC</t>
  </si>
  <si>
    <t>11740</t>
  </si>
  <si>
    <t>Ashland, OH</t>
  </si>
  <si>
    <t>11780</t>
  </si>
  <si>
    <t>Ashtabula, OH</t>
  </si>
  <si>
    <t>11820</t>
  </si>
  <si>
    <t>Astoria, OR</t>
  </si>
  <si>
    <t>11860</t>
  </si>
  <si>
    <t>Atchison, KS</t>
  </si>
  <si>
    <t>11900</t>
  </si>
  <si>
    <t>Athens, OH</t>
  </si>
  <si>
    <t>11940</t>
  </si>
  <si>
    <t>Athens, TN</t>
  </si>
  <si>
    <t>11980</t>
  </si>
  <si>
    <t>Athens, TX</t>
  </si>
  <si>
    <t>12020</t>
  </si>
  <si>
    <t>Athens-Clarke County, GA</t>
  </si>
  <si>
    <t>12060</t>
  </si>
  <si>
    <t>Atlanta-Sandy Springs-Roswell, GA</t>
  </si>
  <si>
    <t>12100</t>
  </si>
  <si>
    <t>Atlantic City-Hammonton, NJ</t>
  </si>
  <si>
    <t>12140</t>
  </si>
  <si>
    <t>Auburn, IN</t>
  </si>
  <si>
    <t>12180</t>
  </si>
  <si>
    <t>Auburn, NY</t>
  </si>
  <si>
    <t>12220</t>
  </si>
  <si>
    <t>Auburn-Opelika, AL</t>
  </si>
  <si>
    <t>12260</t>
  </si>
  <si>
    <t>Augusta-Richmond County, GA-SC</t>
  </si>
  <si>
    <t>12300</t>
  </si>
  <si>
    <t>Augusta-Waterville, ME</t>
  </si>
  <si>
    <t>12380</t>
  </si>
  <si>
    <t>Austin, MN</t>
  </si>
  <si>
    <t>12420</t>
  </si>
  <si>
    <t>Austin-Round Rock, TX</t>
  </si>
  <si>
    <t>12460</t>
  </si>
  <si>
    <t>Bainbridge, GA</t>
  </si>
  <si>
    <t>12540</t>
  </si>
  <si>
    <t>Bakersfield, CA</t>
  </si>
  <si>
    <t>12580</t>
  </si>
  <si>
    <t>Baltimore-Columbia-Towson, MD</t>
  </si>
  <si>
    <t>12620</t>
  </si>
  <si>
    <t>Bangor, ME</t>
  </si>
  <si>
    <t>12660</t>
  </si>
  <si>
    <t>Baraboo, WI</t>
  </si>
  <si>
    <t>12680</t>
  </si>
  <si>
    <t>Bardstown, KY</t>
  </si>
  <si>
    <t>12700</t>
  </si>
  <si>
    <t>Barnstable Town, MA</t>
  </si>
  <si>
    <t>12740</t>
  </si>
  <si>
    <t>Barre, VT</t>
  </si>
  <si>
    <t>12780</t>
  </si>
  <si>
    <t>Bartlesville, OK</t>
  </si>
  <si>
    <t>12820</t>
  </si>
  <si>
    <t>Bastrop, LA</t>
  </si>
  <si>
    <t>12860</t>
  </si>
  <si>
    <t>Batavia, NY</t>
  </si>
  <si>
    <t>12940</t>
  </si>
  <si>
    <t>Baton Rouge, LA</t>
  </si>
  <si>
    <t>12980</t>
  </si>
  <si>
    <t>Battle Creek, MI</t>
  </si>
  <si>
    <t>13020</t>
  </si>
  <si>
    <t>Bay City, MI</t>
  </si>
  <si>
    <t>13060</t>
  </si>
  <si>
    <t>Bay City, TX</t>
  </si>
  <si>
    <t>13100</t>
  </si>
  <si>
    <t>Beatrice, NE</t>
  </si>
  <si>
    <t>13140</t>
  </si>
  <si>
    <t>Beaumont-Port Arthur, TX</t>
  </si>
  <si>
    <t>13180</t>
  </si>
  <si>
    <t>Beaver Dam, WI</t>
  </si>
  <si>
    <t>13220</t>
  </si>
  <si>
    <t>Beckley, WV</t>
  </si>
  <si>
    <t>13300</t>
  </si>
  <si>
    <t>Beeville, TX</t>
  </si>
  <si>
    <t>13380</t>
  </si>
  <si>
    <t>Bellingham, WA</t>
  </si>
  <si>
    <t>13420</t>
  </si>
  <si>
    <t>Bemidji, MN</t>
  </si>
  <si>
    <t>13460</t>
  </si>
  <si>
    <t>Bend-Redmond, OR</t>
  </si>
  <si>
    <t>13500</t>
  </si>
  <si>
    <t>Bennettsville, SC</t>
  </si>
  <si>
    <t>13540</t>
  </si>
  <si>
    <t>Bennington, VT</t>
  </si>
  <si>
    <t>13620</t>
  </si>
  <si>
    <t>Berlin, NH-VT</t>
  </si>
  <si>
    <t>13660</t>
  </si>
  <si>
    <t>Big Rapids, MI</t>
  </si>
  <si>
    <t>13700</t>
  </si>
  <si>
    <t>Big Spring, TX</t>
  </si>
  <si>
    <t>13720</t>
  </si>
  <si>
    <t>Big Stone Gap, VA</t>
  </si>
  <si>
    <t>13740</t>
  </si>
  <si>
    <t>Billings, MT</t>
  </si>
  <si>
    <t>13780</t>
  </si>
  <si>
    <t>Binghamton, NY</t>
  </si>
  <si>
    <t>13820</t>
  </si>
  <si>
    <t>Birmingham-Hoover, AL</t>
  </si>
  <si>
    <t>13900</t>
  </si>
  <si>
    <t>Bismarck, ND</t>
  </si>
  <si>
    <t>13940</t>
  </si>
  <si>
    <t>Blackfoot, ID</t>
  </si>
  <si>
    <t>13980</t>
  </si>
  <si>
    <t>Blacksburg-Christiansburg-Radford, VA</t>
  </si>
  <si>
    <t>14010</t>
  </si>
  <si>
    <t>Bloomington, IL</t>
  </si>
  <si>
    <t>14020</t>
  </si>
  <si>
    <t>Bloomington, IN</t>
  </si>
  <si>
    <t>14100</t>
  </si>
  <si>
    <t>Bloomsburg-Berwick, PA</t>
  </si>
  <si>
    <t>14140</t>
  </si>
  <si>
    <t>Bluefield, WV-VA</t>
  </si>
  <si>
    <t>14180</t>
  </si>
  <si>
    <t>Blytheville, AR</t>
  </si>
  <si>
    <t>14220</t>
  </si>
  <si>
    <t>Bogalusa, LA</t>
  </si>
  <si>
    <t>14260</t>
  </si>
  <si>
    <t>Boise City, ID</t>
  </si>
  <si>
    <t>14340</t>
  </si>
  <si>
    <t>Boone, IA</t>
  </si>
  <si>
    <t>14380</t>
  </si>
  <si>
    <t>Boone, NC</t>
  </si>
  <si>
    <t>14420</t>
  </si>
  <si>
    <t>Borger, TX</t>
  </si>
  <si>
    <t>14460</t>
  </si>
  <si>
    <t>Boston-Cambridge-Newton, MA-NH</t>
  </si>
  <si>
    <t>14500</t>
  </si>
  <si>
    <t>Boulder, CO</t>
  </si>
  <si>
    <t>14540</t>
  </si>
  <si>
    <t>Bowling Green, KY</t>
  </si>
  <si>
    <t>14580</t>
  </si>
  <si>
    <t>Bozeman, MT</t>
  </si>
  <si>
    <t>14620</t>
  </si>
  <si>
    <t>Bradford, PA</t>
  </si>
  <si>
    <t>14660</t>
  </si>
  <si>
    <t>Brainerd, MN</t>
  </si>
  <si>
    <t>14700</t>
  </si>
  <si>
    <t>Branson, MO</t>
  </si>
  <si>
    <t>14720</t>
  </si>
  <si>
    <t>Breckenridge, CO</t>
  </si>
  <si>
    <t>14740</t>
  </si>
  <si>
    <t>Bremerton-Silverdale, WA</t>
  </si>
  <si>
    <t>14780</t>
  </si>
  <si>
    <t>Brenham, TX</t>
  </si>
  <si>
    <t>14820</t>
  </si>
  <si>
    <t>Brevard, NC</t>
  </si>
  <si>
    <t>14860</t>
  </si>
  <si>
    <t>Bridgeport-Stamford-Norwalk, CT</t>
  </si>
  <si>
    <t>15100</t>
  </si>
  <si>
    <t>Brookings, SD</t>
  </si>
  <si>
    <t>15180</t>
  </si>
  <si>
    <t>Brownsville-Harlingen, TX</t>
  </si>
  <si>
    <t>15220</t>
  </si>
  <si>
    <t>Brownwood, TX</t>
  </si>
  <si>
    <t>15260</t>
  </si>
  <si>
    <t>Brunswick, GA</t>
  </si>
  <si>
    <t>15340</t>
  </si>
  <si>
    <t>Bucyrus, OH</t>
  </si>
  <si>
    <t>15380</t>
  </si>
  <si>
    <t>Buffalo-Cheektowaga-Niagara Falls, NY</t>
  </si>
  <si>
    <t>15420</t>
  </si>
  <si>
    <t>Burley, ID</t>
  </si>
  <si>
    <t>15460</t>
  </si>
  <si>
    <t>Burlington, IA-IL</t>
  </si>
  <si>
    <t>15500</t>
  </si>
  <si>
    <t>Burlington, NC</t>
  </si>
  <si>
    <t>15540</t>
  </si>
  <si>
    <t>Burlington-South Burlington, VT</t>
  </si>
  <si>
    <t>15580</t>
  </si>
  <si>
    <t>Butte-Silver Bow, MT</t>
  </si>
  <si>
    <t>15620</t>
  </si>
  <si>
    <t>Cadillac, MI</t>
  </si>
  <si>
    <t>15660</t>
  </si>
  <si>
    <t>Calhoun, GA</t>
  </si>
  <si>
    <t>15680</t>
  </si>
  <si>
    <t>California-Lexington Park, MD</t>
  </si>
  <si>
    <t>15700</t>
  </si>
  <si>
    <t>Cambridge, MD</t>
  </si>
  <si>
    <t>15740</t>
  </si>
  <si>
    <t>Cambridge, OH</t>
  </si>
  <si>
    <t>15780</t>
  </si>
  <si>
    <t>Camden, AR</t>
  </si>
  <si>
    <t>15820</t>
  </si>
  <si>
    <t>Campbellsville, KY</t>
  </si>
  <si>
    <t>15860</t>
  </si>
  <si>
    <t>CaÃ±on City, CO</t>
  </si>
  <si>
    <t>15900</t>
  </si>
  <si>
    <t>Canton, IL</t>
  </si>
  <si>
    <t>15940</t>
  </si>
  <si>
    <t>Canton-Massillon, OH</t>
  </si>
  <si>
    <t>15980</t>
  </si>
  <si>
    <t>Cape Coral-Fort Myers, FL</t>
  </si>
  <si>
    <t>16020</t>
  </si>
  <si>
    <t>Cape Girardeau, MO-IL</t>
  </si>
  <si>
    <t>16060</t>
  </si>
  <si>
    <t>Carbondale-Marion, IL</t>
  </si>
  <si>
    <t>16100</t>
  </si>
  <si>
    <t>Carlsbad-Artesia, NM</t>
  </si>
  <si>
    <t>16180</t>
  </si>
  <si>
    <t>Carson City, NV</t>
  </si>
  <si>
    <t>16220</t>
  </si>
  <si>
    <t>Casper, WY</t>
  </si>
  <si>
    <t>16260</t>
  </si>
  <si>
    <t>Cedar City, UT</t>
  </si>
  <si>
    <t>16300</t>
  </si>
  <si>
    <t>Cedar Rapids, IA</t>
  </si>
  <si>
    <t>16340</t>
  </si>
  <si>
    <t>Cedartown, GA</t>
  </si>
  <si>
    <t>16380</t>
  </si>
  <si>
    <t>Celina, OH</t>
  </si>
  <si>
    <t>16460</t>
  </si>
  <si>
    <t>Centralia, IL</t>
  </si>
  <si>
    <t>16500</t>
  </si>
  <si>
    <t>Centralia, WA</t>
  </si>
  <si>
    <t>16540</t>
  </si>
  <si>
    <t>Chambersburg-Waynesboro, PA</t>
  </si>
  <si>
    <t>16580</t>
  </si>
  <si>
    <t>Champaign-Urbana, IL</t>
  </si>
  <si>
    <t>16620</t>
  </si>
  <si>
    <t>Charleston, WV</t>
  </si>
  <si>
    <t>16660</t>
  </si>
  <si>
    <t>Charleston-Mattoon, IL</t>
  </si>
  <si>
    <t>16700</t>
  </si>
  <si>
    <t>Charleston-North Charleston, SC</t>
  </si>
  <si>
    <t>16740</t>
  </si>
  <si>
    <t>Charlotte-Concord-Gastonia, NC-SC</t>
  </si>
  <si>
    <t>16820</t>
  </si>
  <si>
    <t>Charlottesville, VA</t>
  </si>
  <si>
    <t>16860</t>
  </si>
  <si>
    <t>Chattanooga, TN-GA</t>
  </si>
  <si>
    <t>16940</t>
  </si>
  <si>
    <t>Cheyenne, WY</t>
  </si>
  <si>
    <t>16980</t>
  </si>
  <si>
    <t>Chicago-Naperville-Elgin, IL-IN-WI</t>
  </si>
  <si>
    <t>17020</t>
  </si>
  <si>
    <t>Chico, CA</t>
  </si>
  <si>
    <t>17060</t>
  </si>
  <si>
    <t>Chillicothe, OH</t>
  </si>
  <si>
    <t>17140</t>
  </si>
  <si>
    <t>Cincinnati, OH-KY-IN</t>
  </si>
  <si>
    <t>17200</t>
  </si>
  <si>
    <t>Claremont-Lebanon, NH-VT</t>
  </si>
  <si>
    <t>17220</t>
  </si>
  <si>
    <t>Clarksburg, WV</t>
  </si>
  <si>
    <t>17300</t>
  </si>
  <si>
    <t>Clarksville, TN-KY</t>
  </si>
  <si>
    <t>17340</t>
  </si>
  <si>
    <t>Clearlake, CA</t>
  </si>
  <si>
    <t>17380</t>
  </si>
  <si>
    <t>Cleveland, MS</t>
  </si>
  <si>
    <t>17420</t>
  </si>
  <si>
    <t>Cleveland, TN</t>
  </si>
  <si>
    <t>17460</t>
  </si>
  <si>
    <t>Cleveland-Elyria, OH</t>
  </si>
  <si>
    <t>17540</t>
  </si>
  <si>
    <t>Clinton, IA</t>
  </si>
  <si>
    <t>17580</t>
  </si>
  <si>
    <t>Clovis, NM</t>
  </si>
  <si>
    <t>17660</t>
  </si>
  <si>
    <t>Coeur d'Alene, ID</t>
  </si>
  <si>
    <t>17700</t>
  </si>
  <si>
    <t>Coffeyville, KS</t>
  </si>
  <si>
    <t>17740</t>
  </si>
  <si>
    <t>Coldwater, MI</t>
  </si>
  <si>
    <t>17780</t>
  </si>
  <si>
    <t>College Station-Bryan, TX</t>
  </si>
  <si>
    <t>17820</t>
  </si>
  <si>
    <t>Colorado Springs, CO</t>
  </si>
  <si>
    <t>17860</t>
  </si>
  <si>
    <t>Columbia, MO</t>
  </si>
  <si>
    <t>17900</t>
  </si>
  <si>
    <t>Columbia, SC</t>
  </si>
  <si>
    <t>17980</t>
  </si>
  <si>
    <t>Columbus, GA-AL</t>
  </si>
  <si>
    <t>18020</t>
  </si>
  <si>
    <t>Columbus, IN</t>
  </si>
  <si>
    <t>18060</t>
  </si>
  <si>
    <t>Columbus, MS</t>
  </si>
  <si>
    <t>18100</t>
  </si>
  <si>
    <t>Columbus, NE</t>
  </si>
  <si>
    <t>18140</t>
  </si>
  <si>
    <t>Columbus, OH</t>
  </si>
  <si>
    <t>18180</t>
  </si>
  <si>
    <t>Concord, NH</t>
  </si>
  <si>
    <t>18260</t>
  </si>
  <si>
    <t>Cookeville, TN</t>
  </si>
  <si>
    <t>18300</t>
  </si>
  <si>
    <t>Coos Bay, OR</t>
  </si>
  <si>
    <t>18380</t>
  </si>
  <si>
    <t>Cordele, GA</t>
  </si>
  <si>
    <t>18420</t>
  </si>
  <si>
    <t>Corinth, MS</t>
  </si>
  <si>
    <t>18460</t>
  </si>
  <si>
    <t>Cornelia, GA</t>
  </si>
  <si>
    <t>18500</t>
  </si>
  <si>
    <t>Corning, NY</t>
  </si>
  <si>
    <t>18580</t>
  </si>
  <si>
    <t>Corpus Christi, TX</t>
  </si>
  <si>
    <t>18620</t>
  </si>
  <si>
    <t>Corsicana, TX</t>
  </si>
  <si>
    <t>18660</t>
  </si>
  <si>
    <t>Cortland, NY</t>
  </si>
  <si>
    <t>18700</t>
  </si>
  <si>
    <t>Corvallis, OR</t>
  </si>
  <si>
    <t>18740</t>
  </si>
  <si>
    <t>Coshocton, OH</t>
  </si>
  <si>
    <t>18780</t>
  </si>
  <si>
    <t>Craig, CO</t>
  </si>
  <si>
    <t>18820</t>
  </si>
  <si>
    <t>Crawfordsville, IN</t>
  </si>
  <si>
    <t>18860</t>
  </si>
  <si>
    <t>Crescent City, CA</t>
  </si>
  <si>
    <t>18880</t>
  </si>
  <si>
    <t>Crestview-Fort Walton Beach-Destin, FL</t>
  </si>
  <si>
    <t>18900</t>
  </si>
  <si>
    <t>Crossville, TN</t>
  </si>
  <si>
    <t>18980</t>
  </si>
  <si>
    <t>Cullman, AL</t>
  </si>
  <si>
    <t>19000</t>
  </si>
  <si>
    <t>Cullowhee, NC</t>
  </si>
  <si>
    <t>19060</t>
  </si>
  <si>
    <t>Cumberland, MD-WV</t>
  </si>
  <si>
    <t>19100</t>
  </si>
  <si>
    <t>Dallas-Fort Worth-Arlington, TX</t>
  </si>
  <si>
    <t>19140</t>
  </si>
  <si>
    <t>Dalton, GA</t>
  </si>
  <si>
    <t>19180</t>
  </si>
  <si>
    <t>Danville, IL</t>
  </si>
  <si>
    <t>19220</t>
  </si>
  <si>
    <t>Danville, KY</t>
  </si>
  <si>
    <t>19260</t>
  </si>
  <si>
    <t>Danville, VA</t>
  </si>
  <si>
    <t>19300</t>
  </si>
  <si>
    <t>Daphne-Fairhope-Foley, AL</t>
  </si>
  <si>
    <t>19340</t>
  </si>
  <si>
    <t>Davenport-Moline-Rock Island, IA-IL</t>
  </si>
  <si>
    <t>19380</t>
  </si>
  <si>
    <t>Dayton, OH</t>
  </si>
  <si>
    <t>19420</t>
  </si>
  <si>
    <t>Dayton, TN</t>
  </si>
  <si>
    <t>19460</t>
  </si>
  <si>
    <t>Decatur, AL</t>
  </si>
  <si>
    <t>19500</t>
  </si>
  <si>
    <t>Decatur, IL</t>
  </si>
  <si>
    <t>19540</t>
  </si>
  <si>
    <t>Decatur, IN</t>
  </si>
  <si>
    <t>19580</t>
  </si>
  <si>
    <t>Defiance, OH</t>
  </si>
  <si>
    <t>19620</t>
  </si>
  <si>
    <t>Del Rio, TX</t>
  </si>
  <si>
    <t>19660</t>
  </si>
  <si>
    <t>Deltona-Daytona Beach-Ormond Beach, FL</t>
  </si>
  <si>
    <t>19700</t>
  </si>
  <si>
    <t>Deming, NM</t>
  </si>
  <si>
    <t>19740</t>
  </si>
  <si>
    <t>Denver-Aurora-Lakewood, CO</t>
  </si>
  <si>
    <t>19760</t>
  </si>
  <si>
    <t>DeRidder, LA</t>
  </si>
  <si>
    <t>19780</t>
  </si>
  <si>
    <t>Des Moines-West Des Moines, IA</t>
  </si>
  <si>
    <t>19820</t>
  </si>
  <si>
    <t>Detroit-Warren-Dearborn, MI</t>
  </si>
  <si>
    <t>19860</t>
  </si>
  <si>
    <t>Dickinson, ND</t>
  </si>
  <si>
    <t>19940</t>
  </si>
  <si>
    <t>Dixon, IL</t>
  </si>
  <si>
    <t>19980</t>
  </si>
  <si>
    <t>Dodge City, KS</t>
  </si>
  <si>
    <t>20020</t>
  </si>
  <si>
    <t>Dothan, AL</t>
  </si>
  <si>
    <t>20060</t>
  </si>
  <si>
    <t>Douglas, GA</t>
  </si>
  <si>
    <t>20100</t>
  </si>
  <si>
    <t>Dover, DE</t>
  </si>
  <si>
    <t>20140</t>
  </si>
  <si>
    <t>Dublin, GA</t>
  </si>
  <si>
    <t>20180</t>
  </si>
  <si>
    <t>DuBois, PA</t>
  </si>
  <si>
    <t>20220</t>
  </si>
  <si>
    <t>Dubuque, IA</t>
  </si>
  <si>
    <t>20260</t>
  </si>
  <si>
    <t>Duluth, MN-WI</t>
  </si>
  <si>
    <t>20300</t>
  </si>
  <si>
    <t>Dumas, TX</t>
  </si>
  <si>
    <t>20340</t>
  </si>
  <si>
    <t>Duncan, OK</t>
  </si>
  <si>
    <t>20380</t>
  </si>
  <si>
    <t>Dunn, NC</t>
  </si>
  <si>
    <t>20420</t>
  </si>
  <si>
    <t>Durango, CO</t>
  </si>
  <si>
    <t>20460</t>
  </si>
  <si>
    <t>Durant, OK</t>
  </si>
  <si>
    <t>20500</t>
  </si>
  <si>
    <t>Durham-Chapel Hill, NC</t>
  </si>
  <si>
    <t>20540</t>
  </si>
  <si>
    <t>Dyersburg, TN</t>
  </si>
  <si>
    <t>20580</t>
  </si>
  <si>
    <t>Eagle Pass, TX</t>
  </si>
  <si>
    <t>20660</t>
  </si>
  <si>
    <t>Easton, MD</t>
  </si>
  <si>
    <t>20700</t>
  </si>
  <si>
    <t>East Stroudsburg, PA</t>
  </si>
  <si>
    <t>20740</t>
  </si>
  <si>
    <t>Eau Claire, WI</t>
  </si>
  <si>
    <t>20780</t>
  </si>
  <si>
    <t>Edwards, CO</t>
  </si>
  <si>
    <t>20820</t>
  </si>
  <si>
    <t>Effingham, IL</t>
  </si>
  <si>
    <t>20900</t>
  </si>
  <si>
    <t>El Campo, TX</t>
  </si>
  <si>
    <t>20940</t>
  </si>
  <si>
    <t>El Centro, CA</t>
  </si>
  <si>
    <t>20980</t>
  </si>
  <si>
    <t>El Dorado, AR</t>
  </si>
  <si>
    <t>21020</t>
  </si>
  <si>
    <t>Elizabeth City, NC</t>
  </si>
  <si>
    <t>21060</t>
  </si>
  <si>
    <t>Elizabethtown-Fort Knox, KY</t>
  </si>
  <si>
    <t>21120</t>
  </si>
  <si>
    <t>Elk City, OK</t>
  </si>
  <si>
    <t>21140</t>
  </si>
  <si>
    <t>Elkhart-Goshen, IN</t>
  </si>
  <si>
    <t>21180</t>
  </si>
  <si>
    <t>Elkins, WV</t>
  </si>
  <si>
    <t>21220</t>
  </si>
  <si>
    <t>Elko, NV</t>
  </si>
  <si>
    <t>21260</t>
  </si>
  <si>
    <t>Ellensburg, WA</t>
  </si>
  <si>
    <t>21300</t>
  </si>
  <si>
    <t>Elmira, NY</t>
  </si>
  <si>
    <t>21340</t>
  </si>
  <si>
    <t>El Paso, TX</t>
  </si>
  <si>
    <t>21380</t>
  </si>
  <si>
    <t>Emporia, KS</t>
  </si>
  <si>
    <t>21420</t>
  </si>
  <si>
    <t>Enid, OK</t>
  </si>
  <si>
    <t>21460</t>
  </si>
  <si>
    <t>Enterprise, AL</t>
  </si>
  <si>
    <t>21500</t>
  </si>
  <si>
    <t>Erie, PA</t>
  </si>
  <si>
    <t>21540</t>
  </si>
  <si>
    <t>Escanaba, MI</t>
  </si>
  <si>
    <t>21580</t>
  </si>
  <si>
    <t>EspaÃ±ola, NM</t>
  </si>
  <si>
    <t>21660</t>
  </si>
  <si>
    <t>Eugene, OR</t>
  </si>
  <si>
    <t>21700</t>
  </si>
  <si>
    <t>Eureka-Arcata-Fortuna, CA</t>
  </si>
  <si>
    <t>21740</t>
  </si>
  <si>
    <t>Evanston, WY</t>
  </si>
  <si>
    <t>21780</t>
  </si>
  <si>
    <t>Evansville, IN-KY</t>
  </si>
  <si>
    <t>21820</t>
  </si>
  <si>
    <t>Fairbanks, AK</t>
  </si>
  <si>
    <t>21840</t>
  </si>
  <si>
    <t>Fairfield, IA</t>
  </si>
  <si>
    <t>21900</t>
  </si>
  <si>
    <t>Fairmont, WV</t>
  </si>
  <si>
    <t>22020</t>
  </si>
  <si>
    <t>Fargo, ND-MN</t>
  </si>
  <si>
    <t>22060</t>
  </si>
  <si>
    <t>Faribault-Northfield, MN</t>
  </si>
  <si>
    <t>22100</t>
  </si>
  <si>
    <t>Farmington, MO</t>
  </si>
  <si>
    <t>22140</t>
  </si>
  <si>
    <t>Farmington, NM</t>
  </si>
  <si>
    <t>22180</t>
  </si>
  <si>
    <t>Fayetteville, NC</t>
  </si>
  <si>
    <t>22220</t>
  </si>
  <si>
    <t>Fayetteville-Springdale-Rogers, AR-MO</t>
  </si>
  <si>
    <t>22260</t>
  </si>
  <si>
    <t>Fergus Falls, MN</t>
  </si>
  <si>
    <t>22280</t>
  </si>
  <si>
    <t>Fernley, NV</t>
  </si>
  <si>
    <t>22300</t>
  </si>
  <si>
    <t>Findlay, OH</t>
  </si>
  <si>
    <t>22340</t>
  </si>
  <si>
    <t>Fitzgerald, GA</t>
  </si>
  <si>
    <t>22380</t>
  </si>
  <si>
    <t>Flagstaff, AZ</t>
  </si>
  <si>
    <t>22420</t>
  </si>
  <si>
    <t>Flint, MI</t>
  </si>
  <si>
    <t>22500</t>
  </si>
  <si>
    <t>Florence, SC</t>
  </si>
  <si>
    <t>22520</t>
  </si>
  <si>
    <t>Florence-Muscle Shoals, AL</t>
  </si>
  <si>
    <t>22540</t>
  </si>
  <si>
    <t>Fond du Lac, WI</t>
  </si>
  <si>
    <t>22580</t>
  </si>
  <si>
    <t>Forest City, NC</t>
  </si>
  <si>
    <t>22660</t>
  </si>
  <si>
    <t>Fort Collins, CO</t>
  </si>
  <si>
    <t>22700</t>
  </si>
  <si>
    <t>Fort Dodge, IA</t>
  </si>
  <si>
    <t>22780</t>
  </si>
  <si>
    <t>Fort Leonard Wood, MO</t>
  </si>
  <si>
    <t>22800</t>
  </si>
  <si>
    <t>Fort Madison-Keokuk, IA-IL-MO</t>
  </si>
  <si>
    <t>22820</t>
  </si>
  <si>
    <t>Fort Morgan, CO</t>
  </si>
  <si>
    <t>22860</t>
  </si>
  <si>
    <t>Fort Polk South, LA</t>
  </si>
  <si>
    <t>22900</t>
  </si>
  <si>
    <t>Fort Smith, AR-OK</t>
  </si>
  <si>
    <t>23060</t>
  </si>
  <si>
    <t>Fort Wayne, IN</t>
  </si>
  <si>
    <t>23180</t>
  </si>
  <si>
    <t>Frankfort, KY</t>
  </si>
  <si>
    <t>23240</t>
  </si>
  <si>
    <t>Fredericksburg, TX</t>
  </si>
  <si>
    <t>23300</t>
  </si>
  <si>
    <t>Freeport, IL</t>
  </si>
  <si>
    <t>23340</t>
  </si>
  <si>
    <t>Fremont, NE</t>
  </si>
  <si>
    <t>23380</t>
  </si>
  <si>
    <t>Fremont, OH</t>
  </si>
  <si>
    <t>23420</t>
  </si>
  <si>
    <t>Fresno, CA</t>
  </si>
  <si>
    <t>23460</t>
  </si>
  <si>
    <t>Gadsden, AL</t>
  </si>
  <si>
    <t>23500</t>
  </si>
  <si>
    <t>Gaffney, SC</t>
  </si>
  <si>
    <t>23540</t>
  </si>
  <si>
    <t>Gainesville, FL</t>
  </si>
  <si>
    <t>23580</t>
  </si>
  <si>
    <t>Gainesville, GA</t>
  </si>
  <si>
    <t>23620</t>
  </si>
  <si>
    <t>Gainesville, TX</t>
  </si>
  <si>
    <t>23660</t>
  </si>
  <si>
    <t>Galesburg, IL</t>
  </si>
  <si>
    <t>23700</t>
  </si>
  <si>
    <t>Gallup, NM</t>
  </si>
  <si>
    <t>23780</t>
  </si>
  <si>
    <t>Garden City, KS</t>
  </si>
  <si>
    <t>23820</t>
  </si>
  <si>
    <t>Gardnerville Ranchos, NV</t>
  </si>
  <si>
    <t>23860</t>
  </si>
  <si>
    <t>Georgetown, SC</t>
  </si>
  <si>
    <t>23900</t>
  </si>
  <si>
    <t>Gettysburg, PA</t>
  </si>
  <si>
    <t>23940</t>
  </si>
  <si>
    <t>Gillette, WY</t>
  </si>
  <si>
    <t>23980</t>
  </si>
  <si>
    <t>Glasgow, KY</t>
  </si>
  <si>
    <t>24020</t>
  </si>
  <si>
    <t>Glens Falls, NY</t>
  </si>
  <si>
    <t>24060</t>
  </si>
  <si>
    <t>Glenwood Springs, CO</t>
  </si>
  <si>
    <t>24100</t>
  </si>
  <si>
    <t>Gloversville, NY</t>
  </si>
  <si>
    <t>24140</t>
  </si>
  <si>
    <t>Goldsboro, NC</t>
  </si>
  <si>
    <t>24220</t>
  </si>
  <si>
    <t>Grand Forks, ND-MN</t>
  </si>
  <si>
    <t>24260</t>
  </si>
  <si>
    <t>Grand Island, NE</t>
  </si>
  <si>
    <t>24300</t>
  </si>
  <si>
    <t>Grand Junction, CO</t>
  </si>
  <si>
    <t>24340</t>
  </si>
  <si>
    <t>Grand Rapids-Wyoming, MI</t>
  </si>
  <si>
    <t>24420</t>
  </si>
  <si>
    <t>Grants Pass, OR</t>
  </si>
  <si>
    <t>24460</t>
  </si>
  <si>
    <t>Great Bend, KS</t>
  </si>
  <si>
    <t>24500</t>
  </si>
  <si>
    <t>Great Falls, MT</t>
  </si>
  <si>
    <t>24540</t>
  </si>
  <si>
    <t>Greeley, CO</t>
  </si>
  <si>
    <t>24580</t>
  </si>
  <si>
    <t>Green Bay, WI</t>
  </si>
  <si>
    <t>24620</t>
  </si>
  <si>
    <t>Greeneville, TN</t>
  </si>
  <si>
    <t>24640</t>
  </si>
  <si>
    <t>Greenfield Town, MA</t>
  </si>
  <si>
    <t>24660</t>
  </si>
  <si>
    <t>Greensboro-High Point, NC</t>
  </si>
  <si>
    <t>24700</t>
  </si>
  <si>
    <t>Greensburg, IN</t>
  </si>
  <si>
    <t>24740</t>
  </si>
  <si>
    <t>Greenville, MS</t>
  </si>
  <si>
    <t>24780</t>
  </si>
  <si>
    <t>Greenville, NC</t>
  </si>
  <si>
    <t>24820</t>
  </si>
  <si>
    <t>Greenville, OH</t>
  </si>
  <si>
    <t>24860</t>
  </si>
  <si>
    <t>Greenville-Anderson-Mauldin, SC</t>
  </si>
  <si>
    <t>24900</t>
  </si>
  <si>
    <t>Greenwood, MS</t>
  </si>
  <si>
    <t>24940</t>
  </si>
  <si>
    <t>Greenwood, SC</t>
  </si>
  <si>
    <t>24980</t>
  </si>
  <si>
    <t>Grenada, MS</t>
  </si>
  <si>
    <t>25060</t>
  </si>
  <si>
    <t>Gulfport-Biloxi-Pascagoula, MS</t>
  </si>
  <si>
    <t>25100</t>
  </si>
  <si>
    <t>Guymon, OK</t>
  </si>
  <si>
    <t>25180</t>
  </si>
  <si>
    <t>Hagerstown-Martinsburg, MD-WV</t>
  </si>
  <si>
    <t>25200</t>
  </si>
  <si>
    <t>Hailey, ID</t>
  </si>
  <si>
    <t>25220</t>
  </si>
  <si>
    <t>Hammond, LA</t>
  </si>
  <si>
    <t>25260</t>
  </si>
  <si>
    <t>Hanford-Corcoran, CA</t>
  </si>
  <si>
    <t>25300</t>
  </si>
  <si>
    <t>Hannibal, MO</t>
  </si>
  <si>
    <t>25420</t>
  </si>
  <si>
    <t>Harrisburg-Carlisle, PA</t>
  </si>
  <si>
    <t>25460</t>
  </si>
  <si>
    <t>Harrison, AR</t>
  </si>
  <si>
    <t>25500</t>
  </si>
  <si>
    <t>Harrisonburg, VA</t>
  </si>
  <si>
    <t>25540</t>
  </si>
  <si>
    <t>Hartford-West Hartford-East Hartford, CT</t>
  </si>
  <si>
    <t>25580</t>
  </si>
  <si>
    <t>Hastings, NE</t>
  </si>
  <si>
    <t>25620</t>
  </si>
  <si>
    <t>Hattiesburg, MS</t>
  </si>
  <si>
    <t>25700</t>
  </si>
  <si>
    <t>Hays, KS</t>
  </si>
  <si>
    <t>25720</t>
  </si>
  <si>
    <t>Heber, UT</t>
  </si>
  <si>
    <t>25740</t>
  </si>
  <si>
    <t>Helena, MT</t>
  </si>
  <si>
    <t>25760</t>
  </si>
  <si>
    <t>Helena-West Helena, AR</t>
  </si>
  <si>
    <t>25780</t>
  </si>
  <si>
    <t>Henderson, NC</t>
  </si>
  <si>
    <t>25820</t>
  </si>
  <si>
    <t>Hereford, TX</t>
  </si>
  <si>
    <t>25840</t>
  </si>
  <si>
    <t>Hermiston-Pendleton, OR</t>
  </si>
  <si>
    <t>25860</t>
  </si>
  <si>
    <t>Hickory-Lenoir-Morganton, NC</t>
  </si>
  <si>
    <t>25880</t>
  </si>
  <si>
    <t>Hillsdale, MI</t>
  </si>
  <si>
    <t>25900</t>
  </si>
  <si>
    <t>Hilo, HI</t>
  </si>
  <si>
    <t>25940</t>
  </si>
  <si>
    <t>Hilton Head Island-Bluffton-Beaufort, SC</t>
  </si>
  <si>
    <t>25980</t>
  </si>
  <si>
    <t>Hinesville, GA</t>
  </si>
  <si>
    <t>26020</t>
  </si>
  <si>
    <t>Hobbs, NM</t>
  </si>
  <si>
    <t>26090</t>
  </si>
  <si>
    <t>Holland, MI</t>
  </si>
  <si>
    <t>26140</t>
  </si>
  <si>
    <t>Homosassa Springs, FL</t>
  </si>
  <si>
    <t>26300</t>
  </si>
  <si>
    <t>Hot Springs, AR</t>
  </si>
  <si>
    <t>26340</t>
  </si>
  <si>
    <t>Houghton, MI</t>
  </si>
  <si>
    <t>26380</t>
  </si>
  <si>
    <t>Houma-Thibodaux, LA</t>
  </si>
  <si>
    <t>26420</t>
  </si>
  <si>
    <t>Houston-The Woodlands-Sugar Land, TX</t>
  </si>
  <si>
    <t>26460</t>
  </si>
  <si>
    <t>Hudson, NY</t>
  </si>
  <si>
    <t>26500</t>
  </si>
  <si>
    <t>Huntingdon, PA</t>
  </si>
  <si>
    <t>26540</t>
  </si>
  <si>
    <t>Huntington, IN</t>
  </si>
  <si>
    <t>26580</t>
  </si>
  <si>
    <t>Huntington-Ashland, WV-KY-OH</t>
  </si>
  <si>
    <t>26620</t>
  </si>
  <si>
    <t>Huntsville, AL</t>
  </si>
  <si>
    <t>26660</t>
  </si>
  <si>
    <t>Huntsville, TX</t>
  </si>
  <si>
    <t>26700</t>
  </si>
  <si>
    <t>Huron, SD</t>
  </si>
  <si>
    <t>26740</t>
  </si>
  <si>
    <t>Hutchinson, KS</t>
  </si>
  <si>
    <t>26780</t>
  </si>
  <si>
    <t>Hutchinson, MN</t>
  </si>
  <si>
    <t>26820</t>
  </si>
  <si>
    <t>Idaho Falls, ID</t>
  </si>
  <si>
    <t>26860</t>
  </si>
  <si>
    <t>Indiana, PA</t>
  </si>
  <si>
    <t>26900</t>
  </si>
  <si>
    <t>Indianapolis-Carmel-Anderson, IN</t>
  </si>
  <si>
    <t>26940</t>
  </si>
  <si>
    <t>Indianola, MS</t>
  </si>
  <si>
    <t>26960</t>
  </si>
  <si>
    <t>Ionia, MI</t>
  </si>
  <si>
    <t>26980</t>
  </si>
  <si>
    <t>Iowa City, IA</t>
  </si>
  <si>
    <t>27020</t>
  </si>
  <si>
    <t>Iron Mountain, MI-WI</t>
  </si>
  <si>
    <t>27060</t>
  </si>
  <si>
    <t>Ithaca, NY</t>
  </si>
  <si>
    <t>27100</t>
  </si>
  <si>
    <t>Jackson, MI</t>
  </si>
  <si>
    <t>27140</t>
  </si>
  <si>
    <t>Jackson, MS</t>
  </si>
  <si>
    <t>27160</t>
  </si>
  <si>
    <t>Jackson, OH</t>
  </si>
  <si>
    <t>27180</t>
  </si>
  <si>
    <t>Jackson, TN</t>
  </si>
  <si>
    <t>27220</t>
  </si>
  <si>
    <t>Jackson, WY-ID</t>
  </si>
  <si>
    <t>27260</t>
  </si>
  <si>
    <t>Jacksonville, FL</t>
  </si>
  <si>
    <t>27300</t>
  </si>
  <si>
    <t>Jacksonville, IL</t>
  </si>
  <si>
    <t>27340</t>
  </si>
  <si>
    <t>Jacksonville, NC</t>
  </si>
  <si>
    <t>27380</t>
  </si>
  <si>
    <t>Jacksonville, TX</t>
  </si>
  <si>
    <t>27420</t>
  </si>
  <si>
    <t>Jamestown, ND</t>
  </si>
  <si>
    <t>27460</t>
  </si>
  <si>
    <t>Jamestown-Dunkirk-Fredonia, NY</t>
  </si>
  <si>
    <t>27500</t>
  </si>
  <si>
    <t>Janesville-Beloit, WI</t>
  </si>
  <si>
    <t>27540</t>
  </si>
  <si>
    <t>Jasper, IN</t>
  </si>
  <si>
    <t>27600</t>
  </si>
  <si>
    <t>Jefferson, GA</t>
  </si>
  <si>
    <t>27620</t>
  </si>
  <si>
    <t>Jefferson City, MO</t>
  </si>
  <si>
    <t>27700</t>
  </si>
  <si>
    <t>Jesup, GA</t>
  </si>
  <si>
    <t>27740</t>
  </si>
  <si>
    <t>Johnson City, TN</t>
  </si>
  <si>
    <t>27780</t>
  </si>
  <si>
    <t>Johnstown, PA</t>
  </si>
  <si>
    <t>27860</t>
  </si>
  <si>
    <t>Jonesboro, AR</t>
  </si>
  <si>
    <t>27900</t>
  </si>
  <si>
    <t>Joplin, MO</t>
  </si>
  <si>
    <t>27920</t>
  </si>
  <si>
    <t>Junction City, KS</t>
  </si>
  <si>
    <t>27940</t>
  </si>
  <si>
    <t>Juneau, AK</t>
  </si>
  <si>
    <t>27980</t>
  </si>
  <si>
    <t>Kahului-Wailuku-Lahaina, HI</t>
  </si>
  <si>
    <t>28020</t>
  </si>
  <si>
    <t>Kalamazoo-Portage, MI</t>
  </si>
  <si>
    <t>28060</t>
  </si>
  <si>
    <t>Kalispell, MT</t>
  </si>
  <si>
    <t>28100</t>
  </si>
  <si>
    <t>Kankakee, IL</t>
  </si>
  <si>
    <t>28140</t>
  </si>
  <si>
    <t>Kansas City, MO-KS</t>
  </si>
  <si>
    <t>28180</t>
  </si>
  <si>
    <t>Kapaa, HI</t>
  </si>
  <si>
    <t>28260</t>
  </si>
  <si>
    <t>Kearney, NE</t>
  </si>
  <si>
    <t>28300</t>
  </si>
  <si>
    <t>Keene, NH</t>
  </si>
  <si>
    <t>28340</t>
  </si>
  <si>
    <t>Kendallville, IN</t>
  </si>
  <si>
    <t>28380</t>
  </si>
  <si>
    <t>Kennett, MO</t>
  </si>
  <si>
    <t>28420</t>
  </si>
  <si>
    <t>Kennewick-Richland, WA</t>
  </si>
  <si>
    <t>28500</t>
  </si>
  <si>
    <t>Kerrville, TX</t>
  </si>
  <si>
    <t>28540</t>
  </si>
  <si>
    <t>Ketchikan, AK</t>
  </si>
  <si>
    <t>28580</t>
  </si>
  <si>
    <t>Key West, FL</t>
  </si>
  <si>
    <t>28620</t>
  </si>
  <si>
    <t>Kill Devil Hills, NC</t>
  </si>
  <si>
    <t>28660</t>
  </si>
  <si>
    <t>Killeen-Temple, TX</t>
  </si>
  <si>
    <t>28700</t>
  </si>
  <si>
    <t>Kingsport-Bristol-Bristol, TN-VA</t>
  </si>
  <si>
    <t>28740</t>
  </si>
  <si>
    <t>Kingston, NY</t>
  </si>
  <si>
    <t>28780</t>
  </si>
  <si>
    <t>Kingsville, TX</t>
  </si>
  <si>
    <t>28820</t>
  </si>
  <si>
    <t>Kinston, NC</t>
  </si>
  <si>
    <t>28860</t>
  </si>
  <si>
    <t>Kirksville, MO</t>
  </si>
  <si>
    <t>28900</t>
  </si>
  <si>
    <t>Klamath Falls, OR</t>
  </si>
  <si>
    <t>28940</t>
  </si>
  <si>
    <t>Knoxville, TN</t>
  </si>
  <si>
    <t>29020</t>
  </si>
  <si>
    <t>Kokomo, IN</t>
  </si>
  <si>
    <t>29060</t>
  </si>
  <si>
    <t>Laconia, NH</t>
  </si>
  <si>
    <t>29100</t>
  </si>
  <si>
    <t>La Crosse-Onalaska, WI-MN</t>
  </si>
  <si>
    <t>29180</t>
  </si>
  <si>
    <t>Lafayette, LA</t>
  </si>
  <si>
    <t>29200</t>
  </si>
  <si>
    <t>Lafayette-West Lafayette, IN</t>
  </si>
  <si>
    <t>29260</t>
  </si>
  <si>
    <t>La Grande, OR</t>
  </si>
  <si>
    <t>29300</t>
  </si>
  <si>
    <t>LaGrange, GA</t>
  </si>
  <si>
    <t>29340</t>
  </si>
  <si>
    <t>Lake Charles, LA</t>
  </si>
  <si>
    <t>29380</t>
  </si>
  <si>
    <t>Lake City, FL</t>
  </si>
  <si>
    <t>29420</t>
  </si>
  <si>
    <t>Lake Havasu City-Kingman, AZ</t>
  </si>
  <si>
    <t>29460</t>
  </si>
  <si>
    <t>Lakeland-Winter Haven, FL</t>
  </si>
  <si>
    <t>29500</t>
  </si>
  <si>
    <t>Lamesa, TX</t>
  </si>
  <si>
    <t>29540</t>
  </si>
  <si>
    <t>Lancaster, PA</t>
  </si>
  <si>
    <t>29620</t>
  </si>
  <si>
    <t>Lansing-East Lansing, MI</t>
  </si>
  <si>
    <t>29660</t>
  </si>
  <si>
    <t>Laramie, WY</t>
  </si>
  <si>
    <t>29700</t>
  </si>
  <si>
    <t>Laredo, TX</t>
  </si>
  <si>
    <t>29740</t>
  </si>
  <si>
    <t>Las Cruces, NM</t>
  </si>
  <si>
    <t>29820</t>
  </si>
  <si>
    <t>Las Vegas-Henderson-Paradise, NV</t>
  </si>
  <si>
    <t>29860</t>
  </si>
  <si>
    <t>Laurel, MS</t>
  </si>
  <si>
    <t>29900</t>
  </si>
  <si>
    <t>Laurinburg, NC</t>
  </si>
  <si>
    <t>29940</t>
  </si>
  <si>
    <t>Lawrence, KS</t>
  </si>
  <si>
    <t>30020</t>
  </si>
  <si>
    <t>Lawton, OK</t>
  </si>
  <si>
    <t>30060</t>
  </si>
  <si>
    <t>Lebanon, MO</t>
  </si>
  <si>
    <t>30140</t>
  </si>
  <si>
    <t>Lebanon, PA</t>
  </si>
  <si>
    <t>30220</t>
  </si>
  <si>
    <t>Levelland, TX</t>
  </si>
  <si>
    <t>30260</t>
  </si>
  <si>
    <t>Lewisburg, PA</t>
  </si>
  <si>
    <t>30280</t>
  </si>
  <si>
    <t>Lewisburg, TN</t>
  </si>
  <si>
    <t>30300</t>
  </si>
  <si>
    <t>Lewiston, ID-WA</t>
  </si>
  <si>
    <t>30340</t>
  </si>
  <si>
    <t>Lewiston-Auburn, ME</t>
  </si>
  <si>
    <t>30380</t>
  </si>
  <si>
    <t>Lewistown, PA</t>
  </si>
  <si>
    <t>30420</t>
  </si>
  <si>
    <t>Lexington, NE</t>
  </si>
  <si>
    <t>30460</t>
  </si>
  <si>
    <t>Lexington-Fayette, KY</t>
  </si>
  <si>
    <t>30620</t>
  </si>
  <si>
    <t>Lima, OH</t>
  </si>
  <si>
    <t>30660</t>
  </si>
  <si>
    <t>Lincoln, IL</t>
  </si>
  <si>
    <t>30700</t>
  </si>
  <si>
    <t>Lincoln, NE</t>
  </si>
  <si>
    <t>30780</t>
  </si>
  <si>
    <t>Little Rock-North Little Rock-Conway, AR</t>
  </si>
  <si>
    <t>30820</t>
  </si>
  <si>
    <t>Lock Haven, PA</t>
  </si>
  <si>
    <t>30860</t>
  </si>
  <si>
    <t>Logan, UT-ID</t>
  </si>
  <si>
    <t>30880</t>
  </si>
  <si>
    <t>Logan, WV</t>
  </si>
  <si>
    <t>30940</t>
  </si>
  <si>
    <t>London, KY</t>
  </si>
  <si>
    <t>30980</t>
  </si>
  <si>
    <t>Longview, TX</t>
  </si>
  <si>
    <t>31020</t>
  </si>
  <si>
    <t>Longview, WA</t>
  </si>
  <si>
    <t>31060</t>
  </si>
  <si>
    <t>Los Alamos, NM</t>
  </si>
  <si>
    <t>31080</t>
  </si>
  <si>
    <t>Los Angeles-Long Beach-Anaheim, CA</t>
  </si>
  <si>
    <t>31140</t>
  </si>
  <si>
    <t>Louisville/Jefferson County, KY-IN</t>
  </si>
  <si>
    <t>31180</t>
  </si>
  <si>
    <t>Lubbock, TX</t>
  </si>
  <si>
    <t>31220</t>
  </si>
  <si>
    <t>Ludington, MI</t>
  </si>
  <si>
    <t>31260</t>
  </si>
  <si>
    <t>Lufkin, TX</t>
  </si>
  <si>
    <t>31300</t>
  </si>
  <si>
    <t>Lumberton, NC</t>
  </si>
  <si>
    <t>31340</t>
  </si>
  <si>
    <t>Lynchburg, VA</t>
  </si>
  <si>
    <t>31380</t>
  </si>
  <si>
    <t>Macomb, IL</t>
  </si>
  <si>
    <t>31420</t>
  </si>
  <si>
    <t>Macon, GA</t>
  </si>
  <si>
    <t>31460</t>
  </si>
  <si>
    <t>Madera, CA</t>
  </si>
  <si>
    <t>31500</t>
  </si>
  <si>
    <t>Madison, IN</t>
  </si>
  <si>
    <t>31540</t>
  </si>
  <si>
    <t>Madison, WI</t>
  </si>
  <si>
    <t>31580</t>
  </si>
  <si>
    <t>Madisonville, KY</t>
  </si>
  <si>
    <t>31660</t>
  </si>
  <si>
    <t>Malone, NY</t>
  </si>
  <si>
    <t>31680</t>
  </si>
  <si>
    <t>Malvern, AR</t>
  </si>
  <si>
    <t>31700</t>
  </si>
  <si>
    <t>Manchester-Nashua, NH</t>
  </si>
  <si>
    <t>31740</t>
  </si>
  <si>
    <t>Manhattan, KS</t>
  </si>
  <si>
    <t>31820</t>
  </si>
  <si>
    <t>Manitowoc, WI</t>
  </si>
  <si>
    <t>31860</t>
  </si>
  <si>
    <t>Mankato-North Mankato, MN</t>
  </si>
  <si>
    <t>31900</t>
  </si>
  <si>
    <t>Mansfield, OH</t>
  </si>
  <si>
    <t>31930</t>
  </si>
  <si>
    <t>Marietta, OH</t>
  </si>
  <si>
    <t>31940</t>
  </si>
  <si>
    <t>Marinette, WI-MI</t>
  </si>
  <si>
    <t>31980</t>
  </si>
  <si>
    <t>Marion, IN</t>
  </si>
  <si>
    <t>32000</t>
  </si>
  <si>
    <t>Marion, NC</t>
  </si>
  <si>
    <t>32020</t>
  </si>
  <si>
    <t>Marion, OH</t>
  </si>
  <si>
    <t>32100</t>
  </si>
  <si>
    <t>Marquette, MI</t>
  </si>
  <si>
    <t>32140</t>
  </si>
  <si>
    <t>Marshall, MN</t>
  </si>
  <si>
    <t>32180</t>
  </si>
  <si>
    <t>Marshall, MO</t>
  </si>
  <si>
    <t>32220</t>
  </si>
  <si>
    <t>Marshall, TX</t>
  </si>
  <si>
    <t>32260</t>
  </si>
  <si>
    <t>Marshalltown, IA</t>
  </si>
  <si>
    <t>32280</t>
  </si>
  <si>
    <t>Martin, TN</t>
  </si>
  <si>
    <t>32300</t>
  </si>
  <si>
    <t>Martinsville, VA</t>
  </si>
  <si>
    <t>32340</t>
  </si>
  <si>
    <t>Maryville, MO</t>
  </si>
  <si>
    <t>32380</t>
  </si>
  <si>
    <t>Mason City, IA</t>
  </si>
  <si>
    <t>32460</t>
  </si>
  <si>
    <t>Mayfield, KY</t>
  </si>
  <si>
    <t>32500</t>
  </si>
  <si>
    <t>Maysville, KY</t>
  </si>
  <si>
    <t>32540</t>
  </si>
  <si>
    <t>McAlester, OK</t>
  </si>
  <si>
    <t>32580</t>
  </si>
  <si>
    <t>McAllen-Edinburg-Mission, TX</t>
  </si>
  <si>
    <t>32620</t>
  </si>
  <si>
    <t>McComb, MS</t>
  </si>
  <si>
    <t>32660</t>
  </si>
  <si>
    <t>McMinnville, TN</t>
  </si>
  <si>
    <t>32700</t>
  </si>
  <si>
    <t>McPherson, KS</t>
  </si>
  <si>
    <t>32740</t>
  </si>
  <si>
    <t>Meadville, PA</t>
  </si>
  <si>
    <t>32780</t>
  </si>
  <si>
    <t>Medford, OR</t>
  </si>
  <si>
    <t>32820</t>
  </si>
  <si>
    <t>Memphis, TN-MS-AR</t>
  </si>
  <si>
    <t>32860</t>
  </si>
  <si>
    <t>Menomonie, WI</t>
  </si>
  <si>
    <t>32900</t>
  </si>
  <si>
    <t>Merced, CA</t>
  </si>
  <si>
    <t>32940</t>
  </si>
  <si>
    <t>Meridian, MS</t>
  </si>
  <si>
    <t>32980</t>
  </si>
  <si>
    <t>Merrill, WI</t>
  </si>
  <si>
    <t>33020</t>
  </si>
  <si>
    <t>Mexico, MO</t>
  </si>
  <si>
    <t>33060</t>
  </si>
  <si>
    <t>Miami, OK</t>
  </si>
  <si>
    <t>33100</t>
  </si>
  <si>
    <t>Miami-Fort Lauderdale-West Palm Beach, FL</t>
  </si>
  <si>
    <t>33140</t>
  </si>
  <si>
    <t>Michigan City-La Porte, IN</t>
  </si>
  <si>
    <t>33180</t>
  </si>
  <si>
    <t>Middlesborough, KY</t>
  </si>
  <si>
    <t>33220</t>
  </si>
  <si>
    <t>Midland, MI</t>
  </si>
  <si>
    <t>33260</t>
  </si>
  <si>
    <t>Midland, TX</t>
  </si>
  <si>
    <t>33300</t>
  </si>
  <si>
    <t>Milledgeville, GA</t>
  </si>
  <si>
    <t>33340</t>
  </si>
  <si>
    <t>Milwaukee-Waukesha-West Allis, WI</t>
  </si>
  <si>
    <t>33420</t>
  </si>
  <si>
    <t>Mineral Wells, TX</t>
  </si>
  <si>
    <t>33460</t>
  </si>
  <si>
    <t>Minneapolis-St. Paul-Bloomington, MN-WI</t>
  </si>
  <si>
    <t>33500</t>
  </si>
  <si>
    <t>Minot, ND</t>
  </si>
  <si>
    <t>33540</t>
  </si>
  <si>
    <t>Missoula, MT</t>
  </si>
  <si>
    <t>33580</t>
  </si>
  <si>
    <t>Mitchell, SD</t>
  </si>
  <si>
    <t>33620</t>
  </si>
  <si>
    <t>Moberly, MO</t>
  </si>
  <si>
    <t>33660</t>
  </si>
  <si>
    <t>Mobile, AL</t>
  </si>
  <si>
    <t>33700</t>
  </si>
  <si>
    <t>Modesto, CA</t>
  </si>
  <si>
    <t>33740</t>
  </si>
  <si>
    <t>Monroe, LA</t>
  </si>
  <si>
    <t>33780</t>
  </si>
  <si>
    <t>Monroe, MI</t>
  </si>
  <si>
    <t>33860</t>
  </si>
  <si>
    <t>Montgomery, AL</t>
  </si>
  <si>
    <t>33940</t>
  </si>
  <si>
    <t>Montrose, CO</t>
  </si>
  <si>
    <t>33980</t>
  </si>
  <si>
    <t>Morehead City, NC</t>
  </si>
  <si>
    <t>34020</t>
  </si>
  <si>
    <t>Morgan City, LA</t>
  </si>
  <si>
    <t>34060</t>
  </si>
  <si>
    <t>Morgantown, WV</t>
  </si>
  <si>
    <t>34100</t>
  </si>
  <si>
    <t>Morristown, TN</t>
  </si>
  <si>
    <t>34140</t>
  </si>
  <si>
    <t>Moscow, ID</t>
  </si>
  <si>
    <t>34180</t>
  </si>
  <si>
    <t>Moses Lake, WA</t>
  </si>
  <si>
    <t>34220</t>
  </si>
  <si>
    <t>Moultrie, GA</t>
  </si>
  <si>
    <t>34260</t>
  </si>
  <si>
    <t>Mountain Home, AR</t>
  </si>
  <si>
    <t>34300</t>
  </si>
  <si>
    <t>Mountain Home, ID</t>
  </si>
  <si>
    <t>34340</t>
  </si>
  <si>
    <t>Mount Airy, NC</t>
  </si>
  <si>
    <t>34380</t>
  </si>
  <si>
    <t>Mount Pleasant, MI</t>
  </si>
  <si>
    <t>34420</t>
  </si>
  <si>
    <t>Mount Pleasant, TX</t>
  </si>
  <si>
    <t>34460</t>
  </si>
  <si>
    <t>Mount Sterling, KY</t>
  </si>
  <si>
    <t>34540</t>
  </si>
  <si>
    <t>Mount Vernon, OH</t>
  </si>
  <si>
    <t>34580</t>
  </si>
  <si>
    <t>Mount Vernon-Anacortes, WA</t>
  </si>
  <si>
    <t>34620</t>
  </si>
  <si>
    <t>Muncie, IN</t>
  </si>
  <si>
    <t>34660</t>
  </si>
  <si>
    <t>Murray, KY</t>
  </si>
  <si>
    <t>34700</t>
  </si>
  <si>
    <t>Muscatine, IA</t>
  </si>
  <si>
    <t>34740</t>
  </si>
  <si>
    <t>Muskegon, MI</t>
  </si>
  <si>
    <t>34780</t>
  </si>
  <si>
    <t>Muskogee, OK</t>
  </si>
  <si>
    <t>34820</t>
  </si>
  <si>
    <t>Myrtle Beach-Conway-North Myrtle Beach, SC-NC</t>
  </si>
  <si>
    <t>34860</t>
  </si>
  <si>
    <t>Nacogdoches, TX</t>
  </si>
  <si>
    <t>34900</t>
  </si>
  <si>
    <t>Napa, CA</t>
  </si>
  <si>
    <t>34940</t>
  </si>
  <si>
    <t>Naples-Immokalee-Marco Island, FL</t>
  </si>
  <si>
    <t>34980</t>
  </si>
  <si>
    <t>Nashville-Davidson--Murfreesboro--Franklin, TN</t>
  </si>
  <si>
    <t>35020</t>
  </si>
  <si>
    <t>Natchez, MS-LA</t>
  </si>
  <si>
    <t>35060</t>
  </si>
  <si>
    <t>Natchitoches, LA</t>
  </si>
  <si>
    <t>35100</t>
  </si>
  <si>
    <t>New Bern, NC</t>
  </si>
  <si>
    <t>35140</t>
  </si>
  <si>
    <t>Newberry, SC</t>
  </si>
  <si>
    <t>35220</t>
  </si>
  <si>
    <t>New Castle, IN</t>
  </si>
  <si>
    <t>35260</t>
  </si>
  <si>
    <t>New Castle, PA</t>
  </si>
  <si>
    <t>35300</t>
  </si>
  <si>
    <t>New Haven-Milford, CT</t>
  </si>
  <si>
    <t>35380</t>
  </si>
  <si>
    <t>New Orleans-Metairie, LA</t>
  </si>
  <si>
    <t>35420</t>
  </si>
  <si>
    <t>New Philadelphia-Dover, OH</t>
  </si>
  <si>
    <t>35440</t>
  </si>
  <si>
    <t>Newport, OR</t>
  </si>
  <si>
    <t>35500</t>
  </si>
  <si>
    <t>Newton, IA</t>
  </si>
  <si>
    <t>35580</t>
  </si>
  <si>
    <t>New Ulm, MN</t>
  </si>
  <si>
    <t>35620</t>
  </si>
  <si>
    <t>New York-Newark-Jersey City, NY-NJ-PA</t>
  </si>
  <si>
    <t>35660</t>
  </si>
  <si>
    <t>Niles-Benton Harbor, MI</t>
  </si>
  <si>
    <t>35700</t>
  </si>
  <si>
    <t>Nogales, AZ</t>
  </si>
  <si>
    <t>35740</t>
  </si>
  <si>
    <t>Norfolk, NE</t>
  </si>
  <si>
    <t>35840</t>
  </si>
  <si>
    <t>North Port-Sarasota-Bradenton, FL</t>
  </si>
  <si>
    <t>35860</t>
  </si>
  <si>
    <t>North Vernon, IN</t>
  </si>
  <si>
    <t>35900</t>
  </si>
  <si>
    <t>North Wilkesboro, NC</t>
  </si>
  <si>
    <t>35940</t>
  </si>
  <si>
    <t>Norwalk, OH</t>
  </si>
  <si>
    <t>35980</t>
  </si>
  <si>
    <t>Norwich-New London, CT</t>
  </si>
  <si>
    <t>36020</t>
  </si>
  <si>
    <t>Oak Harbor, WA</t>
  </si>
  <si>
    <t>36100</t>
  </si>
  <si>
    <t>Ocala, FL</t>
  </si>
  <si>
    <t>36140</t>
  </si>
  <si>
    <t>Ocean City, NJ</t>
  </si>
  <si>
    <t>36220</t>
  </si>
  <si>
    <t>Odessa, TX</t>
  </si>
  <si>
    <t>36260</t>
  </si>
  <si>
    <t>Ogden-Clearfield, UT</t>
  </si>
  <si>
    <t>36300</t>
  </si>
  <si>
    <t>Ogdensburg-Massena, NY</t>
  </si>
  <si>
    <t>36340</t>
  </si>
  <si>
    <t>Oil City, PA</t>
  </si>
  <si>
    <t>36380</t>
  </si>
  <si>
    <t>Okeechobee, FL</t>
  </si>
  <si>
    <t>36420</t>
  </si>
  <si>
    <t>Oklahoma City, OK</t>
  </si>
  <si>
    <t>36460</t>
  </si>
  <si>
    <t>Olean, NY</t>
  </si>
  <si>
    <t>36500</t>
  </si>
  <si>
    <t>Olympia-Tumwater, WA</t>
  </si>
  <si>
    <t>36540</t>
  </si>
  <si>
    <t>Omaha-Council Bluffs, NE-IA</t>
  </si>
  <si>
    <t>36580</t>
  </si>
  <si>
    <t>Oneonta, NY</t>
  </si>
  <si>
    <t>36620</t>
  </si>
  <si>
    <t>Ontario, OR-ID</t>
  </si>
  <si>
    <t>36660</t>
  </si>
  <si>
    <t>Opelousas, LA</t>
  </si>
  <si>
    <t>36700</t>
  </si>
  <si>
    <t>Orangeburg, SC</t>
  </si>
  <si>
    <t>36740</t>
  </si>
  <si>
    <t>Orlando-Kissimmee-Sanford, FL</t>
  </si>
  <si>
    <t>36780</t>
  </si>
  <si>
    <t>Oshkosh-Neenah, WI</t>
  </si>
  <si>
    <t>36830</t>
  </si>
  <si>
    <t>Othello, WA</t>
  </si>
  <si>
    <t>36840</t>
  </si>
  <si>
    <t>Ottawa, KS</t>
  </si>
  <si>
    <t>36860</t>
  </si>
  <si>
    <t>Ottawa-Peru, IL</t>
  </si>
  <si>
    <t>36900</t>
  </si>
  <si>
    <t>Ottumwa, IA</t>
  </si>
  <si>
    <t>36940</t>
  </si>
  <si>
    <t>Owatonna, MN</t>
  </si>
  <si>
    <t>36980</t>
  </si>
  <si>
    <t>Owensboro, KY</t>
  </si>
  <si>
    <t>37020</t>
  </si>
  <si>
    <t>Owosso, MI</t>
  </si>
  <si>
    <t>37060</t>
  </si>
  <si>
    <t>Oxford, MS</t>
  </si>
  <si>
    <t>37080</t>
  </si>
  <si>
    <t>Oxford, NC</t>
  </si>
  <si>
    <t>37100</t>
  </si>
  <si>
    <t>Oxnard-Thousand Oaks-Ventura, CA</t>
  </si>
  <si>
    <t>37120</t>
  </si>
  <si>
    <t>Ozark, AL</t>
  </si>
  <si>
    <t>37140</t>
  </si>
  <si>
    <t>Paducah, KY-IL</t>
  </si>
  <si>
    <t>37220</t>
  </si>
  <si>
    <t>Pahrump, NV</t>
  </si>
  <si>
    <t>37260</t>
  </si>
  <si>
    <t>Palatka, FL</t>
  </si>
  <si>
    <t>37300</t>
  </si>
  <si>
    <t>Palestine, TX</t>
  </si>
  <si>
    <t>37340</t>
  </si>
  <si>
    <t>Palm Bay-Melbourne-Titusville, FL</t>
  </si>
  <si>
    <t>37420</t>
  </si>
  <si>
    <t>Pampa, TX</t>
  </si>
  <si>
    <t>37460</t>
  </si>
  <si>
    <t>Panama City, FL</t>
  </si>
  <si>
    <t>37500</t>
  </si>
  <si>
    <t>Paragould, AR</t>
  </si>
  <si>
    <t>37540</t>
  </si>
  <si>
    <t>Paris, TN</t>
  </si>
  <si>
    <t>37580</t>
  </si>
  <si>
    <t>Paris, TX</t>
  </si>
  <si>
    <t>37620</t>
  </si>
  <si>
    <t>Parkersburg-Vienna, WV</t>
  </si>
  <si>
    <t>37660</t>
  </si>
  <si>
    <t>Parsons, KS</t>
  </si>
  <si>
    <t>37740</t>
  </si>
  <si>
    <t>Payson, AZ</t>
  </si>
  <si>
    <t>37780</t>
  </si>
  <si>
    <t>Pecos, TX</t>
  </si>
  <si>
    <t>37860</t>
  </si>
  <si>
    <t>Pensacola-Ferry Pass-Brent, FL</t>
  </si>
  <si>
    <t>37900</t>
  </si>
  <si>
    <t>Peoria, IL</t>
  </si>
  <si>
    <t>37940</t>
  </si>
  <si>
    <t>Peru, IN</t>
  </si>
  <si>
    <t>37980</t>
  </si>
  <si>
    <t>Philadelphia-Camden-Wilmington, PA-NJ-DE-MD</t>
  </si>
  <si>
    <t>38060</t>
  </si>
  <si>
    <t>Phoenix-Mesa-Scottsdale, AZ</t>
  </si>
  <si>
    <t>38100</t>
  </si>
  <si>
    <t>Picayune, MS</t>
  </si>
  <si>
    <t>38180</t>
  </si>
  <si>
    <t>Pierre, SD</t>
  </si>
  <si>
    <t>38220</t>
  </si>
  <si>
    <t>Pine Bluff, AR</t>
  </si>
  <si>
    <t>38240</t>
  </si>
  <si>
    <t>Pinehurst-Southern Pines, NC</t>
  </si>
  <si>
    <t>38260</t>
  </si>
  <si>
    <t>Pittsburg, KS</t>
  </si>
  <si>
    <t>38300</t>
  </si>
  <si>
    <t>Pittsburgh, PA</t>
  </si>
  <si>
    <t>38340</t>
  </si>
  <si>
    <t>Pittsfield, MA</t>
  </si>
  <si>
    <t>38380</t>
  </si>
  <si>
    <t>Plainview, TX</t>
  </si>
  <si>
    <t>38420</t>
  </si>
  <si>
    <t>Platteville, WI</t>
  </si>
  <si>
    <t>38460</t>
  </si>
  <si>
    <t>Plattsburgh, NY</t>
  </si>
  <si>
    <t>38500</t>
  </si>
  <si>
    <t>Plymouth, IN</t>
  </si>
  <si>
    <t>38540</t>
  </si>
  <si>
    <t>Pocatello, ID</t>
  </si>
  <si>
    <t>38580</t>
  </si>
  <si>
    <t>Point Pleasant, WV-OH</t>
  </si>
  <si>
    <t>38620</t>
  </si>
  <si>
    <t>Ponca City, OK</t>
  </si>
  <si>
    <t>38700</t>
  </si>
  <si>
    <t>Pontiac, IL</t>
  </si>
  <si>
    <t>38740</t>
  </si>
  <si>
    <t>Poplar Bluff, MO</t>
  </si>
  <si>
    <t>38780</t>
  </si>
  <si>
    <t>Portales, NM</t>
  </si>
  <si>
    <t>38820</t>
  </si>
  <si>
    <t>Port Angeles, WA</t>
  </si>
  <si>
    <t>38840</t>
  </si>
  <si>
    <t>Port Clinton, OH</t>
  </si>
  <si>
    <t>38860</t>
  </si>
  <si>
    <t>Portland-South Portland, ME</t>
  </si>
  <si>
    <t>38900</t>
  </si>
  <si>
    <t>Portland-Vancouver-Hillsboro, OR-WA</t>
  </si>
  <si>
    <t>38920</t>
  </si>
  <si>
    <t>Port Lavaca, TX</t>
  </si>
  <si>
    <t>38940</t>
  </si>
  <si>
    <t>Port St. Lucie, FL</t>
  </si>
  <si>
    <t>39020</t>
  </si>
  <si>
    <t>Portsmouth, OH</t>
  </si>
  <si>
    <t>39060</t>
  </si>
  <si>
    <t>Pottsville, PA</t>
  </si>
  <si>
    <t>39140</t>
  </si>
  <si>
    <t>Prescott, AZ</t>
  </si>
  <si>
    <t>39220</t>
  </si>
  <si>
    <t>Price, UT</t>
  </si>
  <si>
    <t>39260</t>
  </si>
  <si>
    <t>Prineville, OR</t>
  </si>
  <si>
    <t>39300</t>
  </si>
  <si>
    <t>Providence-Warwick, RI-MA</t>
  </si>
  <si>
    <t>39340</t>
  </si>
  <si>
    <t>Provo-Orem, UT</t>
  </si>
  <si>
    <t>39380</t>
  </si>
  <si>
    <t>Pueblo, CO</t>
  </si>
  <si>
    <t>39420</t>
  </si>
  <si>
    <t>Pullman, WA</t>
  </si>
  <si>
    <t>39460</t>
  </si>
  <si>
    <t>Punta Gorda, FL</t>
  </si>
  <si>
    <t>39500</t>
  </si>
  <si>
    <t>Quincy, IL-MO</t>
  </si>
  <si>
    <t>39540</t>
  </si>
  <si>
    <t>Racine, WI</t>
  </si>
  <si>
    <t>39580</t>
  </si>
  <si>
    <t>Raleigh, NC</t>
  </si>
  <si>
    <t>39660</t>
  </si>
  <si>
    <t>Rapid City, SD</t>
  </si>
  <si>
    <t>39700</t>
  </si>
  <si>
    <t>Raymondville, TX</t>
  </si>
  <si>
    <t>39740</t>
  </si>
  <si>
    <t>Reading, PA</t>
  </si>
  <si>
    <t>39780</t>
  </si>
  <si>
    <t>Red Bluff, CA</t>
  </si>
  <si>
    <t>39820</t>
  </si>
  <si>
    <t>Redding, CA</t>
  </si>
  <si>
    <t>39860</t>
  </si>
  <si>
    <t>Red Wing, MN</t>
  </si>
  <si>
    <t>39900</t>
  </si>
  <si>
    <t>Reno, NV</t>
  </si>
  <si>
    <t>39940</t>
  </si>
  <si>
    <t>Rexburg, ID</t>
  </si>
  <si>
    <t>39980</t>
  </si>
  <si>
    <t>Richmond, IN</t>
  </si>
  <si>
    <t>40060</t>
  </si>
  <si>
    <t>Richmond, VA</t>
  </si>
  <si>
    <t>40080</t>
  </si>
  <si>
    <t>Richmond-Berea, KY</t>
  </si>
  <si>
    <t>40100</t>
  </si>
  <si>
    <t>Rio Grande City, TX</t>
  </si>
  <si>
    <t>40140</t>
  </si>
  <si>
    <t>Riverside-San Bernardino-Ontario, CA</t>
  </si>
  <si>
    <t>40180</t>
  </si>
  <si>
    <t>Riverton, WY</t>
  </si>
  <si>
    <t>40220</t>
  </si>
  <si>
    <t>Roanoke, VA</t>
  </si>
  <si>
    <t>40260</t>
  </si>
  <si>
    <t>Roanoke Rapids, NC</t>
  </si>
  <si>
    <t>40300</t>
  </si>
  <si>
    <t>Rochelle, IL</t>
  </si>
  <si>
    <t>40340</t>
  </si>
  <si>
    <t>Rochester, MN</t>
  </si>
  <si>
    <t>40380</t>
  </si>
  <si>
    <t>Rochester, NY</t>
  </si>
  <si>
    <t>40420</t>
  </si>
  <si>
    <t>Rockford, IL</t>
  </si>
  <si>
    <t>40460</t>
  </si>
  <si>
    <t>Rockingham, NC</t>
  </si>
  <si>
    <t>40540</t>
  </si>
  <si>
    <t>Rock Springs, WY</t>
  </si>
  <si>
    <t>40580</t>
  </si>
  <si>
    <t>Rocky Mount, NC</t>
  </si>
  <si>
    <t>40620</t>
  </si>
  <si>
    <t>Rolla, MO</t>
  </si>
  <si>
    <t>40660</t>
  </si>
  <si>
    <t>Rome, GA</t>
  </si>
  <si>
    <t>40700</t>
  </si>
  <si>
    <t>Roseburg, OR</t>
  </si>
  <si>
    <t>40740</t>
  </si>
  <si>
    <t>Roswell, NM</t>
  </si>
  <si>
    <t>40780</t>
  </si>
  <si>
    <t>Russellville, AR</t>
  </si>
  <si>
    <t>40820</t>
  </si>
  <si>
    <t>Ruston, LA</t>
  </si>
  <si>
    <t>40860</t>
  </si>
  <si>
    <t>Rutland, VT</t>
  </si>
  <si>
    <t>40900</t>
  </si>
  <si>
    <t>Sacramento--Roseville--Arden-Arcade, CA</t>
  </si>
  <si>
    <t>40940</t>
  </si>
  <si>
    <t>Safford, AZ</t>
  </si>
  <si>
    <t>40980</t>
  </si>
  <si>
    <t>Saginaw, MI</t>
  </si>
  <si>
    <t>41060</t>
  </si>
  <si>
    <t>St. Cloud, MN</t>
  </si>
  <si>
    <t>41100</t>
  </si>
  <si>
    <t>St. George, UT</t>
  </si>
  <si>
    <t>41140</t>
  </si>
  <si>
    <t>St. Joseph, MO-KS</t>
  </si>
  <si>
    <t>41180</t>
  </si>
  <si>
    <t>St. Louis, MO-IL</t>
  </si>
  <si>
    <t>41220</t>
  </si>
  <si>
    <t>St. Marys, GA</t>
  </si>
  <si>
    <t>41400</t>
  </si>
  <si>
    <t>Salem, OH</t>
  </si>
  <si>
    <t>41420</t>
  </si>
  <si>
    <t>Salem, OR</t>
  </si>
  <si>
    <t>41460</t>
  </si>
  <si>
    <t>Salina, KS</t>
  </si>
  <si>
    <t>41500</t>
  </si>
  <si>
    <t>Salinas, CA</t>
  </si>
  <si>
    <t>41540</t>
  </si>
  <si>
    <t>Salisbury, MD-DE</t>
  </si>
  <si>
    <t>41620</t>
  </si>
  <si>
    <t>Salt Lake City, UT</t>
  </si>
  <si>
    <t>41660</t>
  </si>
  <si>
    <t>San Angelo, TX</t>
  </si>
  <si>
    <t>41700</t>
  </si>
  <si>
    <t>San Antonio-New Braunfels, TX</t>
  </si>
  <si>
    <t>41740</t>
  </si>
  <si>
    <t>San Diego-Carlsbad, CA</t>
  </si>
  <si>
    <t>41760</t>
  </si>
  <si>
    <t>Sandpoint, ID</t>
  </si>
  <si>
    <t>41780</t>
  </si>
  <si>
    <t>Sandusky, OH</t>
  </si>
  <si>
    <t>41820</t>
  </si>
  <si>
    <t>Sanford, NC</t>
  </si>
  <si>
    <t>41860</t>
  </si>
  <si>
    <t>San Francisco-Oakland-Hayward, CA</t>
  </si>
  <si>
    <t>41940</t>
  </si>
  <si>
    <t>San Jose-Sunnyvale-Santa Clara, CA</t>
  </si>
  <si>
    <t>42020</t>
  </si>
  <si>
    <t>San Luis Obispo-Paso Robles-Arroyo Grande, CA</t>
  </si>
  <si>
    <t>42100</t>
  </si>
  <si>
    <t>Santa Cruz-Watsonville, CA</t>
  </si>
  <si>
    <t>42140</t>
  </si>
  <si>
    <t>Santa Fe, NM</t>
  </si>
  <si>
    <t>42200</t>
  </si>
  <si>
    <t>Santa Maria-Santa Barbara, CA</t>
  </si>
  <si>
    <t>42220</t>
  </si>
  <si>
    <t>Santa Rosa, CA</t>
  </si>
  <si>
    <t>42300</t>
  </si>
  <si>
    <t>Sault Ste. Marie, MI</t>
  </si>
  <si>
    <t>42340</t>
  </si>
  <si>
    <t>Savannah, GA</t>
  </si>
  <si>
    <t>42380</t>
  </si>
  <si>
    <t>Sayre, PA</t>
  </si>
  <si>
    <t>42420</t>
  </si>
  <si>
    <t>Scottsbluff, NE</t>
  </si>
  <si>
    <t>42460</t>
  </si>
  <si>
    <t>Scottsboro, AL</t>
  </si>
  <si>
    <t>42540</t>
  </si>
  <si>
    <t>Scranton--Wilkes-Barre--Hazleton, PA</t>
  </si>
  <si>
    <t>42620</t>
  </si>
  <si>
    <t>Searcy, AR</t>
  </si>
  <si>
    <t>42660</t>
  </si>
  <si>
    <t>Seattle-Tacoma-Bellevue, WA</t>
  </si>
  <si>
    <t>42680</t>
  </si>
  <si>
    <t>Sebastian-Vero Beach, FL</t>
  </si>
  <si>
    <t>42700</t>
  </si>
  <si>
    <t>Sebring, FL</t>
  </si>
  <si>
    <t>42740</t>
  </si>
  <si>
    <t>Sedalia, MO</t>
  </si>
  <si>
    <t>42780</t>
  </si>
  <si>
    <t>Selinsgrove, PA</t>
  </si>
  <si>
    <t>42820</t>
  </si>
  <si>
    <t>Selma, AL</t>
  </si>
  <si>
    <t>42860</t>
  </si>
  <si>
    <t>Seneca, SC</t>
  </si>
  <si>
    <t>42900</t>
  </si>
  <si>
    <t>Seneca Falls, NY</t>
  </si>
  <si>
    <t>42940</t>
  </si>
  <si>
    <t>Sevierville, TN</t>
  </si>
  <si>
    <t>42980</t>
  </si>
  <si>
    <t>Seymour, IN</t>
  </si>
  <si>
    <t>43020</t>
  </si>
  <si>
    <t>Shawano, WI</t>
  </si>
  <si>
    <t>43060</t>
  </si>
  <si>
    <t>Shawnee, OK</t>
  </si>
  <si>
    <t>43100</t>
  </si>
  <si>
    <t>Sheboygan, WI</t>
  </si>
  <si>
    <t>43140</t>
  </si>
  <si>
    <t>Shelby, NC</t>
  </si>
  <si>
    <t>43180</t>
  </si>
  <si>
    <t>Shelbyville, TN</t>
  </si>
  <si>
    <t>43220</t>
  </si>
  <si>
    <t>Shelton, WA</t>
  </si>
  <si>
    <t>43260</t>
  </si>
  <si>
    <t>Sheridan, WY</t>
  </si>
  <si>
    <t>43300</t>
  </si>
  <si>
    <t>Sherman-Denison, TX</t>
  </si>
  <si>
    <t>43320</t>
  </si>
  <si>
    <t>Show Low, AZ</t>
  </si>
  <si>
    <t>43340</t>
  </si>
  <si>
    <t>Shreveport-Bossier City, LA</t>
  </si>
  <si>
    <t>43380</t>
  </si>
  <si>
    <t>Sidney, OH</t>
  </si>
  <si>
    <t>43420</t>
  </si>
  <si>
    <t>Sierra Vista-Douglas, AZ</t>
  </si>
  <si>
    <t>43460</t>
  </si>
  <si>
    <t>Sikeston, MO</t>
  </si>
  <si>
    <t>43500</t>
  </si>
  <si>
    <t>Silver City, NM</t>
  </si>
  <si>
    <t>43580</t>
  </si>
  <si>
    <t>Sioux City, IA-NE-SD</t>
  </si>
  <si>
    <t>43620</t>
  </si>
  <si>
    <t>Sioux Falls, SD</t>
  </si>
  <si>
    <t>43660</t>
  </si>
  <si>
    <t>Snyder, TX</t>
  </si>
  <si>
    <t>43700</t>
  </si>
  <si>
    <t>Somerset, KY</t>
  </si>
  <si>
    <t>43740</t>
  </si>
  <si>
    <t>Somerset, PA</t>
  </si>
  <si>
    <t>43760</t>
  </si>
  <si>
    <t>Sonora, CA</t>
  </si>
  <si>
    <t>43780</t>
  </si>
  <si>
    <t>South Bend-Mishawaka, IN-MI</t>
  </si>
  <si>
    <t>43900</t>
  </si>
  <si>
    <t>Spartanburg, SC</t>
  </si>
  <si>
    <t>43940</t>
  </si>
  <si>
    <t>Spearfish, SD</t>
  </si>
  <si>
    <t>43980</t>
  </si>
  <si>
    <t>Spencer, IA</t>
  </si>
  <si>
    <t>44020</t>
  </si>
  <si>
    <t>Spirit Lake, IA</t>
  </si>
  <si>
    <t>44060</t>
  </si>
  <si>
    <t>Spokane-Spokane Valley, WA</t>
  </si>
  <si>
    <t>44100</t>
  </si>
  <si>
    <t>Springfield, IL</t>
  </si>
  <si>
    <t>44140</t>
  </si>
  <si>
    <t>Springfield, MA</t>
  </si>
  <si>
    <t>44180</t>
  </si>
  <si>
    <t>Springfield, MO</t>
  </si>
  <si>
    <t>44220</t>
  </si>
  <si>
    <t>Springfield, OH</t>
  </si>
  <si>
    <t>44260</t>
  </si>
  <si>
    <t>Starkville, MS</t>
  </si>
  <si>
    <t>44300</t>
  </si>
  <si>
    <t>State College, PA</t>
  </si>
  <si>
    <t>44340</t>
  </si>
  <si>
    <t>Statesboro, GA</t>
  </si>
  <si>
    <t>44420</t>
  </si>
  <si>
    <t>Staunton-Waynesboro, VA</t>
  </si>
  <si>
    <t>44460</t>
  </si>
  <si>
    <t>Steamboat Springs, CO</t>
  </si>
  <si>
    <t>44500</t>
  </si>
  <si>
    <t>Stephenville, TX</t>
  </si>
  <si>
    <t>44540</t>
  </si>
  <si>
    <t>Sterling, CO</t>
  </si>
  <si>
    <t>44580</t>
  </si>
  <si>
    <t>Sterling, IL</t>
  </si>
  <si>
    <t>44620</t>
  </si>
  <si>
    <t>Stevens Point, WI</t>
  </si>
  <si>
    <t>44660</t>
  </si>
  <si>
    <t>Stillwater, OK</t>
  </si>
  <si>
    <t>44700</t>
  </si>
  <si>
    <t>Stockton-Lodi, CA</t>
  </si>
  <si>
    <t>44740</t>
  </si>
  <si>
    <t>Storm Lake, IA</t>
  </si>
  <si>
    <t>44780</t>
  </si>
  <si>
    <t>Sturgis, MI</t>
  </si>
  <si>
    <t>44860</t>
  </si>
  <si>
    <t>Sulphur Springs, TX</t>
  </si>
  <si>
    <t>44900</t>
  </si>
  <si>
    <t>Summerville, GA</t>
  </si>
  <si>
    <t>44920</t>
  </si>
  <si>
    <t>Summit Park, UT</t>
  </si>
  <si>
    <t>44940</t>
  </si>
  <si>
    <t>Sumter, SC</t>
  </si>
  <si>
    <t>44980</t>
  </si>
  <si>
    <t>Sunbury, PA</t>
  </si>
  <si>
    <t>45000</t>
  </si>
  <si>
    <t>Susanville, CA</t>
  </si>
  <si>
    <t>45020</t>
  </si>
  <si>
    <t>Sweetwater, TX</t>
  </si>
  <si>
    <t>45060</t>
  </si>
  <si>
    <t>Syracuse, NY</t>
  </si>
  <si>
    <t>45140</t>
  </si>
  <si>
    <t>Tahlequah, OK</t>
  </si>
  <si>
    <t>45180</t>
  </si>
  <si>
    <t>Talladega-Sylacauga, AL</t>
  </si>
  <si>
    <t>45220</t>
  </si>
  <si>
    <t>Tallahassee, FL</t>
  </si>
  <si>
    <t>45300</t>
  </si>
  <si>
    <t>Tampa-St. Petersburg-Clearwater, FL</t>
  </si>
  <si>
    <t>45340</t>
  </si>
  <si>
    <t>Taos, NM</t>
  </si>
  <si>
    <t>45380</t>
  </si>
  <si>
    <t>Taylorville, IL</t>
  </si>
  <si>
    <t>45460</t>
  </si>
  <si>
    <t>Terre Haute, IN</t>
  </si>
  <si>
    <t>45500</t>
  </si>
  <si>
    <t>Texarkana, TX-AR</t>
  </si>
  <si>
    <t>45520</t>
  </si>
  <si>
    <t>The Dalles, OR</t>
  </si>
  <si>
    <t>45540</t>
  </si>
  <si>
    <t>The Villages, FL</t>
  </si>
  <si>
    <t>45580</t>
  </si>
  <si>
    <t>Thomaston, GA</t>
  </si>
  <si>
    <t>45620</t>
  </si>
  <si>
    <t>Thomasville, GA</t>
  </si>
  <si>
    <t>45660</t>
  </si>
  <si>
    <t>Tiffin, OH</t>
  </si>
  <si>
    <t>45700</t>
  </si>
  <si>
    <t>Tifton, GA</t>
  </si>
  <si>
    <t>45740</t>
  </si>
  <si>
    <t>Toccoa, GA</t>
  </si>
  <si>
    <t>45780</t>
  </si>
  <si>
    <t>Toledo, OH</t>
  </si>
  <si>
    <t>45820</t>
  </si>
  <si>
    <t>Topeka, KS</t>
  </si>
  <si>
    <t>45860</t>
  </si>
  <si>
    <t>Torrington, CT</t>
  </si>
  <si>
    <t>45900</t>
  </si>
  <si>
    <t>Traverse City, MI</t>
  </si>
  <si>
    <t>45940</t>
  </si>
  <si>
    <t>Trenton, NJ</t>
  </si>
  <si>
    <t>45980</t>
  </si>
  <si>
    <t>Troy, AL</t>
  </si>
  <si>
    <t>46020</t>
  </si>
  <si>
    <t>Truckee-Grass Valley, CA</t>
  </si>
  <si>
    <t>46060</t>
  </si>
  <si>
    <t>Tucson, AZ</t>
  </si>
  <si>
    <t>46100</t>
  </si>
  <si>
    <t>Tullahoma-Manchester, TN</t>
  </si>
  <si>
    <t>46140</t>
  </si>
  <si>
    <t>Tulsa, OK</t>
  </si>
  <si>
    <t>46180</t>
  </si>
  <si>
    <t>Tupelo, MS</t>
  </si>
  <si>
    <t>46220</t>
  </si>
  <si>
    <t>Tuscaloosa, AL</t>
  </si>
  <si>
    <t>46300</t>
  </si>
  <si>
    <t>Twin Falls, ID</t>
  </si>
  <si>
    <t>46340</t>
  </si>
  <si>
    <t>Tyler, TX</t>
  </si>
  <si>
    <t>46380</t>
  </si>
  <si>
    <t>Ukiah, CA</t>
  </si>
  <si>
    <t>46460</t>
  </si>
  <si>
    <t>Union City, TN-KY</t>
  </si>
  <si>
    <t>46500</t>
  </si>
  <si>
    <t>Urbana, OH</t>
  </si>
  <si>
    <t>46520</t>
  </si>
  <si>
    <t>Urban Honolulu, HI</t>
  </si>
  <si>
    <t>46540</t>
  </si>
  <si>
    <t>Utica-Rome, NY</t>
  </si>
  <si>
    <t>46620</t>
  </si>
  <si>
    <t>Uvalde, TX</t>
  </si>
  <si>
    <t>46660</t>
  </si>
  <si>
    <t>Valdosta, GA</t>
  </si>
  <si>
    <t>46700</t>
  </si>
  <si>
    <t>Vallejo-Fairfield, CA</t>
  </si>
  <si>
    <t>46740</t>
  </si>
  <si>
    <t>Valley, AL</t>
  </si>
  <si>
    <t>46780</t>
  </si>
  <si>
    <t>Van Wert, OH</t>
  </si>
  <si>
    <t>46820</t>
  </si>
  <si>
    <t>Vermillion, SD</t>
  </si>
  <si>
    <t>46860</t>
  </si>
  <si>
    <t>Vernal, UT</t>
  </si>
  <si>
    <t>46900</t>
  </si>
  <si>
    <t>Vernon, TX</t>
  </si>
  <si>
    <t>46980</t>
  </si>
  <si>
    <t>Vicksburg, MS</t>
  </si>
  <si>
    <t>47020</t>
  </si>
  <si>
    <t>Victoria, TX</t>
  </si>
  <si>
    <t>47080</t>
  </si>
  <si>
    <t>Vidalia, GA</t>
  </si>
  <si>
    <t>47180</t>
  </si>
  <si>
    <t>Vincennes, IN</t>
  </si>
  <si>
    <t>47220</t>
  </si>
  <si>
    <t>Vineland-Bridgeton, NJ</t>
  </si>
  <si>
    <t>47260</t>
  </si>
  <si>
    <t>Virginia Beach-Norfolk-Newport News, VA-NC</t>
  </si>
  <si>
    <t>47300</t>
  </si>
  <si>
    <t>Visalia-Porterville, CA</t>
  </si>
  <si>
    <t>47340</t>
  </si>
  <si>
    <t>Wabash, IN</t>
  </si>
  <si>
    <t>47380</t>
  </si>
  <si>
    <t>Waco, TX</t>
  </si>
  <si>
    <t>47420</t>
  </si>
  <si>
    <t>Wahpeton, ND-MN</t>
  </si>
  <si>
    <t>47460</t>
  </si>
  <si>
    <t>Walla Walla, WA</t>
  </si>
  <si>
    <t>47540</t>
  </si>
  <si>
    <t>Wapakoneta, OH</t>
  </si>
  <si>
    <t>47580</t>
  </si>
  <si>
    <t>Warner Robins, GA</t>
  </si>
  <si>
    <t>47620</t>
  </si>
  <si>
    <t>Warren, PA</t>
  </si>
  <si>
    <t>47660</t>
  </si>
  <si>
    <t>Warrensburg, MO</t>
  </si>
  <si>
    <t>47700</t>
  </si>
  <si>
    <t>Warsaw, IN</t>
  </si>
  <si>
    <t>47780</t>
  </si>
  <si>
    <t>Washington, IN</t>
  </si>
  <si>
    <t>47820</t>
  </si>
  <si>
    <t>Washington, NC</t>
  </si>
  <si>
    <t>47900</t>
  </si>
  <si>
    <t>Washington-Arlington-Alexandria, DC-VA-MD-WV</t>
  </si>
  <si>
    <t>47940</t>
  </si>
  <si>
    <t>Waterloo-Cedar Falls, IA</t>
  </si>
  <si>
    <t>47980</t>
  </si>
  <si>
    <t>Watertown, SD</t>
  </si>
  <si>
    <t>48020</t>
  </si>
  <si>
    <t>Watertown-Fort Atkinson, WI</t>
  </si>
  <si>
    <t>48060</t>
  </si>
  <si>
    <t>Watertown-Fort Drum, NY</t>
  </si>
  <si>
    <t>48140</t>
  </si>
  <si>
    <t>Wausau, WI</t>
  </si>
  <si>
    <t>48180</t>
  </si>
  <si>
    <t>Waycross, GA</t>
  </si>
  <si>
    <t>48220</t>
  </si>
  <si>
    <t>Weatherford, OK</t>
  </si>
  <si>
    <t>48260</t>
  </si>
  <si>
    <t>Weirton-Steubenville, WV-OH</t>
  </si>
  <si>
    <t>48300</t>
  </si>
  <si>
    <t>Wenatchee, WA</t>
  </si>
  <si>
    <t>48460</t>
  </si>
  <si>
    <t>West Plains, MO</t>
  </si>
  <si>
    <t>48540</t>
  </si>
  <si>
    <t>Wheeling, WV-OH</t>
  </si>
  <si>
    <t>48580</t>
  </si>
  <si>
    <t>Whitewater-Elkhorn, WI</t>
  </si>
  <si>
    <t>48620</t>
  </si>
  <si>
    <t>Wichita, KS</t>
  </si>
  <si>
    <t>48660</t>
  </si>
  <si>
    <t>Wichita Falls, TX</t>
  </si>
  <si>
    <t>48700</t>
  </si>
  <si>
    <t>Williamsport, PA</t>
  </si>
  <si>
    <t>48780</t>
  </si>
  <si>
    <t>Williston, ND</t>
  </si>
  <si>
    <t>48820</t>
  </si>
  <si>
    <t>Willmar, MN</t>
  </si>
  <si>
    <t>48900</t>
  </si>
  <si>
    <t>Wilmington, NC</t>
  </si>
  <si>
    <t>48940</t>
  </si>
  <si>
    <t>Wilmington, OH</t>
  </si>
  <si>
    <t>48980</t>
  </si>
  <si>
    <t>Wilson, NC</t>
  </si>
  <si>
    <t>49020</t>
  </si>
  <si>
    <t>Winchester, VA-WV</t>
  </si>
  <si>
    <t>49080</t>
  </si>
  <si>
    <t>Winnemucca, NV</t>
  </si>
  <si>
    <t>49100</t>
  </si>
  <si>
    <t>Winona, MN</t>
  </si>
  <si>
    <t>49180</t>
  </si>
  <si>
    <t>Winston-Salem, NC</t>
  </si>
  <si>
    <t>49220</t>
  </si>
  <si>
    <t>Wisconsin Rapids-Marshfield, WI</t>
  </si>
  <si>
    <t>49300</t>
  </si>
  <si>
    <t>Wooster, OH</t>
  </si>
  <si>
    <t>49340</t>
  </si>
  <si>
    <t>Worcester, MA-CT</t>
  </si>
  <si>
    <t>49380</t>
  </si>
  <si>
    <t>Worthington, MN</t>
  </si>
  <si>
    <t>49420</t>
  </si>
  <si>
    <t>Yakima, WA</t>
  </si>
  <si>
    <t>49460</t>
  </si>
  <si>
    <t>Yankton, SD</t>
  </si>
  <si>
    <t>49620</t>
  </si>
  <si>
    <t>York-Hanover, PA</t>
  </si>
  <si>
    <t>49660</t>
  </si>
  <si>
    <t>Youngstown-Warren-Boardman, OH-PA</t>
  </si>
  <si>
    <t>49700</t>
  </si>
  <si>
    <t>Yuba City, CA</t>
  </si>
  <si>
    <t>49740</t>
  </si>
  <si>
    <t>Yuma, AZ</t>
  </si>
  <si>
    <t>49780</t>
  </si>
  <si>
    <t>Zanesville, OH</t>
  </si>
  <si>
    <t>49820</t>
  </si>
  <si>
    <t>Zapata, TX</t>
  </si>
  <si>
    <t>Less than $10,000</t>
  </si>
  <si>
    <t>$10,000 to $14,999</t>
  </si>
  <si>
    <t>$15,000 to $24,999</t>
  </si>
  <si>
    <t>$25,000 to $34,999</t>
  </si>
  <si>
    <t>$35,000 to $49,999</t>
  </si>
  <si>
    <t>$50,000 to $74,999</t>
  </si>
  <si>
    <t>$75,000 to $99,999</t>
  </si>
  <si>
    <t>$100,000 to $124,999</t>
  </si>
  <si>
    <t>$125,000 to $149,999</t>
  </si>
  <si>
    <t>$150,000 to $199,999</t>
  </si>
  <si>
    <t>$200,000 or more</t>
  </si>
  <si>
    <t>Don't Know</t>
  </si>
  <si>
    <t>Refused</t>
  </si>
  <si>
    <t>Don't know</t>
  </si>
  <si>
    <t>White</t>
  </si>
  <si>
    <t>Black or African American</t>
  </si>
  <si>
    <t>Asian</t>
  </si>
  <si>
    <t>American Indian or Alaska Native</t>
  </si>
  <si>
    <t>Native Hawaiian or other Pacific Islander</t>
  </si>
  <si>
    <t>Multiple responses selected</t>
  </si>
  <si>
    <t>Some other race</t>
  </si>
  <si>
    <t>[$FNAME:R1]</t>
  </si>
  <si>
    <t>[$FNAME:R2]</t>
  </si>
  <si>
    <t>[$FNAME:R3]</t>
  </si>
  <si>
    <t>[$FNAME:R4]</t>
  </si>
  <si>
    <t>[$FNAME:R5]</t>
  </si>
  <si>
    <t>[$FNAME:R6]</t>
  </si>
  <si>
    <t>[$FNAME:R7]</t>
  </si>
  <si>
    <t>[$FNAME:R8]</t>
  </si>
  <si>
    <t>[$FNAME:R9]</t>
  </si>
  <si>
    <t>[$FNAME:R10]</t>
  </si>
  <si>
    <t>[$FNAME:R11]</t>
  </si>
  <si>
    <t>[$FNAME:R12]</t>
  </si>
  <si>
    <t>[$FNAME:R13]</t>
  </si>
  <si>
    <t>[$FNAME:R14]</t>
  </si>
  <si>
    <t>[$FNAME:R15]</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</si>
  <si>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</si>
  <si>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</si>
  <si>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</si>
  <si>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</si>
  <si>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</si>
  <si>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</si>
  <si>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</si>
  <si>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</si>
  <si>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</si>
  <si>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</si>
  <si>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</si>
  <si>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</si>
  <si>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</si>
  <si>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</si>
  <si>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</si>
  <si>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</si>
  <si>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</si>
  <si>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</si>
  <si>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</si>
  <si>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</si>
  <si>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</si>
  <si>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25</t>
  </si>
  <si>
    <t>Massachusetts</t>
  </si>
  <si>
    <t>26</t>
  </si>
  <si>
    <t>Michigan</t>
  </si>
  <si>
    <t>27</t>
  </si>
  <si>
    <t>Minnesota</t>
  </si>
  <si>
    <t>28</t>
  </si>
  <si>
    <t>Mississippi</t>
  </si>
  <si>
    <t>29</t>
  </si>
  <si>
    <t>Missouri</t>
  </si>
  <si>
    <t>Montana</t>
  </si>
  <si>
    <t>Nebraska</t>
  </si>
  <si>
    <t>Nevada</t>
  </si>
  <si>
    <t>New Hampshire</t>
  </si>
  <si>
    <t>New Jersey</t>
  </si>
  <si>
    <t>35</t>
  </si>
  <si>
    <t>New Mexico</t>
  </si>
  <si>
    <t>36</t>
  </si>
  <si>
    <t>New York</t>
  </si>
  <si>
    <t>37</t>
  </si>
  <si>
    <t>North Carolina</t>
  </si>
  <si>
    <t>38</t>
  </si>
  <si>
    <t>North Dakota</t>
  </si>
  <si>
    <t>39</t>
  </si>
  <si>
    <t>Ohio</t>
  </si>
  <si>
    <t>Oklahoma</t>
  </si>
  <si>
    <t>Oregon</t>
  </si>
  <si>
    <t>Pennsylvania</t>
  </si>
  <si>
    <t>Rhode Island</t>
  </si>
  <si>
    <t>45</t>
  </si>
  <si>
    <t>South Carolina</t>
  </si>
  <si>
    <t>46</t>
  </si>
  <si>
    <t>South Dakota</t>
  </si>
  <si>
    <t>47</t>
  </si>
  <si>
    <t>Tennessee</t>
  </si>
  <si>
    <t>48</t>
  </si>
  <si>
    <t>Texas</t>
  </si>
  <si>
    <t>49</t>
  </si>
  <si>
    <t>Utah</t>
  </si>
  <si>
    <t>Vermont</t>
  </si>
  <si>
    <t>Virginia</t>
  </si>
  <si>
    <t>Washington</t>
  </si>
  <si>
    <t>West Virginia</t>
  </si>
  <si>
    <t>55</t>
  </si>
  <si>
    <t>Wisconsin</t>
  </si>
  <si>
    <t>56</t>
  </si>
  <si>
    <t>Wyoming</t>
  </si>
  <si>
    <t>Cost / price of home</t>
  </si>
  <si>
    <t>Home size and characteristics</t>
  </si>
  <si>
    <t>Neighborhood characteristics</t>
  </si>
  <si>
    <t>Home or lot size</t>
  </si>
  <si>
    <t>School district / system</t>
  </si>
  <si>
    <t>Convenient to work</t>
  </si>
  <si>
    <t>Convenient to school</t>
  </si>
  <si>
    <t>Convenient to retail (shopping, entertainment, restaurants)</t>
  </si>
  <si>
    <t>Close to friends and family</t>
  </si>
  <si>
    <t>Close to public transportation</t>
  </si>
  <si>
    <t>Close to scenic locations (beach, lake, golf courses)</t>
  </si>
  <si>
    <t xml:space="preserve">Own </t>
  </si>
  <si>
    <t xml:space="preserve">Rent </t>
  </si>
  <si>
    <t xml:space="preserve">Some other arrangement </t>
  </si>
  <si>
    <t>0-49</t>
  </si>
  <si>
    <t>75</t>
  </si>
  <si>
    <t>50-99</t>
  </si>
  <si>
    <t>150</t>
  </si>
  <si>
    <t>100-249</t>
  </si>
  <si>
    <t>350</t>
  </si>
  <si>
    <t>250-499</t>
  </si>
  <si>
    <t>5000</t>
  </si>
  <si>
    <t>4,000-999,999</t>
  </si>
  <si>
    <t xml:space="preserve">Yes </t>
  </si>
  <si>
    <t>English</t>
  </si>
  <si>
    <t>EspaÃ±ol</t>
  </si>
  <si>
    <t>one adult, no children</t>
  </si>
  <si>
    <t>2+ adults, no children</t>
  </si>
  <si>
    <t>one adult, youngest child 0-5</t>
  </si>
  <si>
    <t>2+ adults, youngest child 0-5</t>
  </si>
  <si>
    <t>one adult, youngest child 6-15</t>
  </si>
  <si>
    <t>2+ adults, youngest child 6-15</t>
  </si>
  <si>
    <t>one adult, youngest child 16-21</t>
  </si>
  <si>
    <t>2+ adults, youngest child 16-21</t>
  </si>
  <si>
    <t>one adult, retired, no children</t>
  </si>
  <si>
    <t>2+ adults, retired, no children</t>
  </si>
  <si>
    <t>Home Location</t>
  </si>
  <si>
    <t>Work Location</t>
  </si>
  <si>
    <t>School Location</t>
  </si>
  <si>
    <t>Other Location</t>
  </si>
  <si>
    <t>The day before</t>
  </si>
  <si>
    <t>A few days before</t>
  </si>
  <si>
    <t>A week before</t>
  </si>
  <si>
    <t>More than a week before but within a month</t>
  </si>
  <si>
    <t>More than a month before</t>
  </si>
  <si>
    <t>American Motors</t>
  </si>
  <si>
    <t>Jeep (Includes Willys/Kaiser-Jeep)</t>
  </si>
  <si>
    <t>AM General</t>
  </si>
  <si>
    <t>Chrysler/Daimler Chrysler</t>
  </si>
  <si>
    <t>Dodge</t>
  </si>
  <si>
    <t>Imperial</t>
  </si>
  <si>
    <t>Plymouth</t>
  </si>
  <si>
    <t>Eagle</t>
  </si>
  <si>
    <t>Ford</t>
  </si>
  <si>
    <t>Lincoln</t>
  </si>
  <si>
    <t>Mercury</t>
  </si>
  <si>
    <t>Buick</t>
  </si>
  <si>
    <t xml:space="preserve">Cadillac </t>
  </si>
  <si>
    <t>Chevrolet</t>
  </si>
  <si>
    <t>Oldsmobile</t>
  </si>
  <si>
    <t>Pontiac</t>
  </si>
  <si>
    <t>GMC</t>
  </si>
  <si>
    <t>Saturn</t>
  </si>
  <si>
    <t>Grumman/Grumman-Olson</t>
  </si>
  <si>
    <t>Coda</t>
  </si>
  <si>
    <t>Other Domestic</t>
  </si>
  <si>
    <t>Volkswagen</t>
  </si>
  <si>
    <t>Alfa Romeo</t>
  </si>
  <si>
    <t>Audi</t>
  </si>
  <si>
    <t>Austin/Austin Healey</t>
  </si>
  <si>
    <t>BMW</t>
  </si>
  <si>
    <t>Nissan/Datsun</t>
  </si>
  <si>
    <t>Fiat</t>
  </si>
  <si>
    <t>Honda</t>
  </si>
  <si>
    <t>Isuzu</t>
  </si>
  <si>
    <t>Jaguar</t>
  </si>
  <si>
    <t>Lancia</t>
  </si>
  <si>
    <t>Mazda</t>
  </si>
  <si>
    <t>Mercedes Benz</t>
  </si>
  <si>
    <t>MG</t>
  </si>
  <si>
    <t>Peugeot</t>
  </si>
  <si>
    <t>Porsche</t>
  </si>
  <si>
    <t>Renault</t>
  </si>
  <si>
    <t>Saab</t>
  </si>
  <si>
    <t>Subaru</t>
  </si>
  <si>
    <t>Toyota</t>
  </si>
  <si>
    <t>Triumph</t>
  </si>
  <si>
    <t>Volvo</t>
  </si>
  <si>
    <t>Mitsubishi</t>
  </si>
  <si>
    <t>Suzuki</t>
  </si>
  <si>
    <t>Acura</t>
  </si>
  <si>
    <t>Hyundai</t>
  </si>
  <si>
    <t>Merkur</t>
  </si>
  <si>
    <t>57</t>
  </si>
  <si>
    <t>Yugo</t>
  </si>
  <si>
    <t>58</t>
  </si>
  <si>
    <t>Infiniti</t>
  </si>
  <si>
    <t>59</t>
  </si>
  <si>
    <t>Lexus</t>
  </si>
  <si>
    <t>Daihatsu</t>
  </si>
  <si>
    <t>Sterling</t>
  </si>
  <si>
    <t>Land Rover</t>
  </si>
  <si>
    <t>KIA</t>
  </si>
  <si>
    <t>Daewoo</t>
  </si>
  <si>
    <t>65</t>
  </si>
  <si>
    <t>Smart</t>
  </si>
  <si>
    <t>67</t>
  </si>
  <si>
    <t>Scion</t>
  </si>
  <si>
    <t>69</t>
  </si>
  <si>
    <t>Other Import</t>
  </si>
  <si>
    <t>BSA</t>
  </si>
  <si>
    <t>Ducati</t>
  </si>
  <si>
    <t>Harley-Davidson</t>
  </si>
  <si>
    <t>Kawasaki</t>
  </si>
  <si>
    <t>Moto-Guzzi</t>
  </si>
  <si>
    <t>Norton</t>
  </si>
  <si>
    <t>76</t>
  </si>
  <si>
    <t>Yamaha</t>
  </si>
  <si>
    <t>77</t>
  </si>
  <si>
    <t>Victory</t>
  </si>
  <si>
    <t>Brockway</t>
  </si>
  <si>
    <t>Diamond Reo or Reo</t>
  </si>
  <si>
    <t>Freightliner</t>
  </si>
  <si>
    <t>FWD</t>
  </si>
  <si>
    <t>International Harvester/Navistar</t>
  </si>
  <si>
    <t>85</t>
  </si>
  <si>
    <t>Kenworth</t>
  </si>
  <si>
    <t>86</t>
  </si>
  <si>
    <t>Mack</t>
  </si>
  <si>
    <t>87</t>
  </si>
  <si>
    <t>Peterbilt</t>
  </si>
  <si>
    <t>88</t>
  </si>
  <si>
    <t>Iveco/Magirus</t>
  </si>
  <si>
    <t>89</t>
  </si>
  <si>
    <t>White/Autocar-White/GMC</t>
  </si>
  <si>
    <t>Bluebird</t>
  </si>
  <si>
    <t>Eagle Coach</t>
  </si>
  <si>
    <t>Gillig</t>
  </si>
  <si>
    <t>MCI</t>
  </si>
  <si>
    <t>Thomas Built</t>
  </si>
  <si>
    <t>98</t>
  </si>
  <si>
    <t>Other</t>
  </si>
  <si>
    <t>99</t>
  </si>
  <si>
    <t>Unknown</t>
  </si>
  <si>
    <t>997</t>
  </si>
  <si>
    <t>Cane</t>
  </si>
  <si>
    <t>Walker</t>
  </si>
  <si>
    <t>White cane</t>
  </si>
  <si>
    <t>Seeing-eye dog or other K-9 assistance</t>
  </si>
  <si>
    <t>Crutches</t>
  </si>
  <si>
    <t>Motorized scooter</t>
  </si>
  <si>
    <t>Manual wheelchair</t>
  </si>
  <si>
    <t>Motorized wheelchair</t>
  </si>
  <si>
    <t>6 months or less</t>
  </si>
  <si>
    <t>More than 6 months</t>
  </si>
  <si>
    <t>All [$YOUR_THEIR] life</t>
  </si>
  <si>
    <t>1001</t>
  </si>
  <si>
    <t>Rambler American</t>
  </si>
  <si>
    <t>1002</t>
  </si>
  <si>
    <t>Rebel/Matador/Marlin</t>
  </si>
  <si>
    <t>1003</t>
  </si>
  <si>
    <t>Ambassador</t>
  </si>
  <si>
    <t>1004</t>
  </si>
  <si>
    <t>Pacer</t>
  </si>
  <si>
    <t>1005</t>
  </si>
  <si>
    <t>AMX</t>
  </si>
  <si>
    <t>1006</t>
  </si>
  <si>
    <t>Javelin</t>
  </si>
  <si>
    <t>1007</t>
  </si>
  <si>
    <t>Hornet/Concord</t>
  </si>
  <si>
    <t>1008</t>
  </si>
  <si>
    <t>Gremlin/Spirit</t>
  </si>
  <si>
    <t>1009</t>
  </si>
  <si>
    <t>1010</t>
  </si>
  <si>
    <t>Eagle SX-4</t>
  </si>
  <si>
    <t>1398</t>
  </si>
  <si>
    <t>Other (automobile)</t>
  </si>
  <si>
    <t>1399</t>
  </si>
  <si>
    <t>Unknown (automobile)</t>
  </si>
  <si>
    <t>2001</t>
  </si>
  <si>
    <t>Compass</t>
  </si>
  <si>
    <t>2401</t>
  </si>
  <si>
    <t>CJ-2/CJ-3/CJ-4</t>
  </si>
  <si>
    <t>2402</t>
  </si>
  <si>
    <t>CJ-5/CJ-6/CJ-7/CJ-8</t>
  </si>
  <si>
    <t>2403</t>
  </si>
  <si>
    <t>YJ series/Wrangler</t>
  </si>
  <si>
    <t>2404</t>
  </si>
  <si>
    <t xml:space="preserve">Cherokee (1984 on) </t>
  </si>
  <si>
    <t>2405</t>
  </si>
  <si>
    <t>Liberty</t>
  </si>
  <si>
    <t>2406</t>
  </si>
  <si>
    <t>Commander</t>
  </si>
  <si>
    <t>2407</t>
  </si>
  <si>
    <t>Patriot</t>
  </si>
  <si>
    <t>2408</t>
  </si>
  <si>
    <t>Renegade</t>
  </si>
  <si>
    <t>2421</t>
  </si>
  <si>
    <t>Cherokee (thru 1983)</t>
  </si>
  <si>
    <t>2422</t>
  </si>
  <si>
    <t>Grand Cherokee (2014 on)</t>
  </si>
  <si>
    <t>2431</t>
  </si>
  <si>
    <t>Grand Wagoneer</t>
  </si>
  <si>
    <t>2481</t>
  </si>
  <si>
    <t>Pick-up</t>
  </si>
  <si>
    <t>2482</t>
  </si>
  <si>
    <t>Comanche</t>
  </si>
  <si>
    <t>2498</t>
  </si>
  <si>
    <t xml:space="preserve">Other (light truck) </t>
  </si>
  <si>
    <t>2499</t>
  </si>
  <si>
    <t xml:space="preserve">Unknown (light truck) </t>
  </si>
  <si>
    <t>2999</t>
  </si>
  <si>
    <t>Unknown (JEEP)</t>
  </si>
  <si>
    <t>3401</t>
  </si>
  <si>
    <t>Dispatcher (Jeep)</t>
  </si>
  <si>
    <t>3402</t>
  </si>
  <si>
    <t>Hummer H3</t>
  </si>
  <si>
    <t>3421</t>
  </si>
  <si>
    <t>Hummer (1993-2003)</t>
  </si>
  <si>
    <t>3431</t>
  </si>
  <si>
    <t>Hummer (2004 on)</t>
  </si>
  <si>
    <t>3441</t>
  </si>
  <si>
    <t>MV-1</t>
  </si>
  <si>
    <t>3466</t>
  </si>
  <si>
    <t>Dispatcher (Van)</t>
  </si>
  <si>
    <t>3481</t>
  </si>
  <si>
    <t>Hummer (Pickup)</t>
  </si>
  <si>
    <t>3482</t>
  </si>
  <si>
    <t>Hummer H3T</t>
  </si>
  <si>
    <t>3498</t>
  </si>
  <si>
    <t xml:space="preserve">Other (light truck)  </t>
  </si>
  <si>
    <t>3499</t>
  </si>
  <si>
    <t xml:space="preserve">Unknown (light truck)  </t>
  </si>
  <si>
    <t>3884</t>
  </si>
  <si>
    <t>Medium/Heavy Truck</t>
  </si>
  <si>
    <t>3898</t>
  </si>
  <si>
    <t>Other (medium/heavy truck)</t>
  </si>
  <si>
    <t>3983</t>
  </si>
  <si>
    <t>Bus: Rear engine, Flat front</t>
  </si>
  <si>
    <t>3988</t>
  </si>
  <si>
    <t>Other (bus)</t>
  </si>
  <si>
    <t>3989</t>
  </si>
  <si>
    <t>Unknown Bus Type</t>
  </si>
  <si>
    <t>3998</t>
  </si>
  <si>
    <t>Other (vehicle)</t>
  </si>
  <si>
    <t>3999</t>
  </si>
  <si>
    <t xml:space="preserve">Unknown (AM GENERAL) </t>
  </si>
  <si>
    <t>6009</t>
  </si>
  <si>
    <t>Cordoba</t>
  </si>
  <si>
    <t>6010</t>
  </si>
  <si>
    <t>New Yorker (thru 1978)/Newport/5th Avenue/Imperial (1979-1983) (excludes all FWD)</t>
  </si>
  <si>
    <t>6014</t>
  </si>
  <si>
    <t>New Yorker/E-Class/Imperial (1990-1993)/Fifth Avenue</t>
  </si>
  <si>
    <t>6015</t>
  </si>
  <si>
    <t>Laser</t>
  </si>
  <si>
    <t>6016</t>
  </si>
  <si>
    <t>LeBaron</t>
  </si>
  <si>
    <t>6017</t>
  </si>
  <si>
    <t>LeBaron GTS/GTC</t>
  </si>
  <si>
    <t>6018</t>
  </si>
  <si>
    <t>200</t>
  </si>
  <si>
    <t>6021</t>
  </si>
  <si>
    <t>SRT Viper</t>
  </si>
  <si>
    <t>6031</t>
  </si>
  <si>
    <t>TC (Maserati Sport)</t>
  </si>
  <si>
    <t>6035</t>
  </si>
  <si>
    <t>Conquest</t>
  </si>
  <si>
    <t>6041</t>
  </si>
  <si>
    <t>Concorde</t>
  </si>
  <si>
    <t>6042</t>
  </si>
  <si>
    <t>LHS</t>
  </si>
  <si>
    <t>6043</t>
  </si>
  <si>
    <t>Sebring</t>
  </si>
  <si>
    <t>6044</t>
  </si>
  <si>
    <t>Cirrus</t>
  </si>
  <si>
    <t>6050</t>
  </si>
  <si>
    <t>Executive</t>
  </si>
  <si>
    <t>6051</t>
  </si>
  <si>
    <t>300M/300/300C/300S</t>
  </si>
  <si>
    <t>6052</t>
  </si>
  <si>
    <t>PT Cruiser</t>
  </si>
  <si>
    <t>6053</t>
  </si>
  <si>
    <t xml:space="preserve">Prowler (2002)  </t>
  </si>
  <si>
    <t>6054</t>
  </si>
  <si>
    <t>Pacifica</t>
  </si>
  <si>
    <t>6055</t>
  </si>
  <si>
    <t>Crossfire</t>
  </si>
  <si>
    <t>6398</t>
  </si>
  <si>
    <t xml:space="preserve">Other (automobile) </t>
  </si>
  <si>
    <t>6399</t>
  </si>
  <si>
    <t xml:space="preserve">Unknown (automobile) </t>
  </si>
  <si>
    <t>6421</t>
  </si>
  <si>
    <t>Aspen</t>
  </si>
  <si>
    <t>6441</t>
  </si>
  <si>
    <t xml:space="preserve">Town and Country </t>
  </si>
  <si>
    <t>6442</t>
  </si>
  <si>
    <t>Voyager (2000 on)</t>
  </si>
  <si>
    <t>6499</t>
  </si>
  <si>
    <t>6999</t>
  </si>
  <si>
    <t xml:space="preserve">Unknown (CHRYSLER) </t>
  </si>
  <si>
    <t>7001</t>
  </si>
  <si>
    <t>Dart (1960-1976)</t>
  </si>
  <si>
    <t>7002</t>
  </si>
  <si>
    <t>Coronet/Magnum/Charger (thru 1978)</t>
  </si>
  <si>
    <t>7003</t>
  </si>
  <si>
    <t>Polara/Monaco/Royal Monaco</t>
  </si>
  <si>
    <t>7004</t>
  </si>
  <si>
    <t>Viper</t>
  </si>
  <si>
    <t>7005</t>
  </si>
  <si>
    <t>Challenger (1970-1974)</t>
  </si>
  <si>
    <t>7006</t>
  </si>
  <si>
    <t>7007</t>
  </si>
  <si>
    <t>Diplomat</t>
  </si>
  <si>
    <t>7008</t>
  </si>
  <si>
    <t>Omni/Charger (1983-1987)</t>
  </si>
  <si>
    <t>7009</t>
  </si>
  <si>
    <t>Mirada</t>
  </si>
  <si>
    <t>7010</t>
  </si>
  <si>
    <t>St Regis</t>
  </si>
  <si>
    <t>7011</t>
  </si>
  <si>
    <t>Aries (K)</t>
  </si>
  <si>
    <t>7012</t>
  </si>
  <si>
    <t>400</t>
  </si>
  <si>
    <t>7013</t>
  </si>
  <si>
    <t>Rampage (car-based pickup)</t>
  </si>
  <si>
    <t>7014</t>
  </si>
  <si>
    <t>600</t>
  </si>
  <si>
    <t>7015</t>
  </si>
  <si>
    <t>Daytona</t>
  </si>
  <si>
    <t>7016</t>
  </si>
  <si>
    <t>Lancer</t>
  </si>
  <si>
    <t>7017</t>
  </si>
  <si>
    <t>Shadow</t>
  </si>
  <si>
    <t>7018</t>
  </si>
  <si>
    <t>Dynasty</t>
  </si>
  <si>
    <t>7019</t>
  </si>
  <si>
    <t>Spirit</t>
  </si>
  <si>
    <t>7020</t>
  </si>
  <si>
    <t>Neon</t>
  </si>
  <si>
    <t>7021</t>
  </si>
  <si>
    <t>Magnum</t>
  </si>
  <si>
    <t>7024</t>
  </si>
  <si>
    <t>Charger (2006 on)</t>
  </si>
  <si>
    <t>7025</t>
  </si>
  <si>
    <t>Caliber</t>
  </si>
  <si>
    <t>7026</t>
  </si>
  <si>
    <t>Avenger (2008 on)</t>
  </si>
  <si>
    <t>7027</t>
  </si>
  <si>
    <t>Journey</t>
  </si>
  <si>
    <t>7028</t>
  </si>
  <si>
    <t>Challenger (2008 on)</t>
  </si>
  <si>
    <t>7029</t>
  </si>
  <si>
    <t>Dart (2013 on)</t>
  </si>
  <si>
    <t>7033</t>
  </si>
  <si>
    <t>Challenger</t>
  </si>
  <si>
    <t>7034</t>
  </si>
  <si>
    <t>Colt (includes 2WD Vista)</t>
  </si>
  <si>
    <t>7035</t>
  </si>
  <si>
    <t>7039</t>
  </si>
  <si>
    <t>Stealth</t>
  </si>
  <si>
    <t>7040</t>
  </si>
  <si>
    <t>Monaco</t>
  </si>
  <si>
    <t>7041</t>
  </si>
  <si>
    <t>Intrepid</t>
  </si>
  <si>
    <t>7042</t>
  </si>
  <si>
    <t>Avenger (1995-2000)</t>
  </si>
  <si>
    <t>7043</t>
  </si>
  <si>
    <t>Stratus</t>
  </si>
  <si>
    <t>7398</t>
  </si>
  <si>
    <t>7399</t>
  </si>
  <si>
    <t>7401</t>
  </si>
  <si>
    <t>RaiderSport</t>
  </si>
  <si>
    <t>7402</t>
  </si>
  <si>
    <t>Durango (1998-2003)</t>
  </si>
  <si>
    <t>7403</t>
  </si>
  <si>
    <t>Nitro</t>
  </si>
  <si>
    <t>7421</t>
  </si>
  <si>
    <t>Ramcharger</t>
  </si>
  <si>
    <t>7422</t>
  </si>
  <si>
    <t>Durango (2004 on)</t>
  </si>
  <si>
    <t>7441</t>
  </si>
  <si>
    <t>Vista Van</t>
  </si>
  <si>
    <t>7442</t>
  </si>
  <si>
    <t>Caravan/Grand Caravan</t>
  </si>
  <si>
    <t>7443</t>
  </si>
  <si>
    <t>Ram C/V</t>
  </si>
  <si>
    <t>7444</t>
  </si>
  <si>
    <t>Promaster City</t>
  </si>
  <si>
    <t>7461</t>
  </si>
  <si>
    <t>B-Series Van/fRam Van/Ram Wagon</t>
  </si>
  <si>
    <t>7462</t>
  </si>
  <si>
    <t>Sprinter</t>
  </si>
  <si>
    <t>7463</t>
  </si>
  <si>
    <t>Ram Promaster</t>
  </si>
  <si>
    <t>7470</t>
  </si>
  <si>
    <t>Van Derivative</t>
  </si>
  <si>
    <t>7471</t>
  </si>
  <si>
    <t>D50, Colt pickup, Ram 50/Ram 100</t>
  </si>
  <si>
    <t>7472</t>
  </si>
  <si>
    <t>Dakota</t>
  </si>
  <si>
    <t>7481</t>
  </si>
  <si>
    <t>D, W-Series pickup</t>
  </si>
  <si>
    <t>7482</t>
  </si>
  <si>
    <t>Ram Pickup</t>
  </si>
  <si>
    <t>7498</t>
  </si>
  <si>
    <t>7499</t>
  </si>
  <si>
    <t>7850</t>
  </si>
  <si>
    <t>Motor Home</t>
  </si>
  <si>
    <t>7870</t>
  </si>
  <si>
    <t>Medium/Heavy Van-Based Vehicle</t>
  </si>
  <si>
    <t>7880</t>
  </si>
  <si>
    <t>Medium/Heavy Pickup (pickup-style only â€“ over 10,000 lbs)</t>
  </si>
  <si>
    <t>7881</t>
  </si>
  <si>
    <t>Medium/Heavy â€“ CBE</t>
  </si>
  <si>
    <t>7882</t>
  </si>
  <si>
    <t>Medium/Heavy â€“ COE low entry</t>
  </si>
  <si>
    <t>7883</t>
  </si>
  <si>
    <t>Medium/Heavy â€“ COE high entry</t>
  </si>
  <si>
    <t>7884</t>
  </si>
  <si>
    <t>Medium/Heavy Â­ Unknown engine Location</t>
  </si>
  <si>
    <t>7890</t>
  </si>
  <si>
    <t>Medium/Heavy Â­ COE entry position unknown</t>
  </si>
  <si>
    <t>7898</t>
  </si>
  <si>
    <t>7981</t>
  </si>
  <si>
    <t>Bus: Conventional (Engine out front)</t>
  </si>
  <si>
    <t>7988</t>
  </si>
  <si>
    <t>7989</t>
  </si>
  <si>
    <t xml:space="preserve">Unknown (bus) </t>
  </si>
  <si>
    <t>7998</t>
  </si>
  <si>
    <t xml:space="preserve">Other (vehicle) </t>
  </si>
  <si>
    <t>7999</t>
  </si>
  <si>
    <t xml:space="preserve">Unknown (DODGE) </t>
  </si>
  <si>
    <t>8010</t>
  </si>
  <si>
    <t>8398</t>
  </si>
  <si>
    <t>8399</t>
  </si>
  <si>
    <t>9001</t>
  </si>
  <si>
    <t>Valiant/Scamp/Duster (thru 1976)</t>
  </si>
  <si>
    <t>9002</t>
  </si>
  <si>
    <t>Satellite/Belvedere</t>
  </si>
  <si>
    <t>9003</t>
  </si>
  <si>
    <t>Fury (Fury Gran thru 1978)</t>
  </si>
  <si>
    <t>9004</t>
  </si>
  <si>
    <t>Gran Fury (1980 on)</t>
  </si>
  <si>
    <t>9005</t>
  </si>
  <si>
    <t>Barracuda</t>
  </si>
  <si>
    <t>9006</t>
  </si>
  <si>
    <t>Volare'</t>
  </si>
  <si>
    <t>9007</t>
  </si>
  <si>
    <t>Caravelle</t>
  </si>
  <si>
    <t>9008</t>
  </si>
  <si>
    <t>Horizon/Turismo</t>
  </si>
  <si>
    <t>9011</t>
  </si>
  <si>
    <t>Reliant (K)</t>
  </si>
  <si>
    <t>9013</t>
  </si>
  <si>
    <t>Scamp-(car-based p/u)</t>
  </si>
  <si>
    <t>9017</t>
  </si>
  <si>
    <t>Sundance</t>
  </si>
  <si>
    <t>9019</t>
  </si>
  <si>
    <t xml:space="preserve">Acclaim </t>
  </si>
  <si>
    <t>9020</t>
  </si>
  <si>
    <t>9031</t>
  </si>
  <si>
    <t>Cricket</t>
  </si>
  <si>
    <t>9032</t>
  </si>
  <si>
    <t>Arrow</t>
  </si>
  <si>
    <t>9033</t>
  </si>
  <si>
    <t>Sapporo</t>
  </si>
  <si>
    <t>9034</t>
  </si>
  <si>
    <t>Champ/Colt import (includes 2WD Vista)</t>
  </si>
  <si>
    <t>9035</t>
  </si>
  <si>
    <t>9037</t>
  </si>
  <si>
    <t>9038</t>
  </si>
  <si>
    <t>Breeze</t>
  </si>
  <si>
    <t>9039</t>
  </si>
  <si>
    <t>Prowler (1997, 1999-2001)</t>
  </si>
  <si>
    <t>9398</t>
  </si>
  <si>
    <t>9399</t>
  </si>
  <si>
    <t>9421</t>
  </si>
  <si>
    <t>Trailduster</t>
  </si>
  <si>
    <t>9441</t>
  </si>
  <si>
    <t>9442</t>
  </si>
  <si>
    <t>Voyager (minivan)</t>
  </si>
  <si>
    <t>9461</t>
  </si>
  <si>
    <t>Van-fullsize (B-series)</t>
  </si>
  <si>
    <t>9471</t>
  </si>
  <si>
    <t>Arrow pickup (foreign)</t>
  </si>
  <si>
    <t>9498</t>
  </si>
  <si>
    <t>9499</t>
  </si>
  <si>
    <t>9998</t>
  </si>
  <si>
    <t>9999</t>
  </si>
  <si>
    <t xml:space="preserve">Unknown (PLYMOUTH) </t>
  </si>
  <si>
    <t>10034</t>
  </si>
  <si>
    <t>Summit (excludes wagon)</t>
  </si>
  <si>
    <t>10037</t>
  </si>
  <si>
    <t>Talon</t>
  </si>
  <si>
    <t>10040</t>
  </si>
  <si>
    <t>Premier</t>
  </si>
  <si>
    <t>10041</t>
  </si>
  <si>
    <t>Vision</t>
  </si>
  <si>
    <t>10044</t>
  </si>
  <si>
    <t>Medallion</t>
  </si>
  <si>
    <t>10045</t>
  </si>
  <si>
    <t>Summit Wagon</t>
  </si>
  <si>
    <t>10398</t>
  </si>
  <si>
    <t>10399</t>
  </si>
  <si>
    <t>12001</t>
  </si>
  <si>
    <t>Falcon</t>
  </si>
  <si>
    <t>12002</t>
  </si>
  <si>
    <t>Fairlane</t>
  </si>
  <si>
    <t>12003</t>
  </si>
  <si>
    <t>Mustang/Mustang II</t>
  </si>
  <si>
    <t>12004</t>
  </si>
  <si>
    <t>Thunderbird (all sizes)</t>
  </si>
  <si>
    <t>12005</t>
  </si>
  <si>
    <t>LTD II</t>
  </si>
  <si>
    <t>12006</t>
  </si>
  <si>
    <t>LTD/Custom/Galaxy (all sizes)</t>
  </si>
  <si>
    <t>12007</t>
  </si>
  <si>
    <t>Ranchero</t>
  </si>
  <si>
    <t>12008</t>
  </si>
  <si>
    <t>Maverick</t>
  </si>
  <si>
    <t>12009</t>
  </si>
  <si>
    <t>Pinto</t>
  </si>
  <si>
    <t>12010</t>
  </si>
  <si>
    <t>Torino/Gran Torino/Elite</t>
  </si>
  <si>
    <t>12011</t>
  </si>
  <si>
    <t>Granada</t>
  </si>
  <si>
    <t>12012</t>
  </si>
  <si>
    <t>Fairmont</t>
  </si>
  <si>
    <t>12013</t>
  </si>
  <si>
    <t>Escort/EXP/ZX2</t>
  </si>
  <si>
    <t>12015</t>
  </si>
  <si>
    <t>Tempo</t>
  </si>
  <si>
    <t>12016</t>
  </si>
  <si>
    <t>Crown Victoria</t>
  </si>
  <si>
    <t>12017</t>
  </si>
  <si>
    <t>Taurus/Taurus X</t>
  </si>
  <si>
    <t>12018</t>
  </si>
  <si>
    <t>Probe</t>
  </si>
  <si>
    <t>12021</t>
  </si>
  <si>
    <t>Five Hundred</t>
  </si>
  <si>
    <t>12022</t>
  </si>
  <si>
    <t>Freestyle</t>
  </si>
  <si>
    <t>12023</t>
  </si>
  <si>
    <t>Fusion</t>
  </si>
  <si>
    <t>12024</t>
  </si>
  <si>
    <t>Edge</t>
  </si>
  <si>
    <t>12025</t>
  </si>
  <si>
    <t>Flex</t>
  </si>
  <si>
    <t>12026</t>
  </si>
  <si>
    <t>12027</t>
  </si>
  <si>
    <t>C-Max</t>
  </si>
  <si>
    <t>12031</t>
  </si>
  <si>
    <t>English Ford</t>
  </si>
  <si>
    <t>12032</t>
  </si>
  <si>
    <t>Fiesta</t>
  </si>
  <si>
    <t>12033</t>
  </si>
  <si>
    <t>Festiva</t>
  </si>
  <si>
    <t>12034</t>
  </si>
  <si>
    <t>12035</t>
  </si>
  <si>
    <t>Contour</t>
  </si>
  <si>
    <t>12036</t>
  </si>
  <si>
    <t>Aspire</t>
  </si>
  <si>
    <t>12037</t>
  </si>
  <si>
    <t>Focus</t>
  </si>
  <si>
    <t>12038</t>
  </si>
  <si>
    <t>GT</t>
  </si>
  <si>
    <t>12398</t>
  </si>
  <si>
    <t>Other (automobile)  Deluxe, Ford Six, Mainline,</t>
  </si>
  <si>
    <t>12399</t>
  </si>
  <si>
    <t>12401</t>
  </si>
  <si>
    <t>Bronco (thru 1977)/Bronco II/Explorer/Explorer Sport</t>
  </si>
  <si>
    <t>12402</t>
  </si>
  <si>
    <t>Escape</t>
  </si>
  <si>
    <t>12421</t>
  </si>
  <si>
    <t>Bronco-full-size (1978 on)</t>
  </si>
  <si>
    <t>12422</t>
  </si>
  <si>
    <t>Expedition</t>
  </si>
  <si>
    <t>12423</t>
  </si>
  <si>
    <t>Excursion</t>
  </si>
  <si>
    <t>12441</t>
  </si>
  <si>
    <t>Aerostar</t>
  </si>
  <si>
    <t>12442</t>
  </si>
  <si>
    <t>Windstar</t>
  </si>
  <si>
    <t>12443</t>
  </si>
  <si>
    <t>Freestar</t>
  </si>
  <si>
    <t>12444</t>
  </si>
  <si>
    <t>Transit Connect</t>
  </si>
  <si>
    <t>12461</t>
  </si>
  <si>
    <t>E-Series Van/Econoline</t>
  </si>
  <si>
    <t>12462</t>
  </si>
  <si>
    <t>Transit</t>
  </si>
  <si>
    <t>12470</t>
  </si>
  <si>
    <t>12471</t>
  </si>
  <si>
    <t>Ranger</t>
  </si>
  <si>
    <t>12473</t>
  </si>
  <si>
    <t>Explorer Sport Trac</t>
  </si>
  <si>
    <t>12481</t>
  </si>
  <si>
    <t>F-Series pickup</t>
  </si>
  <si>
    <t>12498</t>
  </si>
  <si>
    <t>12499</t>
  </si>
  <si>
    <t>12850</t>
  </si>
  <si>
    <t>12870</t>
  </si>
  <si>
    <t>12880</t>
  </si>
  <si>
    <t>Medium/Heavy Pickup (pickup-style only â€“ over 10,000 lbs.)</t>
  </si>
  <si>
    <t>12881</t>
  </si>
  <si>
    <t>12882</t>
  </si>
  <si>
    <t>12883</t>
  </si>
  <si>
    <t>12884</t>
  </si>
  <si>
    <t>Medium/Heavy Â­ Unknown engine location</t>
  </si>
  <si>
    <t>12890</t>
  </si>
  <si>
    <t>12898</t>
  </si>
  <si>
    <t>12981</t>
  </si>
  <si>
    <t>12988</t>
  </si>
  <si>
    <t xml:space="preserve">Other (bus) </t>
  </si>
  <si>
    <t>12989</t>
  </si>
  <si>
    <t>12998</t>
  </si>
  <si>
    <t>12999</t>
  </si>
  <si>
    <t xml:space="preserve">Unknown (FORD) </t>
  </si>
  <si>
    <t>13001</t>
  </si>
  <si>
    <t>Continental (thru 1981)/ Town Car</t>
  </si>
  <si>
    <t>13002</t>
  </si>
  <si>
    <t>Mark</t>
  </si>
  <si>
    <t>13005</t>
  </si>
  <si>
    <t>Continental (1982 on)</t>
  </si>
  <si>
    <t>13011</t>
  </si>
  <si>
    <t>Versailles</t>
  </si>
  <si>
    <t>13012</t>
  </si>
  <si>
    <t>LS</t>
  </si>
  <si>
    <t>13013</t>
  </si>
  <si>
    <t>Zephyr/MKZ</t>
  </si>
  <si>
    <t>13014</t>
  </si>
  <si>
    <t>MKX</t>
  </si>
  <si>
    <t>13015</t>
  </si>
  <si>
    <t>MKS</t>
  </si>
  <si>
    <t>13016</t>
  </si>
  <si>
    <t>MKT</t>
  </si>
  <si>
    <t>13398</t>
  </si>
  <si>
    <t>13399</t>
  </si>
  <si>
    <t>13401</t>
  </si>
  <si>
    <t>Aviator</t>
  </si>
  <si>
    <t>13402</t>
  </si>
  <si>
    <t>MKC</t>
  </si>
  <si>
    <t>13421</t>
  </si>
  <si>
    <t>Navigator</t>
  </si>
  <si>
    <t>13481</t>
  </si>
  <si>
    <t>Blackwood</t>
  </si>
  <si>
    <t>13482</t>
  </si>
  <si>
    <t>Mark LT</t>
  </si>
  <si>
    <t>13498</t>
  </si>
  <si>
    <t>13499</t>
  </si>
  <si>
    <t>13999</t>
  </si>
  <si>
    <t xml:space="preserve">Unknown (LINCOLN) </t>
  </si>
  <si>
    <t>14002</t>
  </si>
  <si>
    <t>Cyclone</t>
  </si>
  <si>
    <t>14003</t>
  </si>
  <si>
    <t>Capri-domestic</t>
  </si>
  <si>
    <t>14004</t>
  </si>
  <si>
    <t>Cougar (1967-1997) /XR7 (1967-1997)</t>
  </si>
  <si>
    <t>14006</t>
  </si>
  <si>
    <t>Marquis/Monterey (car version) /Grand Marquis</t>
  </si>
  <si>
    <t>14008</t>
  </si>
  <si>
    <t>Comet</t>
  </si>
  <si>
    <t>14009</t>
  </si>
  <si>
    <t>Bobcat</t>
  </si>
  <si>
    <t>Montego (thru 1976)</t>
  </si>
  <si>
    <t>14011</t>
  </si>
  <si>
    <t>Monarch</t>
  </si>
  <si>
    <t>14012</t>
  </si>
  <si>
    <t>Zephyr</t>
  </si>
  <si>
    <t>14013</t>
  </si>
  <si>
    <t>Lynx/LN7</t>
  </si>
  <si>
    <t>14015</t>
  </si>
  <si>
    <t>Topaz</t>
  </si>
  <si>
    <t>14017</t>
  </si>
  <si>
    <t>Sable</t>
  </si>
  <si>
    <t>Montego (2005 on)</t>
  </si>
  <si>
    <t>14021</t>
  </si>
  <si>
    <t>Milan</t>
  </si>
  <si>
    <t>14031</t>
  </si>
  <si>
    <t>Capri-foreign</t>
  </si>
  <si>
    <t>14033</t>
  </si>
  <si>
    <t>Pantera-foreign</t>
  </si>
  <si>
    <t>14036</t>
  </si>
  <si>
    <t>Tracer</t>
  </si>
  <si>
    <t>14037</t>
  </si>
  <si>
    <t>Mystique</t>
  </si>
  <si>
    <t>14038</t>
  </si>
  <si>
    <t>Cougar (1999-2002)</t>
  </si>
  <si>
    <t>14039</t>
  </si>
  <si>
    <t>Marauder</t>
  </si>
  <si>
    <t>14398</t>
  </si>
  <si>
    <t>14399</t>
  </si>
  <si>
    <t>14401</t>
  </si>
  <si>
    <t>Mountaineer</t>
  </si>
  <si>
    <t>14402</t>
  </si>
  <si>
    <t>Mariner</t>
  </si>
  <si>
    <t>14443</t>
  </si>
  <si>
    <t>Villager</t>
  </si>
  <si>
    <t>14444</t>
  </si>
  <si>
    <t>Monterey (van version)</t>
  </si>
  <si>
    <t>14498</t>
  </si>
  <si>
    <t>14499</t>
  </si>
  <si>
    <t>14999</t>
  </si>
  <si>
    <t xml:space="preserve">Unknown (MERCURY) </t>
  </si>
  <si>
    <t>18001</t>
  </si>
  <si>
    <t>Special/Skylark</t>
  </si>
  <si>
    <t>18002</t>
  </si>
  <si>
    <t>LeSabre/Centurion/Wildcat</t>
  </si>
  <si>
    <t>18003</t>
  </si>
  <si>
    <t>Electra/Electra 225/Park Avenue (1991 on)</t>
  </si>
  <si>
    <t>18004</t>
  </si>
  <si>
    <t>Roadmaster</t>
  </si>
  <si>
    <t>18005</t>
  </si>
  <si>
    <t>Riviera</t>
  </si>
  <si>
    <t>18007</t>
  </si>
  <si>
    <t>Century</t>
  </si>
  <si>
    <t>18008</t>
  </si>
  <si>
    <t>Apollo/Skylark</t>
  </si>
  <si>
    <t>18010</t>
  </si>
  <si>
    <t>Regal (RWD only)</t>
  </si>
  <si>
    <t>18012</t>
  </si>
  <si>
    <t>Skyhawk</t>
  </si>
  <si>
    <t>18015</t>
  </si>
  <si>
    <t>Skylark (1976-1985)</t>
  </si>
  <si>
    <t>18018</t>
  </si>
  <si>
    <t>Somerset/Skylark</t>
  </si>
  <si>
    <t>18019</t>
  </si>
  <si>
    <t>Regal (2011 on)</t>
  </si>
  <si>
    <t>Regal (FWD)</t>
  </si>
  <si>
    <t>18021</t>
  </si>
  <si>
    <t>Reatta</t>
  </si>
  <si>
    <t>18022</t>
  </si>
  <si>
    <t>LaCrosse</t>
  </si>
  <si>
    <t>18023</t>
  </si>
  <si>
    <t>Lucerne</t>
  </si>
  <si>
    <t>18024</t>
  </si>
  <si>
    <t>Enclave (2008-2012)</t>
  </si>
  <si>
    <t>18025</t>
  </si>
  <si>
    <t>Verano</t>
  </si>
  <si>
    <t>18031</t>
  </si>
  <si>
    <t>Opel Kadett</t>
  </si>
  <si>
    <t>18032</t>
  </si>
  <si>
    <t>Opel Manta</t>
  </si>
  <si>
    <t>18033</t>
  </si>
  <si>
    <t>Opel GT</t>
  </si>
  <si>
    <t>18034</t>
  </si>
  <si>
    <t>Opel Isuzu</t>
  </si>
  <si>
    <t>18398</t>
  </si>
  <si>
    <t>18399</t>
  </si>
  <si>
    <t>18401</t>
  </si>
  <si>
    <t>Rendezvous</t>
  </si>
  <si>
    <t>18402</t>
  </si>
  <si>
    <t>Rainier</t>
  </si>
  <si>
    <t>18404</t>
  </si>
  <si>
    <t>Encore</t>
  </si>
  <si>
    <t>18421</t>
  </si>
  <si>
    <t>Enclave (2013 on)</t>
  </si>
  <si>
    <t>18441</t>
  </si>
  <si>
    <t>Terraza</t>
  </si>
  <si>
    <t>18498</t>
  </si>
  <si>
    <t>18499</t>
  </si>
  <si>
    <t>18999</t>
  </si>
  <si>
    <t xml:space="preserve">Unknown (BUICK) </t>
  </si>
  <si>
    <t>19003</t>
  </si>
  <si>
    <t>Deville/Fleetwood (except Limousine)</t>
  </si>
  <si>
    <t>19004</t>
  </si>
  <si>
    <t>Limousine</t>
  </si>
  <si>
    <t>19005</t>
  </si>
  <si>
    <t>Eldorado</t>
  </si>
  <si>
    <t>19006</t>
  </si>
  <si>
    <t>Commercial Series</t>
  </si>
  <si>
    <t>19009</t>
  </si>
  <si>
    <t>Allante'</t>
  </si>
  <si>
    <t>19014</t>
  </si>
  <si>
    <t>Seville</t>
  </si>
  <si>
    <t>19016</t>
  </si>
  <si>
    <t>Cimarron</t>
  </si>
  <si>
    <t>19017</t>
  </si>
  <si>
    <t>Catera</t>
  </si>
  <si>
    <t>19018</t>
  </si>
  <si>
    <t>CTS/CTC</t>
  </si>
  <si>
    <t>19019</t>
  </si>
  <si>
    <t>XLR</t>
  </si>
  <si>
    <t>19020</t>
  </si>
  <si>
    <t>SRX</t>
  </si>
  <si>
    <t>19021</t>
  </si>
  <si>
    <t>STS</t>
  </si>
  <si>
    <t>19022</t>
  </si>
  <si>
    <t>DTS</t>
  </si>
  <si>
    <t>19023</t>
  </si>
  <si>
    <t>XTS</t>
  </si>
  <si>
    <t>19024</t>
  </si>
  <si>
    <t>ATS</t>
  </si>
  <si>
    <t>19025</t>
  </si>
  <si>
    <t>ELR</t>
  </si>
  <si>
    <t>19398</t>
  </si>
  <si>
    <t>19399</t>
  </si>
  <si>
    <t>19421</t>
  </si>
  <si>
    <t>Escalade/ESV (2004 on)</t>
  </si>
  <si>
    <t>19431</t>
  </si>
  <si>
    <t>Escalade ESV (2003)</t>
  </si>
  <si>
    <t>19480</t>
  </si>
  <si>
    <t>Escalade EXT (2002 -2006)</t>
  </si>
  <si>
    <t>19481</t>
  </si>
  <si>
    <t>Escalade EXT (2007)</t>
  </si>
  <si>
    <t>19498</t>
  </si>
  <si>
    <t>19499</t>
  </si>
  <si>
    <t>19999</t>
  </si>
  <si>
    <t xml:space="preserve">Unknown (CADILLAC) </t>
  </si>
  <si>
    <t>20001</t>
  </si>
  <si>
    <t>Chevelle/Malibu (thru 1983)</t>
  </si>
  <si>
    <t>20002</t>
  </si>
  <si>
    <t>Impala/Caprice (2014 on)</t>
  </si>
  <si>
    <t>20004</t>
  </si>
  <si>
    <t>Corvette</t>
  </si>
  <si>
    <t>20006</t>
  </si>
  <si>
    <t>Corvair</t>
  </si>
  <si>
    <t>20007</t>
  </si>
  <si>
    <t>El Camino</t>
  </si>
  <si>
    <t>20008</t>
  </si>
  <si>
    <t>Nova (thru 1979)</t>
  </si>
  <si>
    <t>20009</t>
  </si>
  <si>
    <t>Camaro</t>
  </si>
  <si>
    <t>20010</t>
  </si>
  <si>
    <t>Monte Carlo (thru 1988)</t>
  </si>
  <si>
    <t>20011</t>
  </si>
  <si>
    <t>Vega</t>
  </si>
  <si>
    <t>20012</t>
  </si>
  <si>
    <t>Monza</t>
  </si>
  <si>
    <t>20013</t>
  </si>
  <si>
    <t>Chevette</t>
  </si>
  <si>
    <t>20015</t>
  </si>
  <si>
    <t>Citation</t>
  </si>
  <si>
    <t>20016</t>
  </si>
  <si>
    <t>Cavalier</t>
  </si>
  <si>
    <t>20017</t>
  </si>
  <si>
    <t>Celebrity</t>
  </si>
  <si>
    <t>20019</t>
  </si>
  <si>
    <t>Beretta/Corsica</t>
  </si>
  <si>
    <t>Lumina</t>
  </si>
  <si>
    <t>20021</t>
  </si>
  <si>
    <t>SS (2014 on)</t>
  </si>
  <si>
    <t>20022</t>
  </si>
  <si>
    <t>Cobalt</t>
  </si>
  <si>
    <t>20023</t>
  </si>
  <si>
    <t>HHR</t>
  </si>
  <si>
    <t>20024</t>
  </si>
  <si>
    <t>Traverse (2009-2012)</t>
  </si>
  <si>
    <t>20025</t>
  </si>
  <si>
    <t>Cruze</t>
  </si>
  <si>
    <t>20026</t>
  </si>
  <si>
    <t>Volt</t>
  </si>
  <si>
    <t>20027</t>
  </si>
  <si>
    <t>Caprice PPV</t>
  </si>
  <si>
    <t>20028</t>
  </si>
  <si>
    <t>Sonic</t>
  </si>
  <si>
    <t>20029</t>
  </si>
  <si>
    <t>Spark</t>
  </si>
  <si>
    <t>20031</t>
  </si>
  <si>
    <t>Spectrum</t>
  </si>
  <si>
    <t>20032</t>
  </si>
  <si>
    <t>Nova/Geo Prism/Prism</t>
  </si>
  <si>
    <t>20033</t>
  </si>
  <si>
    <t>Sprint/Geo Sprint</t>
  </si>
  <si>
    <t>20034</t>
  </si>
  <si>
    <t>Geo Metro/Metro</t>
  </si>
  <si>
    <t>20035</t>
  </si>
  <si>
    <t>Geo Storm</t>
  </si>
  <si>
    <t>20036</t>
  </si>
  <si>
    <t>Monte Carlo (1995 on)</t>
  </si>
  <si>
    <t>20037</t>
  </si>
  <si>
    <t>Malibu/Malibu Maxx</t>
  </si>
  <si>
    <t>20038</t>
  </si>
  <si>
    <t>SSR</t>
  </si>
  <si>
    <t>20039</t>
  </si>
  <si>
    <t>Aveo/Aveo 5</t>
  </si>
  <si>
    <t>20398</t>
  </si>
  <si>
    <t>20399</t>
  </si>
  <si>
    <t>20401</t>
  </si>
  <si>
    <t>S-10 Blazer/TrailBlazer (2002 only)</t>
  </si>
  <si>
    <t>20402</t>
  </si>
  <si>
    <t>Geo Tracker/Tracker</t>
  </si>
  <si>
    <t>20403</t>
  </si>
  <si>
    <t>TrailBlazer (2003 on)</t>
  </si>
  <si>
    <t>20404</t>
  </si>
  <si>
    <t>Equinox</t>
  </si>
  <si>
    <t>20405</t>
  </si>
  <si>
    <t>Captiva</t>
  </si>
  <si>
    <t>20406</t>
  </si>
  <si>
    <t>Trax</t>
  </si>
  <si>
    <t>20421</t>
  </si>
  <si>
    <t>Fullsize Blazer/Tahoe</t>
  </si>
  <si>
    <t>20422</t>
  </si>
  <si>
    <t>Suburban (2004 on)</t>
  </si>
  <si>
    <t>20423</t>
  </si>
  <si>
    <t>Traverse (2013 on)</t>
  </si>
  <si>
    <t>20431</t>
  </si>
  <si>
    <t>Suburban (1950-2003)</t>
  </si>
  <si>
    <t>20441</t>
  </si>
  <si>
    <t>Astro Van</t>
  </si>
  <si>
    <t>20442</t>
  </si>
  <si>
    <t>Lumina APV</t>
  </si>
  <si>
    <t>20443</t>
  </si>
  <si>
    <t>Venture</t>
  </si>
  <si>
    <t>20444</t>
  </si>
  <si>
    <t>Uplander</t>
  </si>
  <si>
    <t>20445</t>
  </si>
  <si>
    <t>City Express</t>
  </si>
  <si>
    <t>20461</t>
  </si>
  <si>
    <t>G-series van</t>
  </si>
  <si>
    <t>20466</t>
  </si>
  <si>
    <t>P-series van</t>
  </si>
  <si>
    <t>20470</t>
  </si>
  <si>
    <t>Van derivative</t>
  </si>
  <si>
    <t>20471</t>
  </si>
  <si>
    <t>S-10/T-10 Pickup</t>
  </si>
  <si>
    <t>20472</t>
  </si>
  <si>
    <t>LUV</t>
  </si>
  <si>
    <t>20473</t>
  </si>
  <si>
    <t>20481</t>
  </si>
  <si>
    <t>C, K, R, V-Series pickup/Silverado</t>
  </si>
  <si>
    <t>20482</t>
  </si>
  <si>
    <t>Avalanche</t>
  </si>
  <si>
    <t>20498</t>
  </si>
  <si>
    <t>20499</t>
  </si>
  <si>
    <t>20850</t>
  </si>
  <si>
    <t>20870</t>
  </si>
  <si>
    <t>20880</t>
  </si>
  <si>
    <t>20881</t>
  </si>
  <si>
    <t>20882</t>
  </si>
  <si>
    <t>20883</t>
  </si>
  <si>
    <t>20884</t>
  </si>
  <si>
    <t>20890</t>
  </si>
  <si>
    <t>20898</t>
  </si>
  <si>
    <t>20981</t>
  </si>
  <si>
    <t>20988</t>
  </si>
  <si>
    <t>20989</t>
  </si>
  <si>
    <t>20998</t>
  </si>
  <si>
    <t>20999</t>
  </si>
  <si>
    <t xml:space="preserve">Unknown (CHEVROLET)  </t>
  </si>
  <si>
    <t>21001</t>
  </si>
  <si>
    <t>Cutlass (RWD-only)</t>
  </si>
  <si>
    <t>21002</t>
  </si>
  <si>
    <t>Delta 88/LSS</t>
  </si>
  <si>
    <t>21003</t>
  </si>
  <si>
    <t>Ninety-Eight/Regency</t>
  </si>
  <si>
    <t>21005</t>
  </si>
  <si>
    <t>Toronado</t>
  </si>
  <si>
    <t>21006</t>
  </si>
  <si>
    <t>21012</t>
  </si>
  <si>
    <t>Starfire</t>
  </si>
  <si>
    <t>21015</t>
  </si>
  <si>
    <t>Omega</t>
  </si>
  <si>
    <t>21016</t>
  </si>
  <si>
    <t>Firenza</t>
  </si>
  <si>
    <t>21017</t>
  </si>
  <si>
    <t>Ciera</t>
  </si>
  <si>
    <t>21018</t>
  </si>
  <si>
    <t>Calais</t>
  </si>
  <si>
    <t>Cutlass (FWD)</t>
  </si>
  <si>
    <t>21021</t>
  </si>
  <si>
    <t>Achieva/Alero</t>
  </si>
  <si>
    <t>21022</t>
  </si>
  <si>
    <t>Aurora</t>
  </si>
  <si>
    <t>21023</t>
  </si>
  <si>
    <t>Intrigue</t>
  </si>
  <si>
    <t>21398</t>
  </si>
  <si>
    <t>21399</t>
  </si>
  <si>
    <t>21401</t>
  </si>
  <si>
    <t>Bravada</t>
  </si>
  <si>
    <t>21441</t>
  </si>
  <si>
    <t>Silhouette</t>
  </si>
  <si>
    <t>21499</t>
  </si>
  <si>
    <t>21999</t>
  </si>
  <si>
    <t xml:space="preserve">Unknown (OLDSMOBILE) </t>
  </si>
  <si>
    <t>22001</t>
  </si>
  <si>
    <t>Lemans /Tempest (thru 1970)</t>
  </si>
  <si>
    <t>22002</t>
  </si>
  <si>
    <t>Bonneville/Catalina/ Parisienne</t>
  </si>
  <si>
    <t>22005</t>
  </si>
  <si>
    <t>Fiero</t>
  </si>
  <si>
    <t>22008</t>
  </si>
  <si>
    <t>Ventura/GTO</t>
  </si>
  <si>
    <t>22009</t>
  </si>
  <si>
    <t>Firebird/Trans AM</t>
  </si>
  <si>
    <t>22010</t>
  </si>
  <si>
    <t>Grand Prix (RWD)</t>
  </si>
  <si>
    <t>22011</t>
  </si>
  <si>
    <t>Astre</t>
  </si>
  <si>
    <t>22012</t>
  </si>
  <si>
    <t>Sunbird (thru 1980)</t>
  </si>
  <si>
    <t>22013</t>
  </si>
  <si>
    <t>T-1000/1000</t>
  </si>
  <si>
    <t>22015</t>
  </si>
  <si>
    <t>Phoenix</t>
  </si>
  <si>
    <t>22016</t>
  </si>
  <si>
    <t>Sunbird (1985-1994) /J-2000/Sunfire (1995 on)</t>
  </si>
  <si>
    <t>22017</t>
  </si>
  <si>
    <t>6000</t>
  </si>
  <si>
    <t>22018</t>
  </si>
  <si>
    <t>Grand AM</t>
  </si>
  <si>
    <t>22019</t>
  </si>
  <si>
    <t>G5</t>
  </si>
  <si>
    <t>Grand Prix (FWD)</t>
  </si>
  <si>
    <t>22022</t>
  </si>
  <si>
    <t>G6</t>
  </si>
  <si>
    <t>22023</t>
  </si>
  <si>
    <t>Solstice</t>
  </si>
  <si>
    <t>22024</t>
  </si>
  <si>
    <t>G8</t>
  </si>
  <si>
    <t>22025</t>
  </si>
  <si>
    <t>G3</t>
  </si>
  <si>
    <t>22031</t>
  </si>
  <si>
    <t>Lemans (1988 on)</t>
  </si>
  <si>
    <t>22032</t>
  </si>
  <si>
    <t>Vibe</t>
  </si>
  <si>
    <t>22398</t>
  </si>
  <si>
    <t>22399</t>
  </si>
  <si>
    <t>22401</t>
  </si>
  <si>
    <t>Aztek</t>
  </si>
  <si>
    <t>22403</t>
  </si>
  <si>
    <t>Torrent</t>
  </si>
  <si>
    <t>22441</t>
  </si>
  <si>
    <t>Trans Sport/ Montana/SV6</t>
  </si>
  <si>
    <t>22499</t>
  </si>
  <si>
    <t>22999</t>
  </si>
  <si>
    <t xml:space="preserve">Unknown (PONTIAC) </t>
  </si>
  <si>
    <t>23007</t>
  </si>
  <si>
    <t>Caballero</t>
  </si>
  <si>
    <t>23008</t>
  </si>
  <si>
    <t>Acadia (2007-2012)</t>
  </si>
  <si>
    <t>23399</t>
  </si>
  <si>
    <t>23401</t>
  </si>
  <si>
    <t>Jimmy/Typhoon/Envoy</t>
  </si>
  <si>
    <t>23402</t>
  </si>
  <si>
    <t>Terrain</t>
  </si>
  <si>
    <t>23421</t>
  </si>
  <si>
    <t>Full-size Jimmy/Yukon</t>
  </si>
  <si>
    <t>23422</t>
  </si>
  <si>
    <t>Suburban/Yukon XL (2004 on)</t>
  </si>
  <si>
    <t>23423</t>
  </si>
  <si>
    <t>Acadia (2013 on)</t>
  </si>
  <si>
    <t>23431</t>
  </si>
  <si>
    <t>Suburban/Yukon XL (1950-2003 only)</t>
  </si>
  <si>
    <t>23441</t>
  </si>
  <si>
    <t>Safari (Minivan)</t>
  </si>
  <si>
    <t>23461</t>
  </si>
  <si>
    <t>G-series van/Savana</t>
  </si>
  <si>
    <t>23466</t>
  </si>
  <si>
    <t>23470</t>
  </si>
  <si>
    <t>23471</t>
  </si>
  <si>
    <t>S15/T15/Sonoma</t>
  </si>
  <si>
    <t>23472</t>
  </si>
  <si>
    <t>Canyon</t>
  </si>
  <si>
    <t>23481</t>
  </si>
  <si>
    <t>C, K, R, V-series pickup/Sierra</t>
  </si>
  <si>
    <t>23498</t>
  </si>
  <si>
    <t>23499</t>
  </si>
  <si>
    <t>23850</t>
  </si>
  <si>
    <t>23870</t>
  </si>
  <si>
    <t>23880</t>
  </si>
  <si>
    <t>23881</t>
  </si>
  <si>
    <t>23882</t>
  </si>
  <si>
    <t>23883</t>
  </si>
  <si>
    <t>23884</t>
  </si>
  <si>
    <t>23890</t>
  </si>
  <si>
    <t>23898</t>
  </si>
  <si>
    <t>23981</t>
  </si>
  <si>
    <t>23988</t>
  </si>
  <si>
    <t>23989</t>
  </si>
  <si>
    <t>23998</t>
  </si>
  <si>
    <t>23999</t>
  </si>
  <si>
    <t xml:space="preserve">Unknown (GMC) </t>
  </si>
  <si>
    <t>24001</t>
  </si>
  <si>
    <t>SL</t>
  </si>
  <si>
    <t>24002</t>
  </si>
  <si>
    <t>SC</t>
  </si>
  <si>
    <t>24003</t>
  </si>
  <si>
    <t>SW</t>
  </si>
  <si>
    <t>24004</t>
  </si>
  <si>
    <t>EV1/EGV1</t>
  </si>
  <si>
    <t>24005</t>
  </si>
  <si>
    <t>24006</t>
  </si>
  <si>
    <t>LW</t>
  </si>
  <si>
    <t>24007</t>
  </si>
  <si>
    <t>Ion</t>
  </si>
  <si>
    <t>24008</t>
  </si>
  <si>
    <t>Sky</t>
  </si>
  <si>
    <t>24009</t>
  </si>
  <si>
    <t>Aura</t>
  </si>
  <si>
    <t>24010</t>
  </si>
  <si>
    <t>Outlook</t>
  </si>
  <si>
    <t>24011</t>
  </si>
  <si>
    <t>Astra</t>
  </si>
  <si>
    <t>24398</t>
  </si>
  <si>
    <t>24399</t>
  </si>
  <si>
    <t>24401</t>
  </si>
  <si>
    <t>Vue</t>
  </si>
  <si>
    <t>24441</t>
  </si>
  <si>
    <t>Relay</t>
  </si>
  <si>
    <t>24499</t>
  </si>
  <si>
    <t>Unknown (light truck)</t>
  </si>
  <si>
    <t>24999</t>
  </si>
  <si>
    <t xml:space="preserve">Unknown (SATURN) </t>
  </si>
  <si>
    <t>25401</t>
  </si>
  <si>
    <t>LLV</t>
  </si>
  <si>
    <t>25441</t>
  </si>
  <si>
    <t>Step-in van</t>
  </si>
  <si>
    <t>25498</t>
  </si>
  <si>
    <t>25499</t>
  </si>
  <si>
    <t>25881</t>
  </si>
  <si>
    <t>25882</t>
  </si>
  <si>
    <t>Medium/Heavy - COE low entry</t>
  </si>
  <si>
    <t>25883</t>
  </si>
  <si>
    <t>Medium/Heavy - COE high entry</t>
  </si>
  <si>
    <t>25884</t>
  </si>
  <si>
    <t>Medium/Heavy - engine location unknown</t>
  </si>
  <si>
    <t>25890</t>
  </si>
  <si>
    <t>Medium/Heavy - entry position unknown</t>
  </si>
  <si>
    <t>25898</t>
  </si>
  <si>
    <t>25983</t>
  </si>
  <si>
    <t>Bus: Flat front, rear engine</t>
  </si>
  <si>
    <t>25988</t>
  </si>
  <si>
    <t>25989</t>
  </si>
  <si>
    <t>25999</t>
  </si>
  <si>
    <t>Unknown (GRUMMAN/GRUMMAN-OLSON)</t>
  </si>
  <si>
    <t>26001</t>
  </si>
  <si>
    <t>26398</t>
  </si>
  <si>
    <t>26399</t>
  </si>
  <si>
    <t>29001</t>
  </si>
  <si>
    <t>Studabaker/Avanti</t>
  </si>
  <si>
    <t>29002</t>
  </si>
  <si>
    <t>Checker</t>
  </si>
  <si>
    <t>29003</t>
  </si>
  <si>
    <t>Panoz</t>
  </si>
  <si>
    <t>29004</t>
  </si>
  <si>
    <t>Saleen</t>
  </si>
  <si>
    <t>29005</t>
  </si>
  <si>
    <t>Tesla</t>
  </si>
  <si>
    <t>29398</t>
  </si>
  <si>
    <t>29399</t>
  </si>
  <si>
    <t xml:space="preserve">Unknown Make </t>
  </si>
  <si>
    <t>30031</t>
  </si>
  <si>
    <t>Karmann Ghia</t>
  </si>
  <si>
    <t>30032</t>
  </si>
  <si>
    <t>Beetle 1300/1500</t>
  </si>
  <si>
    <t>30033</t>
  </si>
  <si>
    <t>Super Beetle</t>
  </si>
  <si>
    <t>30034</t>
  </si>
  <si>
    <t>411/412</t>
  </si>
  <si>
    <t>30035</t>
  </si>
  <si>
    <t>Squareback/Fastback</t>
  </si>
  <si>
    <t>30036</t>
  </si>
  <si>
    <t>Rabbit</t>
  </si>
  <si>
    <t>30037</t>
  </si>
  <si>
    <t>Dasher</t>
  </si>
  <si>
    <t>30038</t>
  </si>
  <si>
    <t>Scirocco</t>
  </si>
  <si>
    <t>30040</t>
  </si>
  <si>
    <t>Jetta/Jetta SportsWagen</t>
  </si>
  <si>
    <t>30041</t>
  </si>
  <si>
    <t>Quantum</t>
  </si>
  <si>
    <t>30042</t>
  </si>
  <si>
    <t>Golf/Cabriolet/Cabrio/GTI/GLI</t>
  </si>
  <si>
    <t>30043</t>
  </si>
  <si>
    <t>Rabbit Pickup</t>
  </si>
  <si>
    <t>30044</t>
  </si>
  <si>
    <t>Fox</t>
  </si>
  <si>
    <t>30045</t>
  </si>
  <si>
    <t>Corrado</t>
  </si>
  <si>
    <t>30046</t>
  </si>
  <si>
    <t>Passat (CC 2008-2011)</t>
  </si>
  <si>
    <t>30047</t>
  </si>
  <si>
    <t>New Beetle</t>
  </si>
  <si>
    <t>30048</t>
  </si>
  <si>
    <t>Phaeton</t>
  </si>
  <si>
    <t>30051</t>
  </si>
  <si>
    <t>Eos</t>
  </si>
  <si>
    <t>30052</t>
  </si>
  <si>
    <t>CC (2012 on)</t>
  </si>
  <si>
    <t>30398</t>
  </si>
  <si>
    <t>30399</t>
  </si>
  <si>
    <t>30401</t>
  </si>
  <si>
    <t>The Thing (181)</t>
  </si>
  <si>
    <t>30402</t>
  </si>
  <si>
    <t>Tiguan</t>
  </si>
  <si>
    <t>30421</t>
  </si>
  <si>
    <t>Touareg/Touareg 2</t>
  </si>
  <si>
    <t>30441</t>
  </si>
  <si>
    <t>Vanagon/Camper</t>
  </si>
  <si>
    <t>30442</t>
  </si>
  <si>
    <t>Eurovan</t>
  </si>
  <si>
    <t>30443</t>
  </si>
  <si>
    <t>Routan</t>
  </si>
  <si>
    <t>30498</t>
  </si>
  <si>
    <t>30499</t>
  </si>
  <si>
    <t>30998</t>
  </si>
  <si>
    <t>30999</t>
  </si>
  <si>
    <t>Unknown (VOLKSWAGEN)</t>
  </si>
  <si>
    <t>31031</t>
  </si>
  <si>
    <t>Spider (Spyder)</t>
  </si>
  <si>
    <t>31032</t>
  </si>
  <si>
    <t>Sports Sedan</t>
  </si>
  <si>
    <t>31033</t>
  </si>
  <si>
    <t>Sprint/Special</t>
  </si>
  <si>
    <t>31034</t>
  </si>
  <si>
    <t>GTV-6</t>
  </si>
  <si>
    <t>31035</t>
  </si>
  <si>
    <t>164 (Alpha 164)</t>
  </si>
  <si>
    <t>31036</t>
  </si>
  <si>
    <t>4c</t>
  </si>
  <si>
    <t>31037</t>
  </si>
  <si>
    <t>Giulia</t>
  </si>
  <si>
    <t>31398</t>
  </si>
  <si>
    <t>31399</t>
  </si>
  <si>
    <t>32031</t>
  </si>
  <si>
    <t>Super 90</t>
  </si>
  <si>
    <t>32032</t>
  </si>
  <si>
    <t>100</t>
  </si>
  <si>
    <t>32033</t>
  </si>
  <si>
    <t>32034</t>
  </si>
  <si>
    <t>4000</t>
  </si>
  <si>
    <t>32035</t>
  </si>
  <si>
    <t>32036</t>
  </si>
  <si>
    <t>80/90</t>
  </si>
  <si>
    <t>32037</t>
  </si>
  <si>
    <t>32038</t>
  </si>
  <si>
    <t>V-8 Quattro</t>
  </si>
  <si>
    <t>32039</t>
  </si>
  <si>
    <t>Coupe Quattro</t>
  </si>
  <si>
    <t>32040</t>
  </si>
  <si>
    <t>S4 (1992-1994; 2000-2011)</t>
  </si>
  <si>
    <t>32041</t>
  </si>
  <si>
    <t>Cabriolet (1994-1998)</t>
  </si>
  <si>
    <t>32042</t>
  </si>
  <si>
    <t>A6</t>
  </si>
  <si>
    <t>32043</t>
  </si>
  <si>
    <t>A4</t>
  </si>
  <si>
    <t>32044</t>
  </si>
  <si>
    <t>A8</t>
  </si>
  <si>
    <t>32045</t>
  </si>
  <si>
    <t>TT/TTS</t>
  </si>
  <si>
    <t>32046</t>
  </si>
  <si>
    <t>S8</t>
  </si>
  <si>
    <t>32047</t>
  </si>
  <si>
    <t>Allroad (2001-2005)</t>
  </si>
  <si>
    <t>32048</t>
  </si>
  <si>
    <t>A3</t>
  </si>
  <si>
    <t>32049</t>
  </si>
  <si>
    <t>A5</t>
  </si>
  <si>
    <t>32050</t>
  </si>
  <si>
    <t>R8</t>
  </si>
  <si>
    <t>32051</t>
  </si>
  <si>
    <t>A7</t>
  </si>
  <si>
    <t>32052</t>
  </si>
  <si>
    <t>S5</t>
  </si>
  <si>
    <t>32054</t>
  </si>
  <si>
    <t>RS5</t>
  </si>
  <si>
    <t>32055</t>
  </si>
  <si>
    <t>S4 (2012 on)</t>
  </si>
  <si>
    <t>32056</t>
  </si>
  <si>
    <t>S6 (2013 on)</t>
  </si>
  <si>
    <t>32057</t>
  </si>
  <si>
    <t>S7</t>
  </si>
  <si>
    <t>32058</t>
  </si>
  <si>
    <t>RS7</t>
  </si>
  <si>
    <t>32059</t>
  </si>
  <si>
    <t>S3</t>
  </si>
  <si>
    <t>32398</t>
  </si>
  <si>
    <t>32399</t>
  </si>
  <si>
    <t>32401</t>
  </si>
  <si>
    <t>Q7</t>
  </si>
  <si>
    <t>32402</t>
  </si>
  <si>
    <t>Q5</t>
  </si>
  <si>
    <t>32403</t>
  </si>
  <si>
    <t>Allroad (2013 on)</t>
  </si>
  <si>
    <t>32404</t>
  </si>
  <si>
    <t>SQ5</t>
  </si>
  <si>
    <t>32405</t>
  </si>
  <si>
    <t>Q3</t>
  </si>
  <si>
    <t>32499</t>
  </si>
  <si>
    <t>32999</t>
  </si>
  <si>
    <t xml:space="preserve">Unknown (AUDI) </t>
  </si>
  <si>
    <t>33031</t>
  </si>
  <si>
    <t>Marina</t>
  </si>
  <si>
    <t>33032</t>
  </si>
  <si>
    <t>America</t>
  </si>
  <si>
    <t>33033</t>
  </si>
  <si>
    <t>Healey Sprite</t>
  </si>
  <si>
    <t>33034</t>
  </si>
  <si>
    <t>Healey 100/3000</t>
  </si>
  <si>
    <t>33035</t>
  </si>
  <si>
    <t>Mini/Mini Cooper/Mini Moke</t>
  </si>
  <si>
    <t>33398</t>
  </si>
  <si>
    <t>33399</t>
  </si>
  <si>
    <t>34031</t>
  </si>
  <si>
    <t>1600/1800/2000/2002</t>
  </si>
  <si>
    <t>34032</t>
  </si>
  <si>
    <t>Coupe (thru 1975)</t>
  </si>
  <si>
    <t>34033</t>
  </si>
  <si>
    <t>Bavarian Sedan</t>
  </si>
  <si>
    <t>34034</t>
  </si>
  <si>
    <t>3-series</t>
  </si>
  <si>
    <t>34035</t>
  </si>
  <si>
    <t>5-series</t>
  </si>
  <si>
    <t>34036</t>
  </si>
  <si>
    <t>6-series</t>
  </si>
  <si>
    <t>34037</t>
  </si>
  <si>
    <t>7-series</t>
  </si>
  <si>
    <t>34038</t>
  </si>
  <si>
    <t>8-series</t>
  </si>
  <si>
    <t>34039</t>
  </si>
  <si>
    <t>Z3</t>
  </si>
  <si>
    <t>34040</t>
  </si>
  <si>
    <t>Z8</t>
  </si>
  <si>
    <t>34041</t>
  </si>
  <si>
    <t>V5</t>
  </si>
  <si>
    <t>34042</t>
  </si>
  <si>
    <t>Z4</t>
  </si>
  <si>
    <t>34043</t>
  </si>
  <si>
    <t>1-Series</t>
  </si>
  <si>
    <t>34044</t>
  </si>
  <si>
    <t>X6</t>
  </si>
  <si>
    <t>34045</t>
  </si>
  <si>
    <t>i3</t>
  </si>
  <si>
    <t>34046</t>
  </si>
  <si>
    <t>i8</t>
  </si>
  <si>
    <t>34047</t>
  </si>
  <si>
    <t>4-Series</t>
  </si>
  <si>
    <t>34048</t>
  </si>
  <si>
    <t>2-Series</t>
  </si>
  <si>
    <t>34049</t>
  </si>
  <si>
    <t>X4</t>
  </si>
  <si>
    <t>34398</t>
  </si>
  <si>
    <t>34399</t>
  </si>
  <si>
    <t>34401</t>
  </si>
  <si>
    <t>X5</t>
  </si>
  <si>
    <t>34402</t>
  </si>
  <si>
    <t>X3</t>
  </si>
  <si>
    <t>34403</t>
  </si>
  <si>
    <t>X1</t>
  </si>
  <si>
    <t>34499</t>
  </si>
  <si>
    <t>34703</t>
  </si>
  <si>
    <t>125-349cc</t>
  </si>
  <si>
    <t>34705</t>
  </si>
  <si>
    <t>450-749cc</t>
  </si>
  <si>
    <t>34706</t>
  </si>
  <si>
    <t>750cc and over</t>
  </si>
  <si>
    <t>34709</t>
  </si>
  <si>
    <t xml:space="preserve">Unknown cc </t>
  </si>
  <si>
    <t>34999</t>
  </si>
  <si>
    <t xml:space="preserve">Unknown (BMW) </t>
  </si>
  <si>
    <t>35031</t>
  </si>
  <si>
    <t>F-10</t>
  </si>
  <si>
    <t>35032</t>
  </si>
  <si>
    <t>200SX/240SX</t>
  </si>
  <si>
    <t>35033</t>
  </si>
  <si>
    <t>210/1200/B210</t>
  </si>
  <si>
    <t>35034</t>
  </si>
  <si>
    <t>Z-car, ZX</t>
  </si>
  <si>
    <t>35035</t>
  </si>
  <si>
    <t>310</t>
  </si>
  <si>
    <t>35036</t>
  </si>
  <si>
    <t>510</t>
  </si>
  <si>
    <t>35037</t>
  </si>
  <si>
    <t>610</t>
  </si>
  <si>
    <t>35038</t>
  </si>
  <si>
    <t>710</t>
  </si>
  <si>
    <t>35039</t>
  </si>
  <si>
    <t>810/Maxima</t>
  </si>
  <si>
    <t>35040</t>
  </si>
  <si>
    <t>Roadster</t>
  </si>
  <si>
    <t>35041</t>
  </si>
  <si>
    <t>311/411</t>
  </si>
  <si>
    <t>35042</t>
  </si>
  <si>
    <t>Stanza</t>
  </si>
  <si>
    <t>35043</t>
  </si>
  <si>
    <t>Sentra</t>
  </si>
  <si>
    <t>35044</t>
  </si>
  <si>
    <t>Pulsar</t>
  </si>
  <si>
    <t>35045</t>
  </si>
  <si>
    <t>Micra</t>
  </si>
  <si>
    <t>35046</t>
  </si>
  <si>
    <t>NX 1600/2000</t>
  </si>
  <si>
    <t>35047</t>
  </si>
  <si>
    <t>Altima</t>
  </si>
  <si>
    <t>35048</t>
  </si>
  <si>
    <t>350Z/370Z</t>
  </si>
  <si>
    <t>35049</t>
  </si>
  <si>
    <t>Murano</t>
  </si>
  <si>
    <t>35050</t>
  </si>
  <si>
    <t>Versa</t>
  </si>
  <si>
    <t>35051</t>
  </si>
  <si>
    <t>Rogue</t>
  </si>
  <si>
    <t>35052</t>
  </si>
  <si>
    <t>Cube</t>
  </si>
  <si>
    <t>35053</t>
  </si>
  <si>
    <t>GT-R</t>
  </si>
  <si>
    <t>35055</t>
  </si>
  <si>
    <t>Leaf</t>
  </si>
  <si>
    <t>35398</t>
  </si>
  <si>
    <t xml:space="preserve">Other (automobile)  </t>
  </si>
  <si>
    <t>35399</t>
  </si>
  <si>
    <t xml:space="preserve">Unknown (automobile)  </t>
  </si>
  <si>
    <t>35401</t>
  </si>
  <si>
    <t>Pathfinder</t>
  </si>
  <si>
    <t>35402</t>
  </si>
  <si>
    <t>Xterra</t>
  </si>
  <si>
    <t>35403</t>
  </si>
  <si>
    <t>Juke</t>
  </si>
  <si>
    <t>35421</t>
  </si>
  <si>
    <t>Pathfinder Armada</t>
  </si>
  <si>
    <t>35441</t>
  </si>
  <si>
    <t>Van</t>
  </si>
  <si>
    <t>35442</t>
  </si>
  <si>
    <t>Axxess</t>
  </si>
  <si>
    <t>35443</t>
  </si>
  <si>
    <t>Quest</t>
  </si>
  <si>
    <t>35444</t>
  </si>
  <si>
    <t>Altra EV</t>
  </si>
  <si>
    <t>35446</t>
  </si>
  <si>
    <t>NV200/eNV200</t>
  </si>
  <si>
    <t>35461</t>
  </si>
  <si>
    <t xml:space="preserve">NV </t>
  </si>
  <si>
    <t>35471</t>
  </si>
  <si>
    <t>Datsun/Nissan Pickup (1955-1997)</t>
  </si>
  <si>
    <t>35472</t>
  </si>
  <si>
    <t>Frontier (1998 on)</t>
  </si>
  <si>
    <t>35473</t>
  </si>
  <si>
    <t>Titan (2004-2006)</t>
  </si>
  <si>
    <t>35481</t>
  </si>
  <si>
    <t>Titan (2007 on)</t>
  </si>
  <si>
    <t>35498</t>
  </si>
  <si>
    <t>35499</t>
  </si>
  <si>
    <t>35870</t>
  </si>
  <si>
    <t>35883</t>
  </si>
  <si>
    <t>35898</t>
  </si>
  <si>
    <t>35999</t>
  </si>
  <si>
    <t xml:space="preserve">Unknown (NISSAN/DATSUN) </t>
  </si>
  <si>
    <t>36031</t>
  </si>
  <si>
    <t>124 (Coupe/Sedan)</t>
  </si>
  <si>
    <t>36032</t>
  </si>
  <si>
    <t>124 Spider/Racer</t>
  </si>
  <si>
    <t>36033</t>
  </si>
  <si>
    <t>Brava/131</t>
  </si>
  <si>
    <t>36034</t>
  </si>
  <si>
    <t>850 (Coupe/Spider)</t>
  </si>
  <si>
    <t>36035</t>
  </si>
  <si>
    <t>128</t>
  </si>
  <si>
    <t>36036</t>
  </si>
  <si>
    <t>X-1/9</t>
  </si>
  <si>
    <t>36037</t>
  </si>
  <si>
    <t>Strada</t>
  </si>
  <si>
    <t>36038</t>
  </si>
  <si>
    <t xml:space="preserve">500/500c </t>
  </si>
  <si>
    <t>36398</t>
  </si>
  <si>
    <t>36399</t>
  </si>
  <si>
    <t>36401</t>
  </si>
  <si>
    <t>500L</t>
  </si>
  <si>
    <t>36402</t>
  </si>
  <si>
    <t>500X</t>
  </si>
  <si>
    <t>36499</t>
  </si>
  <si>
    <t>36882</t>
  </si>
  <si>
    <t>36883</t>
  </si>
  <si>
    <t>36890</t>
  </si>
  <si>
    <t>36898</t>
  </si>
  <si>
    <t>36998</t>
  </si>
  <si>
    <t>36999</t>
  </si>
  <si>
    <t xml:space="preserve">Unknown (FIAT) </t>
  </si>
  <si>
    <t>37031</t>
  </si>
  <si>
    <t>Civic/CRX, del Sol</t>
  </si>
  <si>
    <t>37032</t>
  </si>
  <si>
    <t>Accord</t>
  </si>
  <si>
    <t>37033</t>
  </si>
  <si>
    <t>Prelude</t>
  </si>
  <si>
    <t>37034</t>
  </si>
  <si>
    <t>37035</t>
  </si>
  <si>
    <t>S2000</t>
  </si>
  <si>
    <t>37036</t>
  </si>
  <si>
    <t>EV Plus</t>
  </si>
  <si>
    <t>37037</t>
  </si>
  <si>
    <t>Insight</t>
  </si>
  <si>
    <t>37038</t>
  </si>
  <si>
    <t>FCX</t>
  </si>
  <si>
    <t>37039</t>
  </si>
  <si>
    <t>Fit</t>
  </si>
  <si>
    <t>37041</t>
  </si>
  <si>
    <t>CR-Z</t>
  </si>
  <si>
    <t>37398</t>
  </si>
  <si>
    <t>37399</t>
  </si>
  <si>
    <t>37401</t>
  </si>
  <si>
    <t>Passport</t>
  </si>
  <si>
    <t>37402</t>
  </si>
  <si>
    <t>CR-V</t>
  </si>
  <si>
    <t>37403</t>
  </si>
  <si>
    <t>Element</t>
  </si>
  <si>
    <t>37421</t>
  </si>
  <si>
    <t>Pilot</t>
  </si>
  <si>
    <t>37441</t>
  </si>
  <si>
    <t>Odyssey</t>
  </si>
  <si>
    <t>37471</t>
  </si>
  <si>
    <t>Ridgeline</t>
  </si>
  <si>
    <t>37499</t>
  </si>
  <si>
    <t>37701</t>
  </si>
  <si>
    <t>Motorcycle 0-50 cc</t>
  </si>
  <si>
    <t>37702</t>
  </si>
  <si>
    <t>Motorcycle 51-124 cc</t>
  </si>
  <si>
    <t>37703</t>
  </si>
  <si>
    <t>Motorcycle 125-349 cc</t>
  </si>
  <si>
    <t>37704</t>
  </si>
  <si>
    <t>Motorcycle 350-449 cc</t>
  </si>
  <si>
    <t>37705</t>
  </si>
  <si>
    <t>Motorcycle 450-749 cc</t>
  </si>
  <si>
    <t>37706</t>
  </si>
  <si>
    <t>Motorcycle 750 cc or greater</t>
  </si>
  <si>
    <t>37709</t>
  </si>
  <si>
    <t>37732</t>
  </si>
  <si>
    <t>ATV 51-124cc</t>
  </si>
  <si>
    <t>37733</t>
  </si>
  <si>
    <t>ATV 125-349cc</t>
  </si>
  <si>
    <t>37734</t>
  </si>
  <si>
    <t>ATV 350cc or greater</t>
  </si>
  <si>
    <t>37739</t>
  </si>
  <si>
    <t>37998</t>
  </si>
  <si>
    <t>37999</t>
  </si>
  <si>
    <t xml:space="preserve">Unknown (HONDA) </t>
  </si>
  <si>
    <t>38031</t>
  </si>
  <si>
    <t>I-Mark</t>
  </si>
  <si>
    <t>38032</t>
  </si>
  <si>
    <t>Impulse</t>
  </si>
  <si>
    <t>38033</t>
  </si>
  <si>
    <t>Stylus</t>
  </si>
  <si>
    <t>38398</t>
  </si>
  <si>
    <t>38399</t>
  </si>
  <si>
    <t>38401</t>
  </si>
  <si>
    <t>Trooper/Trooper II</t>
  </si>
  <si>
    <t>38402</t>
  </si>
  <si>
    <t>Rodeo/Rodeo Sport</t>
  </si>
  <si>
    <t>38403</t>
  </si>
  <si>
    <t>Amigo</t>
  </si>
  <si>
    <t>38404</t>
  </si>
  <si>
    <t>VehiCROSS</t>
  </si>
  <si>
    <t>38405</t>
  </si>
  <si>
    <t>Axiom</t>
  </si>
  <si>
    <t>38421</t>
  </si>
  <si>
    <t>Ascender</t>
  </si>
  <si>
    <t>38441</t>
  </si>
  <si>
    <t>Oasis</t>
  </si>
  <si>
    <t>38471</t>
  </si>
  <si>
    <t>P'up (pickup)</t>
  </si>
  <si>
    <t>38472</t>
  </si>
  <si>
    <t>Hombre</t>
  </si>
  <si>
    <t>38473</t>
  </si>
  <si>
    <t>i-280/i-290</t>
  </si>
  <si>
    <t>38474</t>
  </si>
  <si>
    <t>i-350/i-370</t>
  </si>
  <si>
    <t>38498</t>
  </si>
  <si>
    <t>38499</t>
  </si>
  <si>
    <t>38881</t>
  </si>
  <si>
    <t>38882</t>
  </si>
  <si>
    <t>38883</t>
  </si>
  <si>
    <t>38884</t>
  </si>
  <si>
    <t>38890</t>
  </si>
  <si>
    <t xml:space="preserve">Medium/Heavy Â­ COE  entry position  unknown </t>
  </si>
  <si>
    <t>38898</t>
  </si>
  <si>
    <t>38981</t>
  </si>
  <si>
    <t>38982</t>
  </si>
  <si>
    <t>Bus: Front engine, Flat front</t>
  </si>
  <si>
    <t>38983</t>
  </si>
  <si>
    <t>Bus: Rear engine Flat front</t>
  </si>
  <si>
    <t>38988</t>
  </si>
  <si>
    <t>38989</t>
  </si>
  <si>
    <t xml:space="preserve">Unknown (bus)  </t>
  </si>
  <si>
    <t>38999</t>
  </si>
  <si>
    <t xml:space="preserve">Unknown (ISUZU) </t>
  </si>
  <si>
    <t>39031</t>
  </si>
  <si>
    <t>XJ-S, XK8 Coupe</t>
  </si>
  <si>
    <t>39032</t>
  </si>
  <si>
    <t>XJ/XJL/XJ6/12/XJR/XJ8/XJ8L Sedan/Coupe</t>
  </si>
  <si>
    <t>39033</t>
  </si>
  <si>
    <t>XK-E</t>
  </si>
  <si>
    <t>39034</t>
  </si>
  <si>
    <t>S-Type</t>
  </si>
  <si>
    <t>39035</t>
  </si>
  <si>
    <t>XKR/XK</t>
  </si>
  <si>
    <t>39036</t>
  </si>
  <si>
    <t>X-Type</t>
  </si>
  <si>
    <t>39037</t>
  </si>
  <si>
    <t>XF/XF-R</t>
  </si>
  <si>
    <t>39038</t>
  </si>
  <si>
    <t>F-Type</t>
  </si>
  <si>
    <t>39398</t>
  </si>
  <si>
    <t>39399</t>
  </si>
  <si>
    <t>40031</t>
  </si>
  <si>
    <t>Beta Sedan â€“ HPE</t>
  </si>
  <si>
    <t>40032</t>
  </si>
  <si>
    <t>Zagato</t>
  </si>
  <si>
    <t>40033</t>
  </si>
  <si>
    <t>Scorpion</t>
  </si>
  <si>
    <t>40398</t>
  </si>
  <si>
    <t>40399</t>
  </si>
  <si>
    <t>41031</t>
  </si>
  <si>
    <t>RX2</t>
  </si>
  <si>
    <t>41032</t>
  </si>
  <si>
    <t>RX3</t>
  </si>
  <si>
    <t>41033</t>
  </si>
  <si>
    <t>RX4</t>
  </si>
  <si>
    <t>41034</t>
  </si>
  <si>
    <t>RX7</t>
  </si>
  <si>
    <t>41035</t>
  </si>
  <si>
    <t>323/GLC/ProtÃ©gÃ©/ ProtÃ©gÃ© 5</t>
  </si>
  <si>
    <t>41036</t>
  </si>
  <si>
    <t>Cosmo</t>
  </si>
  <si>
    <t>41037</t>
  </si>
  <si>
    <t>626</t>
  </si>
  <si>
    <t>41038</t>
  </si>
  <si>
    <t>808</t>
  </si>
  <si>
    <t>41039</t>
  </si>
  <si>
    <t>Mizer</t>
  </si>
  <si>
    <t>41040</t>
  </si>
  <si>
    <t>R-100</t>
  </si>
  <si>
    <t>41041</t>
  </si>
  <si>
    <t>616/618</t>
  </si>
  <si>
    <t>41042</t>
  </si>
  <si>
    <t>1800</t>
  </si>
  <si>
    <t>41043</t>
  </si>
  <si>
    <t>929</t>
  </si>
  <si>
    <t>41044</t>
  </si>
  <si>
    <t>MX-6</t>
  </si>
  <si>
    <t>41045</t>
  </si>
  <si>
    <t>Miata/MX-5</t>
  </si>
  <si>
    <t>41046</t>
  </si>
  <si>
    <t>MX-3</t>
  </si>
  <si>
    <t>41047</t>
  </si>
  <si>
    <t>Millenia</t>
  </si>
  <si>
    <t>41048</t>
  </si>
  <si>
    <t>MP3</t>
  </si>
  <si>
    <t>41049</t>
  </si>
  <si>
    <t>RX-8</t>
  </si>
  <si>
    <t>41050</t>
  </si>
  <si>
    <t>Mazda6</t>
  </si>
  <si>
    <t>41051</t>
  </si>
  <si>
    <t>Mazda3</t>
  </si>
  <si>
    <t>41052</t>
  </si>
  <si>
    <t>Mazda5</t>
  </si>
  <si>
    <t>41053</t>
  </si>
  <si>
    <t>CX-7</t>
  </si>
  <si>
    <t>41054</t>
  </si>
  <si>
    <t>CX-9 (2007-2012)</t>
  </si>
  <si>
    <t>41055</t>
  </si>
  <si>
    <t>Mazda2</t>
  </si>
  <si>
    <t>41398</t>
  </si>
  <si>
    <t>41399</t>
  </si>
  <si>
    <t>41401</t>
  </si>
  <si>
    <t>Navajo</t>
  </si>
  <si>
    <t>41402</t>
  </si>
  <si>
    <t>Tribute</t>
  </si>
  <si>
    <t>41403</t>
  </si>
  <si>
    <t>CX-5</t>
  </si>
  <si>
    <t>41421</t>
  </si>
  <si>
    <t>CX-9 (2013 on)</t>
  </si>
  <si>
    <t>41441</t>
  </si>
  <si>
    <t>MPV</t>
  </si>
  <si>
    <t>41471</t>
  </si>
  <si>
    <t>Pickup/ B-Series Pickup</t>
  </si>
  <si>
    <t>41498</t>
  </si>
  <si>
    <t>41499</t>
  </si>
  <si>
    <t>41999</t>
  </si>
  <si>
    <t xml:space="preserve">Unknown (MAZDA) </t>
  </si>
  <si>
    <t>42031</t>
  </si>
  <si>
    <t>200/220/230/240/ 250/260/280/300/ 320/420</t>
  </si>
  <si>
    <t>42032</t>
  </si>
  <si>
    <t>230/280 SL</t>
  </si>
  <si>
    <t>42033</t>
  </si>
  <si>
    <t>300/350/380/450/500/ 560 SL</t>
  </si>
  <si>
    <t>42034</t>
  </si>
  <si>
    <t>350/380/420/450/560 SLC</t>
  </si>
  <si>
    <t>42035</t>
  </si>
  <si>
    <t>280/300 SEL</t>
  </si>
  <si>
    <t>42036</t>
  </si>
  <si>
    <t>300/380/420/450/500/560/SEL &amp; 500/560, 600 SEC &amp; 300/350 SDL</t>
  </si>
  <si>
    <t>42037</t>
  </si>
  <si>
    <t>300/380/450 SE</t>
  </si>
  <si>
    <t>42038</t>
  </si>
  <si>
    <t>600, 6.9 Sedan</t>
  </si>
  <si>
    <t>42039</t>
  </si>
  <si>
    <t>190</t>
  </si>
  <si>
    <t>42040</t>
  </si>
  <si>
    <t>42041</t>
  </si>
  <si>
    <t>400/500E</t>
  </si>
  <si>
    <t>42042</t>
  </si>
  <si>
    <t>C Class (1994 on)</t>
  </si>
  <si>
    <t>42043</t>
  </si>
  <si>
    <t>S Class (1995 on)</t>
  </si>
  <si>
    <t>42044</t>
  </si>
  <si>
    <t>SL Class (1995 on)</t>
  </si>
  <si>
    <t>42045</t>
  </si>
  <si>
    <t>SLK</t>
  </si>
  <si>
    <t>42046</t>
  </si>
  <si>
    <t>CL Class</t>
  </si>
  <si>
    <t>42047</t>
  </si>
  <si>
    <t>CLK</t>
  </si>
  <si>
    <t>42048</t>
  </si>
  <si>
    <t>E Class (1997 on)</t>
  </si>
  <si>
    <t>42049</t>
  </si>
  <si>
    <t>SLR</t>
  </si>
  <si>
    <t>42050</t>
  </si>
  <si>
    <t>R Class</t>
  </si>
  <si>
    <t>42051</t>
  </si>
  <si>
    <t>CLS Class</t>
  </si>
  <si>
    <t>42052</t>
  </si>
  <si>
    <t>SLS Class</t>
  </si>
  <si>
    <t>42053</t>
  </si>
  <si>
    <t>B Class</t>
  </si>
  <si>
    <t>42054</t>
  </si>
  <si>
    <t>CLA Class</t>
  </si>
  <si>
    <t>42055</t>
  </si>
  <si>
    <t>GLA Class</t>
  </si>
  <si>
    <t>42056</t>
  </si>
  <si>
    <t>AMG GT S</t>
  </si>
  <si>
    <t>42398</t>
  </si>
  <si>
    <t>42399</t>
  </si>
  <si>
    <t>42401</t>
  </si>
  <si>
    <t>M/ML Class</t>
  </si>
  <si>
    <t>42402</t>
  </si>
  <si>
    <t>G Class</t>
  </si>
  <si>
    <t>42403</t>
  </si>
  <si>
    <t>GLK Class</t>
  </si>
  <si>
    <t>42421</t>
  </si>
  <si>
    <t>GL Class</t>
  </si>
  <si>
    <t>42461</t>
  </si>
  <si>
    <t>42470</t>
  </si>
  <si>
    <t>42498</t>
  </si>
  <si>
    <t>42499</t>
  </si>
  <si>
    <t>42870</t>
  </si>
  <si>
    <t>42881</t>
  </si>
  <si>
    <t>42882</t>
  </si>
  <si>
    <t>42883</t>
  </si>
  <si>
    <t>42884</t>
  </si>
  <si>
    <t>42890</t>
  </si>
  <si>
    <t>42898</t>
  </si>
  <si>
    <t>42981</t>
  </si>
  <si>
    <t>42988</t>
  </si>
  <si>
    <t>42989</t>
  </si>
  <si>
    <t>Unknown (bus)</t>
  </si>
  <si>
    <t>42998</t>
  </si>
  <si>
    <t>42999</t>
  </si>
  <si>
    <t xml:space="preserve">Unknown (MERCEDES BENZ)  </t>
  </si>
  <si>
    <t>43031</t>
  </si>
  <si>
    <t>Midget</t>
  </si>
  <si>
    <t>43032</t>
  </si>
  <si>
    <t>MGB (MK I/II/IV, 600 Limited, V-8%)</t>
  </si>
  <si>
    <t>43033</t>
  </si>
  <si>
    <t>MGB (GT,MK III)</t>
  </si>
  <si>
    <t>43034</t>
  </si>
  <si>
    <t>MGA</t>
  </si>
  <si>
    <t>43035</t>
  </si>
  <si>
    <t>TA/TC/TD/TF</t>
  </si>
  <si>
    <t>43036</t>
  </si>
  <si>
    <t>MGC</t>
  </si>
  <si>
    <t>43037</t>
  </si>
  <si>
    <t>Magnette/Sports Sedans</t>
  </si>
  <si>
    <t>43398</t>
  </si>
  <si>
    <t>43399</t>
  </si>
  <si>
    <t>44031</t>
  </si>
  <si>
    <t>304</t>
  </si>
  <si>
    <t>44032</t>
  </si>
  <si>
    <t>403</t>
  </si>
  <si>
    <t>44033</t>
  </si>
  <si>
    <t>404</t>
  </si>
  <si>
    <t>44034</t>
  </si>
  <si>
    <t>504/505</t>
  </si>
  <si>
    <t>44035</t>
  </si>
  <si>
    <t>604</t>
  </si>
  <si>
    <t>44036</t>
  </si>
  <si>
    <t>405</t>
  </si>
  <si>
    <t>44398</t>
  </si>
  <si>
    <t>44399</t>
  </si>
  <si>
    <t>44701</t>
  </si>
  <si>
    <t>0-50 cc</t>
  </si>
  <si>
    <t>44702</t>
  </si>
  <si>
    <t>51-124cc</t>
  </si>
  <si>
    <t>44709</t>
  </si>
  <si>
    <t>Unknown cc</t>
  </si>
  <si>
    <t>44999</t>
  </si>
  <si>
    <t>Unknown (PEUGEOT)</t>
  </si>
  <si>
    <t>45031</t>
  </si>
  <si>
    <t>911/996</t>
  </si>
  <si>
    <t>45032</t>
  </si>
  <si>
    <t>912</t>
  </si>
  <si>
    <t>45033</t>
  </si>
  <si>
    <t>914</t>
  </si>
  <si>
    <t>45034</t>
  </si>
  <si>
    <t>924</t>
  </si>
  <si>
    <t>45035</t>
  </si>
  <si>
    <t>928</t>
  </si>
  <si>
    <t>45036</t>
  </si>
  <si>
    <t>930</t>
  </si>
  <si>
    <t>45037</t>
  </si>
  <si>
    <t>944</t>
  </si>
  <si>
    <t>45038</t>
  </si>
  <si>
    <t>959</t>
  </si>
  <si>
    <t>45039</t>
  </si>
  <si>
    <t>968</t>
  </si>
  <si>
    <t>45040</t>
  </si>
  <si>
    <t>986/Boxster</t>
  </si>
  <si>
    <t>45041</t>
  </si>
  <si>
    <t>Cayman</t>
  </si>
  <si>
    <t>45042</t>
  </si>
  <si>
    <t>Panamera</t>
  </si>
  <si>
    <t>45043</t>
  </si>
  <si>
    <t>918</t>
  </si>
  <si>
    <t>45398</t>
  </si>
  <si>
    <t>45399</t>
  </si>
  <si>
    <t>45401</t>
  </si>
  <si>
    <t>Macan</t>
  </si>
  <si>
    <t>45421</t>
  </si>
  <si>
    <t>Cayenne</t>
  </si>
  <si>
    <t>45499</t>
  </si>
  <si>
    <t>45999</t>
  </si>
  <si>
    <t xml:space="preserve">Unknown (PORSCHE) </t>
  </si>
  <si>
    <t>46031</t>
  </si>
  <si>
    <t>LeCar</t>
  </si>
  <si>
    <t>46032</t>
  </si>
  <si>
    <t>Dauphine/10/R-8 Caravelle</t>
  </si>
  <si>
    <t>46033</t>
  </si>
  <si>
    <t>46034</t>
  </si>
  <si>
    <t>46035</t>
  </si>
  <si>
    <t>46036</t>
  </si>
  <si>
    <t>46037</t>
  </si>
  <si>
    <t>18i/Sportwagon</t>
  </si>
  <si>
    <t>46038</t>
  </si>
  <si>
    <t>Fuego</t>
  </si>
  <si>
    <t>46039</t>
  </si>
  <si>
    <t>Alliance/Encore GTA, Convertible</t>
  </si>
  <si>
    <t>46041</t>
  </si>
  <si>
    <t>Alpine</t>
  </si>
  <si>
    <t>46044</t>
  </si>
  <si>
    <t>46045</t>
  </si>
  <si>
    <t>46398</t>
  </si>
  <si>
    <t>46399</t>
  </si>
  <si>
    <t>47031</t>
  </si>
  <si>
    <t>99/99E/900</t>
  </si>
  <si>
    <t>47032</t>
  </si>
  <si>
    <t>Sonnett</t>
  </si>
  <si>
    <t>47033</t>
  </si>
  <si>
    <t>95/96</t>
  </si>
  <si>
    <t>47034</t>
  </si>
  <si>
    <t>9000</t>
  </si>
  <si>
    <t>47035</t>
  </si>
  <si>
    <t>9-3/9-3x</t>
  </si>
  <si>
    <t>47036</t>
  </si>
  <si>
    <t>9-5</t>
  </si>
  <si>
    <t>47037</t>
  </si>
  <si>
    <t>9-2x</t>
  </si>
  <si>
    <t>47038</t>
  </si>
  <si>
    <t>9-4x</t>
  </si>
  <si>
    <t>47398</t>
  </si>
  <si>
    <t>47399</t>
  </si>
  <si>
    <t>47401</t>
  </si>
  <si>
    <t>9-7x</t>
  </si>
  <si>
    <t>47999</t>
  </si>
  <si>
    <t xml:space="preserve">Unknown (SAAB) </t>
  </si>
  <si>
    <t>48031</t>
  </si>
  <si>
    <t>Loyale (1990 on)/DL/ FE/G/GF/GL/GLF/ STD</t>
  </si>
  <si>
    <t>48032</t>
  </si>
  <si>
    <t>Star</t>
  </si>
  <si>
    <t>48033</t>
  </si>
  <si>
    <t>360</t>
  </si>
  <si>
    <t>48034</t>
  </si>
  <si>
    <t>Legacy/Outback (thru 2003)</t>
  </si>
  <si>
    <t>48035</t>
  </si>
  <si>
    <t>XT/XT6</t>
  </si>
  <si>
    <t>48036</t>
  </si>
  <si>
    <t>Justy</t>
  </si>
  <si>
    <t>48037</t>
  </si>
  <si>
    <t>SVX</t>
  </si>
  <si>
    <t>48038</t>
  </si>
  <si>
    <t>Impreza</t>
  </si>
  <si>
    <t>48039</t>
  </si>
  <si>
    <t>RX</t>
  </si>
  <si>
    <t>48043</t>
  </si>
  <si>
    <t>Brat</t>
  </si>
  <si>
    <t>48044</t>
  </si>
  <si>
    <t>Baja</t>
  </si>
  <si>
    <t>48045</t>
  </si>
  <si>
    <t>Outback (2003 on)</t>
  </si>
  <si>
    <t>48046</t>
  </si>
  <si>
    <t>BRZ</t>
  </si>
  <si>
    <t>48047</t>
  </si>
  <si>
    <t>WRX (2015 on)</t>
  </si>
  <si>
    <t>48398</t>
  </si>
  <si>
    <t>48399</t>
  </si>
  <si>
    <t>48401</t>
  </si>
  <si>
    <t>Forester</t>
  </si>
  <si>
    <t>48402</t>
  </si>
  <si>
    <t>B9 Tribeca</t>
  </si>
  <si>
    <t>48403</t>
  </si>
  <si>
    <t>XV Crosstrek</t>
  </si>
  <si>
    <t>48499</t>
  </si>
  <si>
    <t>48999</t>
  </si>
  <si>
    <t xml:space="preserve">Unknown (SUBARU) </t>
  </si>
  <si>
    <t>49031</t>
  </si>
  <si>
    <t>Corona</t>
  </si>
  <si>
    <t>49032</t>
  </si>
  <si>
    <t>Corolla</t>
  </si>
  <si>
    <t>49033</t>
  </si>
  <si>
    <t>Celica</t>
  </si>
  <si>
    <t>49034</t>
  </si>
  <si>
    <t>Supra</t>
  </si>
  <si>
    <t>49035</t>
  </si>
  <si>
    <t>Cressida</t>
  </si>
  <si>
    <t>49036</t>
  </si>
  <si>
    <t>Crown</t>
  </si>
  <si>
    <t>49037</t>
  </si>
  <si>
    <t>Carina</t>
  </si>
  <si>
    <t>49038</t>
  </si>
  <si>
    <t>Tercel</t>
  </si>
  <si>
    <t>49039</t>
  </si>
  <si>
    <t>Starlet</t>
  </si>
  <si>
    <t>49040</t>
  </si>
  <si>
    <t>Camry</t>
  </si>
  <si>
    <t>49041</t>
  </si>
  <si>
    <t>MR-2/MR Spyder</t>
  </si>
  <si>
    <t>49042</t>
  </si>
  <si>
    <t>Paseo</t>
  </si>
  <si>
    <t>49043</t>
  </si>
  <si>
    <t>Avalon</t>
  </si>
  <si>
    <t>49044</t>
  </si>
  <si>
    <t>Solara</t>
  </si>
  <si>
    <t>49045</t>
  </si>
  <si>
    <t>ECHO</t>
  </si>
  <si>
    <t>49046</t>
  </si>
  <si>
    <t>Prius</t>
  </si>
  <si>
    <t>49047</t>
  </si>
  <si>
    <t>Matrix</t>
  </si>
  <si>
    <t>49048</t>
  </si>
  <si>
    <t>Scion xA</t>
  </si>
  <si>
    <t>49049</t>
  </si>
  <si>
    <t>Scion xB (2004-2011)</t>
  </si>
  <si>
    <t>49050</t>
  </si>
  <si>
    <t>Scion tC (2005-2011)</t>
  </si>
  <si>
    <t>49051</t>
  </si>
  <si>
    <t>Yaris</t>
  </si>
  <si>
    <t>49052</t>
  </si>
  <si>
    <t>Scion xD (2007-2011)</t>
  </si>
  <si>
    <t>49053</t>
  </si>
  <si>
    <t>Venza</t>
  </si>
  <si>
    <t>49054</t>
  </si>
  <si>
    <t>Scion iQ (2010-2011)</t>
  </si>
  <si>
    <t>49055</t>
  </si>
  <si>
    <t>Mirai</t>
  </si>
  <si>
    <t>49398</t>
  </si>
  <si>
    <t>49399</t>
  </si>
  <si>
    <t>49401</t>
  </si>
  <si>
    <t>4-Runner</t>
  </si>
  <si>
    <t>49402</t>
  </si>
  <si>
    <t>RAV4</t>
  </si>
  <si>
    <t>49403</t>
  </si>
  <si>
    <t>Highlander</t>
  </si>
  <si>
    <t>49404</t>
  </si>
  <si>
    <t>FJ Cruiser</t>
  </si>
  <si>
    <t>49421</t>
  </si>
  <si>
    <t>Land Cruiser</t>
  </si>
  <si>
    <t>49422</t>
  </si>
  <si>
    <t>Sequoia</t>
  </si>
  <si>
    <t>49441</t>
  </si>
  <si>
    <t>Minivan (1984-1990)/ Previa (1991 on)</t>
  </si>
  <si>
    <t>49442</t>
  </si>
  <si>
    <t>Sienna</t>
  </si>
  <si>
    <t>49471</t>
  </si>
  <si>
    <t>Pickup</t>
  </si>
  <si>
    <t>49472</t>
  </si>
  <si>
    <t>Tacoma</t>
  </si>
  <si>
    <t>49481</t>
  </si>
  <si>
    <t>T-100</t>
  </si>
  <si>
    <t>49482</t>
  </si>
  <si>
    <t>Tundra</t>
  </si>
  <si>
    <t>49498</t>
  </si>
  <si>
    <t>49499</t>
  </si>
  <si>
    <t>49999</t>
  </si>
  <si>
    <t xml:space="preserve">Unknown (TOYOTA) </t>
  </si>
  <si>
    <t>50031</t>
  </si>
  <si>
    <t>Spitfire</t>
  </si>
  <si>
    <t>50032</t>
  </si>
  <si>
    <t>GT-6</t>
  </si>
  <si>
    <t>50033</t>
  </si>
  <si>
    <t>TR4</t>
  </si>
  <si>
    <t>50034</t>
  </si>
  <si>
    <t>TR6</t>
  </si>
  <si>
    <t>50035</t>
  </si>
  <si>
    <t>TR7/TR8</t>
  </si>
  <si>
    <t>50036</t>
  </si>
  <si>
    <t>Herald</t>
  </si>
  <si>
    <t>50037</t>
  </si>
  <si>
    <t>Stag</t>
  </si>
  <si>
    <t>50398</t>
  </si>
  <si>
    <t>50399</t>
  </si>
  <si>
    <t>50701</t>
  </si>
  <si>
    <t>0-50cc</t>
  </si>
  <si>
    <t>50702</t>
  </si>
  <si>
    <t>50703</t>
  </si>
  <si>
    <t>50704</t>
  </si>
  <si>
    <t>350-449cc</t>
  </si>
  <si>
    <t>50705</t>
  </si>
  <si>
    <t>50706</t>
  </si>
  <si>
    <t>750cc or greater</t>
  </si>
  <si>
    <t>50709</t>
  </si>
  <si>
    <t>50799</t>
  </si>
  <si>
    <t xml:space="preserve">Unknown (motored cycle) </t>
  </si>
  <si>
    <t>50999</t>
  </si>
  <si>
    <t xml:space="preserve">Unknown (TRIUMPH) </t>
  </si>
  <si>
    <t>51031</t>
  </si>
  <si>
    <t>122</t>
  </si>
  <si>
    <t>51032</t>
  </si>
  <si>
    <t xml:space="preserve">140/142/144/145 </t>
  </si>
  <si>
    <t>51033</t>
  </si>
  <si>
    <t>164</t>
  </si>
  <si>
    <t>51034</t>
  </si>
  <si>
    <t>240 series/DL/GL/GLT</t>
  </si>
  <si>
    <t>51035</t>
  </si>
  <si>
    <t>260 series/GLE</t>
  </si>
  <si>
    <t>51036</t>
  </si>
  <si>
    <t>51037</t>
  </si>
  <si>
    <t>PV544</t>
  </si>
  <si>
    <t>51038</t>
  </si>
  <si>
    <t>760/780</t>
  </si>
  <si>
    <t>51039</t>
  </si>
  <si>
    <t>740</t>
  </si>
  <si>
    <t>51040</t>
  </si>
  <si>
    <t>940</t>
  </si>
  <si>
    <t>51041</t>
  </si>
  <si>
    <t>960</t>
  </si>
  <si>
    <t>51042</t>
  </si>
  <si>
    <t>850</t>
  </si>
  <si>
    <t>51043</t>
  </si>
  <si>
    <t>70 Series (1998-2013)</t>
  </si>
  <si>
    <t>51044</t>
  </si>
  <si>
    <t>90 Series</t>
  </si>
  <si>
    <t>51045</t>
  </si>
  <si>
    <t>80 Series</t>
  </si>
  <si>
    <t>51046</t>
  </si>
  <si>
    <t>40 Series</t>
  </si>
  <si>
    <t>51047</t>
  </si>
  <si>
    <t>60 Series</t>
  </si>
  <si>
    <t>51048</t>
  </si>
  <si>
    <t>V50</t>
  </si>
  <si>
    <t>51049</t>
  </si>
  <si>
    <t>C30</t>
  </si>
  <si>
    <t>51050</t>
  </si>
  <si>
    <t>XC60</t>
  </si>
  <si>
    <t>51051</t>
  </si>
  <si>
    <t>V60</t>
  </si>
  <si>
    <t>51398</t>
  </si>
  <si>
    <t>51399</t>
  </si>
  <si>
    <t>51401</t>
  </si>
  <si>
    <t>XC90</t>
  </si>
  <si>
    <t>51402</t>
  </si>
  <si>
    <t>XC70 (2014 on)</t>
  </si>
  <si>
    <t>51499</t>
  </si>
  <si>
    <t>51881</t>
  </si>
  <si>
    <t>51882</t>
  </si>
  <si>
    <t>51883</t>
  </si>
  <si>
    <t>51884</t>
  </si>
  <si>
    <t>51890</t>
  </si>
  <si>
    <t>51898</t>
  </si>
  <si>
    <t>51981</t>
  </si>
  <si>
    <t>51983</t>
  </si>
  <si>
    <t>51988</t>
  </si>
  <si>
    <t>51989</t>
  </si>
  <si>
    <t>51998</t>
  </si>
  <si>
    <t xml:space="preserve">Other (Vehicle) </t>
  </si>
  <si>
    <t>51999</t>
  </si>
  <si>
    <t xml:space="preserve">Unknown (VOLVO) </t>
  </si>
  <si>
    <t>52031</t>
  </si>
  <si>
    <t>Starion</t>
  </si>
  <si>
    <t>52032</t>
  </si>
  <si>
    <t>Tredia</t>
  </si>
  <si>
    <t>52033</t>
  </si>
  <si>
    <t>Cordia</t>
  </si>
  <si>
    <t>52034</t>
  </si>
  <si>
    <t>Galant</t>
  </si>
  <si>
    <t>52035</t>
  </si>
  <si>
    <t>Mirage (1985-2002)</t>
  </si>
  <si>
    <t>52036</t>
  </si>
  <si>
    <t>Precis</t>
  </si>
  <si>
    <t>52037</t>
  </si>
  <si>
    <t>Eclipse</t>
  </si>
  <si>
    <t>52038</t>
  </si>
  <si>
    <t>Sigma</t>
  </si>
  <si>
    <t>52039</t>
  </si>
  <si>
    <t>3000 GT</t>
  </si>
  <si>
    <t>52040</t>
  </si>
  <si>
    <t>Diamante</t>
  </si>
  <si>
    <t>52041</t>
  </si>
  <si>
    <t>iMEV</t>
  </si>
  <si>
    <t>52045</t>
  </si>
  <si>
    <t>Expo Wagon</t>
  </si>
  <si>
    <t>52046</t>
  </si>
  <si>
    <t>Lancer/Lancer Sportback/Lancer Evolution</t>
  </si>
  <si>
    <t>52047</t>
  </si>
  <si>
    <t>Outlander</t>
  </si>
  <si>
    <t>52048</t>
  </si>
  <si>
    <t>Mirage (2014 on)</t>
  </si>
  <si>
    <t>52398</t>
  </si>
  <si>
    <t>52399</t>
  </si>
  <si>
    <t>52401</t>
  </si>
  <si>
    <t>Montero/MonteroSport</t>
  </si>
  <si>
    <t>52402</t>
  </si>
  <si>
    <t>Endeavor</t>
  </si>
  <si>
    <t>52441</t>
  </si>
  <si>
    <t>Mini-Van</t>
  </si>
  <si>
    <t>52471</t>
  </si>
  <si>
    <t>52472</t>
  </si>
  <si>
    <t>Raider</t>
  </si>
  <si>
    <t>52498</t>
  </si>
  <si>
    <t>52499</t>
  </si>
  <si>
    <t>52882</t>
  </si>
  <si>
    <t>52898</t>
  </si>
  <si>
    <t>52981</t>
  </si>
  <si>
    <t>52982</t>
  </si>
  <si>
    <t>52983</t>
  </si>
  <si>
    <t>52988</t>
  </si>
  <si>
    <t>52989</t>
  </si>
  <si>
    <t>52999</t>
  </si>
  <si>
    <t xml:space="preserve">Unknown (MITSUBISHI) </t>
  </si>
  <si>
    <t>53031</t>
  </si>
  <si>
    <t>Swift/SA310</t>
  </si>
  <si>
    <t>53032</t>
  </si>
  <si>
    <t>Esteem</t>
  </si>
  <si>
    <t>53033</t>
  </si>
  <si>
    <t>Aerio</t>
  </si>
  <si>
    <t>53034</t>
  </si>
  <si>
    <t>Forenza</t>
  </si>
  <si>
    <t>53035</t>
  </si>
  <si>
    <t>Verona</t>
  </si>
  <si>
    <t>53036</t>
  </si>
  <si>
    <t>Reno</t>
  </si>
  <si>
    <t>53040</t>
  </si>
  <si>
    <t>SX4/SX4 Crossover</t>
  </si>
  <si>
    <t>53041</t>
  </si>
  <si>
    <t>Kizashi</t>
  </si>
  <si>
    <t>53398</t>
  </si>
  <si>
    <t>53399</t>
  </si>
  <si>
    <t>53401</t>
  </si>
  <si>
    <t>Samurai</t>
  </si>
  <si>
    <t>53402</t>
  </si>
  <si>
    <t>Sidekick/Vitara/ Vitara V6</t>
  </si>
  <si>
    <t>53403</t>
  </si>
  <si>
    <t>X-90</t>
  </si>
  <si>
    <t>53404</t>
  </si>
  <si>
    <t>Grand Vitara (2003 on)</t>
  </si>
  <si>
    <t>53405</t>
  </si>
  <si>
    <t>XL-7 (2003 on)</t>
  </si>
  <si>
    <t>53481</t>
  </si>
  <si>
    <t>Equator</t>
  </si>
  <si>
    <t>53498</t>
  </si>
  <si>
    <t>Other (light truck)</t>
  </si>
  <si>
    <t>53499</t>
  </si>
  <si>
    <t>53701</t>
  </si>
  <si>
    <t>Motorcycle 0-50cc</t>
  </si>
  <si>
    <t>53702</t>
  </si>
  <si>
    <t>Motorcycle 51-124cc</t>
  </si>
  <si>
    <t>53703</t>
  </si>
  <si>
    <t>Motorcycle 125-349cc</t>
  </si>
  <si>
    <t>53704</t>
  </si>
  <si>
    <t>Motorcycle 350-449cc</t>
  </si>
  <si>
    <t>53705</t>
  </si>
  <si>
    <t>Motorcycle 450-749cc</t>
  </si>
  <si>
    <t>53706</t>
  </si>
  <si>
    <t>Motorcycle 750cc or greater</t>
  </si>
  <si>
    <t>53709</t>
  </si>
  <si>
    <t xml:space="preserve"> Unknown cc   </t>
  </si>
  <si>
    <t>53731</t>
  </si>
  <si>
    <t>ATV 0-50cc</t>
  </si>
  <si>
    <t>53732</t>
  </si>
  <si>
    <t>53733</t>
  </si>
  <si>
    <t>53734</t>
  </si>
  <si>
    <t>53739</t>
  </si>
  <si>
    <t>53999</t>
  </si>
  <si>
    <t>Unknown Suzuki</t>
  </si>
  <si>
    <t>54031</t>
  </si>
  <si>
    <t>Integra</t>
  </si>
  <si>
    <t>54032</t>
  </si>
  <si>
    <t>Legend</t>
  </si>
  <si>
    <t>54033</t>
  </si>
  <si>
    <t>NSX (1991-2005)</t>
  </si>
  <si>
    <t>54034</t>
  </si>
  <si>
    <t>Vigor</t>
  </si>
  <si>
    <t>54035</t>
  </si>
  <si>
    <t>TL</t>
  </si>
  <si>
    <t>54036</t>
  </si>
  <si>
    <t>RL/RLX</t>
  </si>
  <si>
    <t>54037</t>
  </si>
  <si>
    <t>CL</t>
  </si>
  <si>
    <t>54038</t>
  </si>
  <si>
    <t>RSX</t>
  </si>
  <si>
    <t>54039</t>
  </si>
  <si>
    <t>TSX</t>
  </si>
  <si>
    <t>54040</t>
  </si>
  <si>
    <t>ZDX</t>
  </si>
  <si>
    <t>54041</t>
  </si>
  <si>
    <t>ILX</t>
  </si>
  <si>
    <t>54043</t>
  </si>
  <si>
    <t>NSX (2016 on)</t>
  </si>
  <si>
    <t>54044</t>
  </si>
  <si>
    <t>TLX</t>
  </si>
  <si>
    <t>54398</t>
  </si>
  <si>
    <t>54399</t>
  </si>
  <si>
    <t>54401</t>
  </si>
  <si>
    <t>SLX</t>
  </si>
  <si>
    <t>54402</t>
  </si>
  <si>
    <t>RDX</t>
  </si>
  <si>
    <t>54421</t>
  </si>
  <si>
    <t>MDX</t>
  </si>
  <si>
    <t>54499</t>
  </si>
  <si>
    <t>54999</t>
  </si>
  <si>
    <t xml:space="preserve">Unknown (ACURA) </t>
  </si>
  <si>
    <t>55031</t>
  </si>
  <si>
    <t>Pony</t>
  </si>
  <si>
    <t>55032</t>
  </si>
  <si>
    <t>Excel</t>
  </si>
  <si>
    <t>55033</t>
  </si>
  <si>
    <t>Sonata</t>
  </si>
  <si>
    <t>55034</t>
  </si>
  <si>
    <t>Scoupe</t>
  </si>
  <si>
    <t>55035</t>
  </si>
  <si>
    <t>Elantra</t>
  </si>
  <si>
    <t>55036</t>
  </si>
  <si>
    <t>Accent</t>
  </si>
  <si>
    <t>55037</t>
  </si>
  <si>
    <t>Tiburon</t>
  </si>
  <si>
    <t>55038</t>
  </si>
  <si>
    <t>XG300 (2001)/XG350 (2002 on)</t>
  </si>
  <si>
    <t>55039</t>
  </si>
  <si>
    <t>Azera</t>
  </si>
  <si>
    <t>55040</t>
  </si>
  <si>
    <t>Equus</t>
  </si>
  <si>
    <t>55041</t>
  </si>
  <si>
    <t>Genesis</t>
  </si>
  <si>
    <t>55042</t>
  </si>
  <si>
    <t>Veloster</t>
  </si>
  <si>
    <t>55398</t>
  </si>
  <si>
    <t>55399</t>
  </si>
  <si>
    <t>55401</t>
  </si>
  <si>
    <t>Santa Fe</t>
  </si>
  <si>
    <t>55402</t>
  </si>
  <si>
    <t>Tucson</t>
  </si>
  <si>
    <t>55403</t>
  </si>
  <si>
    <t>Veracruz (2007 only)</t>
  </si>
  <si>
    <t>55421</t>
  </si>
  <si>
    <t>Veracruz (2008 on)</t>
  </si>
  <si>
    <t>55441</t>
  </si>
  <si>
    <t>Entourage</t>
  </si>
  <si>
    <t>55499</t>
  </si>
  <si>
    <t>55999</t>
  </si>
  <si>
    <t xml:space="preserve">Unknown (HYUNDAI) </t>
  </si>
  <si>
    <t>56031</t>
  </si>
  <si>
    <t>XR4Ti</t>
  </si>
  <si>
    <t>56032</t>
  </si>
  <si>
    <t>Scorpio</t>
  </si>
  <si>
    <t>56398</t>
  </si>
  <si>
    <t>56399</t>
  </si>
  <si>
    <t>57031</t>
  </si>
  <si>
    <t>GV/GVL/GVX</t>
  </si>
  <si>
    <t>58031</t>
  </si>
  <si>
    <t>M30</t>
  </si>
  <si>
    <t>58032</t>
  </si>
  <si>
    <t>Q45</t>
  </si>
  <si>
    <t>58033</t>
  </si>
  <si>
    <t>G20</t>
  </si>
  <si>
    <t>58034</t>
  </si>
  <si>
    <t>J30</t>
  </si>
  <si>
    <t>58035</t>
  </si>
  <si>
    <t>I30</t>
  </si>
  <si>
    <t>58036</t>
  </si>
  <si>
    <t>I35</t>
  </si>
  <si>
    <t>58037</t>
  </si>
  <si>
    <t>G25/G35/G37</t>
  </si>
  <si>
    <t>58038</t>
  </si>
  <si>
    <t>M35/M37/M45/M56</t>
  </si>
  <si>
    <t>58039</t>
  </si>
  <si>
    <t>FX35/FX37/FX45/FX50</t>
  </si>
  <si>
    <t>58040</t>
  </si>
  <si>
    <t>EX35</t>
  </si>
  <si>
    <t>58041</t>
  </si>
  <si>
    <t>Q50</t>
  </si>
  <si>
    <t>58042</t>
  </si>
  <si>
    <t>Q60</t>
  </si>
  <si>
    <t>58043</t>
  </si>
  <si>
    <t>Q70</t>
  </si>
  <si>
    <t>58044</t>
  </si>
  <si>
    <t>QX50</t>
  </si>
  <si>
    <t>58045</t>
  </si>
  <si>
    <t>Q40</t>
  </si>
  <si>
    <t>58398</t>
  </si>
  <si>
    <t>58399</t>
  </si>
  <si>
    <t>58401</t>
  </si>
  <si>
    <t>QX4</t>
  </si>
  <si>
    <t>58402</t>
  </si>
  <si>
    <t>JX35</t>
  </si>
  <si>
    <t>58403</t>
  </si>
  <si>
    <t>QX60</t>
  </si>
  <si>
    <t>58404</t>
  </si>
  <si>
    <t>QX70</t>
  </si>
  <si>
    <t>58421</t>
  </si>
  <si>
    <t>QX56</t>
  </si>
  <si>
    <t>58422</t>
  </si>
  <si>
    <t>QX80</t>
  </si>
  <si>
    <t>58499</t>
  </si>
  <si>
    <t>58999</t>
  </si>
  <si>
    <t xml:space="preserve">Unknown (INFINITI) </t>
  </si>
  <si>
    <t>59031</t>
  </si>
  <si>
    <t>ES-250/300/300h/330/ 350</t>
  </si>
  <si>
    <t>59032</t>
  </si>
  <si>
    <t>LS-400/430/460/L/600h/L</t>
  </si>
  <si>
    <t>59033</t>
  </si>
  <si>
    <t>SC-400/300</t>
  </si>
  <si>
    <t>59034</t>
  </si>
  <si>
    <t>GS-300/350/400/430/ 450h/460</t>
  </si>
  <si>
    <t>59035</t>
  </si>
  <si>
    <t>IS-250/300/350/500</t>
  </si>
  <si>
    <t>59036</t>
  </si>
  <si>
    <t>SC-430</t>
  </si>
  <si>
    <t>59037</t>
  </si>
  <si>
    <t>HS 250h</t>
  </si>
  <si>
    <t>59038</t>
  </si>
  <si>
    <t>CT 200h</t>
  </si>
  <si>
    <t>59039</t>
  </si>
  <si>
    <t>LFA</t>
  </si>
  <si>
    <t>59040</t>
  </si>
  <si>
    <t>RC</t>
  </si>
  <si>
    <t>59398</t>
  </si>
  <si>
    <t>59399</t>
  </si>
  <si>
    <t>59401</t>
  </si>
  <si>
    <t>RX300/350</t>
  </si>
  <si>
    <t>59402</t>
  </si>
  <si>
    <t>GX470</t>
  </si>
  <si>
    <t>59403</t>
  </si>
  <si>
    <t>RX330/350/400h/450h</t>
  </si>
  <si>
    <t>59404</t>
  </si>
  <si>
    <t>GX460</t>
  </si>
  <si>
    <t>59405</t>
  </si>
  <si>
    <t>NX</t>
  </si>
  <si>
    <t>59421</t>
  </si>
  <si>
    <t>LX450/470/570</t>
  </si>
  <si>
    <t>59499</t>
  </si>
  <si>
    <t>59999</t>
  </si>
  <si>
    <t xml:space="preserve">Unknown (LEXUS) </t>
  </si>
  <si>
    <t>60031</t>
  </si>
  <si>
    <t>Charade</t>
  </si>
  <si>
    <t>60401</t>
  </si>
  <si>
    <t>Rocky</t>
  </si>
  <si>
    <t>60999</t>
  </si>
  <si>
    <t>Unknown (DAIHATSU)</t>
  </si>
  <si>
    <t>61031</t>
  </si>
  <si>
    <t>827</t>
  </si>
  <si>
    <t>61398</t>
  </si>
  <si>
    <t>61399</t>
  </si>
  <si>
    <t>62401</t>
  </si>
  <si>
    <t>Discovery</t>
  </si>
  <si>
    <t>62402</t>
  </si>
  <si>
    <t>Defender</t>
  </si>
  <si>
    <t>62403</t>
  </si>
  <si>
    <t>Freelander (2004 on)</t>
  </si>
  <si>
    <t>62404</t>
  </si>
  <si>
    <t>Range Rover Evoque</t>
  </si>
  <si>
    <t>62405</t>
  </si>
  <si>
    <t>Discovery Sport</t>
  </si>
  <si>
    <t>62421</t>
  </si>
  <si>
    <t>Range Rover</t>
  </si>
  <si>
    <t>62422</t>
  </si>
  <si>
    <t>Freelander (2002-2003)</t>
  </si>
  <si>
    <t>62423</t>
  </si>
  <si>
    <t>LR3/LR4</t>
  </si>
  <si>
    <t>62424</t>
  </si>
  <si>
    <t>LR2</t>
  </si>
  <si>
    <t>62498</t>
  </si>
  <si>
    <t>62499</t>
  </si>
  <si>
    <t>63031</t>
  </si>
  <si>
    <t>Sephia</t>
  </si>
  <si>
    <t>63032</t>
  </si>
  <si>
    <t>Rio/Rio5</t>
  </si>
  <si>
    <t>63033</t>
  </si>
  <si>
    <t>Spectra/Spectra5</t>
  </si>
  <si>
    <t>63034</t>
  </si>
  <si>
    <t>Optima</t>
  </si>
  <si>
    <t>63035</t>
  </si>
  <si>
    <t>Amanti</t>
  </si>
  <si>
    <t>63036</t>
  </si>
  <si>
    <t>Rondo</t>
  </si>
  <si>
    <t>63037</t>
  </si>
  <si>
    <t>Soul</t>
  </si>
  <si>
    <t>63038</t>
  </si>
  <si>
    <t>Forte</t>
  </si>
  <si>
    <t>63039</t>
  </si>
  <si>
    <t>Cadenza</t>
  </si>
  <si>
    <t>63040</t>
  </si>
  <si>
    <t>K900</t>
  </si>
  <si>
    <t>63398</t>
  </si>
  <si>
    <t>63399</t>
  </si>
  <si>
    <t>63401</t>
  </si>
  <si>
    <t>Sportage</t>
  </si>
  <si>
    <t>63402</t>
  </si>
  <si>
    <t>Sorento</t>
  </si>
  <si>
    <t>63421</t>
  </si>
  <si>
    <t>Borrego</t>
  </si>
  <si>
    <t>63441</t>
  </si>
  <si>
    <t>Sedona</t>
  </si>
  <si>
    <t>63498</t>
  </si>
  <si>
    <t>63499</t>
  </si>
  <si>
    <t>63999</t>
  </si>
  <si>
    <t xml:space="preserve">Unknown (KIA) </t>
  </si>
  <si>
    <t>64031</t>
  </si>
  <si>
    <t>Lanos</t>
  </si>
  <si>
    <t>64032</t>
  </si>
  <si>
    <t>Nubira</t>
  </si>
  <si>
    <t>64033</t>
  </si>
  <si>
    <t>Leganza</t>
  </si>
  <si>
    <t>64398</t>
  </si>
  <si>
    <t>64399</t>
  </si>
  <si>
    <t>65031</t>
  </si>
  <si>
    <t>Fortwo</t>
  </si>
  <si>
    <t>65398</t>
  </si>
  <si>
    <t>65399</t>
  </si>
  <si>
    <t>67031</t>
  </si>
  <si>
    <t>xB (2012 on)</t>
  </si>
  <si>
    <t>67032</t>
  </si>
  <si>
    <t>tC (2012 on)</t>
  </si>
  <si>
    <t>67033</t>
  </si>
  <si>
    <t>xD (2012 on)</t>
  </si>
  <si>
    <t>67034</t>
  </si>
  <si>
    <t>iQ (2012 on)</t>
  </si>
  <si>
    <t>67035</t>
  </si>
  <si>
    <t>FR-S</t>
  </si>
  <si>
    <t>67398</t>
  </si>
  <si>
    <t>67399</t>
  </si>
  <si>
    <t>69031</t>
  </si>
  <si>
    <t>Aston Martin</t>
  </si>
  <si>
    <t>69032</t>
  </si>
  <si>
    <t>Bricklin</t>
  </si>
  <si>
    <t>69033</t>
  </si>
  <si>
    <t>Citroen</t>
  </si>
  <si>
    <t>69034</t>
  </si>
  <si>
    <t>DeLorean</t>
  </si>
  <si>
    <t>69035</t>
  </si>
  <si>
    <t>Ferrari</t>
  </si>
  <si>
    <t>69036</t>
  </si>
  <si>
    <t>Hillman</t>
  </si>
  <si>
    <t>69037</t>
  </si>
  <si>
    <t>Jensen</t>
  </si>
  <si>
    <t>69038</t>
  </si>
  <si>
    <t xml:space="preserve">Lamborghini </t>
  </si>
  <si>
    <t>69039</t>
  </si>
  <si>
    <t>Lotus</t>
  </si>
  <si>
    <t>69040</t>
  </si>
  <si>
    <t>Maserati</t>
  </si>
  <si>
    <t>69041</t>
  </si>
  <si>
    <t>Morris</t>
  </si>
  <si>
    <t>69042</t>
  </si>
  <si>
    <t>Rolls Royce/Bentley</t>
  </si>
  <si>
    <t>69044</t>
  </si>
  <si>
    <t>Simca</t>
  </si>
  <si>
    <t>69045</t>
  </si>
  <si>
    <t>Sunbeam</t>
  </si>
  <si>
    <t>69046</t>
  </si>
  <si>
    <t>TVR</t>
  </si>
  <si>
    <t>69048</t>
  </si>
  <si>
    <t>Desta</t>
  </si>
  <si>
    <t>69049</t>
  </si>
  <si>
    <t>Reliant</t>
  </si>
  <si>
    <t>69052</t>
  </si>
  <si>
    <t>Bertone</t>
  </si>
  <si>
    <t>69053</t>
  </si>
  <si>
    <t>Lada</t>
  </si>
  <si>
    <t>69054</t>
  </si>
  <si>
    <t>Mini-Cooper</t>
  </si>
  <si>
    <t>69055</t>
  </si>
  <si>
    <t>Morgan (2003 on; Prior to 2003 see 398)</t>
  </si>
  <si>
    <t>69056</t>
  </si>
  <si>
    <t>Maybach</t>
  </si>
  <si>
    <t>69057</t>
  </si>
  <si>
    <t>Spyker</t>
  </si>
  <si>
    <t>69058</t>
  </si>
  <si>
    <t>Koenigsegg</t>
  </si>
  <si>
    <t>69061</t>
  </si>
  <si>
    <t>Mahindra</t>
  </si>
  <si>
    <t>69062</t>
  </si>
  <si>
    <t>Caterham</t>
  </si>
  <si>
    <t>69063</t>
  </si>
  <si>
    <t>McLaren</t>
  </si>
  <si>
    <t>69064</t>
  </si>
  <si>
    <t>Bugatti</t>
  </si>
  <si>
    <t>69398</t>
  </si>
  <si>
    <t>Other (automotive)</t>
  </si>
  <si>
    <t>69399</t>
  </si>
  <si>
    <t xml:space="preserve">Unknown Make  </t>
  </si>
  <si>
    <t>70701</t>
  </si>
  <si>
    <t>70702</t>
  </si>
  <si>
    <t>70703</t>
  </si>
  <si>
    <t>70704</t>
  </si>
  <si>
    <t>70705</t>
  </si>
  <si>
    <t>70706</t>
  </si>
  <si>
    <t>70709</t>
  </si>
  <si>
    <t>71701</t>
  </si>
  <si>
    <t>71702</t>
  </si>
  <si>
    <t>71703</t>
  </si>
  <si>
    <t>71704</t>
  </si>
  <si>
    <t>71705</t>
  </si>
  <si>
    <t>71706</t>
  </si>
  <si>
    <t>71709</t>
  </si>
  <si>
    <t>72701</t>
  </si>
  <si>
    <t>72702</t>
  </si>
  <si>
    <t>72703</t>
  </si>
  <si>
    <t>72704</t>
  </si>
  <si>
    <t>72705</t>
  </si>
  <si>
    <t>72706</t>
  </si>
  <si>
    <t>72709</t>
  </si>
  <si>
    <t>73701</t>
  </si>
  <si>
    <t>73702</t>
  </si>
  <si>
    <t>73703</t>
  </si>
  <si>
    <t>73704</t>
  </si>
  <si>
    <t>73705</t>
  </si>
  <si>
    <t>73706</t>
  </si>
  <si>
    <t>73709</t>
  </si>
  <si>
    <t>73731</t>
  </si>
  <si>
    <t>73732</t>
  </si>
  <si>
    <t>73733</t>
  </si>
  <si>
    <t>73734</t>
  </si>
  <si>
    <t>73739</t>
  </si>
  <si>
    <t>73998</t>
  </si>
  <si>
    <t>Other (Vehicle)</t>
  </si>
  <si>
    <t>74704</t>
  </si>
  <si>
    <t>74705</t>
  </si>
  <si>
    <t>74706</t>
  </si>
  <si>
    <t>74709</t>
  </si>
  <si>
    <t>75704</t>
  </si>
  <si>
    <t>75705</t>
  </si>
  <si>
    <t>75706</t>
  </si>
  <si>
    <t>75709</t>
  </si>
  <si>
    <t>76701</t>
  </si>
  <si>
    <t>76702</t>
  </si>
  <si>
    <t>76703</t>
  </si>
  <si>
    <t>76704</t>
  </si>
  <si>
    <t>76705</t>
  </si>
  <si>
    <t>76706</t>
  </si>
  <si>
    <t>76709</t>
  </si>
  <si>
    <t>76731</t>
  </si>
  <si>
    <t>76732</t>
  </si>
  <si>
    <t>76733</t>
  </si>
  <si>
    <t>76734</t>
  </si>
  <si>
    <t>76739</t>
  </si>
  <si>
    <t>76998</t>
  </si>
  <si>
    <t>77706</t>
  </si>
  <si>
    <t>77709</t>
  </si>
  <si>
    <t>77998</t>
  </si>
  <si>
    <t>80850</t>
  </si>
  <si>
    <t>80881</t>
  </si>
  <si>
    <t>80882</t>
  </si>
  <si>
    <t>80883</t>
  </si>
  <si>
    <t>80884</t>
  </si>
  <si>
    <t>80890</t>
  </si>
  <si>
    <t>80898</t>
  </si>
  <si>
    <t>80981</t>
  </si>
  <si>
    <t>80982</t>
  </si>
  <si>
    <t>80983</t>
  </si>
  <si>
    <t>80988</t>
  </si>
  <si>
    <t>80989</t>
  </si>
  <si>
    <t>80998</t>
  </si>
  <si>
    <t>80999</t>
  </si>
  <si>
    <t>Unknown (BROCKWAY)</t>
  </si>
  <si>
    <t>81850</t>
  </si>
  <si>
    <t>81881</t>
  </si>
  <si>
    <t>81882</t>
  </si>
  <si>
    <t>81883</t>
  </si>
  <si>
    <t>81884</t>
  </si>
  <si>
    <t>81890</t>
  </si>
  <si>
    <t>81898</t>
  </si>
  <si>
    <t>81981</t>
  </si>
  <si>
    <t>81982</t>
  </si>
  <si>
    <t>81983</t>
  </si>
  <si>
    <t>81988</t>
  </si>
  <si>
    <t>81989</t>
  </si>
  <si>
    <t>81998</t>
  </si>
  <si>
    <t>81999</t>
  </si>
  <si>
    <t>Unknown (DIAMOND REO or REO)</t>
  </si>
  <si>
    <t>82461</t>
  </si>
  <si>
    <t>Sprinter/Advantage</t>
  </si>
  <si>
    <t>82462</t>
  </si>
  <si>
    <t>MT 35 Chassis</t>
  </si>
  <si>
    <t>82498</t>
  </si>
  <si>
    <t>82499</t>
  </si>
  <si>
    <t>82850</t>
  </si>
  <si>
    <t>82870</t>
  </si>
  <si>
    <t>Medium Heavy Van-Based Vehicle</t>
  </si>
  <si>
    <t>82881</t>
  </si>
  <si>
    <t>82882</t>
  </si>
  <si>
    <t>82883</t>
  </si>
  <si>
    <t>82884</t>
  </si>
  <si>
    <t>82890</t>
  </si>
  <si>
    <t>82898</t>
  </si>
  <si>
    <t>82981</t>
  </si>
  <si>
    <t>82982</t>
  </si>
  <si>
    <t>82983</t>
  </si>
  <si>
    <t>82988</t>
  </si>
  <si>
    <t>82989</t>
  </si>
  <si>
    <t>82998</t>
  </si>
  <si>
    <t>82999</t>
  </si>
  <si>
    <t xml:space="preserve">Unknown (FREIGHTLINER)   </t>
  </si>
  <si>
    <t>83850</t>
  </si>
  <si>
    <t>83881</t>
  </si>
  <si>
    <t>83882</t>
  </si>
  <si>
    <t>83883</t>
  </si>
  <si>
    <t>83884</t>
  </si>
  <si>
    <t>83890</t>
  </si>
  <si>
    <t>83898</t>
  </si>
  <si>
    <t>83981</t>
  </si>
  <si>
    <t>83982</t>
  </si>
  <si>
    <t>83983</t>
  </si>
  <si>
    <t>83988</t>
  </si>
  <si>
    <t>83989</t>
  </si>
  <si>
    <t>83998</t>
  </si>
  <si>
    <t>83999</t>
  </si>
  <si>
    <t xml:space="preserve">Unknown (FWD) </t>
  </si>
  <si>
    <t>84421</t>
  </si>
  <si>
    <t>Scout</t>
  </si>
  <si>
    <t>84431</t>
  </si>
  <si>
    <t>Travelall</t>
  </si>
  <si>
    <t>84466</t>
  </si>
  <si>
    <t>Multistop Van</t>
  </si>
  <si>
    <t>84481</t>
  </si>
  <si>
    <t>84498</t>
  </si>
  <si>
    <t>84499</t>
  </si>
  <si>
    <t>84850</t>
  </si>
  <si>
    <t>84881</t>
  </si>
  <si>
    <t>84882</t>
  </si>
  <si>
    <t>84883</t>
  </si>
  <si>
    <t>84884</t>
  </si>
  <si>
    <t>84890</t>
  </si>
  <si>
    <t>84898</t>
  </si>
  <si>
    <t xml:space="preserve">Other (medium/heavy  truck) </t>
  </si>
  <si>
    <t>84981</t>
  </si>
  <si>
    <t>84982</t>
  </si>
  <si>
    <t>84983</t>
  </si>
  <si>
    <t>84988</t>
  </si>
  <si>
    <t>84989</t>
  </si>
  <si>
    <t>84998</t>
  </si>
  <si>
    <t>84999</t>
  </si>
  <si>
    <t xml:space="preserve">Unknown (INTL. HARVESTER/ NAVISTAR) </t>
  </si>
  <si>
    <t>85850</t>
  </si>
  <si>
    <t>85881</t>
  </si>
  <si>
    <t>85882</t>
  </si>
  <si>
    <t>85883</t>
  </si>
  <si>
    <t>85884</t>
  </si>
  <si>
    <t>85890</t>
  </si>
  <si>
    <t>85898</t>
  </si>
  <si>
    <t>85981</t>
  </si>
  <si>
    <t>85982</t>
  </si>
  <si>
    <t>85983</t>
  </si>
  <si>
    <t>85988</t>
  </si>
  <si>
    <t>85989</t>
  </si>
  <si>
    <t>85998</t>
  </si>
  <si>
    <t>85999</t>
  </si>
  <si>
    <t xml:space="preserve">Unknown (KENWORTH) </t>
  </si>
  <si>
    <t>86850</t>
  </si>
  <si>
    <t>86881</t>
  </si>
  <si>
    <t>86882</t>
  </si>
  <si>
    <t>86883</t>
  </si>
  <si>
    <t>86884</t>
  </si>
  <si>
    <t>86890</t>
  </si>
  <si>
    <t>86898</t>
  </si>
  <si>
    <t>86981</t>
  </si>
  <si>
    <t>86982</t>
  </si>
  <si>
    <t>86983</t>
  </si>
  <si>
    <t>86988</t>
  </si>
  <si>
    <t>86989</t>
  </si>
  <si>
    <t>86998</t>
  </si>
  <si>
    <t>86999</t>
  </si>
  <si>
    <t xml:space="preserve">Unknown (MACK) </t>
  </si>
  <si>
    <t>87850</t>
  </si>
  <si>
    <t>87881</t>
  </si>
  <si>
    <t>87882</t>
  </si>
  <si>
    <t>87883</t>
  </si>
  <si>
    <t>87884</t>
  </si>
  <si>
    <t>87890</t>
  </si>
  <si>
    <t>87898</t>
  </si>
  <si>
    <t>87981</t>
  </si>
  <si>
    <t>87982</t>
  </si>
  <si>
    <t>87983</t>
  </si>
  <si>
    <t>87988</t>
  </si>
  <si>
    <t>87989</t>
  </si>
  <si>
    <t>87998</t>
  </si>
  <si>
    <t>87999</t>
  </si>
  <si>
    <t xml:space="preserve">Unknown (PETERBILT) </t>
  </si>
  <si>
    <t>88850</t>
  </si>
  <si>
    <t>88881</t>
  </si>
  <si>
    <t>88882</t>
  </si>
  <si>
    <t>88883</t>
  </si>
  <si>
    <t>88884</t>
  </si>
  <si>
    <t>88890</t>
  </si>
  <si>
    <t>88898</t>
  </si>
  <si>
    <t>88981</t>
  </si>
  <si>
    <t>88982</t>
  </si>
  <si>
    <t>88983</t>
  </si>
  <si>
    <t>88988</t>
  </si>
  <si>
    <t>88989</t>
  </si>
  <si>
    <t>88998</t>
  </si>
  <si>
    <t>88999</t>
  </si>
  <si>
    <t>Unknown (IVECO/MAGIRUS)</t>
  </si>
  <si>
    <t>89850</t>
  </si>
  <si>
    <t>89881</t>
  </si>
  <si>
    <t>89882</t>
  </si>
  <si>
    <t>89883</t>
  </si>
  <si>
    <t>89884</t>
  </si>
  <si>
    <t>89890</t>
  </si>
  <si>
    <t>89898</t>
  </si>
  <si>
    <t>89981</t>
  </si>
  <si>
    <t>89982</t>
  </si>
  <si>
    <t>89983</t>
  </si>
  <si>
    <t>89988</t>
  </si>
  <si>
    <t>89989</t>
  </si>
  <si>
    <t>89998</t>
  </si>
  <si>
    <t>89999</t>
  </si>
  <si>
    <t>Unknown (WHITE/AUTOCAR-WHITE/GMC)</t>
  </si>
  <si>
    <t>90461</t>
  </si>
  <si>
    <t>Van Based</t>
  </si>
  <si>
    <t>90981</t>
  </si>
  <si>
    <t>90982</t>
  </si>
  <si>
    <t>90983</t>
  </si>
  <si>
    <t>90988</t>
  </si>
  <si>
    <t xml:space="preserve">Other (bus)  Other (bus) </t>
  </si>
  <si>
    <t>90989</t>
  </si>
  <si>
    <t>90999</t>
  </si>
  <si>
    <t>Unknown (BLUEBIRD)</t>
  </si>
  <si>
    <t>91981</t>
  </si>
  <si>
    <t>91982</t>
  </si>
  <si>
    <t>91983</t>
  </si>
  <si>
    <t>92981</t>
  </si>
  <si>
    <t>92982</t>
  </si>
  <si>
    <t>92983</t>
  </si>
  <si>
    <t>92988</t>
  </si>
  <si>
    <t>92989</t>
  </si>
  <si>
    <t>93981</t>
  </si>
  <si>
    <t>93982</t>
  </si>
  <si>
    <t>93983</t>
  </si>
  <si>
    <t>93988</t>
  </si>
  <si>
    <t>93989</t>
  </si>
  <si>
    <t>94461</t>
  </si>
  <si>
    <t>94981</t>
  </si>
  <si>
    <t>94982</t>
  </si>
  <si>
    <t>94983</t>
  </si>
  <si>
    <t>94988</t>
  </si>
  <si>
    <t>94989</t>
  </si>
  <si>
    <t xml:space="preserve">LIGHT TRUCKS  Unknown (bus) </t>
  </si>
  <si>
    <t>94999</t>
  </si>
  <si>
    <t xml:space="preserve">Unknown (THOMAS BUILT)   </t>
  </si>
  <si>
    <t>98301</t>
  </si>
  <si>
    <t>Think</t>
  </si>
  <si>
    <t>98302</t>
  </si>
  <si>
    <t>Meyers Motor</t>
  </si>
  <si>
    <t>98398</t>
  </si>
  <si>
    <t>98498</t>
  </si>
  <si>
    <t>98598</t>
  </si>
  <si>
    <t>Other (LSV/NEV)</t>
  </si>
  <si>
    <t>98701</t>
  </si>
  <si>
    <t>98702</t>
  </si>
  <si>
    <t>98703</t>
  </si>
  <si>
    <t>98704</t>
  </si>
  <si>
    <t>98705</t>
  </si>
  <si>
    <t xml:space="preserve">450-749cc </t>
  </si>
  <si>
    <t>98706</t>
  </si>
  <si>
    <t xml:space="preserve">750cc or greater </t>
  </si>
  <si>
    <t>98709</t>
  </si>
  <si>
    <t>98731</t>
  </si>
  <si>
    <t>98732</t>
  </si>
  <si>
    <t>98733</t>
  </si>
  <si>
    <t xml:space="preserve">125-349cc </t>
  </si>
  <si>
    <t>98734</t>
  </si>
  <si>
    <t xml:space="preserve">350cc or greater </t>
  </si>
  <si>
    <t>98739</t>
  </si>
  <si>
    <t>98802</t>
  </si>
  <si>
    <t xml:space="preserve">Auto-Union-DKW </t>
  </si>
  <si>
    <t>98803</t>
  </si>
  <si>
    <t xml:space="preserve">Divco </t>
  </si>
  <si>
    <t>98804</t>
  </si>
  <si>
    <t xml:space="preserve">Western Star </t>
  </si>
  <si>
    <t>98805</t>
  </si>
  <si>
    <t xml:space="preserve">Oshkosh </t>
  </si>
  <si>
    <t>98806</t>
  </si>
  <si>
    <t xml:space="preserve">Hino </t>
  </si>
  <si>
    <t>98807</t>
  </si>
  <si>
    <t xml:space="preserve">Scania </t>
  </si>
  <si>
    <t>98808</t>
  </si>
  <si>
    <t>UD</t>
  </si>
  <si>
    <t>98809</t>
  </si>
  <si>
    <t xml:space="preserve">Sterling </t>
  </si>
  <si>
    <t>98850</t>
  </si>
  <si>
    <t xml:space="preserve">Motor Home </t>
  </si>
  <si>
    <t>98870</t>
  </si>
  <si>
    <t>Medium/Heavy Van- Based Vehicle</t>
  </si>
  <si>
    <t>98881</t>
  </si>
  <si>
    <t xml:space="preserve">Medium/Heavy Â­ CBE </t>
  </si>
  <si>
    <t>98882</t>
  </si>
  <si>
    <t xml:space="preserve">Medium/Heavy Â­ COE  low entry </t>
  </si>
  <si>
    <t>98883</t>
  </si>
  <si>
    <t xml:space="preserve">Medium/Heavy Â­ COE  high entry </t>
  </si>
  <si>
    <t>98884</t>
  </si>
  <si>
    <t>Medium/Heavy Â­ Unknown engine  location</t>
  </si>
  <si>
    <t>98890</t>
  </si>
  <si>
    <t>98898</t>
  </si>
  <si>
    <t>Other (medium/heavy e.g., Marmon, Ward LaFrance truck)**</t>
  </si>
  <si>
    <t>98902</t>
  </si>
  <si>
    <t xml:space="preserve">Neoplan   </t>
  </si>
  <si>
    <t>98903</t>
  </si>
  <si>
    <t xml:space="preserve">Carpenter   </t>
  </si>
  <si>
    <t>98904</t>
  </si>
  <si>
    <t xml:space="preserve">Collins Bus   </t>
  </si>
  <si>
    <t>98905</t>
  </si>
  <si>
    <t xml:space="preserve">DINA   </t>
  </si>
  <si>
    <t>98906</t>
  </si>
  <si>
    <t xml:space="preserve">Mid Bus   </t>
  </si>
  <si>
    <t>98907</t>
  </si>
  <si>
    <t xml:space="preserve">Orion </t>
  </si>
  <si>
    <t>98908</t>
  </si>
  <si>
    <t xml:space="preserve">Van Hool </t>
  </si>
  <si>
    <t>98981</t>
  </si>
  <si>
    <t>Bus***: Conventional (Engine out front)</t>
  </si>
  <si>
    <t>98982</t>
  </si>
  <si>
    <t>98983</t>
  </si>
  <si>
    <t>98988</t>
  </si>
  <si>
    <t>98998</t>
  </si>
  <si>
    <t>98999</t>
  </si>
  <si>
    <t>Unknown (OTHER MAKE)</t>
  </si>
  <si>
    <t>99399</t>
  </si>
  <si>
    <t>99499</t>
  </si>
  <si>
    <t xml:space="preserve">Unknown (light truck)    </t>
  </si>
  <si>
    <t>99599</t>
  </si>
  <si>
    <t>Unknown (LSV/NEV)</t>
  </si>
  <si>
    <t>99701</t>
  </si>
  <si>
    <t>99702</t>
  </si>
  <si>
    <t>99703</t>
  </si>
  <si>
    <t>99704</t>
  </si>
  <si>
    <t>99705</t>
  </si>
  <si>
    <t>99706</t>
  </si>
  <si>
    <t>99709</t>
  </si>
  <si>
    <t>99731</t>
  </si>
  <si>
    <t xml:space="preserve">0-50cc   </t>
  </si>
  <si>
    <t>99732</t>
  </si>
  <si>
    <t xml:space="preserve">51-124cc   </t>
  </si>
  <si>
    <t>99733</t>
  </si>
  <si>
    <t xml:space="preserve">125-349cc  </t>
  </si>
  <si>
    <t>99734</t>
  </si>
  <si>
    <t xml:space="preserve">350cc or greater  </t>
  </si>
  <si>
    <t>99739</t>
  </si>
  <si>
    <t xml:space="preserve">Unknown cc  </t>
  </si>
  <si>
    <t>99850</t>
  </si>
  <si>
    <t>99870</t>
  </si>
  <si>
    <t>Medium Heavy Van- Based Vehicle</t>
  </si>
  <si>
    <t>99881</t>
  </si>
  <si>
    <t xml:space="preserve">Medium/Heavy Â­ CBE   </t>
  </si>
  <si>
    <t>99882</t>
  </si>
  <si>
    <t>Medium/Heavy Â­ COE  low entry</t>
  </si>
  <si>
    <t>99883</t>
  </si>
  <si>
    <t>Medium/Heavy Â­ COE  high entry</t>
  </si>
  <si>
    <t>99884</t>
  </si>
  <si>
    <t>99890</t>
  </si>
  <si>
    <t>99898</t>
  </si>
  <si>
    <t xml:space="preserve">Other (medium/heavy truck) </t>
  </si>
  <si>
    <t>99981</t>
  </si>
  <si>
    <t>Bus**: Conventional (Engine out front)</t>
  </si>
  <si>
    <t>99982</t>
  </si>
  <si>
    <t xml:space="preserve">Bus: Front engine. Flat front </t>
  </si>
  <si>
    <t>99983</t>
  </si>
  <si>
    <t xml:space="preserve">Bus: Rear engine, Flat front </t>
  </si>
  <si>
    <t>99988</t>
  </si>
  <si>
    <t>99989</t>
  </si>
  <si>
    <t>99997</t>
  </si>
  <si>
    <t>99998</t>
  </si>
  <si>
    <t>99999</t>
  </si>
  <si>
    <t>Unknown (as to automobile, motored cycle, light truck or truck)</t>
  </si>
  <si>
    <t>MSA of 1 million or more, with rail</t>
  </si>
  <si>
    <t>MSA of 1 million or more, and not in 1</t>
  </si>
  <si>
    <t>MSA less than 1 million</t>
  </si>
  <si>
    <t>Not in MSA</t>
  </si>
  <si>
    <t>In an MSA of Less than 250,000</t>
  </si>
  <si>
    <t>In an MSA of 250,000 - 499,999</t>
  </si>
  <si>
    <t>In an MSA of 500,000 - 999,999</t>
  </si>
  <si>
    <t>In an MSA or CMSA of 1,000,000 - 2,999,999</t>
  </si>
  <si>
    <t>In an MSA or CMSA of 3 million or more</t>
  </si>
  <si>
    <t>Not in MSA or CMSA</t>
  </si>
  <si>
    <t>Sales or service</t>
  </si>
  <si>
    <t>Clerical or administrative support</t>
  </si>
  <si>
    <t>Manufacturing, construction, maintenance, or farming</t>
  </si>
  <si>
    <t>Professional, managerial, or technical</t>
  </si>
  <si>
    <t xml:space="preserve">Never </t>
  </si>
  <si>
    <t>[$HE_SHE_CAP2] rarely or never [$DO_DOES2] any physical activity</t>
  </si>
  <si>
    <t>[$HE_SHE_CAP2] [$DO_DOES2] some light or moderate physical activities</t>
  </si>
  <si>
    <t>[$HE_SHE_CAP2] [$DO_DOES2] some vigorous physical activities</t>
  </si>
  <si>
    <t>Working</t>
  </si>
  <si>
    <t>Temporarily absent from a job or business</t>
  </si>
  <si>
    <t>Looking for work / unemployed</t>
  </si>
  <si>
    <t>A homemaker</t>
  </si>
  <si>
    <t>Going to school</t>
  </si>
  <si>
    <t>Retired</t>
  </si>
  <si>
    <t>Self-report</t>
  </si>
  <si>
    <t>Proxy-report</t>
  </si>
  <si>
    <t>Service not frequent enough</t>
  </si>
  <si>
    <t>Service does not run early or late enough</t>
  </si>
  <si>
    <t>Service not reliable</t>
  </si>
  <si>
    <t>Service too expensive</t>
  </si>
  <si>
    <t>No stops near destination</t>
  </si>
  <si>
    <t>Street crossings are unsafe</t>
  </si>
  <si>
    <t>Weather</t>
  </si>
  <si>
    <t>American Indian or Alaska native</t>
  </si>
  <si>
    <t>Native Hawaiian or other Pacific islander</t>
  </si>
  <si>
    <t>MSA has rail</t>
  </si>
  <si>
    <t>MSA does not have rail, or hh not in an MSA</t>
  </si>
  <si>
    <t>Mail</t>
  </si>
  <si>
    <t>CATI</t>
  </si>
  <si>
    <t>Web</t>
  </si>
  <si>
    <t>Yes, Hispanic or Latino</t>
  </si>
  <si>
    <t>No, Not Hispanic or Latino</t>
  </si>
  <si>
    <t>Self</t>
  </si>
  <si>
    <t>Spouse/Unmarried partner</t>
  </si>
  <si>
    <t>Child</t>
  </si>
  <si>
    <t>Parent</t>
  </si>
  <si>
    <t>Brother/Sister</t>
  </si>
  <si>
    <t>Other relative</t>
  </si>
  <si>
    <t>Non-relative</t>
  </si>
  <si>
    <t xml:space="preserve">Male </t>
  </si>
  <si>
    <t xml:space="preserve">Female </t>
  </si>
  <si>
    <t>Personally sick</t>
  </si>
  <si>
    <t>Vacation or personal day</t>
  </si>
  <si>
    <t>Caretaking</t>
  </si>
  <si>
    <t xml:space="preserve">Disabled or home-bound  </t>
  </si>
  <si>
    <t>Worked at home (for pay)</t>
  </si>
  <si>
    <t>Not scheduled to work</t>
  </si>
  <si>
    <t>Worked around home (not for pay)</t>
  </si>
  <si>
    <t>Bad weather</t>
  </si>
  <si>
    <t>Out of country</t>
  </si>
  <si>
    <t>No transportation available</t>
  </si>
  <si>
    <t>No longer a household resident</t>
  </si>
  <si>
    <t>National</t>
  </si>
  <si>
    <t>Arizona Department of Transportation</t>
  </si>
  <si>
    <t>Des Moines Metropolitan Planning Organization</t>
  </si>
  <si>
    <t>Georgia Department of Transportation</t>
  </si>
  <si>
    <t>Indian Nations Council of Governments</t>
  </si>
  <si>
    <t>Iowa Northlands Regional Council of Governments</t>
  </si>
  <si>
    <t>Maryland State Highway Administration</t>
  </si>
  <si>
    <t>North Carolina Department of Transportation</t>
  </si>
  <si>
    <t>North Central Texas Council of Governments</t>
  </si>
  <si>
    <t>New York State Department of Transportation</t>
  </si>
  <si>
    <t>South Carolina Department of Transportation</t>
  </si>
  <si>
    <t>Texas Department of Transportation</t>
  </si>
  <si>
    <t>Wisconsin Department of Transportation</t>
  </si>
  <si>
    <t>County in MSA with &gt;= 1M and Heavy Rail</t>
  </si>
  <si>
    <t>County in MSA with &gt;= 1M and no Heavy Rail</t>
  </si>
  <si>
    <t>County in MSA with &lt; 1M</t>
  </si>
  <si>
    <t>County not in MSA</t>
  </si>
  <si>
    <t>Car</t>
  </si>
  <si>
    <t>SUV</t>
  </si>
  <si>
    <t>Pickup truck</t>
  </si>
  <si>
    <t>Golf cart / Segway</t>
  </si>
  <si>
    <t>Motorcycle / Moped</t>
  </si>
  <si>
    <t>RV (motor home, ATV, snowmobile)</t>
  </si>
  <si>
    <t>School bus</t>
  </si>
  <si>
    <t>Public or Commuter bus</t>
  </si>
  <si>
    <t>Paratransit / Dial-a-ride</t>
  </si>
  <si>
    <t>Private / Charter / Tour / Shuttle bus</t>
  </si>
  <si>
    <t>City-to-city bus (Greyhound, Megabus)</t>
  </si>
  <si>
    <t>Amtrak / Commuter rail</t>
  </si>
  <si>
    <t>Subway / Elevated / Light rail / Street car</t>
  </si>
  <si>
    <t>Taxi / Limo (including Uber / Lyft)</t>
  </si>
  <si>
    <t>Rental car (Including Zipcar / Car2Go)</t>
  </si>
  <si>
    <t>Airplane</t>
  </si>
  <si>
    <t>Boat / Ferry / Water taxi</t>
  </si>
  <si>
    <t xml:space="preserve">Public or private school </t>
  </si>
  <si>
    <t>Home schooled</t>
  </si>
  <si>
    <t>Not in school</t>
  </si>
  <si>
    <t>North Central Texas Council of Governments and Texas Department of Transportation</t>
  </si>
  <si>
    <t xml:space="preserve">Bicycle </t>
  </si>
  <si>
    <t xml:space="preserve">Van </t>
  </si>
  <si>
    <t xml:space="preserve">Pickup truck </t>
  </si>
  <si>
    <t xml:space="preserve">Golf cart / Segway </t>
  </si>
  <si>
    <t xml:space="preserve">Motorcycle / Moped </t>
  </si>
  <si>
    <t xml:space="preserve">RV (motor home, ATV, snowmobile) </t>
  </si>
  <si>
    <t xml:space="preserve">School bus </t>
  </si>
  <si>
    <t xml:space="preserve">Public or commuter bus </t>
  </si>
  <si>
    <t xml:space="preserve">Private / Charter / Tour / Shuttle bus </t>
  </si>
  <si>
    <t xml:space="preserve">Subway / Elevated / Light rail / Street car </t>
  </si>
  <si>
    <t xml:space="preserve">Taxi / Limo (including Uber / Lyft) </t>
  </si>
  <si>
    <t xml:space="preserve">Airplane </t>
  </si>
  <si>
    <t xml:space="preserve">Something Else </t>
  </si>
  <si>
    <t>Sunday</t>
  </si>
  <si>
    <t>Monday</t>
  </si>
  <si>
    <t>Tuesday</t>
  </si>
  <si>
    <t>Wednesday</t>
  </si>
  <si>
    <t>Thursday</t>
  </si>
  <si>
    <t>Friday</t>
  </si>
  <si>
    <t>Saturday</t>
  </si>
  <si>
    <t xml:space="preserve">Car </t>
  </si>
  <si>
    <t>HBW</t>
  </si>
  <si>
    <t>Home-based trip (work)</t>
  </si>
  <si>
    <t>HBSOCREC</t>
  </si>
  <si>
    <t>Home-based trip (social/recreational)</t>
  </si>
  <si>
    <t>HBSHOP</t>
  </si>
  <si>
    <t>Home-based trip (shopping)</t>
  </si>
  <si>
    <t>NHB</t>
  </si>
  <si>
    <t>Not a home-based trip</t>
  </si>
  <si>
    <t>HBO</t>
  </si>
  <si>
    <t>Home-based trip (other)</t>
  </si>
  <si>
    <t xml:space="preserve">Paratransit / Dial-a-ride </t>
  </si>
  <si>
    <t>Subway / elevated / light rail / street car</t>
  </si>
  <si>
    <t>Taxi / limo (including Uber / Lyft)</t>
  </si>
  <si>
    <t xml:space="preserve">Boat / ferry / water taxi </t>
  </si>
  <si>
    <t>In an urban area</t>
  </si>
  <si>
    <t>In an Urban cluster</t>
  </si>
  <si>
    <t>In an area surrounded by urban areas</t>
  </si>
  <si>
    <t>Not in urban area</t>
  </si>
  <si>
    <t>50,000 - 199,999</t>
  </si>
  <si>
    <t>200,000 - 499,999</t>
  </si>
  <si>
    <t>500,000 - 999,999</t>
  </si>
  <si>
    <t>1 million or more without heavy rail</t>
  </si>
  <si>
    <t>1 million or more with heavy rail</t>
  </si>
  <si>
    <t>Not in an urbanized area</t>
  </si>
  <si>
    <t>Urban</t>
  </si>
  <si>
    <t>Rural</t>
  </si>
  <si>
    <t>[$VEHNAME:R1]</t>
  </si>
  <si>
    <t>[$VEHNAME:R2]</t>
  </si>
  <si>
    <t>[$VEHNAME:R3]</t>
  </si>
  <si>
    <t>[$VEHNAME:R4]</t>
  </si>
  <si>
    <t>[$VEHNAME:R5]</t>
  </si>
  <si>
    <t>[$VEHNAME:R6]</t>
  </si>
  <si>
    <t>[$VEHNAME:R7]</t>
  </si>
  <si>
    <t>[$VEHNAME:R8]</t>
  </si>
  <si>
    <t>[$VEHNAME:R9]</t>
  </si>
  <si>
    <t>[$VEHNAME:R10]</t>
  </si>
  <si>
    <t>[$VEHNAME:R11]</t>
  </si>
  <si>
    <t>[$VEHNAME:R12]</t>
  </si>
  <si>
    <t>Non-Household vehicle</t>
  </si>
  <si>
    <t>More than 20,000 miles</t>
  </si>
  <si>
    <t>Automobile/Car/Station Wagon</t>
  </si>
  <si>
    <t>Van (Mini/Cargo/Passenger)</t>
  </si>
  <si>
    <t>SUV (Santa Fe, Tahoe, Jeep, etc.)</t>
  </si>
  <si>
    <t>Pickup Truck</t>
  </si>
  <si>
    <t>Other Truck</t>
  </si>
  <si>
    <t>RV (Recreational Vehicle)</t>
  </si>
  <si>
    <t>Motorcycle/Motorbike</t>
  </si>
  <si>
    <t xml:space="preserve">Neither Agreeor Disagree </t>
  </si>
  <si>
    <t>A few times a month</t>
  </si>
  <si>
    <t>A few times a year</t>
  </si>
  <si>
    <t xml:space="preserve">[$FNAME:R1] </t>
  </si>
  <si>
    <t>Someone else</t>
  </si>
  <si>
    <t>1. Regular home activities (chores, sleep)</t>
  </si>
  <si>
    <t>2. Work from home (paid)</t>
  </si>
  <si>
    <t xml:space="preserve">3. Work </t>
  </si>
  <si>
    <t>4. Work-related meeting / trip</t>
  </si>
  <si>
    <t>5. Volunteer activities (not paid)</t>
  </si>
  <si>
    <t>6. Drop off /pick up someone</t>
  </si>
  <si>
    <t>7. Change type of transportation</t>
  </si>
  <si>
    <t>8. Attend school as a student</t>
  </si>
  <si>
    <t>9. Attend child care</t>
  </si>
  <si>
    <t xml:space="preserve">10. Attend adult care </t>
  </si>
  <si>
    <t>11. Buy goods (groceries, clothes, appliances, gas)</t>
  </si>
  <si>
    <t>12. Buy services (dry cleaners, banking, service a car, pet care)</t>
  </si>
  <si>
    <t>13. Buy meals (go out for a meal, snack, carry-out)</t>
  </si>
  <si>
    <t>14. Other general errands (post office, library)</t>
  </si>
  <si>
    <t>15. Recreational activities (visit parks, movies, bars, museums)</t>
  </si>
  <si>
    <t>16. Exercise (go for a jog, walk, walk the dog, go to the gym)</t>
  </si>
  <si>
    <t>17. Visit friends or relatives</t>
  </si>
  <si>
    <t>18. Health care visit (medical, dental, therapy)</t>
  </si>
  <si>
    <t>19. Religious or other community activities</t>
  </si>
  <si>
    <t>Home</t>
  </si>
  <si>
    <t xml:space="preserve">School/Daycare/Religious activity </t>
  </si>
  <si>
    <t xml:space="preserve">Medical/Dental services </t>
  </si>
  <si>
    <t xml:space="preserve">Shopping/Errands </t>
  </si>
  <si>
    <t xml:space="preserve">Social/Recreational </t>
  </si>
  <si>
    <t>Family personal business/Obligations</t>
  </si>
  <si>
    <t xml:space="preserve">Transport someone </t>
  </si>
  <si>
    <t>Meals</t>
  </si>
  <si>
    <t xml:space="preserve">To/From Work </t>
  </si>
  <si>
    <t xml:space="preserve">Work-Related Business 	</t>
  </si>
  <si>
    <t xml:space="preserve">Shopping </t>
  </si>
  <si>
    <t>Other Family/Personal Business</t>
  </si>
  <si>
    <t xml:space="preserve">School/Church </t>
  </si>
  <si>
    <t xml:space="preserve">Medical/Dentral </t>
  </si>
  <si>
    <t xml:space="preserve">Visit Friends/Relatives </t>
  </si>
  <si>
    <t xml:space="preserve">Other Social/Recreational </t>
  </si>
  <si>
    <t>Refused / Don't Know</t>
  </si>
  <si>
    <t>Blocks</t>
  </si>
  <si>
    <t>Miles</t>
  </si>
  <si>
    <t>Full-time</t>
  </si>
  <si>
    <t>Part-time</t>
  </si>
  <si>
    <t>No one to walk with</t>
  </si>
  <si>
    <t>Too far to travel by walking</t>
  </si>
  <si>
    <t xml:space="preserve">City-to-city bus (Greyhound, Megabus) </t>
  </si>
  <si>
    <t>Less than 5 years ago</t>
  </si>
  <si>
    <t>5 to 10 years ago</t>
  </si>
  <si>
    <t>More than 10 years ago</t>
  </si>
  <si>
    <t>DESCRIPTION</t>
  </si>
  <si>
    <t>KEY VARIABLES</t>
  </si>
  <si>
    <t>MERGE RELATIONSHIPS</t>
  </si>
  <si>
    <t>A record in this table represents a household unit that had all of its residents aged 5+ complete all portions of the survey.</t>
  </si>
  <si>
    <t>PERSON (HOUSEID) 
VEHICLE (HOUSEID) 
TRIP (HOUSEID) 
LOCATION (HOUSEID)</t>
  </si>
  <si>
    <t>A record in this table represents an individual household member. Households were instructed to list all persons living in the household. Persons were ordered by the household member that initially responded to the survey invitation.</t>
  </si>
  <si>
    <t>HOUSEID, PERSONID</t>
  </si>
  <si>
    <t>HOUSEHOLD (HOUSEID) 
VEHICLE (HOUSEID, PERSONID = WHOMAIN) 
TRIP (HOUSEID, PERSONID) 
TRIP (HOUSEID, PERSONID = WHODROVE) 
LOCATION (HOUSEID, PERSONID)</t>
  </si>
  <si>
    <t>A record in this table represents a household vehicle. Participants were asked to list any vehicle that a household person owned, leased or had available for regular use, including motorcycles, mopeds and RVs.</t>
  </si>
  <si>
    <t>HOUSEID, VEHID</t>
  </si>
  <si>
    <t>HOUSEHOLD (HOUSEID) 
PERSON (HOUSEID, WHOMAIN = PERSONID) 
TRIP (HOUSEID, VEHID) 
LOCATION (HOUSEID)</t>
  </si>
  <si>
    <t>A record in this table represents a trip that was reported individually by a household person for the household's instructed travel date. For the travel day survey portion, participants were asked to report all locations they went to from 4am to 3:59am the next day, regardless of how long they were there, including trips that may have started and ended at the same location, like walk or bicycle trips for exercise.</t>
  </si>
  <si>
    <t>HOUSEID, PERSONID, TDTRPNUM</t>
  </si>
  <si>
    <t>HOUSEHOLD (HOUSEID) 
PERSON (HOUSEID, PERSONID) 
PERSON (HOUSEID, WHODROVE = PERSONID) 
VEHICLE (HOUSEID, VEHID) 
LOCATION (HOUSEID, LOCNO)</t>
  </si>
  <si>
    <t>A record in this table represents a place location reported at any level of the household. Every household has a home location record. Every person that is a student or worker has a location record. Every trip has a location record.</t>
  </si>
  <si>
    <t>HOUSEID, LOCNO</t>
  </si>
  <si>
    <t>HOUSEHOLD (HOUSEID) 
PERSON (HOUSEID, PERSONID) 
TRIP (HOUSEID, LOCNO)</t>
  </si>
  <si>
    <t>HOUSEHOLD_WEIGHTS_7DAY</t>
  </si>
  <si>
    <t>This table contains the weights and related factors required for generating household level population estimates.</t>
  </si>
  <si>
    <t>HOUSEHOLD (HOUSEID)</t>
  </si>
  <si>
    <t>PERSON_WEIGHTS_7DAY</t>
  </si>
  <si>
    <t>This table contains the weights and related factors required for generating person level population estimates.</t>
  </si>
  <si>
    <t>PERSON (HOUSEID, PERSONID)</t>
  </si>
  <si>
    <t>HOUSEHOLD_WEIGHTS_5DAY</t>
  </si>
  <si>
    <t>This table contains the weights and related factors required for generating weekday household level population estimates.</t>
  </si>
  <si>
    <t>PERSON_WEIGHTS_5DAY</t>
  </si>
  <si>
    <t>This table contains the weights and related factors required for generating weekday person level population estimates.</t>
  </si>
  <si>
    <t>Tables</t>
  </si>
  <si>
    <t>TABLE NAME</t>
  </si>
  <si>
    <t>GEOGADJCELL</t>
  </si>
  <si>
    <t>Geographic adjustment cell for all weighting stages</t>
  </si>
  <si>
    <t>HH_5D_RAKETRIMFAC</t>
  </si>
  <si>
    <t>Rake-trim final factor</t>
  </si>
  <si>
    <t>HOLIDAY5D_FLAG</t>
  </si>
  <si>
    <t>Holiday flag used in five-day weighting and analysis</t>
  </si>
  <si>
    <t>Household identifier</t>
  </si>
  <si>
    <t>JKCOEFS</t>
  </si>
  <si>
    <t>Jackknife coefficients for variance estimation</t>
  </si>
  <si>
    <t>NHTSBWT0</t>
  </si>
  <si>
    <t>Sample base weight</t>
  </si>
  <si>
    <t>POSTTRIM5D_FLAG</t>
  </si>
  <si>
    <t>Post-rake trimmed-weight flag</t>
  </si>
  <si>
    <t>PRETRIM5D_FLAG</t>
  </si>
  <si>
    <t>Pre-rake trimmed-weight flag</t>
  </si>
  <si>
    <t>PRETRIMHH5D_FAC</t>
  </si>
  <si>
    <t>Pre-rake trimmed factor</t>
  </si>
  <si>
    <t>RECFACTOR</t>
  </si>
  <si>
    <t>Recruitment nonresponse adjusted factor</t>
  </si>
  <si>
    <t>RETFACTOR</t>
  </si>
  <si>
    <t>Retrieval nonresponse adjusted factor</t>
  </si>
  <si>
    <t>UEFACTOR_F</t>
  </si>
  <si>
    <t>Unknown eligibility adjustment factor, always 1</t>
  </si>
  <si>
    <t>VARSTRAT</t>
  </si>
  <si>
    <t>Stratum for Taylor series estimation</t>
  </si>
  <si>
    <t>VARUNIT</t>
  </si>
  <si>
    <t>Variance unit for Taylor series estimation (cluster)</t>
  </si>
  <si>
    <t>WTHHFIN5D</t>
  </si>
  <si>
    <t>Final five-day household weight</t>
  </si>
  <si>
    <t>WTHHFIN5D*</t>
  </si>
  <si>
    <t>Final five-day household weight replicates, 1 through 98</t>
  </si>
  <si>
    <t>HH_7D_RAKETRIMFAC</t>
  </si>
  <si>
    <t>POSTTRIM7D_FLAG</t>
  </si>
  <si>
    <t>PRETRIM7D_FLAG</t>
  </si>
  <si>
    <t>PRETRIMHH7D_FAC</t>
  </si>
  <si>
    <t>WTHHFIN</t>
  </si>
  <si>
    <t>Final household weight</t>
  </si>
  <si>
    <t>WTHHFIN*</t>
  </si>
  <si>
    <t>Final household weight replicates, 1 through 98</t>
  </si>
  <si>
    <t>Person identifier</t>
  </si>
  <si>
    <t>PPOSTTRIM5D_FLAG</t>
  </si>
  <si>
    <t>PPRETRIM5D_FLAG</t>
  </si>
  <si>
    <t>PRETRIMPP5D_FAC</t>
  </si>
  <si>
    <t>PS_5D_RAKETRIMFAC</t>
  </si>
  <si>
    <t>WTPERFIN5D</t>
  </si>
  <si>
    <t>Final five-day person weight</t>
  </si>
  <si>
    <t>WTPERFIN5D*</t>
  </si>
  <si>
    <t>Final five-day person weight replicates, 1 through 98</t>
  </si>
  <si>
    <t>WTTRDFIN5D</t>
  </si>
  <si>
    <t>Final five-day trip weight</t>
  </si>
  <si>
    <t>WTTRDFIN5D*</t>
  </si>
  <si>
    <t>Final five-day trip weight replicates, 1 through 98</t>
  </si>
  <si>
    <t>PPOSTTRIM7D_FLAG</t>
  </si>
  <si>
    <t>PPRETRIM7D_FLAG</t>
  </si>
  <si>
    <t>PRETRIMPP7D_FAC</t>
  </si>
  <si>
    <t>PS_7D_RAKETRIMFAC</t>
  </si>
  <si>
    <t>WTPERFIN</t>
  </si>
  <si>
    <t>Final person weight</t>
  </si>
  <si>
    <t>WTPERFIN*</t>
  </si>
  <si>
    <t>Final person weight replicates, 1 through 98</t>
  </si>
  <si>
    <t>WTTRDFIN</t>
  </si>
  <si>
    <t>Final trip weight</t>
  </si>
  <si>
    <t>WTTRDFIN*</t>
  </si>
  <si>
    <t>Final trip weight replicates, 1 through 98</t>
  </si>
  <si>
    <t>Variables</t>
  </si>
  <si>
    <t>Sample Size</t>
  </si>
  <si>
    <t>Estimate</t>
  </si>
  <si>
    <t>SE</t>
  </si>
  <si>
    <t>Estimate (%)</t>
  </si>
  <si>
    <t>SE (%)</t>
  </si>
  <si>
    <t>-</t>
  </si>
  <si>
    <t>Responses</t>
  </si>
  <si>
    <t>Total</t>
  </si>
  <si>
    <t>US/PACIFIC</t>
  </si>
  <si>
    <t>LIVE WITH RELATIVE/ FRIEND/ PARTNER</t>
  </si>
  <si>
    <t>PROVIDED BY EMPLOYER</t>
  </si>
  <si>
    <t>OWN HOME, RENT LOT</t>
  </si>
  <si>
    <t>LIFE ESTATE/ LIFE LEASE</t>
  </si>
  <si>
    <t>COOPERATIVE</t>
  </si>
  <si>
    <t>2</t>
  </si>
  <si>
    <t>1</t>
  </si>
  <si>
    <t>4</t>
  </si>
  <si>
    <t>3</t>
  </si>
  <si>
    <t>5</t>
  </si>
  <si>
    <t>6</t>
  </si>
  <si>
    <t>7</t>
  </si>
  <si>
    <t>8</t>
  </si>
  <si>
    <t>9</t>
  </si>
  <si>
    <t>CA</t>
  </si>
  <si>
    <t>KS</t>
  </si>
  <si>
    <t>CO</t>
  </si>
  <si>
    <t>MD</t>
  </si>
  <si>
    <t>NJ</t>
  </si>
  <si>
    <t>NV</t>
  </si>
  <si>
    <t>WA</t>
  </si>
  <si>
    <t>AZ</t>
  </si>
  <si>
    <t>IL</t>
  </si>
  <si>
    <t>201608</t>
  </si>
  <si>
    <t>201610</t>
  </si>
  <si>
    <t>201607</t>
  </si>
  <si>
    <t>201612</t>
  </si>
  <si>
    <t>201701</t>
  </si>
  <si>
    <t>201605</t>
  </si>
  <si>
    <t>201703</t>
  </si>
  <si>
    <t>201611</t>
  </si>
  <si>
    <t>201606</t>
  </si>
  <si>
    <t>201609</t>
  </si>
  <si>
    <t>201702</t>
  </si>
  <si>
    <t>201704</t>
  </si>
  <si>
    <t>201604</t>
  </si>
  <si>
    <t>274.3</t>
  </si>
  <si>
    <t>292.1</t>
  </si>
  <si>
    <t>263.7</t>
  </si>
  <si>
    <t>276.3</t>
  </si>
  <si>
    <t>274.8</t>
  </si>
  <si>
    <t>263.8</t>
  </si>
  <si>
    <t>265.6</t>
  </si>
  <si>
    <t>274.0</t>
  </si>
  <si>
    <t>273.4</t>
  </si>
  <si>
    <t>270.1</t>
  </si>
  <si>
    <t>274.6</t>
  </si>
  <si>
    <t>281.9</t>
  </si>
  <si>
    <t>271.2</t>
  </si>
  <si>
    <t>272.4</t>
  </si>
  <si>
    <t>278.7</t>
  </si>
  <si>
    <t>286.7</t>
  </si>
  <si>
    <t>292.0</t>
  </si>
  <si>
    <t>262.3</t>
  </si>
  <si>
    <t>291.8</t>
  </si>
  <si>
    <t>274.4</t>
  </si>
  <si>
    <t>294.1</t>
  </si>
  <si>
    <t>280.1</t>
  </si>
  <si>
    <t>269.9</t>
  </si>
  <si>
    <t>265.9</t>
  </si>
  <si>
    <t>266.0</t>
  </si>
  <si>
    <t>265.7</t>
  </si>
  <si>
    <t>282.6</t>
  </si>
  <si>
    <t>271.0</t>
  </si>
  <si>
    <t>278.5</t>
  </si>
  <si>
    <t>259.6</t>
  </si>
  <si>
    <t>267.7</t>
  </si>
  <si>
    <t>273.8</t>
  </si>
  <si>
    <t>279.7</t>
  </si>
  <si>
    <t>263.5</t>
  </si>
  <si>
    <t>283.2</t>
  </si>
  <si>
    <t>271.6</t>
  </si>
  <si>
    <t>290.3</t>
  </si>
  <si>
    <t>276.6</t>
  </si>
  <si>
    <t>270.2</t>
  </si>
  <si>
    <t>278.6</t>
  </si>
  <si>
    <t>271.7</t>
  </si>
  <si>
    <t>291.7</t>
  </si>
  <si>
    <t>275.3</t>
  </si>
  <si>
    <t>262.9</t>
  </si>
  <si>
    <t>272.0</t>
  </si>
  <si>
    <t>295.1</t>
  </si>
  <si>
    <t>266.3</t>
  </si>
  <si>
    <t>274.5</t>
  </si>
  <si>
    <t>295.9</t>
  </si>
  <si>
    <t>237.0</t>
  </si>
  <si>
    <t>235.3</t>
  </si>
  <si>
    <t>243.2</t>
  </si>
  <si>
    <t>240.8</t>
  </si>
  <si>
    <t>216.4</t>
  </si>
  <si>
    <t>XXXXX</t>
  </si>
  <si>
    <t>PASSENGER OF UNKNOWN MODE</t>
  </si>
  <si>
    <t>NO TRAVEL NECESSARY</t>
  </si>
  <si>
    <t>TRUCK</t>
  </si>
  <si>
    <t>Semi-truck</t>
  </si>
  <si>
    <t>No Travel Necessary</t>
  </si>
  <si>
    <t>COMPANY VEHICLE</t>
  </si>
  <si>
    <t>Semi-Truck</t>
  </si>
  <si>
    <t>SEMI-TRUCK</t>
  </si>
  <si>
    <t>COMBINED TRAVEL</t>
  </si>
  <si>
    <t>66</t>
  </si>
  <si>
    <t>78</t>
  </si>
  <si>
    <t>79</t>
  </si>
  <si>
    <t>120</t>
  </si>
  <si>
    <t>180</t>
  </si>
  <si>
    <t>105</t>
  </si>
  <si>
    <t>160</t>
  </si>
  <si>
    <t>179</t>
  </si>
  <si>
    <t>68</t>
  </si>
  <si>
    <t>140</t>
  </si>
  <si>
    <t>110</t>
  </si>
  <si>
    <t>130</t>
  </si>
  <si>
    <t>135</t>
  </si>
  <si>
    <t>165</t>
  </si>
  <si>
    <t>175</t>
  </si>
  <si>
    <t>137</t>
  </si>
  <si>
    <t>00</t>
  </si>
  <si>
    <t>AM</t>
  </si>
  <si>
    <t>PM</t>
  </si>
  <si>
    <t>SCOOTER/SKATEBOARD/SKATES</t>
  </si>
  <si>
    <t>1980</t>
  </si>
  <si>
    <t>2000</t>
  </si>
  <si>
    <t>2013</t>
  </si>
  <si>
    <t>2015</t>
  </si>
  <si>
    <t>2005</t>
  </si>
  <si>
    <t>2014</t>
  </si>
  <si>
    <t>1985</t>
  </si>
  <si>
    <t>2016</t>
  </si>
  <si>
    <t>2011</t>
  </si>
  <si>
    <t>2012</t>
  </si>
  <si>
    <t>1995</t>
  </si>
  <si>
    <t>2006</t>
  </si>
  <si>
    <t>2008</t>
  </si>
  <si>
    <t>1989</t>
  </si>
  <si>
    <t>1990</t>
  </si>
  <si>
    <t>1999</t>
  </si>
  <si>
    <t>2007</t>
  </si>
  <si>
    <t>1998</t>
  </si>
  <si>
    <t>2003</t>
  </si>
  <si>
    <t>2002</t>
  </si>
  <si>
    <t>1981</t>
  </si>
  <si>
    <t>2004</t>
  </si>
  <si>
    <t>1993</t>
  </si>
  <si>
    <t>1994</t>
  </si>
  <si>
    <t>1986</t>
  </si>
  <si>
    <t>1992</t>
  </si>
  <si>
    <t>1979</t>
  </si>
  <si>
    <t>1996</t>
  </si>
  <si>
    <t>1975</t>
  </si>
  <si>
    <t>1976</t>
  </si>
  <si>
    <t>1970</t>
  </si>
  <si>
    <t>1977</t>
  </si>
  <si>
    <t>1988</t>
  </si>
  <si>
    <t>1991</t>
  </si>
  <si>
    <t>1987</t>
  </si>
  <si>
    <t>2010</t>
  </si>
  <si>
    <t>1997</t>
  </si>
  <si>
    <t>1974</t>
  </si>
  <si>
    <t>1983</t>
  </si>
  <si>
    <t>1972</t>
  </si>
  <si>
    <t>1978</t>
  </si>
  <si>
    <t>1984</t>
  </si>
  <si>
    <t>2009</t>
  </si>
  <si>
    <t>1968</t>
  </si>
  <si>
    <t>1973</t>
  </si>
  <si>
    <t>1982</t>
  </si>
  <si>
    <t>1971</t>
  </si>
  <si>
    <t>1965</t>
  </si>
  <si>
    <t>1969</t>
  </si>
  <si>
    <t>1962</t>
  </si>
  <si>
    <t>1960</t>
  </si>
  <si>
    <t>1961</t>
  </si>
  <si>
    <t>1964</t>
  </si>
  <si>
    <t>1963</t>
  </si>
  <si>
    <t>1966</t>
  </si>
  <si>
    <t>1967</t>
  </si>
  <si>
    <t>1958</t>
  </si>
  <si>
    <t>1959</t>
  </si>
  <si>
    <t>1950</t>
  </si>
  <si>
    <t>1956</t>
  </si>
  <si>
    <t>1952</t>
  </si>
  <si>
    <t>1957</t>
  </si>
  <si>
    <t>1955</t>
  </si>
  <si>
    <t>1953</t>
  </si>
  <si>
    <t>1949</t>
  </si>
  <si>
    <t>2017</t>
  </si>
  <si>
    <t>1951</t>
  </si>
  <si>
    <t>1954</t>
  </si>
  <si>
    <t>1948</t>
  </si>
  <si>
    <t>1947</t>
  </si>
  <si>
    <t>1945</t>
  </si>
  <si>
    <t>1946</t>
  </si>
  <si>
    <t>1939</t>
  </si>
  <si>
    <t>1940</t>
  </si>
  <si>
    <t>1938</t>
  </si>
  <si>
    <t>1930</t>
  </si>
  <si>
    <t>1941</t>
  </si>
  <si>
    <t>1924</t>
  </si>
  <si>
    <t>1937</t>
  </si>
  <si>
    <t>1936</t>
  </si>
  <si>
    <t>1934</t>
  </si>
  <si>
    <t>1942</t>
  </si>
  <si>
    <t>1926</t>
  </si>
  <si>
    <t>1931</t>
  </si>
  <si>
    <t>1923</t>
  </si>
  <si>
    <t>NO NEED, REASON, DESIRE, OR PLACE TO TRAVEL TO</t>
  </si>
  <si>
    <t>RETIRED</t>
  </si>
  <si>
    <t>RESPONSE INDICATES TRAVEL</t>
  </si>
  <si>
    <t>HOSTING GUESTS</t>
  </si>
  <si>
    <t>INCLEMENT WEATHER</t>
  </si>
  <si>
    <t>WORKED FOR DURATION OF TRAVEL DAY</t>
  </si>
  <si>
    <t>HOMESCHOOL</t>
  </si>
  <si>
    <t>UNEMPLOYED</t>
  </si>
  <si>
    <t>FINANCIAL REASON</t>
  </si>
  <si>
    <t>WAITING ON GOOD OR SERVICE</t>
  </si>
  <si>
    <t>AGE</t>
  </si>
  <si>
    <t>DOES NOT APPLY</t>
  </si>
  <si>
    <t>TRAFFIC CONGESTION</t>
  </si>
  <si>
    <t>NOT ASCERTAINED</t>
  </si>
  <si>
    <t>BRACE</t>
  </si>
  <si>
    <t>RESPIRATORY ASSISTANCE</t>
  </si>
  <si>
    <t>KNEE SCOOTER</t>
  </si>
  <si>
    <t>PHYSICAL ASSISTANCE FROM OTHERS</t>
  </si>
  <si>
    <t>PROSTHESIS</t>
  </si>
  <si>
    <t>96</t>
  </si>
  <si>
    <t>1184</t>
  </si>
  <si>
    <t>187</t>
  </si>
  <si>
    <t>206</t>
  </si>
  <si>
    <t>4640</t>
  </si>
  <si>
    <t>251</t>
  </si>
  <si>
    <t>196</t>
  </si>
  <si>
    <t>250</t>
  </si>
  <si>
    <t>800</t>
  </si>
  <si>
    <t>776</t>
  </si>
  <si>
    <t>700</t>
  </si>
  <si>
    <t>390</t>
  </si>
  <si>
    <t>500</t>
  </si>
  <si>
    <t>240</t>
  </si>
  <si>
    <t>24000</t>
  </si>
  <si>
    <t>3600</t>
  </si>
  <si>
    <t>220</t>
  </si>
  <si>
    <t>1100</t>
  </si>
  <si>
    <t>211</t>
  </si>
  <si>
    <t>1200</t>
  </si>
  <si>
    <t>640</t>
  </si>
  <si>
    <t>115</t>
  </si>
  <si>
    <t>480</t>
  </si>
  <si>
    <t>286</t>
  </si>
  <si>
    <t>229</t>
  </si>
  <si>
    <t>2500</t>
  </si>
  <si>
    <t>900</t>
  </si>
  <si>
    <t>3500</t>
  </si>
  <si>
    <t>170</t>
  </si>
  <si>
    <t>1240</t>
  </si>
  <si>
    <t>3360</t>
  </si>
  <si>
    <t>125</t>
  </si>
  <si>
    <t>325</t>
  </si>
  <si>
    <t>330</t>
  </si>
  <si>
    <t>260</t>
  </si>
  <si>
    <t>10000</t>
  </si>
  <si>
    <t>225</t>
  </si>
  <si>
    <t>TIME CONSTRAINTS</t>
  </si>
  <si>
    <t>NO NEED, REASON, OR DESIRE TO TAKE PUBLIC TRANSIT</t>
  </si>
  <si>
    <t>NO STOPS NEAR ORIGIN</t>
  </si>
  <si>
    <t>SERVICE NOT AVAILABLE</t>
  </si>
  <si>
    <t>HEALTH ISSUES</t>
  </si>
  <si>
    <t>PREFER OTHER MODE OF TRANSPORTATION</t>
  </si>
  <si>
    <t>NEED TO CARRY CARGO/PASSENGERS</t>
  </si>
  <si>
    <t>LACK OF KNOWLEDGE/DIFFICULTY USING SERVICE</t>
  </si>
  <si>
    <t>REQUIRES OTHER MODE FOR WORK</t>
  </si>
  <si>
    <t>GENERAL DISPLEASURE WITH SERVICE</t>
  </si>
  <si>
    <t>UNSUITABLE TERRAIN</t>
  </si>
  <si>
    <t>NO NEED, REASON, OR DESIRE TO WALK</t>
  </si>
  <si>
    <t>WEATHER</t>
  </si>
  <si>
    <t>NEED TO CARRY CARGO/ PASSENGERS</t>
  </si>
  <si>
    <t>ROADS IN POOR CONDITION</t>
  </si>
  <si>
    <t>DOES NOT HAVE A BIKE</t>
  </si>
  <si>
    <t>NO NEED, REASON, DESIRE TO RIDE A BIKE</t>
  </si>
  <si>
    <t>TIME CONSTRAINT</t>
  </si>
  <si>
    <t>DO NOT KNOW HOW TO RIDE A BIKE</t>
  </si>
  <si>
    <t>NOT ENOUGH CARGO/PASSENGER SPACE</t>
  </si>
  <si>
    <t>BICYCLE IN NEED OF MAINTENANCE</t>
  </si>
  <si>
    <t>1900</t>
  </si>
  <si>
    <t>1943</t>
  </si>
  <si>
    <t>1928</t>
  </si>
  <si>
    <t>1929</t>
  </si>
  <si>
    <t>1932</t>
  </si>
  <si>
    <t>1903</t>
  </si>
  <si>
    <t>1901</t>
  </si>
  <si>
    <t>1919</t>
  </si>
  <si>
    <t>1915</t>
  </si>
  <si>
    <t>1927</t>
  </si>
  <si>
    <t>1935</t>
  </si>
  <si>
    <t>1906</t>
  </si>
  <si>
    <t>1944</t>
  </si>
  <si>
    <t>1933</t>
  </si>
  <si>
    <t>117</t>
  </si>
  <si>
    <t>114</t>
  </si>
  <si>
    <t>116</t>
  </si>
  <si>
    <t>102</t>
  </si>
  <si>
    <t>111</t>
  </si>
  <si>
    <t>*73734</t>
  </si>
  <si>
    <t>Premium</t>
  </si>
  <si>
    <t>ethanol</t>
  </si>
  <si>
    <t>Supreme</t>
  </si>
  <si>
    <t>Don't know.</t>
  </si>
  <si>
    <t>bio diesel</t>
  </si>
  <si>
    <t>propane</t>
  </si>
  <si>
    <t>Oil/gas</t>
  </si>
  <si>
    <t>diesel/veg oil</t>
  </si>
  <si>
    <t>electric</t>
  </si>
  <si>
    <t>gas and ethanol</t>
  </si>
  <si>
    <t>SUPER UNLEADED</t>
  </si>
  <si>
    <t>E85</t>
  </si>
  <si>
    <t>Flex fuel</t>
  </si>
  <si>
    <t>Propane</t>
  </si>
  <si>
    <t>Plug-in Electric</t>
  </si>
  <si>
    <t>1/2 GAS &amp; 1/2 ELECTRIC</t>
  </si>
  <si>
    <t>Biodiesel</t>
  </si>
  <si>
    <t>Diesel and biodiesel</t>
  </si>
  <si>
    <t>91 high test</t>
  </si>
  <si>
    <t>GAS/ALOCHOL</t>
  </si>
  <si>
    <t>ATV/UTV</t>
  </si>
  <si>
    <t>Golf Cart</t>
  </si>
  <si>
    <t>GOLF CART</t>
  </si>
  <si>
    <t>golf cart</t>
  </si>
  <si>
    <t>Golf cart</t>
  </si>
  <si>
    <t>golf Cart</t>
  </si>
  <si>
    <t>Tractor</t>
  </si>
  <si>
    <t>Ethanol E85</t>
  </si>
  <si>
    <t>Compressed Natural Gas</t>
  </si>
  <si>
    <t>Unleaded or Flex Fuel</t>
  </si>
  <si>
    <t>e - 85</t>
  </si>
  <si>
    <t>eco flexfuel</t>
  </si>
  <si>
    <t>CNG compresed natural gas</t>
  </si>
  <si>
    <t>hybrid gas/electric</t>
  </si>
  <si>
    <t>Six 8-volt batteries</t>
  </si>
  <si>
    <t>E-85</t>
  </si>
  <si>
    <t>Gasoline</t>
  </si>
  <si>
    <t>RUNS ON GAS/ELECTRIC</t>
  </si>
  <si>
    <t>Vegetable oil</t>
  </si>
  <si>
    <t>Uses gas and flex fuel</t>
  </si>
  <si>
    <t>Flex-fuel</t>
  </si>
  <si>
    <t>ELECTRIC GOLF CART</t>
  </si>
  <si>
    <t>compressed natural gas</t>
  </si>
  <si>
    <t>methonal</t>
  </si>
  <si>
    <t>gas and battery</t>
  </si>
  <si>
    <t>battery then goes to gas</t>
  </si>
  <si>
    <t>1000000</t>
  </si>
  <si>
    <t>1000001</t>
  </si>
  <si>
    <t>1000002</t>
  </si>
  <si>
    <t>1000003</t>
  </si>
  <si>
    <t>202</t>
  </si>
  <si>
    <t>303</t>
  </si>
  <si>
    <t>1000004</t>
  </si>
  <si>
    <t>1000005</t>
  </si>
  <si>
    <t>1000006</t>
  </si>
  <si>
    <t>302</t>
  </si>
  <si>
    <t>1000007</t>
  </si>
  <si>
    <t>503</t>
  </si>
  <si>
    <t>203</t>
  </si>
  <si>
    <t>1000008</t>
  </si>
  <si>
    <t>402</t>
  </si>
  <si>
    <t>603</t>
  </si>
  <si>
    <t>1000009</t>
  </si>
  <si>
    <t>1000010</t>
  </si>
  <si>
    <t>703</t>
  </si>
  <si>
    <t>1000011</t>
  </si>
  <si>
    <t>502</t>
  </si>
  <si>
    <t>1000012</t>
  </si>
  <si>
    <t>1000013</t>
  </si>
  <si>
    <t>803</t>
  </si>
  <si>
    <t>602</t>
  </si>
  <si>
    <t>1000014</t>
  </si>
  <si>
    <t>1000015</t>
  </si>
  <si>
    <t>1000017</t>
  </si>
  <si>
    <t>103</t>
  </si>
  <si>
    <t>1000016</t>
  </si>
  <si>
    <t>903</t>
  </si>
  <si>
    <t>1000018</t>
  </si>
  <si>
    <t>1000019</t>
  </si>
  <si>
    <t>1000026</t>
  </si>
  <si>
    <t>1000020</t>
  </si>
  <si>
    <t>1000021</t>
  </si>
  <si>
    <t>1000022</t>
  </si>
  <si>
    <t>1000027</t>
  </si>
  <si>
    <t>1000028</t>
  </si>
  <si>
    <t>1000023</t>
  </si>
  <si>
    <t>1000034</t>
  </si>
  <si>
    <t>1000030</t>
  </si>
  <si>
    <t>1000029</t>
  </si>
  <si>
    <t>1000025</t>
  </si>
  <si>
    <t>1000024</t>
  </si>
  <si>
    <t>1000031</t>
  </si>
  <si>
    <t>1000032</t>
  </si>
  <si>
    <t>1000033</t>
  </si>
  <si>
    <t>1000036</t>
  </si>
  <si>
    <t>1000037</t>
  </si>
  <si>
    <t>702</t>
  </si>
  <si>
    <t>WHEELCHAIR/MOBILITY SCOOTER</t>
  </si>
  <si>
    <t>SEMI TRUCK</t>
  </si>
  <si>
    <t>BOX TRUCK</t>
  </si>
  <si>
    <t>emergency vehicle</t>
  </si>
  <si>
    <t>No travel necessary</t>
  </si>
  <si>
    <t>AGRICULTURE/CONSTRUCTION VEHICLE</t>
  </si>
  <si>
    <t>horse-drawn vehicle</t>
  </si>
  <si>
    <t>agriculture/construction vehicle</t>
  </si>
  <si>
    <t>HORSE-DRAWN VEHICLE</t>
  </si>
  <si>
    <t>219</t>
  </si>
  <si>
    <t>290</t>
  </si>
  <si>
    <t>265</t>
  </si>
  <si>
    <t>accompany companion</t>
  </si>
  <si>
    <t>UNEXPECTED DISRUPTION</t>
  </si>
  <si>
    <t>In Transit</t>
  </si>
  <si>
    <t>Not Ascertained</t>
  </si>
  <si>
    <t>151</t>
  </si>
  <si>
    <t>201</t>
  </si>
  <si>
    <t>181</t>
  </si>
  <si>
    <t>NO MODE - DIRECT PICK UP</t>
  </si>
  <si>
    <t>WHEELCHAIR</t>
  </si>
  <si>
    <t>wheelchair</t>
  </si>
  <si>
    <t>Wheelchair</t>
  </si>
  <si>
    <t>No Mode - direct pick up</t>
  </si>
  <si>
    <t>SCOOTER/SKATEBOARD/SKATES/SKIS</t>
  </si>
  <si>
    <t>NO MODE - DIRECT DROP OFF</t>
  </si>
  <si>
    <t>No Mode - direct drop off</t>
  </si>
  <si>
    <t>902</t>
  </si>
  <si>
    <t>????</t>
  </si>
  <si>
    <t>ABU DHABI</t>
  </si>
  <si>
    <t>AK</t>
  </si>
  <si>
    <t>AL</t>
  </si>
  <si>
    <t>AMMAN GOVERNORATE</t>
  </si>
  <si>
    <t>AP</t>
  </si>
  <si>
    <t>AR</t>
  </si>
  <si>
    <t>B.C.</t>
  </si>
  <si>
    <t>B.C.S.</t>
  </si>
  <si>
    <t>BC</t>
  </si>
  <si>
    <t>BY</t>
  </si>
  <si>
    <t>COUNTY SLIGO</t>
  </si>
  <si>
    <t>CT</t>
  </si>
  <si>
    <t>D.F.</t>
  </si>
  <si>
    <t>DC</t>
  </si>
  <si>
    <t>DE</t>
  </si>
  <si>
    <t>ENGLAND</t>
  </si>
  <si>
    <t>FL</t>
  </si>
  <si>
    <t>GA</t>
  </si>
  <si>
    <t>GRO</t>
  </si>
  <si>
    <t>GUATEMALA</t>
  </si>
  <si>
    <t>HI</t>
  </si>
  <si>
    <t>IA</t>
  </si>
  <si>
    <t>ID</t>
  </si>
  <si>
    <t>ILE-DE-FRANCE</t>
  </si>
  <si>
    <t>IN</t>
  </si>
  <si>
    <t>JAL.</t>
  </si>
  <si>
    <t>KA</t>
  </si>
  <si>
    <t>KY</t>
  </si>
  <si>
    <t>KYOTO-FU</t>
  </si>
  <si>
    <t>LA</t>
  </si>
  <si>
    <t>LJUBLJANA</t>
  </si>
  <si>
    <t>MA</t>
  </si>
  <si>
    <t>ME</t>
  </si>
  <si>
    <t>MI</t>
  </si>
  <si>
    <t>MN</t>
  </si>
  <si>
    <t>MO</t>
  </si>
  <si>
    <t>MS</t>
  </si>
  <si>
    <t>MT</t>
  </si>
  <si>
    <t>NC</t>
  </si>
  <si>
    <t>NCR</t>
  </si>
  <si>
    <t>ND</t>
  </si>
  <si>
    <t>NE</t>
  </si>
  <si>
    <t>NH</t>
  </si>
  <si>
    <t>NM</t>
  </si>
  <si>
    <t>NS</t>
  </si>
  <si>
    <t>NSW</t>
  </si>
  <si>
    <t>NY</t>
  </si>
  <si>
    <t>OH</t>
  </si>
  <si>
    <t>OK</t>
  </si>
  <si>
    <t>ON</t>
  </si>
  <si>
    <t>OR</t>
  </si>
  <si>
    <t>PA</t>
  </si>
  <si>
    <t>PR</t>
  </si>
  <si>
    <t>PROVENCE-ALPES-COTE D'AZUR</t>
  </si>
  <si>
    <t>PROVINCIA DE ALAJUELA</t>
  </si>
  <si>
    <t>Q.R.</t>
  </si>
  <si>
    <t>QC</t>
  </si>
  <si>
    <t>RI</t>
  </si>
  <si>
    <t>RIVAS</t>
  </si>
  <si>
    <t>SA</t>
  </si>
  <si>
    <t>SCOTLAND</t>
  </si>
  <si>
    <t>SHAANXI SHENG</t>
  </si>
  <si>
    <t>SKANE LAN</t>
  </si>
  <si>
    <t>SOR-TRONDELAG</t>
  </si>
  <si>
    <t>STOCKHOLMS LAN</t>
  </si>
  <si>
    <t>TEHRAN PROVINCE</t>
  </si>
  <si>
    <t>TG</t>
  </si>
  <si>
    <t>TN</t>
  </si>
  <si>
    <t>TOKYO</t>
  </si>
  <si>
    <t>TOSCANA</t>
  </si>
  <si>
    <t>TX</t>
  </si>
  <si>
    <t>UT</t>
  </si>
  <si>
    <t>VA</t>
  </si>
  <si>
    <t>VENETO</t>
  </si>
  <si>
    <t>VLAANDEREN</t>
  </si>
  <si>
    <t>VORARLBERG</t>
  </si>
  <si>
    <t>VT</t>
  </si>
  <si>
    <t>WI</t>
  </si>
  <si>
    <t>WY</t>
  </si>
  <si>
    <t>ZHEJIANG SHENG</t>
  </si>
  <si>
    <t>??</t>
  </si>
  <si>
    <t>AUSTRALIA</t>
  </si>
  <si>
    <t>AUSTRIA</t>
  </si>
  <si>
    <t>BELGIUM</t>
  </si>
  <si>
    <t>BRAZIL</t>
  </si>
  <si>
    <t>CANADA</t>
  </si>
  <si>
    <t>CHINA</t>
  </si>
  <si>
    <t>COSTA RICA</t>
  </si>
  <si>
    <t>FIJI</t>
  </si>
  <si>
    <t>FRANCE</t>
  </si>
  <si>
    <t>GERMANY</t>
  </si>
  <si>
    <t>HUNGARY</t>
  </si>
  <si>
    <t>INDIA</t>
  </si>
  <si>
    <t>IRAN</t>
  </si>
  <si>
    <t>IRELAND</t>
  </si>
  <si>
    <t>ITALY</t>
  </si>
  <si>
    <t>JAPAN</t>
  </si>
  <si>
    <t>JORDAN</t>
  </si>
  <si>
    <t>KUWAIT</t>
  </si>
  <si>
    <t>MEXICO</t>
  </si>
  <si>
    <t>NA</t>
  </si>
  <si>
    <t>NETHERLANDS</t>
  </si>
  <si>
    <t>NEW ZEALAND</t>
  </si>
  <si>
    <t>NICARAGUA</t>
  </si>
  <si>
    <t>NORWAY</t>
  </si>
  <si>
    <t>PANAMA</t>
  </si>
  <si>
    <t>PHILIPPINES</t>
  </si>
  <si>
    <t>PUERTO RICO</t>
  </si>
  <si>
    <t>SINGAPORE</t>
  </si>
  <si>
    <t>SLOVENIA</t>
  </si>
  <si>
    <t>SPAIN</t>
  </si>
  <si>
    <t>SVERIGE</t>
  </si>
  <si>
    <t>SWEDEN</t>
  </si>
  <si>
    <t>SWITZERLAND</t>
  </si>
  <si>
    <t>UK</t>
  </si>
  <si>
    <t>UNITED ARAB EMIRATES</t>
  </si>
  <si>
    <t>UNITED KINGDOM</t>
  </si>
  <si>
    <t>USA</t>
  </si>
  <si>
    <t>106</t>
  </si>
  <si>
    <t>142</t>
  </si>
  <si>
    <t>147</t>
  </si>
  <si>
    <t>148</t>
  </si>
  <si>
    <t>162</t>
  </si>
  <si>
    <t>168</t>
  </si>
  <si>
    <t>172</t>
  </si>
  <si>
    <t>174</t>
  </si>
  <si>
    <t>176</t>
  </si>
  <si>
    <t>178</t>
  </si>
  <si>
    <t>184</t>
  </si>
  <si>
    <t>192</t>
  </si>
  <si>
    <t>194</t>
  </si>
  <si>
    <t>198</t>
  </si>
  <si>
    <t>212</t>
  </si>
  <si>
    <t>216</t>
  </si>
  <si>
    <t>218</t>
  </si>
  <si>
    <t>233</t>
  </si>
  <si>
    <t>244</t>
  </si>
  <si>
    <t>246</t>
  </si>
  <si>
    <t>267</t>
  </si>
  <si>
    <t>278</t>
  </si>
  <si>
    <t>288</t>
  </si>
  <si>
    <t>292</t>
  </si>
  <si>
    <t>294</t>
  </si>
  <si>
    <t>296</t>
  </si>
  <si>
    <t>298</t>
  </si>
  <si>
    <t>309</t>
  </si>
  <si>
    <t>312</t>
  </si>
  <si>
    <t>332</t>
  </si>
  <si>
    <t>336</t>
  </si>
  <si>
    <t>339</t>
  </si>
  <si>
    <t>340</t>
  </si>
  <si>
    <t>348</t>
  </si>
  <si>
    <t>357</t>
  </si>
  <si>
    <t>366</t>
  </si>
  <si>
    <t>368</t>
  </si>
  <si>
    <t>370</t>
  </si>
  <si>
    <t>376</t>
  </si>
  <si>
    <t>378</t>
  </si>
  <si>
    <t>382</t>
  </si>
  <si>
    <t>384</t>
  </si>
  <si>
    <t>393</t>
  </si>
  <si>
    <t>406</t>
  </si>
  <si>
    <t>408</t>
  </si>
  <si>
    <t>412</t>
  </si>
  <si>
    <t>416</t>
  </si>
  <si>
    <t>420</t>
  </si>
  <si>
    <t>422</t>
  </si>
  <si>
    <t>425</t>
  </si>
  <si>
    <t>428</t>
  </si>
  <si>
    <t>430</t>
  </si>
  <si>
    <t>438</t>
  </si>
  <si>
    <t>440</t>
  </si>
  <si>
    <t>446</t>
  </si>
  <si>
    <t>450</t>
  </si>
  <si>
    <t>454</t>
  </si>
  <si>
    <t>456</t>
  </si>
  <si>
    <t>462</t>
  </si>
  <si>
    <t>464</t>
  </si>
  <si>
    <t>472</t>
  </si>
  <si>
    <t>476</t>
  </si>
  <si>
    <t>482</t>
  </si>
  <si>
    <t>488</t>
  </si>
  <si>
    <t>490</t>
  </si>
  <si>
    <t>515</t>
  </si>
  <si>
    <t>518</t>
  </si>
  <si>
    <t>521</t>
  </si>
  <si>
    <t>522</t>
  </si>
  <si>
    <t>524</t>
  </si>
  <si>
    <t>534</t>
  </si>
  <si>
    <t>536</t>
  </si>
  <si>
    <t>538</t>
  </si>
  <si>
    <t>545</t>
  </si>
  <si>
    <t>546</t>
  </si>
  <si>
    <t>548</t>
  </si>
  <si>
    <t>556</t>
  </si>
  <si>
    <t>Range 0-88            "&gt;88" indicates 89-110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</si>
</sst>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 x14ac:knownFonts="1">
    <font>
      <sz val="11"/>
      <color rgb="FF000000"/>
      <name val="Calibri"/>
      <family val="2"/>
      <scheme val="minor"/>
    </font>
    <font>
      <b/>
      <sz val="9"/>
      <color rgb="FFFFFFFF"/>
      <name val="Calibri"/>
    </font>
    <font>
      <sz val="9"/>
      <color rgb="FF000000"/>
      <name val="Calibri"/>
    </font>
    <font>
      <b/>
      <sz val="9"/>
      <color rgb="FF000000"/>
      <name val="Calibri"/>
    </font>
    <font>
      <u/>
      <sz val="9"/>
      <color rgb="FF0000FF"/>
      <name val="Calibri"/>
    </font>
    <font>
      <b/>
      <sz val="11"/>
      <color rgb="FF000000"/>
      <name val="Calibri"/>
    </font>
    <font>
      <b/>
      <sz val="10"/>
      <color rgb="FF000000"/>
      <name val="Calibri"/>
    </font>
  </fonts>
  <fills count="7">
    <fill>
      <patternFill patternType="none"/>
    </fill>
    <fill>
      <patternFill patternType="gray125"/>
    </fill>
    <fill>
      <patternFill patternType="solid">
        <fgColor rgb="FF00008B"/>
      </patternFill>
    </fill>
    <fill>
      <patternFill patternType="solid">
        <fgColor rgb="FFFFFFE0"/>
      </patternFill>
    </fill>
    <fill>
      <patternFill patternType="solid">
        <fgColor rgb="FF6495ED"/>
      </patternFill>
    </fill>
    <fill>
      <patternFill patternType="solid">
        <fgColor rgb="FFFFFFFF"/>
      </patternFill>
    </fill>
    <fill>
      <patternFill patternType="solid">
        <fgColor rgb="FFE5E5E5"/>
      </patternFill>
    </fill>
  </fills>
  <borders count="1">
    <border>
      <left/>
      <right/>
      <top/>
      <bottom/>
      <diagonal/>
    </border>
  </borders>
  <cellStyleXfs count="1">
    <xf numFmtId="0" fontId="0" fillId="0" borderId="0"/>
  </cellStyleXfs>
  <cellXfs count="3732">
    <xf numFmtId="0" fontId="0" fillId="0" borderId="0" xfId="0"/>
    <xf numFmtId="0" fontId="1" fillId="2" borderId="0" xfId="0" applyFont="1" applyFill="1" applyAlignment="1">
      <alignment horizontal="center" vertical="center"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right" vertical="top" wrapText="1"/>
    </xf>
    <xf numFmtId="0" fontId="2" fillId="5" borderId="0" xfId="0" applyFont="1" applyFill="1"/>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2" fillId="6" borderId="0" xfId="0" applyFont="1" applyFill="1"/>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3" fontId="2" fillId="5" borderId="0" xfId="0" applyNumberFormat="1" applyFont="1" applyFill="1" applyAlignment="1">
      <alignment horizontal="center" vertical="center"/>
    </xf>
    <xf numFmtId="164"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3" fontId="2"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165" fontId="2" fillId="6" borderId="0" xfId="0" applyNumberFormat="1" applyFont="1" applyFill="1" applyAlignment="1">
      <alignment horizontal="center" vertical="center"/>
    </xf>
    <xf numFmtId="0" fontId="5" fillId="3" borderId="0" xfId="0" applyFont="1" applyFill="1" applyAlignment="1">
      <alignment horizontal="center" vertical="center"/>
    </xf>
    <xf numFmtId="0" fontId="6" fillId="3" borderId="0" xfId="0" applyFont="1" applyFill="1" applyAlignment="1">
      <alignment wrapText="1"/>
    </xf>
    <xf numFmtId="0" fontId="0" fillId="0" borderId="0" xfId="0"/>
    <xf numFmtId="0" fontId="6"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8"/>
  <sheetViews>
    <sheetView workbookViewId="0">
      <pane ySplit="1" topLeftCell="A2" activePane="bottomLeft" state="frozen"/>
      <selection pane="bottomLeft" activeCell="E6" sqref="E6"/>
    </sheetView>
  </sheetViews>
  <sheetFormatPr defaultRowHeight="15" x14ac:dyDescent="0.25"/>
  <cols>
    <col min="1" max="1" width="13.7109375" customWidth="1"/>
    <col min="2" max="3" width="34.7109375" customWidth="1"/>
    <col min="4" max="4" width="13.7109375" customWidth="1"/>
    <col min="5" max="5" width="18" customWidth="1"/>
    <col min="6" max="11" width="13.7109375" customWidth="1"/>
    <col min="12" max="12" width="42.7109375" customWidth="1"/>
  </cols>
  <sheetData>
    <row r="1" spans="1:12" ht="30" customHeight="1" x14ac:dyDescent="0.25">
      <c r="A1" s="1" t="s">
        <v>0</v>
      </c>
      <c r="B1" s="1" t="s">
        <v>1</v>
      </c>
      <c r="C1" s="1" t="s">
        <v>2</v>
      </c>
      <c r="D1" s="1" t="s">
        <v>3</v>
      </c>
      <c r="E1" s="1" t="s">
        <v>4</v>
      </c>
      <c r="F1" s="1" t="s">
        <v>5</v>
      </c>
      <c r="G1" s="1" t="s">
        <v>6</v>
      </c>
      <c r="H1" s="1" t="s">
        <v>7</v>
      </c>
      <c r="I1" s="1" t="s">
        <v>8</v>
      </c>
      <c r="J1" s="1" t="s">
        <v>9</v>
      </c>
      <c r="K1" s="1" t="s">
        <v>10</v>
      </c>
      <c r="L1" s="1" t="s">
        <v>11</v>
      </c>
    </row>
    <row r="2" spans="1:12" ht="50.1" customHeight="1" x14ac:dyDescent="0.25">
      <c r="A2" s="3" t="s">
        <v>349</v>
      </c>
      <c r="B2" s="2" t="s">
        <v>350</v>
      </c>
      <c r="C2" s="2"/>
      <c r="D2" s="2" t="s">
        <v>15</v>
      </c>
      <c r="E2" s="2" t="str">
        <f>IF(ISERROR("HOUSEID"),"","NA")</f>
        <v>NA</v>
      </c>
      <c r="F2" s="4" t="str">
        <f>IF(ISERROR("HOUSEID"),"",HYPERLINK("#INDEX('Frequencies'!A:A,MATCH(A" &amp; ROW() &amp; ",'Frequencies'!A:A,0))","Frequencies"))</f>
        <v>Frequencies</v>
      </c>
      <c r="G2" s="2">
        <v>1</v>
      </c>
      <c r="H2" s="2">
        <v>1</v>
      </c>
      <c r="I2" s="2">
        <v>1</v>
      </c>
      <c r="J2" s="2">
        <v>1</v>
      </c>
      <c r="K2" s="2">
        <v>1</v>
      </c>
      <c r="L2" s="2"/>
    </row>
    <row r="3" spans="1:12" ht="50.1" customHeight="1" x14ac:dyDescent="0.25">
      <c r="A3" s="3" t="s">
        <v>886</v>
      </c>
      <c r="B3" s="2" t="s">
        <v>887</v>
      </c>
      <c r="C3" s="2" t="s">
        <v>888</v>
      </c>
      <c r="D3" s="2" t="s">
        <v>15</v>
      </c>
      <c r="E3" s="4" t="str">
        <f>IF(ISERROR("VEHID"),"",HYPERLINK("#INDEX('Value Lookup'!A:A,MATCH(A" &amp; ROW() &amp; ",'Value Lookup'!A:A,0))","Value Lookup"))</f>
        <v>Value Lookup</v>
      </c>
      <c r="F3" s="4" t="str">
        <f>IF(ISERROR("VEHID"),"",HYPERLINK("#INDEX('Frequencies'!A:A,MATCH(A" &amp; ROW() &amp; ",'Frequencies'!A:A,0))","Frequencies"))</f>
        <v>Frequencies</v>
      </c>
      <c r="G3" s="2"/>
      <c r="H3" s="2"/>
      <c r="I3" s="2">
        <v>2</v>
      </c>
      <c r="J3" s="2">
        <v>27</v>
      </c>
      <c r="K3" s="2"/>
      <c r="L3" s="2"/>
    </row>
    <row r="4" spans="1:12" ht="50.1" customHeight="1" x14ac:dyDescent="0.25">
      <c r="A4" s="3" t="s">
        <v>906</v>
      </c>
      <c r="B4" s="2" t="s">
        <v>907</v>
      </c>
      <c r="C4" s="2" t="s">
        <v>908</v>
      </c>
      <c r="D4" s="2" t="s">
        <v>41</v>
      </c>
      <c r="E4" s="2" t="str">
        <f>IF(ISERROR("VEHYEAR"),"","Range: 1900 - 2017")</f>
        <v>Range: 1900 - 2017</v>
      </c>
      <c r="F4" s="4" t="str">
        <f>IF(ISERROR("VEHYEAR"),"",HYPERLINK("#INDEX('Frequencies'!A:A,MATCH(A" &amp; ROW() &amp; ",'Frequencies'!A:A,0))","Frequencies"))</f>
        <v>Frequencies</v>
      </c>
      <c r="G4" s="2"/>
      <c r="H4" s="2"/>
      <c r="I4" s="2">
        <v>3</v>
      </c>
      <c r="J4" s="2"/>
      <c r="K4" s="2"/>
      <c r="L4" s="2"/>
    </row>
    <row r="5" spans="1:12" ht="50.1" customHeight="1" x14ac:dyDescent="0.25">
      <c r="A5" s="3" t="s">
        <v>884</v>
      </c>
      <c r="B5" s="2" t="s">
        <v>885</v>
      </c>
      <c r="C5" s="2"/>
      <c r="D5" s="2" t="s">
        <v>41</v>
      </c>
      <c r="E5" s="4" t="str">
        <f>IF(ISERROR("VEHAGE"),"",HYPERLINK("#INDEX('Value Lookup'!A:A,MATCH(A" &amp; ROW() &amp; ",'Value Lookup'!A:A,0))","Value Lookup"))</f>
        <v>Value Lookup</v>
      </c>
      <c r="F5" s="4" t="str">
        <f>IF(ISERROR("VEHAGE"),"",HYPERLINK("#INDEX('Frequencies'!A:A,MATCH(A" &amp; ROW() &amp; ",'Frequencies'!A:A,0))","Frequencies"))</f>
        <v>Frequencies</v>
      </c>
      <c r="G5" s="2"/>
      <c r="H5" s="2"/>
      <c r="I5" s="2">
        <v>4</v>
      </c>
      <c r="J5" s="2"/>
      <c r="K5" s="2"/>
      <c r="L5" s="2"/>
    </row>
    <row r="6" spans="1:12" ht="50.1" customHeight="1" x14ac:dyDescent="0.25">
      <c r="A6" s="3" t="s">
        <v>407</v>
      </c>
      <c r="B6" s="2" t="s">
        <v>408</v>
      </c>
      <c r="C6" s="2" t="s">
        <v>409</v>
      </c>
      <c r="D6" s="2" t="s">
        <v>15</v>
      </c>
      <c r="E6" s="4" t="str">
        <f>IF(ISERROR("MAKE"),"",HYPERLINK("#INDEX('Value Lookup'!A:A,MATCH(A" &amp; ROW() &amp; ",'Value Lookup'!A:A,0))","Value Lookup"))</f>
        <v>Value Lookup</v>
      </c>
      <c r="F6" s="4" t="str">
        <f>IF(ISERROR("MAKE"),"",HYPERLINK("#INDEX('Frequencies'!A:A,MATCH(A" &amp; ROW() &amp; ",'Frequencies'!A:A,0))","Frequencies"))</f>
        <v>Frequencies</v>
      </c>
      <c r="G6" s="2"/>
      <c r="H6" s="2"/>
      <c r="I6" s="2">
        <v>5</v>
      </c>
      <c r="J6" s="2"/>
      <c r="K6" s="2"/>
      <c r="L6" s="2"/>
    </row>
    <row r="7" spans="1:12" ht="50.1" customHeight="1" x14ac:dyDescent="0.25">
      <c r="A7" s="3" t="s">
        <v>410</v>
      </c>
      <c r="B7" s="2" t="s">
        <v>411</v>
      </c>
      <c r="C7" s="2" t="s">
        <v>412</v>
      </c>
      <c r="D7" s="2" t="s">
        <v>15</v>
      </c>
      <c r="E7" s="4" t="str">
        <f>IF(ISERROR("MAKE_O"),"",HYPERLINK("#INDEX('Value Lookup'!A:A,MATCH(A" &amp; ROW() &amp; ",'Value Lookup'!A:A,0))","Value Lookup"))</f>
        <v>Value Lookup</v>
      </c>
      <c r="F7" s="4" t="str">
        <f>IF(ISERROR("MAKE_O"),"",HYPERLINK("#INDEX('Frequencies'!A:A,MATCH(A" &amp; ROW() &amp; ",'Frequencies'!A:A,0))","Frequencies"))</f>
        <v>Frequencies</v>
      </c>
      <c r="G7" s="2"/>
      <c r="H7" s="2"/>
      <c r="I7" s="2">
        <v>6</v>
      </c>
      <c r="J7" s="2"/>
      <c r="K7" s="2"/>
      <c r="L7" s="2"/>
    </row>
    <row r="8" spans="1:12" ht="50.1" customHeight="1" x14ac:dyDescent="0.25">
      <c r="A8" s="3" t="s">
        <v>428</v>
      </c>
      <c r="B8" s="2" t="s">
        <v>429</v>
      </c>
      <c r="C8" s="2" t="s">
        <v>430</v>
      </c>
      <c r="D8" s="2" t="s">
        <v>15</v>
      </c>
      <c r="E8" s="4" t="str">
        <f>IF(ISERROR("MODEL"),"",HYPERLINK("#INDEX('Value Lookup'!A:A,MATCH(A" &amp; ROW() &amp; ",'Value Lookup'!A:A,0))","Value Lookup"))</f>
        <v>Value Lookup</v>
      </c>
      <c r="F8" s="4" t="str">
        <f>IF(ISERROR("MODEL"),"",HYPERLINK("#INDEX('Frequencies'!A:A,MATCH(A" &amp; ROW() &amp; ",'Frequencies'!A:A,0))","Frequencies"))</f>
        <v>Frequencies</v>
      </c>
      <c r="G8" s="2"/>
      <c r="H8" s="2"/>
      <c r="I8" s="2">
        <v>7</v>
      </c>
      <c r="J8" s="2"/>
      <c r="K8" s="2"/>
      <c r="L8" s="2"/>
    </row>
    <row r="9" spans="1:12" ht="50.1" customHeight="1" x14ac:dyDescent="0.25">
      <c r="A9" s="3" t="s">
        <v>431</v>
      </c>
      <c r="B9" s="2" t="s">
        <v>432</v>
      </c>
      <c r="C9" s="2" t="s">
        <v>433</v>
      </c>
      <c r="D9" s="2" t="s">
        <v>15</v>
      </c>
      <c r="E9" s="4" t="str">
        <f>IF(ISERROR("MODEL_O"),"",HYPERLINK("#INDEX('Value Lookup'!A:A,MATCH(A" &amp; ROW() &amp; ",'Value Lookup'!A:A,0))","Value Lookup"))</f>
        <v>Value Lookup</v>
      </c>
      <c r="F9" s="4" t="str">
        <f>IF(ISERROR("MODEL_O"),"",HYPERLINK("#INDEX('Frequencies'!A:A,MATCH(A" &amp; ROW() &amp; ",'Frequencies'!A:A,0))","Frequencies"))</f>
        <v>Frequencies</v>
      </c>
      <c r="G9" s="2"/>
      <c r="H9" s="2"/>
      <c r="I9" s="2">
        <v>8</v>
      </c>
      <c r="J9" s="2"/>
      <c r="K9" s="2"/>
      <c r="L9" s="2"/>
    </row>
    <row r="10" spans="1:12" ht="50.1" customHeight="1" x14ac:dyDescent="0.25">
      <c r="A10" s="3" t="s">
        <v>232</v>
      </c>
      <c r="B10" s="2" t="s">
        <v>233</v>
      </c>
      <c r="C10" s="2" t="s">
        <v>234</v>
      </c>
      <c r="D10" s="2" t="s">
        <v>15</v>
      </c>
      <c r="E10" s="4" t="str">
        <f>IF(ISERROR("FUELTYPE"),"",HYPERLINK("#INDEX('Value Lookup'!A:A,MATCH(A" &amp; ROW() &amp; ",'Value Lookup'!A:A,0))","Value Lookup"))</f>
        <v>Value Lookup</v>
      </c>
      <c r="F10" s="4" t="str">
        <f>IF(ISERROR("FUELTYPE"),"",HYPERLINK("#INDEX('Frequencies'!A:A,MATCH(A" &amp; ROW() &amp; ",'Frequencies'!A:A,0))","Frequencies"))</f>
        <v>Frequencies</v>
      </c>
      <c r="G10" s="2"/>
      <c r="H10" s="2"/>
      <c r="I10" s="2">
        <v>9</v>
      </c>
      <c r="J10" s="2"/>
      <c r="K10" s="2"/>
      <c r="L10" s="2"/>
    </row>
    <row r="11" spans="1:12" ht="50.1" customHeight="1" x14ac:dyDescent="0.25">
      <c r="A11" s="3" t="s">
        <v>235</v>
      </c>
      <c r="B11" s="2" t="s">
        <v>236</v>
      </c>
      <c r="C11" s="2" t="s">
        <v>237</v>
      </c>
      <c r="D11" s="2" t="s">
        <v>15</v>
      </c>
      <c r="E11" s="4" t="str">
        <f>IF(ISERROR("FUELTYPE_O"),"",HYPERLINK("#INDEX('Value Lookup'!A:A,MATCH(A" &amp; ROW() &amp; ",'Value Lookup'!A:A,0))","Value Lookup"))</f>
        <v>Value Lookup</v>
      </c>
      <c r="F11" s="4" t="str">
        <f>IF(ISERROR("FUELTYPE_O"),"",HYPERLINK("#INDEX('Frequencies'!A:A,MATCH(A" &amp; ROW() &amp; ",'Frequencies'!A:A,0))","Frequencies"))</f>
        <v>Frequencies</v>
      </c>
      <c r="G11" s="2"/>
      <c r="H11" s="2"/>
      <c r="I11" s="2">
        <v>10</v>
      </c>
      <c r="J11" s="2"/>
      <c r="K11" s="2"/>
      <c r="L11" s="2"/>
    </row>
    <row r="12" spans="1:12" ht="50.1" customHeight="1" x14ac:dyDescent="0.25">
      <c r="A12" s="3" t="s">
        <v>903</v>
      </c>
      <c r="B12" s="2" t="s">
        <v>904</v>
      </c>
      <c r="C12" s="2" t="s">
        <v>905</v>
      </c>
      <c r="D12" s="2" t="s">
        <v>15</v>
      </c>
      <c r="E12" s="4" t="str">
        <f>IF(ISERROR("VEHTYPE"),"",HYPERLINK("#INDEX('Value Lookup'!A:A,MATCH(A" &amp; ROW() &amp; ",'Value Lookup'!A:A,0))","Value Lookup"))</f>
        <v>Value Lookup</v>
      </c>
      <c r="F12" s="4" t="str">
        <f>IF(ISERROR("VEHTYPE"),"",HYPERLINK("#INDEX('Frequencies'!A:A,MATCH(A" &amp; ROW() &amp; ",'Frequencies'!A:A,0))","Frequencies"))</f>
        <v>Frequencies</v>
      </c>
      <c r="G12" s="2"/>
      <c r="H12" s="2"/>
      <c r="I12" s="2">
        <v>11</v>
      </c>
      <c r="J12" s="2"/>
      <c r="K12" s="2"/>
      <c r="L12" s="2"/>
    </row>
    <row r="13" spans="1:12" ht="50.1" customHeight="1" x14ac:dyDescent="0.25">
      <c r="A13" s="3" t="s">
        <v>900</v>
      </c>
      <c r="B13" s="2" t="s">
        <v>901</v>
      </c>
      <c r="C13" s="2" t="s">
        <v>902</v>
      </c>
      <c r="D13" s="2" t="s">
        <v>15</v>
      </c>
      <c r="E13" s="4" t="str">
        <f>IF(ISERROR("VEHTYOS"),"",HYPERLINK("#INDEX('Value Lookup'!A:A,MATCH(A" &amp; ROW() &amp; ",'Value Lookup'!A:A,0))","Value Lookup"))</f>
        <v>Value Lookup</v>
      </c>
      <c r="F13" s="4" t="str">
        <f>IF(ISERROR("VEHTYOS"),"",HYPERLINK("#INDEX('Frequencies'!A:A,MATCH(A" &amp; ROW() &amp; ",'Frequencies'!A:A,0))","Frequencies"))</f>
        <v>Frequencies</v>
      </c>
      <c r="G13" s="2"/>
      <c r="H13" s="2"/>
      <c r="I13" s="2">
        <v>12</v>
      </c>
      <c r="J13" s="2"/>
      <c r="K13" s="2"/>
      <c r="L13" s="2"/>
    </row>
    <row r="14" spans="1:12" ht="50.1" customHeight="1" x14ac:dyDescent="0.25">
      <c r="A14" s="3" t="s">
        <v>966</v>
      </c>
      <c r="B14" s="2" t="s">
        <v>967</v>
      </c>
      <c r="C14" s="2" t="s">
        <v>968</v>
      </c>
      <c r="D14" s="2" t="s">
        <v>15</v>
      </c>
      <c r="E14" s="4" t="str">
        <f>IF(ISERROR("WHOMAIN"),"",HYPERLINK("#INDEX('Value Lookup'!A:A,MATCH(A" &amp; ROW() &amp; ",'Value Lookup'!A:A,0))","Value Lookup"))</f>
        <v>Value Lookup</v>
      </c>
      <c r="F14" s="4" t="str">
        <f>IF(ISERROR("WHOMAIN"),"",HYPERLINK("#INDEX('Frequencies'!A:A,MATCH(A" &amp; ROW() &amp; ",'Frequencies'!A:A,0))","Frequencies"))</f>
        <v>Frequencies</v>
      </c>
      <c r="G14" s="2"/>
      <c r="H14" s="2"/>
      <c r="I14" s="2">
        <v>13</v>
      </c>
      <c r="J14" s="2"/>
      <c r="K14" s="2"/>
      <c r="L14" s="2"/>
    </row>
    <row r="15" spans="1:12" ht="50.1" customHeight="1" x14ac:dyDescent="0.25">
      <c r="A15" s="3" t="s">
        <v>471</v>
      </c>
      <c r="B15" s="2" t="s">
        <v>472</v>
      </c>
      <c r="C15" s="2" t="s">
        <v>473</v>
      </c>
      <c r="D15" s="2" t="s">
        <v>41</v>
      </c>
      <c r="E15" s="2" t="str">
        <f>IF(ISERROR("OD_READ"),"","Range: 0 - 999999")</f>
        <v>Range: 0 - 999999</v>
      </c>
      <c r="F15" s="4" t="str">
        <f>IF(ISERROR("OD_READ"),"",HYPERLINK("#INDEX('Frequencies'!A:A,MATCH(A" &amp; ROW() &amp; ",'Frequencies'!A:A,0))","Frequencies"))</f>
        <v>Frequencies</v>
      </c>
      <c r="G15" s="2"/>
      <c r="H15" s="2"/>
      <c r="I15" s="2">
        <v>14</v>
      </c>
      <c r="J15" s="2"/>
      <c r="K15" s="2"/>
      <c r="L15" s="2"/>
    </row>
    <row r="16" spans="1:12" ht="50.1" customHeight="1" x14ac:dyDescent="0.25">
      <c r="A16" s="3" t="s">
        <v>459</v>
      </c>
      <c r="B16" s="2" t="s">
        <v>460</v>
      </c>
      <c r="C16" s="2" t="s">
        <v>461</v>
      </c>
      <c r="D16" s="2" t="s">
        <v>15</v>
      </c>
      <c r="E16" s="4" t="str">
        <f>IF(ISERROR("OD_DATE"),"",HYPERLINK("#INDEX('Value Lookup'!A:A,MATCH(A" &amp; ROW() &amp; ",'Value Lookup'!A:A,0))","Value Lookup"))</f>
        <v>Value Lookup</v>
      </c>
      <c r="F16" s="4" t="str">
        <f>IF(ISERROR("OD_DATE"),"",HYPERLINK("#INDEX('Frequencies'!A:A,MATCH(A" &amp; ROW() &amp; ",'Frequencies'!A:A,0))","Frequencies"))</f>
        <v>Frequencies</v>
      </c>
      <c r="G16" s="2"/>
      <c r="H16" s="2"/>
      <c r="I16" s="2">
        <v>15</v>
      </c>
      <c r="J16" s="2"/>
      <c r="K16" s="2"/>
      <c r="L16" s="2"/>
    </row>
    <row r="17" spans="1:12" ht="50.1" customHeight="1" x14ac:dyDescent="0.25">
      <c r="A17" s="3" t="s">
        <v>474</v>
      </c>
      <c r="B17" s="2" t="s">
        <v>475</v>
      </c>
      <c r="C17" s="2"/>
      <c r="D17" s="2" t="s">
        <v>41</v>
      </c>
      <c r="E17" s="4" t="str">
        <f>IF(ISERROR("OD_YEAR"),"",HYPERLINK("#INDEX('Value Lookup'!A:A,MATCH(A" &amp; ROW() &amp; ",'Value Lookup'!A:A,0))","Value Lookup"))</f>
        <v>Value Lookup</v>
      </c>
      <c r="F17" s="4" t="str">
        <f>IF(ISERROR("OD_YEAR"),"",HYPERLINK("#INDEX('Frequencies'!A:A,MATCH(A" &amp; ROW() &amp; ",'Frequencies'!A:A,0))","Frequencies"))</f>
        <v>Frequencies</v>
      </c>
      <c r="G17" s="2"/>
      <c r="H17" s="2"/>
      <c r="I17" s="2">
        <v>16</v>
      </c>
      <c r="J17" s="2"/>
      <c r="K17" s="2"/>
      <c r="L17" s="2"/>
    </row>
    <row r="18" spans="1:12" ht="50.1" customHeight="1" x14ac:dyDescent="0.25">
      <c r="A18" s="3" t="s">
        <v>469</v>
      </c>
      <c r="B18" s="2" t="s">
        <v>470</v>
      </c>
      <c r="C18" s="2"/>
      <c r="D18" s="2" t="s">
        <v>15</v>
      </c>
      <c r="E18" s="4" t="str">
        <f>IF(ISERROR("OD_MONTH"),"",HYPERLINK("#INDEX('Value Lookup'!A:A,MATCH(A" &amp; ROW() &amp; ",'Value Lookup'!A:A,0))","Value Lookup"))</f>
        <v>Value Lookup</v>
      </c>
      <c r="F18" s="4" t="str">
        <f>IF(ISERROR("OD_MONTH"),"",HYPERLINK("#INDEX('Frequencies'!A:A,MATCH(A" &amp; ROW() &amp; ",'Frequencies'!A:A,0))","Frequencies"))</f>
        <v>Frequencies</v>
      </c>
      <c r="G18" s="2"/>
      <c r="H18" s="2"/>
      <c r="I18" s="2">
        <v>17</v>
      </c>
      <c r="J18" s="2"/>
      <c r="K18" s="2"/>
      <c r="L18" s="2"/>
    </row>
    <row r="19" spans="1:12" ht="50.1" customHeight="1" x14ac:dyDescent="0.25">
      <c r="A19" s="3" t="s">
        <v>462</v>
      </c>
      <c r="B19" s="2" t="s">
        <v>463</v>
      </c>
      <c r="C19" s="2"/>
      <c r="D19" s="2" t="s">
        <v>15</v>
      </c>
      <c r="E19" s="4" t="str">
        <f>IF(ISERROR("OD_DAY"),"",HYPERLINK("#INDEX('Value Lookup'!A:A,MATCH(A" &amp; ROW() &amp; ",'Value Lookup'!A:A,0))","Value Lookup"))</f>
        <v>Value Lookup</v>
      </c>
      <c r="F19" s="4" t="str">
        <f>IF(ISERROR("OD_DAY"),"",HYPERLINK("#INDEX('Frequencies'!A:A,MATCH(A" &amp; ROW() &amp; ",'Frequencies'!A:A,0))","Frequencies"))</f>
        <v>Frequencies</v>
      </c>
      <c r="G19" s="2"/>
      <c r="H19" s="2"/>
      <c r="I19" s="2">
        <v>18</v>
      </c>
      <c r="J19" s="2"/>
      <c r="K19" s="2"/>
      <c r="L19" s="2"/>
    </row>
    <row r="20" spans="1:12" ht="50.1" customHeight="1" x14ac:dyDescent="0.25">
      <c r="A20" s="3" t="s">
        <v>264</v>
      </c>
      <c r="B20" s="2" t="s">
        <v>265</v>
      </c>
      <c r="C20" s="2" t="s">
        <v>266</v>
      </c>
      <c r="D20" s="2" t="s">
        <v>15</v>
      </c>
      <c r="E20" s="4" t="str">
        <f>IF(ISERROR("HFUEL"),"",HYPERLINK("#INDEX('Value Lookup'!A:A,MATCH(A" &amp; ROW() &amp; ",'Value Lookup'!A:A,0))","Value Lookup"))</f>
        <v>Value Lookup</v>
      </c>
      <c r="F20" s="4" t="str">
        <f>IF(ISERROR("HFUEL"),"",HYPERLINK("#INDEX('Frequencies'!A:A,MATCH(A" &amp; ROW() &amp; ",'Frequencies'!A:A,0))","Frequencies"))</f>
        <v>Frequencies</v>
      </c>
      <c r="G20" s="2"/>
      <c r="H20" s="2"/>
      <c r="I20" s="2">
        <v>19</v>
      </c>
      <c r="J20" s="2"/>
      <c r="K20" s="2"/>
      <c r="L20" s="2"/>
    </row>
    <row r="21" spans="1:12" ht="50.1" customHeight="1" x14ac:dyDescent="0.25">
      <c r="A21" s="3" t="s">
        <v>267</v>
      </c>
      <c r="B21" s="2" t="s">
        <v>268</v>
      </c>
      <c r="C21" s="2" t="s">
        <v>269</v>
      </c>
      <c r="D21" s="2" t="s">
        <v>15</v>
      </c>
      <c r="E21" s="4" t="str">
        <f>IF(ISERROR("HFUEL_O"),"",HYPERLINK("#INDEX('Value Lookup'!A:A,MATCH(A" &amp; ROW() &amp; ",'Value Lookup'!A:A,0))","Value Lookup"))</f>
        <v>Value Lookup</v>
      </c>
      <c r="F21" s="4" t="str">
        <f>IF(ISERROR("HFUEL_O"),"",HYPERLINK("#INDEX('Frequencies'!A:A,MATCH(A" &amp; ROW() &amp; ",'Frequencies'!A:A,0))","Frequencies"))</f>
        <v>Frequencies</v>
      </c>
      <c r="G21" s="2"/>
      <c r="H21" s="2"/>
      <c r="I21" s="2">
        <v>20</v>
      </c>
      <c r="J21" s="2"/>
      <c r="K21" s="2"/>
      <c r="L21" s="2"/>
    </row>
    <row r="22" spans="1:12" ht="50.1" customHeight="1" x14ac:dyDescent="0.25">
      <c r="A22" s="3" t="s">
        <v>894</v>
      </c>
      <c r="B22" s="2" t="s">
        <v>895</v>
      </c>
      <c r="C22" s="2" t="s">
        <v>896</v>
      </c>
      <c r="D22" s="2" t="s">
        <v>15</v>
      </c>
      <c r="E22" s="4" t="str">
        <f>IF(ISERROR("VEHOWNED"),"",HYPERLINK("#INDEX('Value Lookup'!A:A,MATCH(A" &amp; ROW() &amp; ",'Value Lookup'!A:A,0))","Value Lookup"))</f>
        <v>Value Lookup</v>
      </c>
      <c r="F22" s="4" t="str">
        <f>IF(ISERROR("VEHOWNED"),"",HYPERLINK("#INDEX('Frequencies'!A:A,MATCH(A" &amp; ROW() &amp; ",'Frequencies'!A:A,0))","Frequencies"))</f>
        <v>Frequencies</v>
      </c>
      <c r="G22" s="2"/>
      <c r="H22" s="2"/>
      <c r="I22" s="2">
        <v>21</v>
      </c>
      <c r="J22" s="2"/>
      <c r="K22" s="2"/>
      <c r="L22" s="2"/>
    </row>
    <row r="23" spans="1:12" ht="50.1" customHeight="1" x14ac:dyDescent="0.25">
      <c r="A23" s="3" t="s">
        <v>891</v>
      </c>
      <c r="B23" s="2" t="s">
        <v>892</v>
      </c>
      <c r="C23" s="2" t="s">
        <v>893</v>
      </c>
      <c r="D23" s="2" t="s">
        <v>41</v>
      </c>
      <c r="E23" s="2" t="str">
        <f>IF(ISERROR("VEHMILES"),"","Range: 0 - 200000")</f>
        <v>Range: 0 - 200000</v>
      </c>
      <c r="F23" s="4" t="str">
        <f>IF(ISERROR("VEHMILES"),"",HYPERLINK("#INDEX('Frequencies'!A:A,MATCH(A" &amp; ROW() &amp; ",'Frequencies'!A:A,0))","Frequencies"))</f>
        <v>Frequencies</v>
      </c>
      <c r="G23" s="2"/>
      <c r="H23" s="2"/>
      <c r="I23" s="2">
        <v>22</v>
      </c>
      <c r="J23" s="2"/>
      <c r="K23" s="2"/>
      <c r="L23" s="2"/>
    </row>
    <row r="24" spans="1:12" ht="50.1" customHeight="1" x14ac:dyDescent="0.25">
      <c r="A24" s="3" t="s">
        <v>912</v>
      </c>
      <c r="B24" s="2" t="s">
        <v>913</v>
      </c>
      <c r="C24" s="2" t="s">
        <v>914</v>
      </c>
      <c r="D24" s="2" t="s">
        <v>15</v>
      </c>
      <c r="E24" s="4" t="str">
        <f>IF(ISERROR("VERMILES"),"",HYPERLINK("#INDEX('Value Lookup'!A:A,MATCH(A" &amp; ROW() &amp; ",'Value Lookup'!A:A,0))","Value Lookup"))</f>
        <v>Value Lookup</v>
      </c>
      <c r="F24" s="4" t="str">
        <f>IF(ISERROR("VERMILES"),"",HYPERLINK("#INDEX('Frequencies'!A:A,MATCH(A" &amp; ROW() &amp; ",'Frequencies'!A:A,0))","Frequencies"))</f>
        <v>Frequencies</v>
      </c>
      <c r="G24" s="2"/>
      <c r="H24" s="2"/>
      <c r="I24" s="2">
        <v>23</v>
      </c>
      <c r="J24" s="2"/>
      <c r="K24" s="2"/>
      <c r="L24" s="2"/>
    </row>
    <row r="25" spans="1:12" ht="50.1" customHeight="1" x14ac:dyDescent="0.25">
      <c r="A25" s="3" t="s">
        <v>889</v>
      </c>
      <c r="B25" s="2" t="s">
        <v>890</v>
      </c>
      <c r="C25" s="2" t="s">
        <v>219</v>
      </c>
      <c r="D25" s="2" t="s">
        <v>15</v>
      </c>
      <c r="E25" s="4" t="str">
        <f>IF(ISERROR("VEHMILE2"),"",HYPERLINK("#INDEX('Value Lookup'!A:A,MATCH(A" &amp; ROW() &amp; ",'Value Lookup'!A:A,0))","Value Lookup"))</f>
        <v>Value Lookup</v>
      </c>
      <c r="F25" s="4" t="str">
        <f>IF(ISERROR("VEHMILE2"),"",HYPERLINK("#INDEX('Frequencies'!A:A,MATCH(A" &amp; ROW() &amp; ",'Frequencies'!A:A,0))","Frequencies"))</f>
        <v>Frequencies</v>
      </c>
      <c r="G25" s="2"/>
      <c r="H25" s="2"/>
      <c r="I25" s="2">
        <v>24</v>
      </c>
      <c r="J25" s="2"/>
      <c r="K25" s="2"/>
      <c r="L25" s="2"/>
    </row>
    <row r="26" spans="1:12" ht="50.1" customHeight="1" x14ac:dyDescent="0.25">
      <c r="A26" s="3" t="s">
        <v>897</v>
      </c>
      <c r="B26" s="2" t="s">
        <v>898</v>
      </c>
      <c r="C26" s="2" t="s">
        <v>899</v>
      </c>
      <c r="D26" s="2" t="s">
        <v>15</v>
      </c>
      <c r="E26" s="2" t="str">
        <f>IF(ISERROR("VEHOWNMO"),"","Range: 0 - 11")</f>
        <v>Range: 0 - 11</v>
      </c>
      <c r="F26" s="4" t="str">
        <f>IF(ISERROR("VEHOWNMO"),"",HYPERLINK("#INDEX('Frequencies'!A:A,MATCH(A" &amp; ROW() &amp; ",'Frequencies'!A:A,0))","Frequencies"))</f>
        <v>Frequencies</v>
      </c>
      <c r="G26" s="2"/>
      <c r="H26" s="2"/>
      <c r="I26" s="2">
        <v>25</v>
      </c>
      <c r="J26" s="2"/>
      <c r="K26" s="2"/>
      <c r="L26" s="2"/>
    </row>
    <row r="27" spans="1:12" ht="50.1" customHeight="1" x14ac:dyDescent="0.25">
      <c r="A27" s="3" t="s">
        <v>220</v>
      </c>
      <c r="B27" s="2" t="s">
        <v>221</v>
      </c>
      <c r="C27" s="2" t="s">
        <v>222</v>
      </c>
      <c r="D27" s="2" t="s">
        <v>41</v>
      </c>
      <c r="E27" s="2" t="str">
        <f>IF(ISERROR("ESTMILES"),"","Range: 0 - 200000")</f>
        <v>Range: 0 - 200000</v>
      </c>
      <c r="F27" s="4" t="str">
        <f>IF(ISERROR("ESTMILES"),"",HYPERLINK("#INDEX('Frequencies'!A:A,MATCH(A" &amp; ROW() &amp; ",'Frequencies'!A:A,0))","Frequencies"))</f>
        <v>Frequencies</v>
      </c>
      <c r="G27" s="2"/>
      <c r="H27" s="2"/>
      <c r="I27" s="2">
        <v>26</v>
      </c>
      <c r="J27" s="2"/>
      <c r="K27" s="2"/>
      <c r="L27" s="2"/>
    </row>
    <row r="28" spans="1:12" ht="50.1" customHeight="1" x14ac:dyDescent="0.25">
      <c r="A28" s="3" t="s">
        <v>909</v>
      </c>
      <c r="B28" s="2" t="s">
        <v>910</v>
      </c>
      <c r="C28" s="2" t="s">
        <v>911</v>
      </c>
      <c r="D28" s="2" t="s">
        <v>15</v>
      </c>
      <c r="E28" s="4" t="str">
        <f>IF(ISERROR("VERESTML"),"",HYPERLINK("#INDEX('Value Lookup'!A:A,MATCH(A" &amp; ROW() &amp; ",'Value Lookup'!A:A,0))","Value Lookup"))</f>
        <v>Value Lookup</v>
      </c>
      <c r="F28" s="4" t="str">
        <f>IF(ISERROR("VERESTML"),"",HYPERLINK("#INDEX('Frequencies'!A:A,MATCH(A" &amp; ROW() &amp; ",'Frequencies'!A:A,0))","Frequencies"))</f>
        <v>Frequencies</v>
      </c>
      <c r="G28" s="2"/>
      <c r="H28" s="2"/>
      <c r="I28" s="2">
        <v>27</v>
      </c>
      <c r="J28" s="2"/>
      <c r="K28" s="2"/>
      <c r="L28" s="2"/>
    </row>
    <row r="29" spans="1:12" ht="50.1" customHeight="1" x14ac:dyDescent="0.25">
      <c r="A29" s="3" t="s">
        <v>217</v>
      </c>
      <c r="B29" s="2" t="s">
        <v>218</v>
      </c>
      <c r="C29" s="2" t="s">
        <v>219</v>
      </c>
      <c r="D29" s="2" t="s">
        <v>15</v>
      </c>
      <c r="E29" s="4" t="str">
        <f>IF(ISERROR("ESTMILE2"),"",HYPERLINK("#INDEX('Value Lookup'!A:A,MATCH(A" &amp; ROW() &amp; ",'Value Lookup'!A:A,0))","Value Lookup"))</f>
        <v>Value Lookup</v>
      </c>
      <c r="F29" s="4" t="str">
        <f>IF(ISERROR("ESTMILE2"),"",HYPERLINK("#INDEX('Frequencies'!A:A,MATCH(A" &amp; ROW() &amp; ",'Frequencies'!A:A,0))","Frequencies"))</f>
        <v>Frequencies</v>
      </c>
      <c r="G29" s="2"/>
      <c r="H29" s="2"/>
      <c r="I29" s="2">
        <v>28</v>
      </c>
      <c r="J29" s="2"/>
      <c r="K29" s="2"/>
      <c r="L29" s="2"/>
    </row>
    <row r="30" spans="1:12" ht="50.1" customHeight="1" x14ac:dyDescent="0.25">
      <c r="A30" s="3" t="s">
        <v>39</v>
      </c>
      <c r="B30" s="2" t="s">
        <v>40</v>
      </c>
      <c r="C30" s="2"/>
      <c r="D30" s="2" t="s">
        <v>41</v>
      </c>
      <c r="E30" s="4" t="str">
        <f>IF(ISERROR("ANNMILES"),"",HYPERLINK("#INDEX('Value Lookup'!A:A,MATCH(A" &amp; ROW() &amp; ",'Value Lookup'!A:A,0))","Value Lookup"))</f>
        <v>Value Lookup</v>
      </c>
      <c r="F30" s="4" t="str">
        <f>IF(ISERROR("ANNMILES"),"",HYPERLINK("#INDEX('Frequencies'!A:A,MATCH(A" &amp; ROW() &amp; ",'Frequencies'!A:A,0))","Frequencies"))</f>
        <v>Frequencies</v>
      </c>
      <c r="G30" s="2"/>
      <c r="H30" s="2"/>
      <c r="I30" s="2">
        <v>29</v>
      </c>
      <c r="J30" s="2"/>
      <c r="K30" s="2"/>
      <c r="L30" s="2"/>
    </row>
    <row r="31" spans="1:12" ht="50.1" customHeight="1" x14ac:dyDescent="0.25">
      <c r="A31" s="3" t="s">
        <v>373</v>
      </c>
      <c r="B31" s="2" t="s">
        <v>374</v>
      </c>
      <c r="C31" s="2"/>
      <c r="D31" s="2" t="s">
        <v>15</v>
      </c>
      <c r="E31" s="4" t="str">
        <f>IF(ISERROR("HYBRID"),"",HYPERLINK("#INDEX('Value Lookup'!A:A,MATCH(A" &amp; ROW() &amp; ",'Value Lookup'!A:A,0))","Value Lookup"))</f>
        <v>Value Lookup</v>
      </c>
      <c r="F31" s="4" t="str">
        <f>IF(ISERROR("HYBRID"),"",HYPERLINK("#INDEX('Frequencies'!A:A,MATCH(A" &amp; ROW() &amp; ",'Frequencies'!A:A,0))","Frequencies"))</f>
        <v>Frequencies</v>
      </c>
      <c r="G31" s="2"/>
      <c r="H31" s="2"/>
      <c r="I31" s="2">
        <v>30</v>
      </c>
      <c r="J31" s="2"/>
      <c r="K31" s="2"/>
      <c r="L31" s="2"/>
    </row>
    <row r="32" spans="1:12" ht="50.1" customHeight="1" x14ac:dyDescent="0.25">
      <c r="A32" s="3" t="s">
        <v>523</v>
      </c>
      <c r="B32" s="2" t="s">
        <v>524</v>
      </c>
      <c r="C32" s="2"/>
      <c r="D32" s="2" t="s">
        <v>15</v>
      </c>
      <c r="E32" s="2" t="str">
        <f>IF(ISERROR("PERSONID"),"","NA")</f>
        <v>NA</v>
      </c>
      <c r="F32" s="4" t="str">
        <f>IF(ISERROR("PERSONID"),"",HYPERLINK("#INDEX('Frequencies'!A:A,MATCH(A" &amp; ROW() &amp; ",'Frequencies'!A:A,0))","Frequencies"))</f>
        <v>Frequencies</v>
      </c>
      <c r="G32" s="2"/>
      <c r="H32" s="2">
        <v>2</v>
      </c>
      <c r="I32" s="2"/>
      <c r="J32" s="2">
        <v>2</v>
      </c>
      <c r="K32" s="2">
        <v>3</v>
      </c>
      <c r="L32" s="2"/>
    </row>
    <row r="33" spans="1:12" ht="50.1" customHeight="1" x14ac:dyDescent="0.25">
      <c r="A33" s="3" t="s">
        <v>727</v>
      </c>
      <c r="B33" s="2" t="s">
        <v>728</v>
      </c>
      <c r="C33" s="2"/>
      <c r="D33" s="2" t="s">
        <v>15</v>
      </c>
      <c r="E33" s="2" t="str">
        <f>IF(ISERROR("TDTRPNUM"),"","NA")</f>
        <v>NA</v>
      </c>
      <c r="F33" s="4" t="str">
        <f>IF(ISERROR("TDTRPNUM"),"",HYPERLINK("#INDEX('Frequencies'!A:A,MATCH(A" &amp; ROW() &amp; ",'Frequencies'!A:A,0))","Frequencies"))</f>
        <v>Frequencies</v>
      </c>
      <c r="G33" s="2"/>
      <c r="H33" s="2"/>
      <c r="I33" s="2"/>
      <c r="J33" s="2">
        <v>3</v>
      </c>
      <c r="K33" s="2"/>
      <c r="L33" s="2"/>
    </row>
    <row r="34" spans="1:12" ht="50.1" customHeight="1" x14ac:dyDescent="0.25">
      <c r="A34" s="3" t="s">
        <v>476</v>
      </c>
      <c r="B34" s="2" t="s">
        <v>477</v>
      </c>
      <c r="C34" s="2"/>
      <c r="D34" s="2" t="s">
        <v>15</v>
      </c>
      <c r="E34" s="2" t="str">
        <f>IF(ISERROR("O_LOCNO"),"","NA")</f>
        <v>NA</v>
      </c>
      <c r="F34" s="4" t="str">
        <f>IF(ISERROR("O_LOCNO"),"",HYPERLINK("#INDEX('Frequencies'!A:A,MATCH(A" &amp; ROW() &amp; ",'Frequencies'!A:A,0))","Frequencies"))</f>
        <v>Frequencies</v>
      </c>
      <c r="G34" s="2"/>
      <c r="H34" s="2"/>
      <c r="I34" s="2"/>
      <c r="J34" s="2">
        <v>4</v>
      </c>
      <c r="K34" s="2"/>
      <c r="L34" s="2"/>
    </row>
    <row r="35" spans="1:12" ht="50.1" customHeight="1" x14ac:dyDescent="0.25">
      <c r="A35" s="3" t="s">
        <v>393</v>
      </c>
      <c r="B35" s="2" t="s">
        <v>394</v>
      </c>
      <c r="C35" s="2"/>
      <c r="D35" s="2" t="s">
        <v>15</v>
      </c>
      <c r="E35" s="2" t="str">
        <f>IF(ISERROR("LOCNO"),"","NA")</f>
        <v>NA</v>
      </c>
      <c r="F35" s="4" t="str">
        <f>IF(ISERROR("LOCNO"),"",HYPERLINK("#INDEX('Frequencies'!A:A,MATCH(A" &amp; ROW() &amp; ",'Frequencies'!A:A,0))","Frequencies"))</f>
        <v>Frequencies</v>
      </c>
      <c r="G35" s="2"/>
      <c r="H35" s="2"/>
      <c r="I35" s="2"/>
      <c r="J35" s="2">
        <v>5</v>
      </c>
      <c r="K35" s="2">
        <v>2</v>
      </c>
      <c r="L35" s="2"/>
    </row>
    <row r="36" spans="1:12" ht="50.1" customHeight="1" x14ac:dyDescent="0.25">
      <c r="A36" s="3" t="s">
        <v>709</v>
      </c>
      <c r="B36" s="2" t="s">
        <v>710</v>
      </c>
      <c r="C36" s="2" t="s">
        <v>704</v>
      </c>
      <c r="D36" s="2" t="s">
        <v>15</v>
      </c>
      <c r="E36" s="2" t="str">
        <f>IF(ISERROR("STRTTIME"),"","NA")</f>
        <v>NA</v>
      </c>
      <c r="F36" s="4" t="str">
        <f>IF(ISERROR("STRTTIME"),"",HYPERLINK("#INDEX('Frequencies'!A:A,MATCH(A" &amp; ROW() &amp; ",'Frequencies'!A:A,0))","Frequencies"))</f>
        <v>Frequencies</v>
      </c>
      <c r="G36" s="2"/>
      <c r="H36" s="2"/>
      <c r="I36" s="2"/>
      <c r="J36" s="2">
        <v>6</v>
      </c>
      <c r="K36" s="2"/>
      <c r="L36" s="2"/>
    </row>
    <row r="37" spans="1:12" ht="50.1" customHeight="1" x14ac:dyDescent="0.25">
      <c r="A37" s="3" t="s">
        <v>213</v>
      </c>
      <c r="B37" s="2" t="s">
        <v>214</v>
      </c>
      <c r="C37" s="2" t="s">
        <v>208</v>
      </c>
      <c r="D37" s="2" t="s">
        <v>15</v>
      </c>
      <c r="E37" s="2" t="str">
        <f>IF(ISERROR("ENDTIME"),"","NA")</f>
        <v>NA</v>
      </c>
      <c r="F37" s="4" t="str">
        <f>IF(ISERROR("ENDTIME"),"",HYPERLINK("#INDEX('Frequencies'!A:A,MATCH(A" &amp; ROW() &amp; ",'Frequencies'!A:A,0))","Frequencies"))</f>
        <v>Frequencies</v>
      </c>
      <c r="G37" s="2"/>
      <c r="H37" s="2"/>
      <c r="I37" s="2"/>
      <c r="J37" s="2">
        <v>7</v>
      </c>
      <c r="K37" s="2"/>
      <c r="L37" s="2"/>
    </row>
    <row r="38" spans="1:12" ht="50.1" customHeight="1" x14ac:dyDescent="0.25">
      <c r="A38" s="3" t="s">
        <v>711</v>
      </c>
      <c r="B38" s="2" t="s">
        <v>712</v>
      </c>
      <c r="C38" s="2" t="s">
        <v>704</v>
      </c>
      <c r="D38" s="2" t="s">
        <v>15</v>
      </c>
      <c r="E38" s="2" t="str">
        <f>IF(ISERROR("STRTTIME17"),"","NA")</f>
        <v>NA</v>
      </c>
      <c r="F38" s="4" t="str">
        <f>IF(ISERROR("STRTTIME17"),"",HYPERLINK("#INDEX('Frequencies'!A:A,MATCH(A" &amp; ROW() &amp; ",'Frequencies'!A:A,0))","Frequencies"))</f>
        <v>Frequencies</v>
      </c>
      <c r="G38" s="2"/>
      <c r="H38" s="2"/>
      <c r="I38" s="2"/>
      <c r="J38" s="2">
        <v>8</v>
      </c>
      <c r="K38" s="2"/>
      <c r="L38" s="2"/>
    </row>
    <row r="39" spans="1:12" ht="50.1" customHeight="1" x14ac:dyDescent="0.25">
      <c r="A39" s="3" t="s">
        <v>215</v>
      </c>
      <c r="B39" s="2" t="s">
        <v>216</v>
      </c>
      <c r="C39" s="2" t="s">
        <v>208</v>
      </c>
      <c r="D39" s="2" t="s">
        <v>15</v>
      </c>
      <c r="E39" s="2" t="str">
        <f>IF(ISERROR("ENDTIME17"),"","NA")</f>
        <v>NA</v>
      </c>
      <c r="F39" s="4" t="str">
        <f>IF(ISERROR("ENDTIME17"),"",HYPERLINK("#INDEX('Frequencies'!A:A,MATCH(A" &amp; ROW() &amp; ",'Frequencies'!A:A,0))","Frequencies"))</f>
        <v>Frequencies</v>
      </c>
      <c r="G39" s="2"/>
      <c r="H39" s="2"/>
      <c r="I39" s="2"/>
      <c r="J39" s="2">
        <v>9</v>
      </c>
      <c r="K39" s="2"/>
      <c r="L39" s="2"/>
    </row>
    <row r="40" spans="1:12" ht="50.1" customHeight="1" x14ac:dyDescent="0.25">
      <c r="A40" s="3" t="s">
        <v>705</v>
      </c>
      <c r="B40" s="2" t="s">
        <v>706</v>
      </c>
      <c r="C40" s="2" t="s">
        <v>704</v>
      </c>
      <c r="D40" s="2" t="s">
        <v>15</v>
      </c>
      <c r="E40" s="2" t="str">
        <f>IF(ISERROR("STRTHR"),"","NA")</f>
        <v>NA</v>
      </c>
      <c r="F40" s="4" t="str">
        <f>IF(ISERROR("STRTHR"),"",HYPERLINK("#INDEX('Frequencies'!A:A,MATCH(A" &amp; ROW() &amp; ",'Frequencies'!A:A,0))","Frequencies"))</f>
        <v>Frequencies</v>
      </c>
      <c r="G40" s="2"/>
      <c r="H40" s="2"/>
      <c r="I40" s="2"/>
      <c r="J40" s="2">
        <v>10</v>
      </c>
      <c r="K40" s="2"/>
      <c r="L40" s="2"/>
    </row>
    <row r="41" spans="1:12" ht="50.1" customHeight="1" x14ac:dyDescent="0.25">
      <c r="A41" s="3" t="s">
        <v>707</v>
      </c>
      <c r="B41" s="2" t="s">
        <v>708</v>
      </c>
      <c r="C41" s="2" t="s">
        <v>704</v>
      </c>
      <c r="D41" s="2" t="s">
        <v>15</v>
      </c>
      <c r="E41" s="2" t="str">
        <f>IF(ISERROR("STRTMIN"),"","NA")</f>
        <v>NA</v>
      </c>
      <c r="F41" s="4" t="str">
        <f>IF(ISERROR("STRTMIN"),"",HYPERLINK("#INDEX('Frequencies'!A:A,MATCH(A" &amp; ROW() &amp; ",'Frequencies'!A:A,0))","Frequencies"))</f>
        <v>Frequencies</v>
      </c>
      <c r="G41" s="2"/>
      <c r="H41" s="2"/>
      <c r="I41" s="2"/>
      <c r="J41" s="2">
        <v>11</v>
      </c>
      <c r="K41" s="2"/>
      <c r="L41" s="2"/>
    </row>
    <row r="42" spans="1:12" ht="50.1" customHeight="1" x14ac:dyDescent="0.25">
      <c r="A42" s="3" t="s">
        <v>702</v>
      </c>
      <c r="B42" s="2" t="s">
        <v>703</v>
      </c>
      <c r="C42" s="2" t="s">
        <v>704</v>
      </c>
      <c r="D42" s="2" t="s">
        <v>15</v>
      </c>
      <c r="E42" s="2" t="str">
        <f>IF(ISERROR("STRTAMPM"),"","NA")</f>
        <v>NA</v>
      </c>
      <c r="F42" s="4" t="str">
        <f>IF(ISERROR("STRTAMPM"),"",HYPERLINK("#INDEX('Frequencies'!A:A,MATCH(A" &amp; ROW() &amp; ",'Frequencies'!A:A,0))","Frequencies"))</f>
        <v>Frequencies</v>
      </c>
      <c r="G42" s="2"/>
      <c r="H42" s="2"/>
      <c r="I42" s="2"/>
      <c r="J42" s="2">
        <v>12</v>
      </c>
      <c r="K42" s="2"/>
      <c r="L42" s="2"/>
    </row>
    <row r="43" spans="1:12" ht="50.1" customHeight="1" x14ac:dyDescent="0.25">
      <c r="A43" s="3" t="s">
        <v>209</v>
      </c>
      <c r="B43" s="2" t="s">
        <v>210</v>
      </c>
      <c r="C43" s="2" t="s">
        <v>208</v>
      </c>
      <c r="D43" s="2" t="s">
        <v>15</v>
      </c>
      <c r="E43" s="2" t="str">
        <f>IF(ISERROR("ENDHOUR"),"","NA")</f>
        <v>NA</v>
      </c>
      <c r="F43" s="4" t="str">
        <f>IF(ISERROR("ENDHOUR"),"",HYPERLINK("#INDEX('Frequencies'!A:A,MATCH(A" &amp; ROW() &amp; ",'Frequencies'!A:A,0))","Frequencies"))</f>
        <v>Frequencies</v>
      </c>
      <c r="G43" s="2"/>
      <c r="H43" s="2"/>
      <c r="I43" s="2"/>
      <c r="J43" s="2">
        <v>13</v>
      </c>
      <c r="K43" s="2"/>
      <c r="L43" s="2"/>
    </row>
    <row r="44" spans="1:12" ht="50.1" customHeight="1" x14ac:dyDescent="0.25">
      <c r="A44" s="3" t="s">
        <v>211</v>
      </c>
      <c r="B44" s="2" t="s">
        <v>212</v>
      </c>
      <c r="C44" s="2" t="s">
        <v>208</v>
      </c>
      <c r="D44" s="2" t="s">
        <v>15</v>
      </c>
      <c r="E44" s="2" t="str">
        <f>IF(ISERROR("ENDMINTE"),"","NA")</f>
        <v>NA</v>
      </c>
      <c r="F44" s="4" t="str">
        <f>IF(ISERROR("ENDMINTE"),"",HYPERLINK("#INDEX('Frequencies'!A:A,MATCH(A" &amp; ROW() &amp; ",'Frequencies'!A:A,0))","Frequencies"))</f>
        <v>Frequencies</v>
      </c>
      <c r="G44" s="2"/>
      <c r="H44" s="2"/>
      <c r="I44" s="2"/>
      <c r="J44" s="2">
        <v>14</v>
      </c>
      <c r="K44" s="2"/>
      <c r="L44" s="2"/>
    </row>
    <row r="45" spans="1:12" ht="50.1" customHeight="1" x14ac:dyDescent="0.25">
      <c r="A45" s="3" t="s">
        <v>206</v>
      </c>
      <c r="B45" s="2" t="s">
        <v>207</v>
      </c>
      <c r="C45" s="2" t="s">
        <v>208</v>
      </c>
      <c r="D45" s="2" t="s">
        <v>15</v>
      </c>
      <c r="E45" s="2" t="str">
        <f>IF(ISERROR("ENDAMPM"),"","NA")</f>
        <v>NA</v>
      </c>
      <c r="F45" s="4" t="str">
        <f>IF(ISERROR("ENDAMPM"),"",HYPERLINK("#INDEX('Frequencies'!A:A,MATCH(A" &amp; ROW() &amp; ",'Frequencies'!A:A,0))","Frequencies"))</f>
        <v>Frequencies</v>
      </c>
      <c r="G45" s="2"/>
      <c r="H45" s="2"/>
      <c r="I45" s="2"/>
      <c r="J45" s="2">
        <v>15</v>
      </c>
      <c r="K45" s="2"/>
      <c r="L45" s="2"/>
    </row>
    <row r="46" spans="1:12" ht="50.1" customHeight="1" x14ac:dyDescent="0.25">
      <c r="A46" s="3" t="s">
        <v>868</v>
      </c>
      <c r="B46" s="2" t="s">
        <v>869</v>
      </c>
      <c r="C46" s="2"/>
      <c r="D46" s="2" t="s">
        <v>41</v>
      </c>
      <c r="E46" s="4" t="str">
        <f>IF(ISERROR("TRVLCMIN"),"",HYPERLINK("#INDEX('Value Lookup'!A:A,MATCH(A" &amp; ROW() &amp; ",'Value Lookup'!A:A,0))","Value Lookup"))</f>
        <v>Value Lookup</v>
      </c>
      <c r="F46" s="4" t="str">
        <f>IF(ISERROR("TRVLCMIN"),"",HYPERLINK("#INDEX('Frequencies'!A:A,MATCH(A" &amp; ROW() &amp; ",'Frequencies'!A:A,0))","Frequencies"))</f>
        <v>Frequencies</v>
      </c>
      <c r="G46" s="2"/>
      <c r="H46" s="2"/>
      <c r="I46" s="2"/>
      <c r="J46" s="2">
        <v>16</v>
      </c>
      <c r="K46" s="2"/>
      <c r="L46" s="2"/>
    </row>
    <row r="47" spans="1:12" ht="50.1" customHeight="1" x14ac:dyDescent="0.25">
      <c r="A47" s="3" t="s">
        <v>855</v>
      </c>
      <c r="B47" s="2" t="s">
        <v>856</v>
      </c>
      <c r="C47" s="2"/>
      <c r="D47" s="2" t="s">
        <v>41</v>
      </c>
      <c r="E47" s="2" t="str">
        <f>IF(ISERROR("TRPMILES17"),"","NA")</f>
        <v>NA</v>
      </c>
      <c r="F47" s="4" t="str">
        <f>IF(ISERROR("TRPMILES17"),"",HYPERLINK("#INDEX('Frequencies'!A:A,MATCH(A" &amp; ROW() &amp; ",'Frequencies'!A:A,0))","Frequencies"))</f>
        <v>Frequencies</v>
      </c>
      <c r="G47" s="2"/>
      <c r="H47" s="2"/>
      <c r="I47" s="2"/>
      <c r="J47" s="2">
        <v>17</v>
      </c>
      <c r="K47" s="2"/>
      <c r="L47" s="2"/>
    </row>
    <row r="48" spans="1:12" ht="50.1" customHeight="1" x14ac:dyDescent="0.25">
      <c r="A48" s="3" t="s">
        <v>853</v>
      </c>
      <c r="B48" s="2" t="s">
        <v>854</v>
      </c>
      <c r="C48" s="2"/>
      <c r="D48" s="2" t="s">
        <v>41</v>
      </c>
      <c r="E48" s="4" t="str">
        <f>IF(ISERROR("TRPMILES"),"",HYPERLINK("#INDEX('Value Lookup'!A:A,MATCH(A" &amp; ROW() &amp; ",'Value Lookup'!A:A,0))","Value Lookup"))</f>
        <v>Value Lookup</v>
      </c>
      <c r="F48" s="4" t="str">
        <f>IF(ISERROR("TRPMILES"),"",HYPERLINK("#INDEX('Frequencies'!A:A,MATCH(A" &amp; ROW() &amp; ",'Frequencies'!A:A,0))","Frequencies"))</f>
        <v>Frequencies</v>
      </c>
      <c r="G48" s="2"/>
      <c r="H48" s="2"/>
      <c r="I48" s="2"/>
      <c r="J48" s="2">
        <v>18</v>
      </c>
      <c r="K48" s="2"/>
      <c r="L48" s="2"/>
    </row>
    <row r="49" spans="1:12" ht="50.1" customHeight="1" x14ac:dyDescent="0.25">
      <c r="A49" s="3" t="s">
        <v>984</v>
      </c>
      <c r="B49" s="2" t="s">
        <v>985</v>
      </c>
      <c r="C49" s="2" t="s">
        <v>986</v>
      </c>
      <c r="D49" s="2" t="s">
        <v>15</v>
      </c>
      <c r="E49" s="4" t="str">
        <f>IF(ISERROR("WKBK_DIST"),"",HYPERLINK("#INDEX('Value Lookup'!A:A,MATCH(A" &amp; ROW() &amp; ",'Value Lookup'!A:A,0))","Value Lookup"))</f>
        <v>Value Lookup</v>
      </c>
      <c r="F49" s="4" t="str">
        <f>IF(ISERROR("WKBK_DIST"),"",HYPERLINK("#INDEX('Frequencies'!A:A,MATCH(A" &amp; ROW() &amp; ",'Frequencies'!A:A,0))","Frequencies"))</f>
        <v>Frequencies</v>
      </c>
      <c r="G49" s="2"/>
      <c r="H49" s="2"/>
      <c r="I49" s="2"/>
      <c r="J49" s="2">
        <v>19</v>
      </c>
      <c r="K49" s="2"/>
      <c r="L49" s="2"/>
    </row>
    <row r="50" spans="1:12" ht="50.1" customHeight="1" x14ac:dyDescent="0.25">
      <c r="A50" s="3" t="s">
        <v>987</v>
      </c>
      <c r="B50" s="2" t="s">
        <v>988</v>
      </c>
      <c r="C50" s="2" t="s">
        <v>392</v>
      </c>
      <c r="D50" s="2" t="s">
        <v>15</v>
      </c>
      <c r="E50" s="4" t="str">
        <f>IF(ISERROR("WKBK_UNIT"),"",HYPERLINK("#INDEX('Value Lookup'!A:A,MATCH(A" &amp; ROW() &amp; ",'Value Lookup'!A:A,0))","Value Lookup"))</f>
        <v>Value Lookup</v>
      </c>
      <c r="F50" s="4" t="str">
        <f>IF(ISERROR("WKBK_UNIT"),"",HYPERLINK("#INDEX('Frequencies'!A:A,MATCH(A" &amp; ROW() &amp; ",'Frequencies'!A:A,0))","Frequencies"))</f>
        <v>Frequencies</v>
      </c>
      <c r="G50" s="2"/>
      <c r="H50" s="2"/>
      <c r="I50" s="2"/>
      <c r="J50" s="2">
        <v>20</v>
      </c>
      <c r="K50" s="2"/>
      <c r="L50" s="2"/>
    </row>
    <row r="51" spans="1:12" ht="50.1" customHeight="1" x14ac:dyDescent="0.25">
      <c r="A51" s="3" t="s">
        <v>857</v>
      </c>
      <c r="B51" s="2" t="s">
        <v>858</v>
      </c>
      <c r="C51" s="2" t="s">
        <v>859</v>
      </c>
      <c r="D51" s="2" t="s">
        <v>15</v>
      </c>
      <c r="E51" s="4" t="str">
        <f>IF(ISERROR("TRPPUB"),"",HYPERLINK("#INDEX('Value Lookup'!A:A,MATCH(A" &amp; ROW() &amp; ",'Value Lookup'!A:A,0))","Value Lookup"))</f>
        <v>Value Lookup</v>
      </c>
      <c r="F51" s="4" t="str">
        <f>IF(ISERROR("TRPPUB"),"",HYPERLINK("#INDEX('Frequencies'!A:A,MATCH(A" &amp; ROW() &amp; ",'Frequencies'!A:A,0))","Frequencies"))</f>
        <v>Frequencies</v>
      </c>
      <c r="G51" s="2"/>
      <c r="H51" s="2"/>
      <c r="I51" s="2"/>
      <c r="J51" s="2">
        <v>21</v>
      </c>
      <c r="K51" s="2"/>
      <c r="L51" s="2"/>
    </row>
    <row r="52" spans="1:12" ht="50.1" customHeight="1" x14ac:dyDescent="0.25">
      <c r="A52" s="3" t="s">
        <v>860</v>
      </c>
      <c r="B52" s="2" t="s">
        <v>861</v>
      </c>
      <c r="C52" s="2"/>
      <c r="D52" s="2" t="s">
        <v>15</v>
      </c>
      <c r="E52" s="4" t="str">
        <f>IF(ISERROR("TRPTRANS"),"",HYPERLINK("#INDEX('Value Lookup'!A:A,MATCH(A" &amp; ROW() &amp; ",'Value Lookup'!A:A,0))","Value Lookup"))</f>
        <v>Value Lookup</v>
      </c>
      <c r="F52" s="4" t="str">
        <f>IF(ISERROR("TRPTRANS"),"",HYPERLINK("#INDEX('Frequencies'!A:A,MATCH(A" &amp; ROW() &amp; ",'Frequencies'!A:A,0))","Frequencies"))</f>
        <v>Frequencies</v>
      </c>
      <c r="G52" s="2"/>
      <c r="H52" s="2"/>
      <c r="I52" s="2"/>
      <c r="J52" s="2">
        <v>22</v>
      </c>
      <c r="K52" s="2"/>
      <c r="L52" s="2"/>
    </row>
    <row r="53" spans="1:12" ht="50.1" customHeight="1" x14ac:dyDescent="0.25">
      <c r="A53" s="3" t="s">
        <v>862</v>
      </c>
      <c r="B53" s="2" t="s">
        <v>863</v>
      </c>
      <c r="C53" s="2" t="s">
        <v>864</v>
      </c>
      <c r="D53" s="2" t="s">
        <v>15</v>
      </c>
      <c r="E53" s="4" t="str">
        <f>IF(ISERROR("TRPTRANS17"),"",HYPERLINK("#INDEX('Value Lookup'!A:A,MATCH(A" &amp; ROW() &amp; ",'Value Lookup'!A:A,0))","Value Lookup"))</f>
        <v>Value Lookup</v>
      </c>
      <c r="F53" s="4" t="str">
        <f>IF(ISERROR("TRPTRANS17"),"",HYPERLINK("#INDEX('Frequencies'!A:A,MATCH(A" &amp; ROW() &amp; ",'Frequencies'!A:A,0))","Frequencies"))</f>
        <v>Frequencies</v>
      </c>
      <c r="G53" s="2"/>
      <c r="H53" s="2"/>
      <c r="I53" s="2"/>
      <c r="J53" s="2">
        <v>23</v>
      </c>
      <c r="K53" s="2"/>
      <c r="L53" s="2"/>
    </row>
    <row r="54" spans="1:12" ht="50.1" customHeight="1" x14ac:dyDescent="0.25">
      <c r="A54" s="3" t="s">
        <v>865</v>
      </c>
      <c r="B54" s="2" t="s">
        <v>866</v>
      </c>
      <c r="C54" s="2" t="s">
        <v>867</v>
      </c>
      <c r="D54" s="2" t="s">
        <v>15</v>
      </c>
      <c r="E54" s="4" t="str">
        <f>IF(ISERROR("TRPTRNOS"),"",HYPERLINK("#INDEX('Value Lookup'!A:A,MATCH(A" &amp; ROW() &amp; ",'Value Lookup'!A:A,0))","Value Lookup"))</f>
        <v>Value Lookup</v>
      </c>
      <c r="F54" s="4" t="str">
        <f>IF(ISERROR("TRPTRNOS"),"",HYPERLINK("#INDEX('Frequencies'!A:A,MATCH(A" &amp; ROW() &amp; ",'Frequencies'!A:A,0))","Frequencies"))</f>
        <v>Frequencies</v>
      </c>
      <c r="G54" s="2"/>
      <c r="H54" s="2"/>
      <c r="I54" s="2"/>
      <c r="J54" s="2">
        <v>24</v>
      </c>
      <c r="K54" s="2"/>
      <c r="L54" s="2"/>
    </row>
    <row r="55" spans="1:12" ht="50.1" customHeight="1" x14ac:dyDescent="0.25">
      <c r="A55" s="3" t="s">
        <v>847</v>
      </c>
      <c r="B55" s="2" t="s">
        <v>848</v>
      </c>
      <c r="C55" s="2" t="s">
        <v>392</v>
      </c>
      <c r="D55" s="2" t="s">
        <v>15</v>
      </c>
      <c r="E55" s="4" t="str">
        <f>IF(ISERROR("TRPACCMP"),"",HYPERLINK("#INDEX('Value Lookup'!A:A,MATCH(A" &amp; ROW() &amp; ",'Value Lookup'!A:A,0))","Value Lookup"))</f>
        <v>Value Lookup</v>
      </c>
      <c r="F55" s="4" t="str">
        <f>IF(ISERROR("TRPACCMP"),"",HYPERLINK("#INDEX('Frequencies'!A:A,MATCH(A" &amp; ROW() &amp; ",'Frequencies'!A:A,0))","Frequencies"))</f>
        <v>Frequencies</v>
      </c>
      <c r="G55" s="2"/>
      <c r="H55" s="2"/>
      <c r="I55" s="2"/>
      <c r="J55" s="2">
        <v>25</v>
      </c>
      <c r="K55" s="2"/>
      <c r="L55" s="2"/>
    </row>
    <row r="56" spans="1:12" ht="50.1" customHeight="1" x14ac:dyDescent="0.25">
      <c r="A56" s="3" t="s">
        <v>849</v>
      </c>
      <c r="B56" s="2" t="s">
        <v>850</v>
      </c>
      <c r="C56" s="2" t="s">
        <v>392</v>
      </c>
      <c r="D56" s="2" t="s">
        <v>15</v>
      </c>
      <c r="E56" s="4" t="str">
        <f>IF(ISERROR("TRPHHACC"),"",HYPERLINK("#INDEX('Value Lookup'!A:A,MATCH(A" &amp; ROW() &amp; ",'Value Lookup'!A:A,0))","Value Lookup"))</f>
        <v>Value Lookup</v>
      </c>
      <c r="F56" s="4" t="str">
        <f>IF(ISERROR("TRPHHACC"),"",HYPERLINK("#INDEX('Frequencies'!A:A,MATCH(A" &amp; ROW() &amp; ",'Frequencies'!A:A,0))","Frequencies"))</f>
        <v>Frequencies</v>
      </c>
      <c r="G56" s="2"/>
      <c r="H56" s="2"/>
      <c r="I56" s="2"/>
      <c r="J56" s="2">
        <v>26</v>
      </c>
      <c r="K56" s="2"/>
      <c r="L56" s="2"/>
    </row>
    <row r="57" spans="1:12" ht="50.1" customHeight="1" x14ac:dyDescent="0.25">
      <c r="A57" s="3" t="s">
        <v>870</v>
      </c>
      <c r="B57" s="2" t="s">
        <v>871</v>
      </c>
      <c r="C57" s="2" t="s">
        <v>872</v>
      </c>
      <c r="D57" s="2" t="s">
        <v>41</v>
      </c>
      <c r="E57" s="2" t="str">
        <f>IF(ISERROR("TRWAITTM"),"","Range: 0 - 60")</f>
        <v>Range: 0 - 60</v>
      </c>
      <c r="F57" s="4" t="str">
        <f>IF(ISERROR("TRWAITTM"),"",HYPERLINK("#INDEX('Frequencies'!A:A,MATCH(A" &amp; ROW() &amp; ",'Frequencies'!A:A,0))","Frequencies"))</f>
        <v>Frequencies</v>
      </c>
      <c r="G57" s="2"/>
      <c r="H57" s="2"/>
      <c r="I57" s="2"/>
      <c r="J57" s="2">
        <v>28</v>
      </c>
      <c r="K57" s="2"/>
      <c r="L57" s="2"/>
    </row>
    <row r="58" spans="1:12" ht="50.1" customHeight="1" x14ac:dyDescent="0.25">
      <c r="A58" s="3" t="s">
        <v>450</v>
      </c>
      <c r="B58" s="2" t="s">
        <v>451</v>
      </c>
      <c r="C58" s="2" t="s">
        <v>452</v>
      </c>
      <c r="D58" s="2" t="s">
        <v>41</v>
      </c>
      <c r="E58" s="2" t="str">
        <f>IF(ISERROR("NUMTRANS"),"","Range: 0 - 10")</f>
        <v>Range: 0 - 10</v>
      </c>
      <c r="F58" s="4" t="str">
        <f>IF(ISERROR("NUMTRANS"),"",HYPERLINK("#INDEX('Frequencies'!A:A,MATCH(A" &amp; ROW() &amp; ",'Frequencies'!A:A,0))","Frequencies"))</f>
        <v>Frequencies</v>
      </c>
      <c r="G58" s="2"/>
      <c r="H58" s="2"/>
      <c r="I58" s="2"/>
      <c r="J58" s="2">
        <v>29</v>
      </c>
      <c r="K58" s="2"/>
      <c r="L58" s="2"/>
    </row>
    <row r="59" spans="1:12" ht="50.1" customHeight="1" x14ac:dyDescent="0.25">
      <c r="A59" s="3" t="s">
        <v>783</v>
      </c>
      <c r="B59" s="2" t="s">
        <v>784</v>
      </c>
      <c r="C59" s="2" t="s">
        <v>785</v>
      </c>
      <c r="D59" s="2" t="s">
        <v>41</v>
      </c>
      <c r="E59" s="2" t="str">
        <f>IF(ISERROR("TRACCTM"),"","Range: 0 - 300")</f>
        <v>Range: 0 - 300</v>
      </c>
      <c r="F59" s="4" t="str">
        <f>IF(ISERROR("TRACCTM"),"",HYPERLINK("#INDEX('Frequencies'!A:A,MATCH(A" &amp; ROW() &amp; ",'Frequencies'!A:A,0))","Frequencies"))</f>
        <v>Frequencies</v>
      </c>
      <c r="G59" s="2"/>
      <c r="H59" s="2"/>
      <c r="I59" s="2"/>
      <c r="J59" s="2">
        <v>30</v>
      </c>
      <c r="K59" s="2"/>
      <c r="L59" s="2"/>
    </row>
    <row r="60" spans="1:12" ht="50.1" customHeight="1" x14ac:dyDescent="0.25">
      <c r="A60" s="3" t="s">
        <v>191</v>
      </c>
      <c r="B60" s="2" t="s">
        <v>192</v>
      </c>
      <c r="C60" s="2" t="s">
        <v>193</v>
      </c>
      <c r="D60" s="2" t="s">
        <v>15</v>
      </c>
      <c r="E60" s="4" t="str">
        <f>IF(ISERROR("DROP_PRK"),"",HYPERLINK("#INDEX('Value Lookup'!A:A,MATCH(A" &amp; ROW() &amp; ",'Value Lookup'!A:A,0))","Value Lookup"))</f>
        <v>Value Lookup</v>
      </c>
      <c r="F60" s="4" t="str">
        <f>IF(ISERROR("DROP_PRK"),"",HYPERLINK("#INDEX('Frequencies'!A:A,MATCH(A" &amp; ROW() &amp; ",'Frequencies'!A:A,0))","Frequencies"))</f>
        <v>Frequencies</v>
      </c>
      <c r="G60" s="2"/>
      <c r="H60" s="2"/>
      <c r="I60" s="2"/>
      <c r="J60" s="2">
        <v>31</v>
      </c>
      <c r="K60" s="2"/>
      <c r="L60" s="2"/>
    </row>
    <row r="61" spans="1:12" ht="50.1" customHeight="1" x14ac:dyDescent="0.25">
      <c r="A61" s="3" t="s">
        <v>840</v>
      </c>
      <c r="B61" s="2" t="s">
        <v>841</v>
      </c>
      <c r="C61" s="2" t="s">
        <v>842</v>
      </c>
      <c r="D61" s="2" t="s">
        <v>41</v>
      </c>
      <c r="E61" s="2" t="str">
        <f>IF(ISERROR("TREGRTM"),"","Range: 0 - 180")</f>
        <v>Range: 0 - 180</v>
      </c>
      <c r="F61" s="4" t="str">
        <f>IF(ISERROR("TREGRTM"),"",HYPERLINK("#INDEX('Frequencies'!A:A,MATCH(A" &amp; ROW() &amp; ",'Frequencies'!A:A,0))","Frequencies"))</f>
        <v>Frequencies</v>
      </c>
      <c r="G61" s="2"/>
      <c r="H61" s="2"/>
      <c r="I61" s="2"/>
      <c r="J61" s="2">
        <v>32</v>
      </c>
      <c r="K61" s="2"/>
      <c r="L61" s="2"/>
    </row>
    <row r="62" spans="1:12" ht="50.1" customHeight="1" x14ac:dyDescent="0.25">
      <c r="A62" s="3" t="s">
        <v>963</v>
      </c>
      <c r="B62" s="2" t="s">
        <v>964</v>
      </c>
      <c r="C62" s="2" t="s">
        <v>965</v>
      </c>
      <c r="D62" s="2" t="s">
        <v>15</v>
      </c>
      <c r="E62" s="4" t="str">
        <f>IF(ISERROR("WHODROVE"),"",HYPERLINK("#INDEX('Value Lookup'!A:A,MATCH(A" &amp; ROW() &amp; ",'Value Lookup'!A:A,0))","Value Lookup"))</f>
        <v>Value Lookup</v>
      </c>
      <c r="F62" s="4" t="str">
        <f>IF(ISERROR("WHODROVE"),"",HYPERLINK("#INDEX('Frequencies'!A:A,MATCH(A" &amp; ROW() &amp; ",'Frequencies'!A:A,0))","Frequencies"))</f>
        <v>Frequencies</v>
      </c>
      <c r="G62" s="2"/>
      <c r="H62" s="2"/>
      <c r="I62" s="2"/>
      <c r="J62" s="2">
        <v>33</v>
      </c>
      <c r="K62" s="2"/>
      <c r="L62" s="2"/>
    </row>
    <row r="63" spans="1:12" ht="50.1" customHeight="1" x14ac:dyDescent="0.25">
      <c r="A63" s="3" t="s">
        <v>971</v>
      </c>
      <c r="B63" s="2" t="s">
        <v>972</v>
      </c>
      <c r="C63" s="2" t="s">
        <v>973</v>
      </c>
      <c r="D63" s="2" t="s">
        <v>15</v>
      </c>
      <c r="E63" s="4" t="str">
        <f>IF(ISERROR("WHYFROM"),"",HYPERLINK("#INDEX('Value Lookup'!A:A,MATCH(A" &amp; ROW() &amp; ",'Value Lookup'!A:A,0))","Value Lookup"))</f>
        <v>Value Lookup</v>
      </c>
      <c r="F63" s="4" t="str">
        <f>IF(ISERROR("WHYFROM"),"",HYPERLINK("#INDEX('Frequencies'!A:A,MATCH(A" &amp; ROW() &amp; ",'Frequencies'!A:A,0))","Frequencies"))</f>
        <v>Frequencies</v>
      </c>
      <c r="G63" s="2"/>
      <c r="H63" s="2"/>
      <c r="I63" s="2"/>
      <c r="J63" s="2">
        <v>34</v>
      </c>
      <c r="K63" s="2"/>
      <c r="L63" s="2"/>
    </row>
    <row r="64" spans="1:12" ht="50.1" customHeight="1" x14ac:dyDescent="0.25">
      <c r="A64" s="3" t="s">
        <v>974</v>
      </c>
      <c r="B64" s="2" t="s">
        <v>975</v>
      </c>
      <c r="C64" s="2" t="s">
        <v>973</v>
      </c>
      <c r="D64" s="2" t="s">
        <v>15</v>
      </c>
      <c r="E64" s="4" t="str">
        <f>IF(ISERROR("WHYFROM_O"),"",HYPERLINK("#INDEX('Value Lookup'!A:A,MATCH(A" &amp; ROW() &amp; ",'Value Lookup'!A:A,0))","Value Lookup"))</f>
        <v>Value Lookup</v>
      </c>
      <c r="F64" s="4" t="str">
        <f>IF(ISERROR("WHYFROM_O"),"",HYPERLINK("#INDEX('Frequencies'!A:A,MATCH(A" &amp; ROW() &amp; ",'Frequencies'!A:A,0))","Frequencies"))</f>
        <v>Frequencies</v>
      </c>
      <c r="G64" s="2"/>
      <c r="H64" s="2"/>
      <c r="I64" s="2"/>
      <c r="J64" s="2">
        <v>35</v>
      </c>
      <c r="K64" s="2"/>
      <c r="L64" s="2"/>
    </row>
    <row r="65" spans="1:12" ht="50.1" customHeight="1" x14ac:dyDescent="0.25">
      <c r="A65" s="3" t="s">
        <v>976</v>
      </c>
      <c r="B65" s="2" t="s">
        <v>977</v>
      </c>
      <c r="C65" s="2" t="s">
        <v>973</v>
      </c>
      <c r="D65" s="2" t="s">
        <v>15</v>
      </c>
      <c r="E65" s="4" t="str">
        <f>IF(ISERROR("WHYTO"),"",HYPERLINK("#INDEX('Value Lookup'!A:A,MATCH(A" &amp; ROW() &amp; ",'Value Lookup'!A:A,0))","Value Lookup"))</f>
        <v>Value Lookup</v>
      </c>
      <c r="F65" s="4" t="str">
        <f>IF(ISERROR("WHYTO"),"",HYPERLINK("#INDEX('Frequencies'!A:A,MATCH(A" &amp; ROW() &amp; ",'Frequencies'!A:A,0))","Frequencies"))</f>
        <v>Frequencies</v>
      </c>
      <c r="G65" s="2"/>
      <c r="H65" s="2"/>
      <c r="I65" s="2"/>
      <c r="J65" s="2">
        <v>36</v>
      </c>
      <c r="K65" s="2"/>
      <c r="L65" s="2"/>
    </row>
    <row r="66" spans="1:12" ht="50.1" customHeight="1" x14ac:dyDescent="0.25">
      <c r="A66" s="3" t="s">
        <v>982</v>
      </c>
      <c r="B66" s="2" t="s">
        <v>983</v>
      </c>
      <c r="C66" s="2" t="s">
        <v>973</v>
      </c>
      <c r="D66" s="2" t="s">
        <v>15</v>
      </c>
      <c r="E66" s="4" t="str">
        <f>IF(ISERROR("WHYTRPSP"),"",HYPERLINK("#INDEX('Value Lookup'!A:A,MATCH(A" &amp; ROW() &amp; ",'Value Lookup'!A:A,0))","Value Lookup"))</f>
        <v>Value Lookup</v>
      </c>
      <c r="F66" s="4" t="str">
        <f>IF(ISERROR("WHYTRPSP"),"",HYPERLINK("#INDEX('Frequencies'!A:A,MATCH(A" &amp; ROW() &amp; ",'Frequencies'!A:A,0))","Frequencies"))</f>
        <v>Frequencies</v>
      </c>
      <c r="G66" s="2"/>
      <c r="H66" s="2"/>
      <c r="I66" s="2"/>
      <c r="J66" s="2">
        <v>37</v>
      </c>
      <c r="K66" s="2"/>
      <c r="L66" s="2"/>
    </row>
    <row r="67" spans="1:12" ht="50.1" customHeight="1" x14ac:dyDescent="0.25">
      <c r="A67" s="3" t="s">
        <v>399</v>
      </c>
      <c r="B67" s="2" t="s">
        <v>400</v>
      </c>
      <c r="C67" s="2"/>
      <c r="D67" s="2" t="s">
        <v>15</v>
      </c>
      <c r="E67" s="2" t="str">
        <f>IF(ISERROR("LOOP_TRIP"),"","NA")</f>
        <v>NA</v>
      </c>
      <c r="F67" s="4" t="str">
        <f>IF(ISERROR("LOOP_TRIP"),"",HYPERLINK("#INDEX('Frequencies'!A:A,MATCH(A" &amp; ROW() &amp; ",'Frequencies'!A:A,0))","Frequencies"))</f>
        <v>Frequencies</v>
      </c>
      <c r="G67" s="2"/>
      <c r="H67" s="2"/>
      <c r="I67" s="2"/>
      <c r="J67" s="2">
        <v>38</v>
      </c>
      <c r="K67" s="2"/>
      <c r="L67" s="2"/>
    </row>
    <row r="68" spans="1:12" ht="50.1" customHeight="1" x14ac:dyDescent="0.25">
      <c r="A68" s="3" t="s">
        <v>851</v>
      </c>
      <c r="B68" s="2" t="s">
        <v>852</v>
      </c>
      <c r="C68" s="2"/>
      <c r="D68" s="2" t="s">
        <v>15</v>
      </c>
      <c r="E68" s="4" t="str">
        <f>IF(ISERROR("TRPHHVEH"),"",HYPERLINK("#INDEX('Value Lookup'!A:A,MATCH(A" &amp; ROW() &amp; ",'Value Lookup'!A:A,0))","Value Lookup"))</f>
        <v>Value Lookup</v>
      </c>
      <c r="F68" s="4" t="str">
        <f>IF(ISERROR("TRPHHVEH"),"",HYPERLINK("#INDEX('Frequencies'!A:A,MATCH(A" &amp; ROW() &amp; ",'Frequencies'!A:A,0))","Frequencies"))</f>
        <v>Frequencies</v>
      </c>
      <c r="G68" s="2"/>
      <c r="H68" s="2"/>
      <c r="I68" s="2"/>
      <c r="J68" s="2">
        <v>39</v>
      </c>
      <c r="K68" s="2"/>
      <c r="L68" s="2"/>
    </row>
    <row r="69" spans="1:12" ht="50.1" customHeight="1" x14ac:dyDescent="0.25">
      <c r="A69" s="3" t="s">
        <v>277</v>
      </c>
      <c r="B69" s="2" t="s">
        <v>278</v>
      </c>
      <c r="C69" s="2"/>
      <c r="D69" s="2" t="s">
        <v>15</v>
      </c>
      <c r="E69" s="4" t="str">
        <f>IF(ISERROR("HHMEMDRV"),"",HYPERLINK("#INDEX('Value Lookup'!A:A,MATCH(A" &amp; ROW() &amp; ",'Value Lookup'!A:A,0))","Value Lookup"))</f>
        <v>Value Lookup</v>
      </c>
      <c r="F69" s="4" t="str">
        <f>IF(ISERROR("HHMEMDRV"),"",HYPERLINK("#INDEX('Frequencies'!A:A,MATCH(A" &amp; ROW() &amp; ",'Frequencies'!A:A,0))","Frequencies"))</f>
        <v>Frequencies</v>
      </c>
      <c r="G69" s="2"/>
      <c r="H69" s="2"/>
      <c r="I69" s="2"/>
      <c r="J69" s="2">
        <v>40</v>
      </c>
      <c r="K69" s="2"/>
      <c r="L69" s="2"/>
    </row>
    <row r="70" spans="1:12" ht="50.1" customHeight="1" x14ac:dyDescent="0.25">
      <c r="A70" s="3" t="s">
        <v>279</v>
      </c>
      <c r="B70" s="2" t="s">
        <v>280</v>
      </c>
      <c r="C70" s="2"/>
      <c r="D70" s="2" t="s">
        <v>15</v>
      </c>
      <c r="E70" s="4" t="str">
        <f>IF(ISERROR("HH_ONTD"),"",HYPERLINK("#INDEX('Value Lookup'!A:A,MATCH(A" &amp; ROW() &amp; ",'Value Lookup'!A:A,0))","Value Lookup"))</f>
        <v>Value Lookup</v>
      </c>
      <c r="F70" s="4" t="str">
        <f>IF(ISERROR("HH_ONTD"),"",HYPERLINK("#INDEX('Frequencies'!A:A,MATCH(A" &amp; ROW() &amp; ",'Frequencies'!A:A,0))","Frequencies"))</f>
        <v>Frequencies</v>
      </c>
      <c r="G70" s="2"/>
      <c r="H70" s="2"/>
      <c r="I70" s="2"/>
      <c r="J70" s="2">
        <v>41</v>
      </c>
      <c r="K70" s="2"/>
      <c r="L70" s="2"/>
    </row>
    <row r="71" spans="1:12" ht="50.1" customHeight="1" x14ac:dyDescent="0.25">
      <c r="A71" s="3" t="s">
        <v>444</v>
      </c>
      <c r="B71" s="2" t="s">
        <v>445</v>
      </c>
      <c r="C71" s="2"/>
      <c r="D71" s="2" t="s">
        <v>15</v>
      </c>
      <c r="E71" s="4" t="str">
        <f>IF(ISERROR("NONHHCNT"),"",HYPERLINK("#INDEX('Value Lookup'!A:A,MATCH(A" &amp; ROW() &amp; ",'Value Lookup'!A:A,0))","Value Lookup"))</f>
        <v>Value Lookup</v>
      </c>
      <c r="F71" s="4" t="str">
        <f>IF(ISERROR("NONHHCNT"),"",HYPERLINK("#INDEX('Frequencies'!A:A,MATCH(A" &amp; ROW() &amp; ",'Frequencies'!A:A,0))","Frequencies"))</f>
        <v>Frequencies</v>
      </c>
      <c r="G71" s="2"/>
      <c r="H71" s="2"/>
      <c r="I71" s="2"/>
      <c r="J71" s="2">
        <v>42</v>
      </c>
      <c r="K71" s="2"/>
      <c r="L71" s="2"/>
    </row>
    <row r="72" spans="1:12" ht="50.1" customHeight="1" x14ac:dyDescent="0.25">
      <c r="A72" s="3" t="s">
        <v>448</v>
      </c>
      <c r="B72" s="2" t="s">
        <v>449</v>
      </c>
      <c r="C72" s="2"/>
      <c r="D72" s="2" t="s">
        <v>41</v>
      </c>
      <c r="E72" s="4" t="str">
        <f>IF(ISERROR("NUMONTRP"),"",HYPERLINK("#INDEX('Value Lookup'!A:A,MATCH(A" &amp; ROW() &amp; ",'Value Lookup'!A:A,0))","Value Lookup"))</f>
        <v>Value Lookup</v>
      </c>
      <c r="F72" s="4" t="str">
        <f>IF(ISERROR("NUMONTRP"),"",HYPERLINK("#INDEX('Frequencies'!A:A,MATCH(A" &amp; ROW() &amp; ",'Frequencies'!A:A,0))","Frequencies"))</f>
        <v>Frequencies</v>
      </c>
      <c r="G72" s="2"/>
      <c r="H72" s="2"/>
      <c r="I72" s="2"/>
      <c r="J72" s="2">
        <v>43</v>
      </c>
      <c r="K72" s="2"/>
      <c r="L72" s="2"/>
    </row>
    <row r="73" spans="1:12" ht="50.1" customHeight="1" x14ac:dyDescent="0.25">
      <c r="A73" s="3" t="s">
        <v>539</v>
      </c>
      <c r="B73" s="2" t="s">
        <v>540</v>
      </c>
      <c r="C73" s="2"/>
      <c r="D73" s="2" t="s">
        <v>15</v>
      </c>
      <c r="E73" s="4" t="str">
        <f>IF(ISERROR("PSGR_FLG"),"",HYPERLINK("#INDEX('Value Lookup'!A:A,MATCH(A" &amp; ROW() &amp; ",'Value Lookup'!A:A,0))","Value Lookup"))</f>
        <v>Value Lookup</v>
      </c>
      <c r="F73" s="4" t="str">
        <f>IF(ISERROR("PSGR_FLG"),"",HYPERLINK("#INDEX('Frequencies'!A:A,MATCH(A" &amp; ROW() &amp; ",'Frequencies'!A:A,0))","Frequencies"))</f>
        <v>Frequencies</v>
      </c>
      <c r="G73" s="2"/>
      <c r="H73" s="2"/>
      <c r="I73" s="2"/>
      <c r="J73" s="2">
        <v>44</v>
      </c>
      <c r="K73" s="2"/>
      <c r="L73" s="2"/>
    </row>
    <row r="74" spans="1:12" ht="50.1" customHeight="1" x14ac:dyDescent="0.25">
      <c r="A74" s="3" t="s">
        <v>582</v>
      </c>
      <c r="B74" s="2" t="s">
        <v>583</v>
      </c>
      <c r="C74" s="2"/>
      <c r="D74" s="2" t="s">
        <v>15</v>
      </c>
      <c r="E74" s="4" t="str">
        <f>IF(ISERROR("PUBTRANS"),"",HYPERLINK("#INDEX('Value Lookup'!A:A,MATCH(A" &amp; ROW() &amp; ",'Value Lookup'!A:A,0))","Value Lookup"))</f>
        <v>Value Lookup</v>
      </c>
      <c r="F74" s="4" t="str">
        <f>IF(ISERROR("PUBTRANS"),"",HYPERLINK("#INDEX('Frequencies'!A:A,MATCH(A" &amp; ROW() &amp; ",'Frequencies'!A:A,0))","Frequencies"))</f>
        <v>Frequencies</v>
      </c>
      <c r="G74" s="2"/>
      <c r="H74" s="2"/>
      <c r="I74" s="2"/>
      <c r="J74" s="2">
        <v>45</v>
      </c>
      <c r="K74" s="2"/>
      <c r="L74" s="2"/>
    </row>
    <row r="75" spans="1:12" ht="50.1" customHeight="1" x14ac:dyDescent="0.25">
      <c r="A75" s="3" t="s">
        <v>845</v>
      </c>
      <c r="B75" s="2" t="s">
        <v>846</v>
      </c>
      <c r="C75" s="2"/>
      <c r="D75" s="2" t="s">
        <v>15</v>
      </c>
      <c r="E75" s="4" t="str">
        <f>IF(ISERROR("TRIPPURP"),"",HYPERLINK("#INDEX('Value Lookup'!A:A,MATCH(A" &amp; ROW() &amp; ",'Value Lookup'!A:A,0))","Value Lookup"))</f>
        <v>Value Lookup</v>
      </c>
      <c r="F75" s="4" t="str">
        <f>IF(ISERROR("TRIPPURP"),"",HYPERLINK("#INDEX('Frequencies'!A:A,MATCH(A" &amp; ROW() &amp; ",'Frequencies'!A:A,0))","Frequencies"))</f>
        <v>Frequencies</v>
      </c>
      <c r="G75" s="2"/>
      <c r="H75" s="2"/>
      <c r="I75" s="2"/>
      <c r="J75" s="2">
        <v>46</v>
      </c>
      <c r="K75" s="2"/>
      <c r="L75" s="2"/>
    </row>
    <row r="76" spans="1:12" ht="50.1" customHeight="1" x14ac:dyDescent="0.25">
      <c r="A76" s="3" t="s">
        <v>201</v>
      </c>
      <c r="B76" s="2" t="s">
        <v>202</v>
      </c>
      <c r="C76" s="2"/>
      <c r="D76" s="2" t="s">
        <v>15</v>
      </c>
      <c r="E76" s="4" t="str">
        <f>IF(ISERROR("DWELTIME"),"",HYPERLINK("#INDEX('Value Lookup'!A:A,MATCH(A" &amp; ROW() &amp; ",'Value Lookup'!A:A,0))","Value Lookup"))</f>
        <v>Value Lookup</v>
      </c>
      <c r="F76" s="4" t="str">
        <f>IF(ISERROR("DWELTIME"),"",HYPERLINK("#INDEX('Frequencies'!A:A,MATCH(A" &amp; ROW() &amp; ",'Frequencies'!A:A,0))","Frequencies"))</f>
        <v>Frequencies</v>
      </c>
      <c r="G76" s="2"/>
      <c r="H76" s="2"/>
      <c r="I76" s="2"/>
      <c r="J76" s="2">
        <v>47</v>
      </c>
      <c r="K76" s="2"/>
      <c r="L76" s="2"/>
    </row>
    <row r="77" spans="1:12" ht="50.1" customHeight="1" x14ac:dyDescent="0.25">
      <c r="A77" s="3" t="s">
        <v>729</v>
      </c>
      <c r="B77" s="2" t="s">
        <v>730</v>
      </c>
      <c r="C77" s="2"/>
      <c r="D77" s="2" t="s">
        <v>15</v>
      </c>
      <c r="E77" s="4" t="str">
        <f>IF(ISERROR("TDWKND"),"",HYPERLINK("#INDEX('Value Lookup'!A:A,MATCH(A" &amp; ROW() &amp; ",'Value Lookup'!A:A,0))","Value Lookup"))</f>
        <v>Value Lookup</v>
      </c>
      <c r="F77" s="4" t="str">
        <f>IF(ISERROR("TDWKND"),"",HYPERLINK("#INDEX('Frequencies'!A:A,MATCH(A" &amp; ROW() &amp; ",'Frequencies'!A:A,0))","Frequencies"))</f>
        <v>Frequencies</v>
      </c>
      <c r="G77" s="2"/>
      <c r="H77" s="2"/>
      <c r="I77" s="2"/>
      <c r="J77" s="2">
        <v>48</v>
      </c>
      <c r="K77" s="2"/>
      <c r="L77" s="2"/>
    </row>
    <row r="78" spans="1:12" ht="50.1" customHeight="1" x14ac:dyDescent="0.25">
      <c r="A78" s="3" t="s">
        <v>918</v>
      </c>
      <c r="B78" s="2" t="s">
        <v>919</v>
      </c>
      <c r="C78" s="2"/>
      <c r="D78" s="2" t="s">
        <v>41</v>
      </c>
      <c r="E78" s="4" t="str">
        <f>IF(ISERROR("VMT_MILE"),"",HYPERLINK("#INDEX('Value Lookup'!A:A,MATCH(A" &amp; ROW() &amp; ",'Value Lookup'!A:A,0))","Value Lookup"))</f>
        <v>Value Lookup</v>
      </c>
      <c r="F78" s="4" t="str">
        <f>IF(ISERROR("VMT_MILE"),"",HYPERLINK("#INDEX('Frequencies'!A:A,MATCH(A" &amp; ROW() &amp; ",'Frequencies'!A:A,0))","Frequencies"))</f>
        <v>Frequencies</v>
      </c>
      <c r="G78" s="2"/>
      <c r="H78" s="2"/>
      <c r="I78" s="2"/>
      <c r="J78" s="2">
        <v>49</v>
      </c>
      <c r="K78" s="2"/>
      <c r="L78" s="2"/>
    </row>
    <row r="79" spans="1:12" ht="50.1" customHeight="1" x14ac:dyDescent="0.25">
      <c r="A79" s="3" t="s">
        <v>920</v>
      </c>
      <c r="B79" s="2" t="s">
        <v>921</v>
      </c>
      <c r="C79" s="2"/>
      <c r="D79" s="2" t="s">
        <v>41</v>
      </c>
      <c r="E79" s="4" t="str">
        <f>IF(ISERROR("VMT_MILE17"),"",HYPERLINK("#INDEX('Value Lookup'!A:A,MATCH(A" &amp; ROW() &amp; ",'Value Lookup'!A:A,0))","Value Lookup"))</f>
        <v>Value Lookup</v>
      </c>
      <c r="F79" s="4" t="str">
        <f>IF(ISERROR("VMT_MILE17"),"",HYPERLINK("#INDEX('Frequencies'!A:A,MATCH(A" &amp; ROW() &amp; ",'Frequencies'!A:A,0))","Frequencies"))</f>
        <v>Frequencies</v>
      </c>
      <c r="G79" s="2"/>
      <c r="H79" s="2"/>
      <c r="I79" s="2"/>
      <c r="J79" s="2">
        <v>50</v>
      </c>
      <c r="K79" s="2"/>
      <c r="L79" s="2"/>
    </row>
    <row r="80" spans="1:12" ht="50.1" customHeight="1" x14ac:dyDescent="0.25">
      <c r="A80" s="3" t="s">
        <v>199</v>
      </c>
      <c r="B80" s="2" t="s">
        <v>200</v>
      </c>
      <c r="C80" s="2"/>
      <c r="D80" s="2" t="s">
        <v>15</v>
      </c>
      <c r="E80" s="4" t="str">
        <f>IF(ISERROR("DRVR_FLG"),"",HYPERLINK("#INDEX('Value Lookup'!A:A,MATCH(A" &amp; ROW() &amp; ",'Value Lookup'!A:A,0))","Value Lookup"))</f>
        <v>Value Lookup</v>
      </c>
      <c r="F80" s="4" t="str">
        <f>IF(ISERROR("DRVR_FLG"),"",HYPERLINK("#INDEX('Frequencies'!A:A,MATCH(A" &amp; ROW() &amp; ",'Frequencies'!A:A,0))","Frequencies"))</f>
        <v>Frequencies</v>
      </c>
      <c r="G80" s="2"/>
      <c r="H80" s="2"/>
      <c r="I80" s="2"/>
      <c r="J80" s="2">
        <v>51</v>
      </c>
      <c r="K80" s="2"/>
      <c r="L80" s="2"/>
    </row>
    <row r="81" spans="1:12" ht="50.1" customHeight="1" x14ac:dyDescent="0.25">
      <c r="A81" s="3" t="s">
        <v>978</v>
      </c>
      <c r="B81" s="2" t="s">
        <v>979</v>
      </c>
      <c r="C81" s="2"/>
      <c r="D81" s="2" t="s">
        <v>15</v>
      </c>
      <c r="E81" s="4" t="str">
        <f>IF(ISERROR("WHYTRP1S"),"",HYPERLINK("#INDEX('Value Lookup'!A:A,MATCH(A" &amp; ROW() &amp; ",'Value Lookup'!A:A,0))","Value Lookup"))</f>
        <v>Value Lookup</v>
      </c>
      <c r="F81" s="4" t="str">
        <f>IF(ISERROR("WHYTRP1S"),"",HYPERLINK("#INDEX('Frequencies'!A:A,MATCH(A" &amp; ROW() &amp; ",'Frequencies'!A:A,0))","Frequencies"))</f>
        <v>Frequencies</v>
      </c>
      <c r="G81" s="2"/>
      <c r="H81" s="2"/>
      <c r="I81" s="2"/>
      <c r="J81" s="2">
        <v>52</v>
      </c>
      <c r="K81" s="2"/>
      <c r="L81" s="2"/>
    </row>
    <row r="82" spans="1:12" ht="50.1" customHeight="1" x14ac:dyDescent="0.25">
      <c r="A82" s="3" t="s">
        <v>980</v>
      </c>
      <c r="B82" s="2" t="s">
        <v>981</v>
      </c>
      <c r="C82" s="2"/>
      <c r="D82" s="2" t="s">
        <v>15</v>
      </c>
      <c r="E82" s="4" t="str">
        <f>IF(ISERROR("WHYTRP90"),"",HYPERLINK("#INDEX('Value Lookup'!A:A,MATCH(A" &amp; ROW() &amp; ",'Value Lookup'!A:A,0))","Value Lookup"))</f>
        <v>Value Lookup</v>
      </c>
      <c r="F82" s="4" t="str">
        <f>IF(ISERROR("WHYTRP90"),"",HYPERLINK("#INDEX('Frequencies'!A:A,MATCH(A" &amp; ROW() &amp; ",'Frequencies'!A:A,0))","Frequencies"))</f>
        <v>Frequencies</v>
      </c>
      <c r="G82" s="2"/>
      <c r="H82" s="2"/>
      <c r="I82" s="2"/>
      <c r="J82" s="2">
        <v>53</v>
      </c>
      <c r="K82" s="2"/>
      <c r="L82" s="2"/>
    </row>
    <row r="83" spans="1:12" ht="50.1" customHeight="1" x14ac:dyDescent="0.25">
      <c r="A83" s="3" t="s">
        <v>736</v>
      </c>
      <c r="B83" s="2" t="s">
        <v>737</v>
      </c>
      <c r="C83" s="2" t="s">
        <v>738</v>
      </c>
      <c r="D83" s="2" t="s">
        <v>15</v>
      </c>
      <c r="E83" s="4" t="str">
        <f>IF(ISERROR("TRACC1"),"",HYPERLINK("#INDEX('Value Lookup'!A:A,MATCH(A" &amp; ROW() &amp; ",'Value Lookup'!A:A,0))","Value Lookup"))</f>
        <v>Value Lookup</v>
      </c>
      <c r="F83" s="4" t="str">
        <f>IF(ISERROR("TRACC1"),"",HYPERLINK("#INDEX('Frequencies'!A:A,MATCH(A" &amp; ROW() &amp; ",'Frequencies'!A:A,0))","Frequencies"))</f>
        <v>Frequencies</v>
      </c>
      <c r="G83" s="2"/>
      <c r="H83" s="2"/>
      <c r="I83" s="2"/>
      <c r="J83" s="2">
        <v>54</v>
      </c>
      <c r="K83" s="2"/>
      <c r="L83" s="2"/>
    </row>
    <row r="84" spans="1:12" ht="50.1" customHeight="1" x14ac:dyDescent="0.25">
      <c r="A84" s="3" t="s">
        <v>759</v>
      </c>
      <c r="B84" s="2" t="s">
        <v>760</v>
      </c>
      <c r="C84" s="2" t="s">
        <v>738</v>
      </c>
      <c r="D84" s="2" t="s">
        <v>15</v>
      </c>
      <c r="E84" s="4" t="str">
        <f>IF(ISERROR("TRACC2"),"",HYPERLINK("#INDEX('Value Lookup'!A:A,MATCH(A" &amp; ROW() &amp; ",'Value Lookup'!A:A,0))","Value Lookup"))</f>
        <v>Value Lookup</v>
      </c>
      <c r="F84" s="4" t="str">
        <f>IF(ISERROR("TRACC2"),"",HYPERLINK("#INDEX('Frequencies'!A:A,MATCH(A" &amp; ROW() &amp; ",'Frequencies'!A:A,0))","Frequencies"))</f>
        <v>Frequencies</v>
      </c>
      <c r="G84" s="2"/>
      <c r="H84" s="2"/>
      <c r="I84" s="2"/>
      <c r="J84" s="2">
        <v>55</v>
      </c>
      <c r="K84" s="2"/>
      <c r="L84" s="2"/>
    </row>
    <row r="85" spans="1:12" ht="50.1" customHeight="1" x14ac:dyDescent="0.25">
      <c r="A85" s="3" t="s">
        <v>763</v>
      </c>
      <c r="B85" s="2" t="s">
        <v>764</v>
      </c>
      <c r="C85" s="2" t="s">
        <v>738</v>
      </c>
      <c r="D85" s="2" t="s">
        <v>15</v>
      </c>
      <c r="E85" s="4" t="str">
        <f>IF(ISERROR("TRACC3"),"",HYPERLINK("#INDEX('Value Lookup'!A:A,MATCH(A" &amp; ROW() &amp; ",'Value Lookup'!A:A,0))","Value Lookup"))</f>
        <v>Value Lookup</v>
      </c>
      <c r="F85" s="4" t="str">
        <f>IF(ISERROR("TRACC3"),"",HYPERLINK("#INDEX('Frequencies'!A:A,MATCH(A" &amp; ROW() &amp; ",'Frequencies'!A:A,0))","Frequencies"))</f>
        <v>Frequencies</v>
      </c>
      <c r="G85" s="2"/>
      <c r="H85" s="2"/>
      <c r="I85" s="2"/>
      <c r="J85" s="2">
        <v>56</v>
      </c>
      <c r="K85" s="2"/>
      <c r="L85" s="2"/>
    </row>
    <row r="86" spans="1:12" ht="50.1" customHeight="1" x14ac:dyDescent="0.25">
      <c r="A86" s="3" t="s">
        <v>765</v>
      </c>
      <c r="B86" s="2" t="s">
        <v>766</v>
      </c>
      <c r="C86" s="2" t="s">
        <v>738</v>
      </c>
      <c r="D86" s="2" t="s">
        <v>15</v>
      </c>
      <c r="E86" s="4" t="str">
        <f>IF(ISERROR("TRACC4"),"",HYPERLINK("#INDEX('Value Lookup'!A:A,MATCH(A" &amp; ROW() &amp; ",'Value Lookup'!A:A,0))","Value Lookup"))</f>
        <v>Value Lookup</v>
      </c>
      <c r="F86" s="4" t="str">
        <f>IF(ISERROR("TRACC4"),"",HYPERLINK("#INDEX('Frequencies'!A:A,MATCH(A" &amp; ROW() &amp; ",'Frequencies'!A:A,0))","Frequencies"))</f>
        <v>Frequencies</v>
      </c>
      <c r="G86" s="2"/>
      <c r="H86" s="2"/>
      <c r="I86" s="2"/>
      <c r="J86" s="2">
        <v>57</v>
      </c>
      <c r="K86" s="2"/>
      <c r="L86" s="2"/>
    </row>
    <row r="87" spans="1:12" ht="50.1" customHeight="1" x14ac:dyDescent="0.25">
      <c r="A87" s="3" t="s">
        <v>767</v>
      </c>
      <c r="B87" s="2" t="s">
        <v>768</v>
      </c>
      <c r="C87" s="2" t="s">
        <v>738</v>
      </c>
      <c r="D87" s="2" t="s">
        <v>15</v>
      </c>
      <c r="E87" s="4" t="str">
        <f>IF(ISERROR("TRACC5"),"",HYPERLINK("#INDEX('Value Lookup'!A:A,MATCH(A" &amp; ROW() &amp; ",'Value Lookup'!A:A,0))","Value Lookup"))</f>
        <v>Value Lookup</v>
      </c>
      <c r="F87" s="4" t="str">
        <f>IF(ISERROR("TRACC5"),"",HYPERLINK("#INDEX('Frequencies'!A:A,MATCH(A" &amp; ROW() &amp; ",'Frequencies'!A:A,0))","Frequencies"))</f>
        <v>Frequencies</v>
      </c>
      <c r="G87" s="2"/>
      <c r="H87" s="2"/>
      <c r="I87" s="2"/>
      <c r="J87" s="2">
        <v>58</v>
      </c>
      <c r="K87" s="2"/>
      <c r="L87" s="2"/>
    </row>
    <row r="88" spans="1:12" ht="50.1" customHeight="1" x14ac:dyDescent="0.25">
      <c r="A88" s="3" t="s">
        <v>769</v>
      </c>
      <c r="B88" s="2" t="s">
        <v>770</v>
      </c>
      <c r="C88" s="2" t="s">
        <v>738</v>
      </c>
      <c r="D88" s="2" t="s">
        <v>15</v>
      </c>
      <c r="E88" s="4" t="str">
        <f>IF(ISERROR("TRACC6"),"",HYPERLINK("#INDEX('Value Lookup'!A:A,MATCH(A" &amp; ROW() &amp; ",'Value Lookup'!A:A,0))","Value Lookup"))</f>
        <v>Value Lookup</v>
      </c>
      <c r="F88" s="4" t="str">
        <f>IF(ISERROR("TRACC6"),"",HYPERLINK("#INDEX('Frequencies'!A:A,MATCH(A" &amp; ROW() &amp; ",'Frequencies'!A:A,0))","Frequencies"))</f>
        <v>Frequencies</v>
      </c>
      <c r="G88" s="2"/>
      <c r="H88" s="2"/>
      <c r="I88" s="2"/>
      <c r="J88" s="2">
        <v>59</v>
      </c>
      <c r="K88" s="2"/>
      <c r="L88" s="2"/>
    </row>
    <row r="89" spans="1:12" ht="50.1" customHeight="1" x14ac:dyDescent="0.25">
      <c r="A89" s="3" t="s">
        <v>771</v>
      </c>
      <c r="B89" s="2" t="s">
        <v>772</v>
      </c>
      <c r="C89" s="2" t="s">
        <v>738</v>
      </c>
      <c r="D89" s="2" t="s">
        <v>15</v>
      </c>
      <c r="E89" s="4" t="str">
        <f>IF(ISERROR("TRACC7"),"",HYPERLINK("#INDEX('Value Lookup'!A:A,MATCH(A" &amp; ROW() &amp; ",'Value Lookup'!A:A,0))","Value Lookup"))</f>
        <v>Value Lookup</v>
      </c>
      <c r="F89" s="4" t="str">
        <f>IF(ISERROR("TRACC7"),"",HYPERLINK("#INDEX('Frequencies'!A:A,MATCH(A" &amp; ROW() &amp; ",'Frequencies'!A:A,0))","Frequencies"))</f>
        <v>Frequencies</v>
      </c>
      <c r="G89" s="2"/>
      <c r="H89" s="2"/>
      <c r="I89" s="2"/>
      <c r="J89" s="2">
        <v>60</v>
      </c>
      <c r="K89" s="2"/>
      <c r="L89" s="2"/>
    </row>
    <row r="90" spans="1:12" ht="50.1" customHeight="1" x14ac:dyDescent="0.25">
      <c r="A90" s="3" t="s">
        <v>773</v>
      </c>
      <c r="B90" s="2" t="s">
        <v>774</v>
      </c>
      <c r="C90" s="2" t="s">
        <v>738</v>
      </c>
      <c r="D90" s="2" t="s">
        <v>15</v>
      </c>
      <c r="E90" s="4" t="str">
        <f>IF(ISERROR("TRACC8"),"",HYPERLINK("#INDEX('Value Lookup'!A:A,MATCH(A" &amp; ROW() &amp; ",'Value Lookup'!A:A,0))","Value Lookup"))</f>
        <v>Value Lookup</v>
      </c>
      <c r="F90" s="4" t="str">
        <f>IF(ISERROR("TRACC8"),"",HYPERLINK("#INDEX('Frequencies'!A:A,MATCH(A" &amp; ROW() &amp; ",'Frequencies'!A:A,0))","Frequencies"))</f>
        <v>Frequencies</v>
      </c>
      <c r="G90" s="2"/>
      <c r="H90" s="2"/>
      <c r="I90" s="2"/>
      <c r="J90" s="2">
        <v>61</v>
      </c>
      <c r="K90" s="2"/>
      <c r="L90" s="2"/>
    </row>
    <row r="91" spans="1:12" ht="50.1" customHeight="1" x14ac:dyDescent="0.25">
      <c r="A91" s="3" t="s">
        <v>775</v>
      </c>
      <c r="B91" s="2" t="s">
        <v>776</v>
      </c>
      <c r="C91" s="2" t="s">
        <v>738</v>
      </c>
      <c r="D91" s="2" t="s">
        <v>15</v>
      </c>
      <c r="E91" s="4" t="str">
        <f>IF(ISERROR("TRACC9"),"",HYPERLINK("#INDEX('Value Lookup'!A:A,MATCH(A" &amp; ROW() &amp; ",'Value Lookup'!A:A,0))","Value Lookup"))</f>
        <v>Value Lookup</v>
      </c>
      <c r="F91" s="4" t="str">
        <f>IF(ISERROR("TRACC9"),"",HYPERLINK("#INDEX('Frequencies'!A:A,MATCH(A" &amp; ROW() &amp; ",'Frequencies'!A:A,0))","Frequencies"))</f>
        <v>Frequencies</v>
      </c>
      <c r="G91" s="2"/>
      <c r="H91" s="2"/>
      <c r="I91" s="2"/>
      <c r="J91" s="2">
        <v>62</v>
      </c>
      <c r="K91" s="2"/>
      <c r="L91" s="2"/>
    </row>
    <row r="92" spans="1:12" ht="50.1" customHeight="1" x14ac:dyDescent="0.25">
      <c r="A92" s="3" t="s">
        <v>739</v>
      </c>
      <c r="B92" s="2" t="s">
        <v>740</v>
      </c>
      <c r="C92" s="2" t="s">
        <v>738</v>
      </c>
      <c r="D92" s="2" t="s">
        <v>15</v>
      </c>
      <c r="E92" s="4" t="str">
        <f>IF(ISERROR("TRACC10"),"",HYPERLINK("#INDEX('Value Lookup'!A:A,MATCH(A" &amp; ROW() &amp; ",'Value Lookup'!A:A,0))","Value Lookup"))</f>
        <v>Value Lookup</v>
      </c>
      <c r="F92" s="4" t="str">
        <f>IF(ISERROR("TRACC10"),"",HYPERLINK("#INDEX('Frequencies'!A:A,MATCH(A" &amp; ROW() &amp; ",'Frequencies'!A:A,0))","Frequencies"))</f>
        <v>Frequencies</v>
      </c>
      <c r="G92" s="2"/>
      <c r="H92" s="2"/>
      <c r="I92" s="2"/>
      <c r="J92" s="2">
        <v>63</v>
      </c>
      <c r="K92" s="2"/>
      <c r="L92" s="2"/>
    </row>
    <row r="93" spans="1:12" ht="50.1" customHeight="1" x14ac:dyDescent="0.25">
      <c r="A93" s="3" t="s">
        <v>741</v>
      </c>
      <c r="B93" s="2" t="s">
        <v>742</v>
      </c>
      <c r="C93" s="2" t="s">
        <v>738</v>
      </c>
      <c r="D93" s="2" t="s">
        <v>15</v>
      </c>
      <c r="E93" s="4" t="str">
        <f>IF(ISERROR("TRACC11"),"",HYPERLINK("#INDEX('Value Lookup'!A:A,MATCH(A" &amp; ROW() &amp; ",'Value Lookup'!A:A,0))","Value Lookup"))</f>
        <v>Value Lookup</v>
      </c>
      <c r="F93" s="4" t="str">
        <f>IF(ISERROR("TRACC11"),"",HYPERLINK("#INDEX('Frequencies'!A:A,MATCH(A" &amp; ROW() &amp; ",'Frequencies'!A:A,0))","Frequencies"))</f>
        <v>Frequencies</v>
      </c>
      <c r="G93" s="2"/>
      <c r="H93" s="2"/>
      <c r="I93" s="2"/>
      <c r="J93" s="2">
        <v>64</v>
      </c>
      <c r="K93" s="2"/>
      <c r="L93" s="2"/>
    </row>
    <row r="94" spans="1:12" ht="50.1" customHeight="1" x14ac:dyDescent="0.25">
      <c r="A94" s="3" t="s">
        <v>743</v>
      </c>
      <c r="B94" s="2" t="s">
        <v>744</v>
      </c>
      <c r="C94" s="2" t="s">
        <v>738</v>
      </c>
      <c r="D94" s="2" t="s">
        <v>15</v>
      </c>
      <c r="E94" s="4" t="str">
        <f>IF(ISERROR("TRACC12"),"",HYPERLINK("#INDEX('Value Lookup'!A:A,MATCH(A" &amp; ROW() &amp; ",'Value Lookup'!A:A,0))","Value Lookup"))</f>
        <v>Value Lookup</v>
      </c>
      <c r="F94" s="4" t="str">
        <f>IF(ISERROR("TRACC12"),"",HYPERLINK("#INDEX('Frequencies'!A:A,MATCH(A" &amp; ROW() &amp; ",'Frequencies'!A:A,0))","Frequencies"))</f>
        <v>Frequencies</v>
      </c>
      <c r="G94" s="2"/>
      <c r="H94" s="2"/>
      <c r="I94" s="2"/>
      <c r="J94" s="2">
        <v>65</v>
      </c>
      <c r="K94" s="2"/>
      <c r="L94" s="2"/>
    </row>
    <row r="95" spans="1:12" ht="50.1" customHeight="1" x14ac:dyDescent="0.25">
      <c r="A95" s="3" t="s">
        <v>745</v>
      </c>
      <c r="B95" s="2" t="s">
        <v>746</v>
      </c>
      <c r="C95" s="2" t="s">
        <v>738</v>
      </c>
      <c r="D95" s="2" t="s">
        <v>15</v>
      </c>
      <c r="E95" s="4" t="str">
        <f>IF(ISERROR("TRACC13"),"",HYPERLINK("#INDEX('Value Lookup'!A:A,MATCH(A" &amp; ROW() &amp; ",'Value Lookup'!A:A,0))","Value Lookup"))</f>
        <v>Value Lookup</v>
      </c>
      <c r="F95" s="4" t="str">
        <f>IF(ISERROR("TRACC13"),"",HYPERLINK("#INDEX('Frequencies'!A:A,MATCH(A" &amp; ROW() &amp; ",'Frequencies'!A:A,0))","Frequencies"))</f>
        <v>Frequencies</v>
      </c>
      <c r="G95" s="2"/>
      <c r="H95" s="2"/>
      <c r="I95" s="2"/>
      <c r="J95" s="2">
        <v>66</v>
      </c>
      <c r="K95" s="2"/>
      <c r="L95" s="2"/>
    </row>
    <row r="96" spans="1:12" ht="50.1" customHeight="1" x14ac:dyDescent="0.25">
      <c r="A96" s="3" t="s">
        <v>747</v>
      </c>
      <c r="B96" s="2" t="s">
        <v>748</v>
      </c>
      <c r="C96" s="2" t="s">
        <v>738</v>
      </c>
      <c r="D96" s="2" t="s">
        <v>15</v>
      </c>
      <c r="E96" s="4" t="str">
        <f>IF(ISERROR("TRACC14"),"",HYPERLINK("#INDEX('Value Lookup'!A:A,MATCH(A" &amp; ROW() &amp; ",'Value Lookup'!A:A,0))","Value Lookup"))</f>
        <v>Value Lookup</v>
      </c>
      <c r="F96" s="4" t="str">
        <f>IF(ISERROR("TRACC14"),"",HYPERLINK("#INDEX('Frequencies'!A:A,MATCH(A" &amp; ROW() &amp; ",'Frequencies'!A:A,0))","Frequencies"))</f>
        <v>Frequencies</v>
      </c>
      <c r="G96" s="2"/>
      <c r="H96" s="2"/>
      <c r="I96" s="2"/>
      <c r="J96" s="2">
        <v>67</v>
      </c>
      <c r="K96" s="2"/>
      <c r="L96" s="2"/>
    </row>
    <row r="97" spans="1:12" ht="50.1" customHeight="1" x14ac:dyDescent="0.25">
      <c r="A97" s="3" t="s">
        <v>749</v>
      </c>
      <c r="B97" s="2" t="s">
        <v>750</v>
      </c>
      <c r="C97" s="2" t="s">
        <v>738</v>
      </c>
      <c r="D97" s="2" t="s">
        <v>15</v>
      </c>
      <c r="E97" s="4" t="str">
        <f>IF(ISERROR("TRACC15"),"",HYPERLINK("#INDEX('Value Lookup'!A:A,MATCH(A" &amp; ROW() &amp; ",'Value Lookup'!A:A,0))","Value Lookup"))</f>
        <v>Value Lookup</v>
      </c>
      <c r="F97" s="4" t="str">
        <f>IF(ISERROR("TRACC15"),"",HYPERLINK("#INDEX('Frequencies'!A:A,MATCH(A" &amp; ROW() &amp; ",'Frequencies'!A:A,0))","Frequencies"))</f>
        <v>Frequencies</v>
      </c>
      <c r="G97" s="2"/>
      <c r="H97" s="2"/>
      <c r="I97" s="2"/>
      <c r="J97" s="2">
        <v>68</v>
      </c>
      <c r="K97" s="2"/>
      <c r="L97" s="2"/>
    </row>
    <row r="98" spans="1:12" ht="50.1" customHeight="1" x14ac:dyDescent="0.25">
      <c r="A98" s="3" t="s">
        <v>751</v>
      </c>
      <c r="B98" s="2" t="s">
        <v>752</v>
      </c>
      <c r="C98" s="2" t="s">
        <v>738</v>
      </c>
      <c r="D98" s="2" t="s">
        <v>15</v>
      </c>
      <c r="E98" s="4" t="str">
        <f>IF(ISERROR("TRACC16"),"",HYPERLINK("#INDEX('Value Lookup'!A:A,MATCH(A" &amp; ROW() &amp; ",'Value Lookup'!A:A,0))","Value Lookup"))</f>
        <v>Value Lookup</v>
      </c>
      <c r="F98" s="4" t="str">
        <f>IF(ISERROR("TRACC16"),"",HYPERLINK("#INDEX('Frequencies'!A:A,MATCH(A" &amp; ROW() &amp; ",'Frequencies'!A:A,0))","Frequencies"))</f>
        <v>Frequencies</v>
      </c>
      <c r="G98" s="2"/>
      <c r="H98" s="2"/>
      <c r="I98" s="2"/>
      <c r="J98" s="2">
        <v>69</v>
      </c>
      <c r="K98" s="2"/>
      <c r="L98" s="2"/>
    </row>
    <row r="99" spans="1:12" ht="50.1" customHeight="1" x14ac:dyDescent="0.25">
      <c r="A99" s="3" t="s">
        <v>753</v>
      </c>
      <c r="B99" s="2" t="s">
        <v>754</v>
      </c>
      <c r="C99" s="2" t="s">
        <v>738</v>
      </c>
      <c r="D99" s="2" t="s">
        <v>15</v>
      </c>
      <c r="E99" s="4" t="str">
        <f>IF(ISERROR("TRACC17"),"",HYPERLINK("#INDEX('Value Lookup'!A:A,MATCH(A" &amp; ROW() &amp; ",'Value Lookup'!A:A,0))","Value Lookup"))</f>
        <v>Value Lookup</v>
      </c>
      <c r="F99" s="4" t="str">
        <f>IF(ISERROR("TRACC17"),"",HYPERLINK("#INDEX('Frequencies'!A:A,MATCH(A" &amp; ROW() &amp; ",'Frequencies'!A:A,0))","Frequencies"))</f>
        <v>Frequencies</v>
      </c>
      <c r="G99" s="2"/>
      <c r="H99" s="2"/>
      <c r="I99" s="2"/>
      <c r="J99" s="2">
        <v>70</v>
      </c>
      <c r="K99" s="2"/>
      <c r="L99" s="2"/>
    </row>
    <row r="100" spans="1:12" ht="50.1" customHeight="1" x14ac:dyDescent="0.25">
      <c r="A100" s="3" t="s">
        <v>755</v>
      </c>
      <c r="B100" s="2" t="s">
        <v>756</v>
      </c>
      <c r="C100" s="2" t="s">
        <v>738</v>
      </c>
      <c r="D100" s="2" t="s">
        <v>15</v>
      </c>
      <c r="E100" s="4" t="str">
        <f>IF(ISERROR("TRACC18"),"",HYPERLINK("#INDEX('Value Lookup'!A:A,MATCH(A" &amp; ROW() &amp; ",'Value Lookup'!A:A,0))","Value Lookup"))</f>
        <v>Value Lookup</v>
      </c>
      <c r="F100" s="4" t="str">
        <f>IF(ISERROR("TRACC18"),"",HYPERLINK("#INDEX('Frequencies'!A:A,MATCH(A" &amp; ROW() &amp; ",'Frequencies'!A:A,0))","Frequencies"))</f>
        <v>Frequencies</v>
      </c>
      <c r="G100" s="2"/>
      <c r="H100" s="2"/>
      <c r="I100" s="2"/>
      <c r="J100" s="2">
        <v>71</v>
      </c>
      <c r="K100" s="2"/>
      <c r="L100" s="2"/>
    </row>
    <row r="101" spans="1:12" ht="50.1" customHeight="1" x14ac:dyDescent="0.25">
      <c r="A101" s="3" t="s">
        <v>757</v>
      </c>
      <c r="B101" s="2" t="s">
        <v>758</v>
      </c>
      <c r="C101" s="2" t="s">
        <v>738</v>
      </c>
      <c r="D101" s="2" t="s">
        <v>15</v>
      </c>
      <c r="E101" s="4" t="str">
        <f>IF(ISERROR("TRACC19"),"",HYPERLINK("#INDEX('Value Lookup'!A:A,MATCH(A" &amp; ROW() &amp; ",'Value Lookup'!A:A,0))","Value Lookup"))</f>
        <v>Value Lookup</v>
      </c>
      <c r="F101" s="4" t="str">
        <f>IF(ISERROR("TRACC19"),"",HYPERLINK("#INDEX('Frequencies'!A:A,MATCH(A" &amp; ROW() &amp; ",'Frequencies'!A:A,0))","Frequencies"))</f>
        <v>Frequencies</v>
      </c>
      <c r="G101" s="2"/>
      <c r="H101" s="2"/>
      <c r="I101" s="2"/>
      <c r="J101" s="2">
        <v>72</v>
      </c>
      <c r="K101" s="2"/>
      <c r="L101" s="2"/>
    </row>
    <row r="102" spans="1:12" ht="50.1" customHeight="1" x14ac:dyDescent="0.25">
      <c r="A102" s="3" t="s">
        <v>761</v>
      </c>
      <c r="B102" s="2" t="s">
        <v>762</v>
      </c>
      <c r="C102" s="2" t="s">
        <v>738</v>
      </c>
      <c r="D102" s="2" t="s">
        <v>15</v>
      </c>
      <c r="E102" s="4" t="str">
        <f>IF(ISERROR("TRACC20"),"",HYPERLINK("#INDEX('Value Lookup'!A:A,MATCH(A" &amp; ROW() &amp; ",'Value Lookup'!A:A,0))","Value Lookup"))</f>
        <v>Value Lookup</v>
      </c>
      <c r="F102" s="4" t="str">
        <f>IF(ISERROR("TRACC20"),"",HYPERLINK("#INDEX('Frequencies'!A:A,MATCH(A" &amp; ROW() &amp; ",'Frequencies'!A:A,0))","Frequencies"))</f>
        <v>Frequencies</v>
      </c>
      <c r="G102" s="2"/>
      <c r="H102" s="2"/>
      <c r="I102" s="2"/>
      <c r="J102" s="2">
        <v>73</v>
      </c>
      <c r="K102" s="2"/>
      <c r="L102" s="2"/>
    </row>
    <row r="103" spans="1:12" ht="50.1" customHeight="1" x14ac:dyDescent="0.25">
      <c r="A103" s="3" t="s">
        <v>779</v>
      </c>
      <c r="B103" s="2" t="s">
        <v>780</v>
      </c>
      <c r="C103" s="2" t="s">
        <v>738</v>
      </c>
      <c r="D103" s="2" t="s">
        <v>15</v>
      </c>
      <c r="E103" s="4" t="str">
        <f>IF(ISERROR("TRACC_O"),"",HYPERLINK("#INDEX('Value Lookup'!A:A,MATCH(A" &amp; ROW() &amp; ",'Value Lookup'!A:A,0))","Value Lookup"))</f>
        <v>Value Lookup</v>
      </c>
      <c r="F103" s="4" t="str">
        <f>IF(ISERROR("TRACC_O"),"",HYPERLINK("#INDEX('Frequencies'!A:A,MATCH(A" &amp; ROW() &amp; ",'Frequencies'!A:A,0))","Frequencies"))</f>
        <v>Frequencies</v>
      </c>
      <c r="G103" s="2"/>
      <c r="H103" s="2"/>
      <c r="I103" s="2"/>
      <c r="J103" s="2">
        <v>74</v>
      </c>
      <c r="K103" s="2"/>
      <c r="L103" s="2"/>
    </row>
    <row r="104" spans="1:12" ht="50.1" customHeight="1" x14ac:dyDescent="0.25">
      <c r="A104" s="3" t="s">
        <v>777</v>
      </c>
      <c r="B104" s="2" t="s">
        <v>778</v>
      </c>
      <c r="C104" s="2" t="s">
        <v>738</v>
      </c>
      <c r="D104" s="2" t="s">
        <v>15</v>
      </c>
      <c r="E104" s="4" t="str">
        <f>IF(ISERROR("TRACCDK"),"",HYPERLINK("#INDEX('Value Lookup'!A:A,MATCH(A" &amp; ROW() &amp; ",'Value Lookup'!A:A,0))","Value Lookup"))</f>
        <v>Value Lookup</v>
      </c>
      <c r="F104" s="4" t="str">
        <f>IF(ISERROR("TRACCDK"),"",HYPERLINK("#INDEX('Frequencies'!A:A,MATCH(A" &amp; ROW() &amp; ",'Frequencies'!A:A,0))","Frequencies"))</f>
        <v>Frequencies</v>
      </c>
      <c r="G104" s="2"/>
      <c r="H104" s="2"/>
      <c r="I104" s="2"/>
      <c r="J104" s="2">
        <v>75</v>
      </c>
      <c r="K104" s="2"/>
      <c r="L104" s="2"/>
    </row>
    <row r="105" spans="1:12" ht="50.1" customHeight="1" x14ac:dyDescent="0.25">
      <c r="A105" s="3" t="s">
        <v>781</v>
      </c>
      <c r="B105" s="2" t="s">
        <v>782</v>
      </c>
      <c r="C105" s="2" t="s">
        <v>738</v>
      </c>
      <c r="D105" s="2" t="s">
        <v>15</v>
      </c>
      <c r="E105" s="4" t="str">
        <f>IF(ISERROR("TRACCRF"),"",HYPERLINK("#INDEX('Value Lookup'!A:A,MATCH(A" &amp; ROW() &amp; ",'Value Lookup'!A:A,0))","Value Lookup"))</f>
        <v>Value Lookup</v>
      </c>
      <c r="F105" s="4" t="str">
        <f>IF(ISERROR("TRACCRF"),"",HYPERLINK("#INDEX('Frequencies'!A:A,MATCH(A" &amp; ROW() &amp; ",'Frequencies'!A:A,0))","Frequencies"))</f>
        <v>Frequencies</v>
      </c>
      <c r="G105" s="2"/>
      <c r="H105" s="2"/>
      <c r="I105" s="2"/>
      <c r="J105" s="2">
        <v>76</v>
      </c>
      <c r="K105" s="2"/>
      <c r="L105" s="2"/>
    </row>
    <row r="106" spans="1:12" ht="50.1" customHeight="1" x14ac:dyDescent="0.25">
      <c r="A106" s="3" t="s">
        <v>354</v>
      </c>
      <c r="B106" s="2" t="s">
        <v>355</v>
      </c>
      <c r="C106" s="2" t="s">
        <v>356</v>
      </c>
      <c r="D106" s="2" t="s">
        <v>15</v>
      </c>
      <c r="E106" s="4" t="str">
        <f>IF(ISERROR("HOWPUBOS"),"",HYPERLINK("#INDEX('Value Lookup'!A:A,MATCH(A" &amp; ROW() &amp; ",'Value Lookup'!A:A,0))","Value Lookup"))</f>
        <v>Value Lookup</v>
      </c>
      <c r="F106" s="4" t="str">
        <f>IF(ISERROR("HOWPUBOS"),"",HYPERLINK("#INDEX('Frequencies'!A:A,MATCH(A" &amp; ROW() &amp; ",'Frequencies'!A:A,0))","Frequencies"))</f>
        <v>Frequencies</v>
      </c>
      <c r="G106" s="2"/>
      <c r="H106" s="2"/>
      <c r="I106" s="2"/>
      <c r="J106" s="2">
        <v>77</v>
      </c>
      <c r="K106" s="2"/>
      <c r="L106" s="2"/>
    </row>
    <row r="107" spans="1:12" ht="50.1" customHeight="1" x14ac:dyDescent="0.25">
      <c r="A107" s="3" t="s">
        <v>793</v>
      </c>
      <c r="B107" s="2" t="s">
        <v>794</v>
      </c>
      <c r="C107" s="2" t="s">
        <v>795</v>
      </c>
      <c r="D107" s="2" t="s">
        <v>15</v>
      </c>
      <c r="E107" s="4" t="str">
        <f>IF(ISERROR("TREGR1"),"",HYPERLINK("#INDEX('Value Lookup'!A:A,MATCH(A" &amp; ROW() &amp; ",'Value Lookup'!A:A,0))","Value Lookup"))</f>
        <v>Value Lookup</v>
      </c>
      <c r="F107" s="4" t="str">
        <f>IF(ISERROR("TREGR1"),"",HYPERLINK("#INDEX('Frequencies'!A:A,MATCH(A" &amp; ROW() &amp; ",'Frequencies'!A:A,0))","Frequencies"))</f>
        <v>Frequencies</v>
      </c>
      <c r="G107" s="2"/>
      <c r="H107" s="2"/>
      <c r="I107" s="2"/>
      <c r="J107" s="2">
        <v>78</v>
      </c>
      <c r="K107" s="2"/>
      <c r="L107" s="2"/>
    </row>
    <row r="108" spans="1:12" ht="50.1" customHeight="1" x14ac:dyDescent="0.25">
      <c r="A108" s="3" t="s">
        <v>816</v>
      </c>
      <c r="B108" s="2" t="s">
        <v>817</v>
      </c>
      <c r="C108" s="2" t="s">
        <v>795</v>
      </c>
      <c r="D108" s="2" t="s">
        <v>15</v>
      </c>
      <c r="E108" s="4" t="str">
        <f>IF(ISERROR("TREGR2"),"",HYPERLINK("#INDEX('Value Lookup'!A:A,MATCH(A" &amp; ROW() &amp; ",'Value Lookup'!A:A,0))","Value Lookup"))</f>
        <v>Value Lookup</v>
      </c>
      <c r="F108" s="4" t="str">
        <f>IF(ISERROR("TREGR2"),"",HYPERLINK("#INDEX('Frequencies'!A:A,MATCH(A" &amp; ROW() &amp; ",'Frequencies'!A:A,0))","Frequencies"))</f>
        <v>Frequencies</v>
      </c>
      <c r="G108" s="2"/>
      <c r="H108" s="2"/>
      <c r="I108" s="2"/>
      <c r="J108" s="2">
        <v>79</v>
      </c>
      <c r="K108" s="2"/>
      <c r="L108" s="2"/>
    </row>
    <row r="109" spans="1:12" ht="50.1" customHeight="1" x14ac:dyDescent="0.25">
      <c r="A109" s="3" t="s">
        <v>820</v>
      </c>
      <c r="B109" s="2" t="s">
        <v>821</v>
      </c>
      <c r="C109" s="2" t="s">
        <v>795</v>
      </c>
      <c r="D109" s="2" t="s">
        <v>15</v>
      </c>
      <c r="E109" s="4" t="str">
        <f>IF(ISERROR("TREGR3"),"",HYPERLINK("#INDEX('Value Lookup'!A:A,MATCH(A" &amp; ROW() &amp; ",'Value Lookup'!A:A,0))","Value Lookup"))</f>
        <v>Value Lookup</v>
      </c>
      <c r="F109" s="4" t="str">
        <f>IF(ISERROR("TREGR3"),"",HYPERLINK("#INDEX('Frequencies'!A:A,MATCH(A" &amp; ROW() &amp; ",'Frequencies'!A:A,0))","Frequencies"))</f>
        <v>Frequencies</v>
      </c>
      <c r="G109" s="2"/>
      <c r="H109" s="2"/>
      <c r="I109" s="2"/>
      <c r="J109" s="2">
        <v>80</v>
      </c>
      <c r="K109" s="2"/>
      <c r="L109" s="2"/>
    </row>
    <row r="110" spans="1:12" ht="50.1" customHeight="1" x14ac:dyDescent="0.25">
      <c r="A110" s="3" t="s">
        <v>822</v>
      </c>
      <c r="B110" s="2" t="s">
        <v>823</v>
      </c>
      <c r="C110" s="2" t="s">
        <v>795</v>
      </c>
      <c r="D110" s="2" t="s">
        <v>15</v>
      </c>
      <c r="E110" s="4" t="str">
        <f>IF(ISERROR("TREGR4"),"",HYPERLINK("#INDEX('Value Lookup'!A:A,MATCH(A" &amp; ROW() &amp; ",'Value Lookup'!A:A,0))","Value Lookup"))</f>
        <v>Value Lookup</v>
      </c>
      <c r="F110" s="4" t="str">
        <f>IF(ISERROR("TREGR4"),"",HYPERLINK("#INDEX('Frequencies'!A:A,MATCH(A" &amp; ROW() &amp; ",'Frequencies'!A:A,0))","Frequencies"))</f>
        <v>Frequencies</v>
      </c>
      <c r="G110" s="2"/>
      <c r="H110" s="2"/>
      <c r="I110" s="2"/>
      <c r="J110" s="2">
        <v>81</v>
      </c>
      <c r="K110" s="2"/>
      <c r="L110" s="2"/>
    </row>
    <row r="111" spans="1:12" ht="50.1" customHeight="1" x14ac:dyDescent="0.25">
      <c r="A111" s="3" t="s">
        <v>824</v>
      </c>
      <c r="B111" s="2" t="s">
        <v>825</v>
      </c>
      <c r="C111" s="2" t="s">
        <v>795</v>
      </c>
      <c r="D111" s="2" t="s">
        <v>15</v>
      </c>
      <c r="E111" s="4" t="str">
        <f>IF(ISERROR("TREGR5"),"",HYPERLINK("#INDEX('Value Lookup'!A:A,MATCH(A" &amp; ROW() &amp; ",'Value Lookup'!A:A,0))","Value Lookup"))</f>
        <v>Value Lookup</v>
      </c>
      <c r="F111" s="4" t="str">
        <f>IF(ISERROR("TREGR5"),"",HYPERLINK("#INDEX('Frequencies'!A:A,MATCH(A" &amp; ROW() &amp; ",'Frequencies'!A:A,0))","Frequencies"))</f>
        <v>Frequencies</v>
      </c>
      <c r="G111" s="2"/>
      <c r="H111" s="2"/>
      <c r="I111" s="2"/>
      <c r="J111" s="2">
        <v>82</v>
      </c>
      <c r="K111" s="2"/>
      <c r="L111" s="2"/>
    </row>
    <row r="112" spans="1:12" ht="50.1" customHeight="1" x14ac:dyDescent="0.25">
      <c r="A112" s="3" t="s">
        <v>826</v>
      </c>
      <c r="B112" s="2" t="s">
        <v>827</v>
      </c>
      <c r="C112" s="2" t="s">
        <v>795</v>
      </c>
      <c r="D112" s="2" t="s">
        <v>15</v>
      </c>
      <c r="E112" s="4" t="str">
        <f>IF(ISERROR("TREGR6"),"",HYPERLINK("#INDEX('Value Lookup'!A:A,MATCH(A" &amp; ROW() &amp; ",'Value Lookup'!A:A,0))","Value Lookup"))</f>
        <v>Value Lookup</v>
      </c>
      <c r="F112" s="4" t="str">
        <f>IF(ISERROR("TREGR6"),"",HYPERLINK("#INDEX('Frequencies'!A:A,MATCH(A" &amp; ROW() &amp; ",'Frequencies'!A:A,0))","Frequencies"))</f>
        <v>Frequencies</v>
      </c>
      <c r="G112" s="2"/>
      <c r="H112" s="2"/>
      <c r="I112" s="2"/>
      <c r="J112" s="2">
        <v>83</v>
      </c>
      <c r="K112" s="2"/>
      <c r="L112" s="2"/>
    </row>
    <row r="113" spans="1:12" ht="50.1" customHeight="1" x14ac:dyDescent="0.25">
      <c r="A113" s="3" t="s">
        <v>828</v>
      </c>
      <c r="B113" s="2" t="s">
        <v>829</v>
      </c>
      <c r="C113" s="2" t="s">
        <v>795</v>
      </c>
      <c r="D113" s="2" t="s">
        <v>15</v>
      </c>
      <c r="E113" s="4" t="str">
        <f>IF(ISERROR("TREGR7"),"",HYPERLINK("#INDEX('Value Lookup'!A:A,MATCH(A" &amp; ROW() &amp; ",'Value Lookup'!A:A,0))","Value Lookup"))</f>
        <v>Value Lookup</v>
      </c>
      <c r="F113" s="4" t="str">
        <f>IF(ISERROR("TREGR7"),"",HYPERLINK("#INDEX('Frequencies'!A:A,MATCH(A" &amp; ROW() &amp; ",'Frequencies'!A:A,0))","Frequencies"))</f>
        <v>Frequencies</v>
      </c>
      <c r="G113" s="2"/>
      <c r="H113" s="2"/>
      <c r="I113" s="2"/>
      <c r="J113" s="2">
        <v>84</v>
      </c>
      <c r="K113" s="2"/>
      <c r="L113" s="2"/>
    </row>
    <row r="114" spans="1:12" ht="50.1" customHeight="1" x14ac:dyDescent="0.25">
      <c r="A114" s="3" t="s">
        <v>830</v>
      </c>
      <c r="B114" s="2" t="s">
        <v>831</v>
      </c>
      <c r="C114" s="2" t="s">
        <v>795</v>
      </c>
      <c r="D114" s="2" t="s">
        <v>15</v>
      </c>
      <c r="E114" s="4" t="str">
        <f>IF(ISERROR("TREGR8"),"",HYPERLINK("#INDEX('Value Lookup'!A:A,MATCH(A" &amp; ROW() &amp; ",'Value Lookup'!A:A,0))","Value Lookup"))</f>
        <v>Value Lookup</v>
      </c>
      <c r="F114" s="4" t="str">
        <f>IF(ISERROR("TREGR8"),"",HYPERLINK("#INDEX('Frequencies'!A:A,MATCH(A" &amp; ROW() &amp; ",'Frequencies'!A:A,0))","Frequencies"))</f>
        <v>Frequencies</v>
      </c>
      <c r="G114" s="2"/>
      <c r="H114" s="2"/>
      <c r="I114" s="2"/>
      <c r="J114" s="2">
        <v>85</v>
      </c>
      <c r="K114" s="2"/>
      <c r="L114" s="2"/>
    </row>
    <row r="115" spans="1:12" ht="50.1" customHeight="1" x14ac:dyDescent="0.25">
      <c r="A115" s="3" t="s">
        <v>832</v>
      </c>
      <c r="B115" s="2" t="s">
        <v>833</v>
      </c>
      <c r="C115" s="2" t="s">
        <v>795</v>
      </c>
      <c r="D115" s="2" t="s">
        <v>15</v>
      </c>
      <c r="E115" s="4" t="str">
        <f>IF(ISERROR("TREGR9"),"",HYPERLINK("#INDEX('Value Lookup'!A:A,MATCH(A" &amp; ROW() &amp; ",'Value Lookup'!A:A,0))","Value Lookup"))</f>
        <v>Value Lookup</v>
      </c>
      <c r="F115" s="4" t="str">
        <f>IF(ISERROR("TREGR9"),"",HYPERLINK("#INDEX('Frequencies'!A:A,MATCH(A" &amp; ROW() &amp; ",'Frequencies'!A:A,0))","Frequencies"))</f>
        <v>Frequencies</v>
      </c>
      <c r="G115" s="2"/>
      <c r="H115" s="2"/>
      <c r="I115" s="2"/>
      <c r="J115" s="2">
        <v>86</v>
      </c>
      <c r="K115" s="2"/>
      <c r="L115" s="2"/>
    </row>
    <row r="116" spans="1:12" ht="50.1" customHeight="1" x14ac:dyDescent="0.25">
      <c r="A116" s="3" t="s">
        <v>796</v>
      </c>
      <c r="B116" s="2" t="s">
        <v>797</v>
      </c>
      <c r="C116" s="2" t="s">
        <v>795</v>
      </c>
      <c r="D116" s="2" t="s">
        <v>15</v>
      </c>
      <c r="E116" s="4" t="str">
        <f>IF(ISERROR("TREGR10"),"",HYPERLINK("#INDEX('Value Lookup'!A:A,MATCH(A" &amp; ROW() &amp; ",'Value Lookup'!A:A,0))","Value Lookup"))</f>
        <v>Value Lookup</v>
      </c>
      <c r="F116" s="4" t="str">
        <f>IF(ISERROR("TREGR10"),"",HYPERLINK("#INDEX('Frequencies'!A:A,MATCH(A" &amp; ROW() &amp; ",'Frequencies'!A:A,0))","Frequencies"))</f>
        <v>Frequencies</v>
      </c>
      <c r="G116" s="2"/>
      <c r="H116" s="2"/>
      <c r="I116" s="2"/>
      <c r="J116" s="2">
        <v>87</v>
      </c>
      <c r="K116" s="2"/>
      <c r="L116" s="2"/>
    </row>
    <row r="117" spans="1:12" ht="50.1" customHeight="1" x14ac:dyDescent="0.25">
      <c r="A117" s="3" t="s">
        <v>798</v>
      </c>
      <c r="B117" s="2" t="s">
        <v>799</v>
      </c>
      <c r="C117" s="2" t="s">
        <v>795</v>
      </c>
      <c r="D117" s="2" t="s">
        <v>15</v>
      </c>
      <c r="E117" s="4" t="str">
        <f>IF(ISERROR("TREGR11"),"",HYPERLINK("#INDEX('Value Lookup'!A:A,MATCH(A" &amp; ROW() &amp; ",'Value Lookup'!A:A,0))","Value Lookup"))</f>
        <v>Value Lookup</v>
      </c>
      <c r="F117" s="4" t="str">
        <f>IF(ISERROR("TREGR11"),"",HYPERLINK("#INDEX('Frequencies'!A:A,MATCH(A" &amp; ROW() &amp; ",'Frequencies'!A:A,0))","Frequencies"))</f>
        <v>Frequencies</v>
      </c>
      <c r="G117" s="2"/>
      <c r="H117" s="2"/>
      <c r="I117" s="2"/>
      <c r="J117" s="2">
        <v>88</v>
      </c>
      <c r="K117" s="2"/>
      <c r="L117" s="2"/>
    </row>
    <row r="118" spans="1:12" ht="50.1" customHeight="1" x14ac:dyDescent="0.25">
      <c r="A118" s="3" t="s">
        <v>800</v>
      </c>
      <c r="B118" s="2" t="s">
        <v>801</v>
      </c>
      <c r="C118" s="2" t="s">
        <v>795</v>
      </c>
      <c r="D118" s="2" t="s">
        <v>15</v>
      </c>
      <c r="E118" s="4" t="str">
        <f>IF(ISERROR("TREGR12"),"",HYPERLINK("#INDEX('Value Lookup'!A:A,MATCH(A" &amp; ROW() &amp; ",'Value Lookup'!A:A,0))","Value Lookup"))</f>
        <v>Value Lookup</v>
      </c>
      <c r="F118" s="4" t="str">
        <f>IF(ISERROR("TREGR12"),"",HYPERLINK("#INDEX('Frequencies'!A:A,MATCH(A" &amp; ROW() &amp; ",'Frequencies'!A:A,0))","Frequencies"))</f>
        <v>Frequencies</v>
      </c>
      <c r="G118" s="2"/>
      <c r="H118" s="2"/>
      <c r="I118" s="2"/>
      <c r="J118" s="2">
        <v>89</v>
      </c>
      <c r="K118" s="2"/>
      <c r="L118" s="2"/>
    </row>
    <row r="119" spans="1:12" ht="50.1" customHeight="1" x14ac:dyDescent="0.25">
      <c r="A119" s="3" t="s">
        <v>802</v>
      </c>
      <c r="B119" s="2" t="s">
        <v>803</v>
      </c>
      <c r="C119" s="2" t="s">
        <v>795</v>
      </c>
      <c r="D119" s="2" t="s">
        <v>15</v>
      </c>
      <c r="E119" s="4" t="str">
        <f>IF(ISERROR("TREGR13"),"",HYPERLINK("#INDEX('Value Lookup'!A:A,MATCH(A" &amp; ROW() &amp; ",'Value Lookup'!A:A,0))","Value Lookup"))</f>
        <v>Value Lookup</v>
      </c>
      <c r="F119" s="4" t="str">
        <f>IF(ISERROR("TREGR13"),"",HYPERLINK("#INDEX('Frequencies'!A:A,MATCH(A" &amp; ROW() &amp; ",'Frequencies'!A:A,0))","Frequencies"))</f>
        <v>Frequencies</v>
      </c>
      <c r="G119" s="2"/>
      <c r="H119" s="2"/>
      <c r="I119" s="2"/>
      <c r="J119" s="2">
        <v>90</v>
      </c>
      <c r="K119" s="2"/>
      <c r="L119" s="2"/>
    </row>
    <row r="120" spans="1:12" ht="50.1" customHeight="1" x14ac:dyDescent="0.25">
      <c r="A120" s="3" t="s">
        <v>804</v>
      </c>
      <c r="B120" s="2" t="s">
        <v>805</v>
      </c>
      <c r="C120" s="2" t="s">
        <v>795</v>
      </c>
      <c r="D120" s="2" t="s">
        <v>15</v>
      </c>
      <c r="E120" s="4" t="str">
        <f>IF(ISERROR("TREGR14"),"",HYPERLINK("#INDEX('Value Lookup'!A:A,MATCH(A" &amp; ROW() &amp; ",'Value Lookup'!A:A,0))","Value Lookup"))</f>
        <v>Value Lookup</v>
      </c>
      <c r="F120" s="4" t="str">
        <f>IF(ISERROR("TREGR14"),"",HYPERLINK("#INDEX('Frequencies'!A:A,MATCH(A" &amp; ROW() &amp; ",'Frequencies'!A:A,0))","Frequencies"))</f>
        <v>Frequencies</v>
      </c>
      <c r="G120" s="2"/>
      <c r="H120" s="2"/>
      <c r="I120" s="2"/>
      <c r="J120" s="2">
        <v>91</v>
      </c>
      <c r="K120" s="2"/>
      <c r="L120" s="2"/>
    </row>
    <row r="121" spans="1:12" ht="50.1" customHeight="1" x14ac:dyDescent="0.25">
      <c r="A121" s="3" t="s">
        <v>806</v>
      </c>
      <c r="B121" s="2" t="s">
        <v>807</v>
      </c>
      <c r="C121" s="2" t="s">
        <v>795</v>
      </c>
      <c r="D121" s="2" t="s">
        <v>15</v>
      </c>
      <c r="E121" s="4" t="str">
        <f>IF(ISERROR("TREGR15"),"",HYPERLINK("#INDEX('Value Lookup'!A:A,MATCH(A" &amp; ROW() &amp; ",'Value Lookup'!A:A,0))","Value Lookup"))</f>
        <v>Value Lookup</v>
      </c>
      <c r="F121" s="4" t="str">
        <f>IF(ISERROR("TREGR15"),"",HYPERLINK("#INDEX('Frequencies'!A:A,MATCH(A" &amp; ROW() &amp; ",'Frequencies'!A:A,0))","Frequencies"))</f>
        <v>Frequencies</v>
      </c>
      <c r="G121" s="2"/>
      <c r="H121" s="2"/>
      <c r="I121" s="2"/>
      <c r="J121" s="2">
        <v>92</v>
      </c>
      <c r="K121" s="2"/>
      <c r="L121" s="2"/>
    </row>
    <row r="122" spans="1:12" ht="50.1" customHeight="1" x14ac:dyDescent="0.25">
      <c r="A122" s="3" t="s">
        <v>808</v>
      </c>
      <c r="B122" s="2" t="s">
        <v>809</v>
      </c>
      <c r="C122" s="2" t="s">
        <v>795</v>
      </c>
      <c r="D122" s="2" t="s">
        <v>15</v>
      </c>
      <c r="E122" s="4" t="str">
        <f>IF(ISERROR("TREGR16"),"",HYPERLINK("#INDEX('Value Lookup'!A:A,MATCH(A" &amp; ROW() &amp; ",'Value Lookup'!A:A,0))","Value Lookup"))</f>
        <v>Value Lookup</v>
      </c>
      <c r="F122" s="4" t="str">
        <f>IF(ISERROR("TREGR16"),"",HYPERLINK("#INDEX('Frequencies'!A:A,MATCH(A" &amp; ROW() &amp; ",'Frequencies'!A:A,0))","Frequencies"))</f>
        <v>Frequencies</v>
      </c>
      <c r="G122" s="2"/>
      <c r="H122" s="2"/>
      <c r="I122" s="2"/>
      <c r="J122" s="2">
        <v>93</v>
      </c>
      <c r="K122" s="2"/>
      <c r="L122" s="2"/>
    </row>
    <row r="123" spans="1:12" ht="50.1" customHeight="1" x14ac:dyDescent="0.25">
      <c r="A123" s="3" t="s">
        <v>810</v>
      </c>
      <c r="B123" s="2" t="s">
        <v>811</v>
      </c>
      <c r="C123" s="2" t="s">
        <v>795</v>
      </c>
      <c r="D123" s="2" t="s">
        <v>15</v>
      </c>
      <c r="E123" s="4" t="str">
        <f>IF(ISERROR("TREGR17"),"",HYPERLINK("#INDEX('Value Lookup'!A:A,MATCH(A" &amp; ROW() &amp; ",'Value Lookup'!A:A,0))","Value Lookup"))</f>
        <v>Value Lookup</v>
      </c>
      <c r="F123" s="4" t="str">
        <f>IF(ISERROR("TREGR17"),"",HYPERLINK("#INDEX('Frequencies'!A:A,MATCH(A" &amp; ROW() &amp; ",'Frequencies'!A:A,0))","Frequencies"))</f>
        <v>Frequencies</v>
      </c>
      <c r="G123" s="2"/>
      <c r="H123" s="2"/>
      <c r="I123" s="2"/>
      <c r="J123" s="2">
        <v>94</v>
      </c>
      <c r="K123" s="2"/>
      <c r="L123" s="2"/>
    </row>
    <row r="124" spans="1:12" ht="50.1" customHeight="1" x14ac:dyDescent="0.25">
      <c r="A124" s="3" t="s">
        <v>812</v>
      </c>
      <c r="B124" s="2" t="s">
        <v>813</v>
      </c>
      <c r="C124" s="2" t="s">
        <v>795</v>
      </c>
      <c r="D124" s="2" t="s">
        <v>15</v>
      </c>
      <c r="E124" s="4" t="str">
        <f>IF(ISERROR("TREGR18"),"",HYPERLINK("#INDEX('Value Lookup'!A:A,MATCH(A" &amp; ROW() &amp; ",'Value Lookup'!A:A,0))","Value Lookup"))</f>
        <v>Value Lookup</v>
      </c>
      <c r="F124" s="4" t="str">
        <f>IF(ISERROR("TREGR18"),"",HYPERLINK("#INDEX('Frequencies'!A:A,MATCH(A" &amp; ROW() &amp; ",'Frequencies'!A:A,0))","Frequencies"))</f>
        <v>Frequencies</v>
      </c>
      <c r="G124" s="2"/>
      <c r="H124" s="2"/>
      <c r="I124" s="2"/>
      <c r="J124" s="2">
        <v>95</v>
      </c>
      <c r="K124" s="2"/>
      <c r="L124" s="2"/>
    </row>
    <row r="125" spans="1:12" ht="50.1" customHeight="1" x14ac:dyDescent="0.25">
      <c r="A125" s="3" t="s">
        <v>814</v>
      </c>
      <c r="B125" s="2" t="s">
        <v>815</v>
      </c>
      <c r="C125" s="2" t="s">
        <v>795</v>
      </c>
      <c r="D125" s="2" t="s">
        <v>15</v>
      </c>
      <c r="E125" s="4" t="str">
        <f>IF(ISERROR("TREGR19"),"",HYPERLINK("#INDEX('Value Lookup'!A:A,MATCH(A" &amp; ROW() &amp; ",'Value Lookup'!A:A,0))","Value Lookup"))</f>
        <v>Value Lookup</v>
      </c>
      <c r="F125" s="4" t="str">
        <f>IF(ISERROR("TREGR19"),"",HYPERLINK("#INDEX('Frequencies'!A:A,MATCH(A" &amp; ROW() &amp; ",'Frequencies'!A:A,0))","Frequencies"))</f>
        <v>Frequencies</v>
      </c>
      <c r="G125" s="2"/>
      <c r="H125" s="2"/>
      <c r="I125" s="2"/>
      <c r="J125" s="2">
        <v>96</v>
      </c>
      <c r="K125" s="2"/>
      <c r="L125" s="2"/>
    </row>
    <row r="126" spans="1:12" ht="50.1" customHeight="1" x14ac:dyDescent="0.25">
      <c r="A126" s="3" t="s">
        <v>818</v>
      </c>
      <c r="B126" s="2" t="s">
        <v>819</v>
      </c>
      <c r="C126" s="2" t="s">
        <v>795</v>
      </c>
      <c r="D126" s="2" t="s">
        <v>15</v>
      </c>
      <c r="E126" s="4" t="str">
        <f>IF(ISERROR("TREGR20"),"",HYPERLINK("#INDEX('Value Lookup'!A:A,MATCH(A" &amp; ROW() &amp; ",'Value Lookup'!A:A,0))","Value Lookup"))</f>
        <v>Value Lookup</v>
      </c>
      <c r="F126" s="4" t="str">
        <f>IF(ISERROR("TREGR20"),"",HYPERLINK("#INDEX('Frequencies'!A:A,MATCH(A" &amp; ROW() &amp; ",'Frequencies'!A:A,0))","Frequencies"))</f>
        <v>Frequencies</v>
      </c>
      <c r="G126" s="2"/>
      <c r="H126" s="2"/>
      <c r="I126" s="2"/>
      <c r="J126" s="2">
        <v>97</v>
      </c>
      <c r="K126" s="2"/>
      <c r="L126" s="2"/>
    </row>
    <row r="127" spans="1:12" ht="50.1" customHeight="1" x14ac:dyDescent="0.25">
      <c r="A127" s="3" t="s">
        <v>836</v>
      </c>
      <c r="B127" s="2" t="s">
        <v>837</v>
      </c>
      <c r="C127" s="2" t="s">
        <v>795</v>
      </c>
      <c r="D127" s="2" t="s">
        <v>15</v>
      </c>
      <c r="E127" s="4" t="str">
        <f>IF(ISERROR("TREGR_O"),"",HYPERLINK("#INDEX('Value Lookup'!A:A,MATCH(A" &amp; ROW() &amp; ",'Value Lookup'!A:A,0))","Value Lookup"))</f>
        <v>Value Lookup</v>
      </c>
      <c r="F127" s="4" t="str">
        <f>IF(ISERROR("TREGR_O"),"",HYPERLINK("#INDEX('Frequencies'!A:A,MATCH(A" &amp; ROW() &amp; ",'Frequencies'!A:A,0))","Frequencies"))</f>
        <v>Frequencies</v>
      </c>
      <c r="G127" s="2"/>
      <c r="H127" s="2"/>
      <c r="I127" s="2"/>
      <c r="J127" s="2">
        <v>98</v>
      </c>
      <c r="K127" s="2"/>
      <c r="L127" s="2"/>
    </row>
    <row r="128" spans="1:12" ht="50.1" customHeight="1" x14ac:dyDescent="0.25">
      <c r="A128" s="3" t="s">
        <v>834</v>
      </c>
      <c r="B128" s="2" t="s">
        <v>835</v>
      </c>
      <c r="C128" s="2" t="s">
        <v>795</v>
      </c>
      <c r="D128" s="2" t="s">
        <v>15</v>
      </c>
      <c r="E128" s="4" t="str">
        <f>IF(ISERROR("TREGRDK"),"",HYPERLINK("#INDEX('Value Lookup'!A:A,MATCH(A" &amp; ROW() &amp; ",'Value Lookup'!A:A,0))","Value Lookup"))</f>
        <v>Value Lookup</v>
      </c>
      <c r="F128" s="4" t="str">
        <f>IF(ISERROR("TREGRDK"),"",HYPERLINK("#INDEX('Frequencies'!A:A,MATCH(A" &amp; ROW() &amp; ",'Frequencies'!A:A,0))","Frequencies"))</f>
        <v>Frequencies</v>
      </c>
      <c r="G128" s="2"/>
      <c r="H128" s="2"/>
      <c r="I128" s="2"/>
      <c r="J128" s="2">
        <v>99</v>
      </c>
      <c r="K128" s="2"/>
      <c r="L128" s="2"/>
    </row>
    <row r="129" spans="1:12" ht="50.1" customHeight="1" x14ac:dyDescent="0.25">
      <c r="A129" s="3" t="s">
        <v>838</v>
      </c>
      <c r="B129" s="2" t="s">
        <v>839</v>
      </c>
      <c r="C129" s="2" t="s">
        <v>795</v>
      </c>
      <c r="D129" s="2" t="s">
        <v>15</v>
      </c>
      <c r="E129" s="4" t="str">
        <f>IF(ISERROR("TREGRRF"),"",HYPERLINK("#INDEX('Value Lookup'!A:A,MATCH(A" &amp; ROW() &amp; ",'Value Lookup'!A:A,0))","Value Lookup"))</f>
        <v>Value Lookup</v>
      </c>
      <c r="F129" s="4" t="str">
        <f>IF(ISERROR("TREGRRF"),"",HYPERLINK("#INDEX('Frequencies'!A:A,MATCH(A" &amp; ROW() &amp; ",'Frequencies'!A:A,0))","Frequencies"))</f>
        <v>Frequencies</v>
      </c>
      <c r="G129" s="2"/>
      <c r="H129" s="2"/>
      <c r="I129" s="2"/>
      <c r="J129" s="2">
        <v>100</v>
      </c>
      <c r="K129" s="2"/>
      <c r="L129" s="2"/>
    </row>
    <row r="130" spans="1:12" ht="50.1" customHeight="1" x14ac:dyDescent="0.25">
      <c r="A130" s="3" t="s">
        <v>351</v>
      </c>
      <c r="B130" s="2" t="s">
        <v>352</v>
      </c>
      <c r="C130" s="2" t="s">
        <v>353</v>
      </c>
      <c r="D130" s="2" t="s">
        <v>15</v>
      </c>
      <c r="E130" s="4" t="str">
        <f>IF(ISERROR("HOWFRPOS"),"",HYPERLINK("#INDEX('Value Lookup'!A:A,MATCH(A" &amp; ROW() &amp; ",'Value Lookup'!A:A,0))","Value Lookup"))</f>
        <v>Value Lookup</v>
      </c>
      <c r="F130" s="4" t="str">
        <f>IF(ISERROR("HOWFRPOS"),"",HYPERLINK("#INDEX('Frequencies'!A:A,MATCH(A" &amp; ROW() &amp; ",'Frequencies'!A:A,0))","Frequencies"))</f>
        <v>Frequencies</v>
      </c>
      <c r="G130" s="2"/>
      <c r="H130" s="2"/>
      <c r="I130" s="2"/>
      <c r="J130" s="2">
        <v>101</v>
      </c>
      <c r="K130" s="2"/>
      <c r="L130" s="2"/>
    </row>
    <row r="131" spans="1:12" ht="50.1" customHeight="1" x14ac:dyDescent="0.25">
      <c r="A131" s="3" t="s">
        <v>478</v>
      </c>
      <c r="B131" s="2" t="s">
        <v>479</v>
      </c>
      <c r="C131" s="2"/>
      <c r="D131" s="2" t="s">
        <v>15</v>
      </c>
      <c r="E131" s="4" t="str">
        <f>IF(ISERROR("ONTD_P1"),"",HYPERLINK("#INDEX('Value Lookup'!A:A,MATCH(A" &amp; ROW() &amp; ",'Value Lookup'!A:A,0))","Value Lookup"))</f>
        <v>Value Lookup</v>
      </c>
      <c r="F131" s="4" t="str">
        <f>IF(ISERROR("ONTD_P1"),"",HYPERLINK("#INDEX('Frequencies'!A:A,MATCH(A" &amp; ROW() &amp; ",'Frequencies'!A:A,0))","Frequencies"))</f>
        <v>Frequencies</v>
      </c>
      <c r="G131" s="2"/>
      <c r="H131" s="2"/>
      <c r="I131" s="2"/>
      <c r="J131" s="2">
        <v>102</v>
      </c>
      <c r="K131" s="2"/>
      <c r="L131" s="2"/>
    </row>
    <row r="132" spans="1:12" ht="50.1" customHeight="1" x14ac:dyDescent="0.25">
      <c r="A132" s="3" t="s">
        <v>492</v>
      </c>
      <c r="B132" s="2" t="s">
        <v>493</v>
      </c>
      <c r="C132" s="2"/>
      <c r="D132" s="2" t="s">
        <v>15</v>
      </c>
      <c r="E132" s="4" t="str">
        <f>IF(ISERROR("ONTD_P2"),"",HYPERLINK("#INDEX('Value Lookup'!A:A,MATCH(A" &amp; ROW() &amp; ",'Value Lookup'!A:A,0))","Value Lookup"))</f>
        <v>Value Lookup</v>
      </c>
      <c r="F132" s="4" t="str">
        <f>IF(ISERROR("ONTD_P2"),"",HYPERLINK("#INDEX('Frequencies'!A:A,MATCH(A" &amp; ROW() &amp; ",'Frequencies'!A:A,0))","Frequencies"))</f>
        <v>Frequencies</v>
      </c>
      <c r="G132" s="2"/>
      <c r="H132" s="2"/>
      <c r="I132" s="2"/>
      <c r="J132" s="2">
        <v>103</v>
      </c>
      <c r="K132" s="2"/>
      <c r="L132" s="2"/>
    </row>
    <row r="133" spans="1:12" ht="50.1" customHeight="1" x14ac:dyDescent="0.25">
      <c r="A133" s="3" t="s">
        <v>494</v>
      </c>
      <c r="B133" s="2" t="s">
        <v>495</v>
      </c>
      <c r="C133" s="2"/>
      <c r="D133" s="2" t="s">
        <v>15</v>
      </c>
      <c r="E133" s="4" t="str">
        <f>IF(ISERROR("ONTD_P3"),"",HYPERLINK("#INDEX('Value Lookup'!A:A,MATCH(A" &amp; ROW() &amp; ",'Value Lookup'!A:A,0))","Value Lookup"))</f>
        <v>Value Lookup</v>
      </c>
      <c r="F133" s="4" t="str">
        <f>IF(ISERROR("ONTD_P3"),"",HYPERLINK("#INDEX('Frequencies'!A:A,MATCH(A" &amp; ROW() &amp; ",'Frequencies'!A:A,0))","Frequencies"))</f>
        <v>Frequencies</v>
      </c>
      <c r="G133" s="2"/>
      <c r="H133" s="2"/>
      <c r="I133" s="2"/>
      <c r="J133" s="2">
        <v>104</v>
      </c>
      <c r="K133" s="2"/>
      <c r="L133" s="2"/>
    </row>
    <row r="134" spans="1:12" ht="50.1" customHeight="1" x14ac:dyDescent="0.25">
      <c r="A134" s="3" t="s">
        <v>496</v>
      </c>
      <c r="B134" s="2" t="s">
        <v>497</v>
      </c>
      <c r="C134" s="2"/>
      <c r="D134" s="2" t="s">
        <v>15</v>
      </c>
      <c r="E134" s="4" t="str">
        <f>IF(ISERROR("ONTD_P4"),"",HYPERLINK("#INDEX('Value Lookup'!A:A,MATCH(A" &amp; ROW() &amp; ",'Value Lookup'!A:A,0))","Value Lookup"))</f>
        <v>Value Lookup</v>
      </c>
      <c r="F134" s="4" t="str">
        <f>IF(ISERROR("ONTD_P4"),"",HYPERLINK("#INDEX('Frequencies'!A:A,MATCH(A" &amp; ROW() &amp; ",'Frequencies'!A:A,0))","Frequencies"))</f>
        <v>Frequencies</v>
      </c>
      <c r="G134" s="2"/>
      <c r="H134" s="2"/>
      <c r="I134" s="2"/>
      <c r="J134" s="2">
        <v>105</v>
      </c>
      <c r="K134" s="2"/>
      <c r="L134" s="2"/>
    </row>
    <row r="135" spans="1:12" ht="50.1" customHeight="1" x14ac:dyDescent="0.25">
      <c r="A135" s="3" t="s">
        <v>498</v>
      </c>
      <c r="B135" s="2" t="s">
        <v>499</v>
      </c>
      <c r="C135" s="2"/>
      <c r="D135" s="2" t="s">
        <v>15</v>
      </c>
      <c r="E135" s="4" t="str">
        <f>IF(ISERROR("ONTD_P5"),"",HYPERLINK("#INDEX('Value Lookup'!A:A,MATCH(A" &amp; ROW() &amp; ",'Value Lookup'!A:A,0))","Value Lookup"))</f>
        <v>Value Lookup</v>
      </c>
      <c r="F135" s="4" t="str">
        <f>IF(ISERROR("ONTD_P5"),"",HYPERLINK("#INDEX('Frequencies'!A:A,MATCH(A" &amp; ROW() &amp; ",'Frequencies'!A:A,0))","Frequencies"))</f>
        <v>Frequencies</v>
      </c>
      <c r="G135" s="2"/>
      <c r="H135" s="2"/>
      <c r="I135" s="2"/>
      <c r="J135" s="2">
        <v>106</v>
      </c>
      <c r="K135" s="2"/>
      <c r="L135" s="2"/>
    </row>
    <row r="136" spans="1:12" ht="50.1" customHeight="1" x14ac:dyDescent="0.25">
      <c r="A136" s="3" t="s">
        <v>500</v>
      </c>
      <c r="B136" s="2" t="s">
        <v>501</v>
      </c>
      <c r="C136" s="2"/>
      <c r="D136" s="2" t="s">
        <v>15</v>
      </c>
      <c r="E136" s="4" t="str">
        <f>IF(ISERROR("ONTD_P6"),"",HYPERLINK("#INDEX('Value Lookup'!A:A,MATCH(A" &amp; ROW() &amp; ",'Value Lookup'!A:A,0))","Value Lookup"))</f>
        <v>Value Lookup</v>
      </c>
      <c r="F136" s="4" t="str">
        <f>IF(ISERROR("ONTD_P6"),"",HYPERLINK("#INDEX('Frequencies'!A:A,MATCH(A" &amp; ROW() &amp; ",'Frequencies'!A:A,0))","Frequencies"))</f>
        <v>Frequencies</v>
      </c>
      <c r="G136" s="2"/>
      <c r="H136" s="2"/>
      <c r="I136" s="2"/>
      <c r="J136" s="2">
        <v>107</v>
      </c>
      <c r="K136" s="2"/>
      <c r="L136" s="2"/>
    </row>
    <row r="137" spans="1:12" ht="50.1" customHeight="1" x14ac:dyDescent="0.25">
      <c r="A137" s="3" t="s">
        <v>502</v>
      </c>
      <c r="B137" s="2" t="s">
        <v>503</v>
      </c>
      <c r="C137" s="2"/>
      <c r="D137" s="2" t="s">
        <v>15</v>
      </c>
      <c r="E137" s="4" t="str">
        <f>IF(ISERROR("ONTD_P7"),"",HYPERLINK("#INDEX('Value Lookup'!A:A,MATCH(A" &amp; ROW() &amp; ",'Value Lookup'!A:A,0))","Value Lookup"))</f>
        <v>Value Lookup</v>
      </c>
      <c r="F137" s="4" t="str">
        <f>IF(ISERROR("ONTD_P7"),"",HYPERLINK("#INDEX('Frequencies'!A:A,MATCH(A" &amp; ROW() &amp; ",'Frequencies'!A:A,0))","Frequencies"))</f>
        <v>Frequencies</v>
      </c>
      <c r="G137" s="2"/>
      <c r="H137" s="2"/>
      <c r="I137" s="2"/>
      <c r="J137" s="2">
        <v>108</v>
      </c>
      <c r="K137" s="2"/>
      <c r="L137" s="2"/>
    </row>
    <row r="138" spans="1:12" ht="50.1" customHeight="1" x14ac:dyDescent="0.25">
      <c r="A138" s="3" t="s">
        <v>504</v>
      </c>
      <c r="B138" s="2" t="s">
        <v>505</v>
      </c>
      <c r="C138" s="2"/>
      <c r="D138" s="2" t="s">
        <v>15</v>
      </c>
      <c r="E138" s="4" t="str">
        <f>IF(ISERROR("ONTD_P8"),"",HYPERLINK("#INDEX('Value Lookup'!A:A,MATCH(A" &amp; ROW() &amp; ",'Value Lookup'!A:A,0))","Value Lookup"))</f>
        <v>Value Lookup</v>
      </c>
      <c r="F138" s="4" t="str">
        <f>IF(ISERROR("ONTD_P8"),"",HYPERLINK("#INDEX('Frequencies'!A:A,MATCH(A" &amp; ROW() &amp; ",'Frequencies'!A:A,0))","Frequencies"))</f>
        <v>Frequencies</v>
      </c>
      <c r="G138" s="2"/>
      <c r="H138" s="2"/>
      <c r="I138" s="2"/>
      <c r="J138" s="2">
        <v>109</v>
      </c>
      <c r="K138" s="2"/>
      <c r="L138" s="2"/>
    </row>
    <row r="139" spans="1:12" ht="50.1" customHeight="1" x14ac:dyDescent="0.25">
      <c r="A139" s="3" t="s">
        <v>506</v>
      </c>
      <c r="B139" s="2" t="s">
        <v>507</v>
      </c>
      <c r="C139" s="2"/>
      <c r="D139" s="2" t="s">
        <v>15</v>
      </c>
      <c r="E139" s="4" t="str">
        <f>IF(ISERROR("ONTD_P9"),"",HYPERLINK("#INDEX('Value Lookup'!A:A,MATCH(A" &amp; ROW() &amp; ",'Value Lookup'!A:A,0))","Value Lookup"))</f>
        <v>Value Lookup</v>
      </c>
      <c r="F139" s="4" t="str">
        <f>IF(ISERROR("ONTD_P9"),"",HYPERLINK("#INDEX('Frequencies'!A:A,MATCH(A" &amp; ROW() &amp; ",'Frequencies'!A:A,0))","Frequencies"))</f>
        <v>Frequencies</v>
      </c>
      <c r="G139" s="2"/>
      <c r="H139" s="2"/>
      <c r="I139" s="2"/>
      <c r="J139" s="2">
        <v>110</v>
      </c>
      <c r="K139" s="2"/>
      <c r="L139" s="2"/>
    </row>
    <row r="140" spans="1:12" ht="50.1" customHeight="1" x14ac:dyDescent="0.25">
      <c r="A140" s="3" t="s">
        <v>480</v>
      </c>
      <c r="B140" s="2" t="s">
        <v>481</v>
      </c>
      <c r="C140" s="2"/>
      <c r="D140" s="2" t="s">
        <v>15</v>
      </c>
      <c r="E140" s="4" t="str">
        <f>IF(ISERROR("ONTD_P10"),"",HYPERLINK("#INDEX('Value Lookup'!A:A,MATCH(A" &amp; ROW() &amp; ",'Value Lookup'!A:A,0))","Value Lookup"))</f>
        <v>Value Lookup</v>
      </c>
      <c r="F140" s="4" t="str">
        <f>IF(ISERROR("ONTD_P10"),"",HYPERLINK("#INDEX('Frequencies'!A:A,MATCH(A" &amp; ROW() &amp; ",'Frequencies'!A:A,0))","Frequencies"))</f>
        <v>Frequencies</v>
      </c>
      <c r="G140" s="2"/>
      <c r="H140" s="2"/>
      <c r="I140" s="2"/>
      <c r="J140" s="2">
        <v>111</v>
      </c>
      <c r="K140" s="2"/>
      <c r="L140" s="2"/>
    </row>
    <row r="141" spans="1:12" ht="50.1" customHeight="1" x14ac:dyDescent="0.25">
      <c r="A141" s="3" t="s">
        <v>482</v>
      </c>
      <c r="B141" s="2" t="s">
        <v>483</v>
      </c>
      <c r="C141" s="2"/>
      <c r="D141" s="2" t="s">
        <v>15</v>
      </c>
      <c r="E141" s="4" t="str">
        <f>IF(ISERROR("ONTD_P11"),"",HYPERLINK("#INDEX('Value Lookup'!A:A,MATCH(A" &amp; ROW() &amp; ",'Value Lookup'!A:A,0))","Value Lookup"))</f>
        <v>Value Lookup</v>
      </c>
      <c r="F141" s="4" t="str">
        <f>IF(ISERROR("ONTD_P11"),"",HYPERLINK("#INDEX('Frequencies'!A:A,MATCH(A" &amp; ROW() &amp; ",'Frequencies'!A:A,0))","Frequencies"))</f>
        <v>Frequencies</v>
      </c>
      <c r="G141" s="2"/>
      <c r="H141" s="2"/>
      <c r="I141" s="2"/>
      <c r="J141" s="2">
        <v>112</v>
      </c>
      <c r="K141" s="2"/>
      <c r="L141" s="2"/>
    </row>
    <row r="142" spans="1:12" ht="50.1" customHeight="1" x14ac:dyDescent="0.25">
      <c r="A142" s="3" t="s">
        <v>484</v>
      </c>
      <c r="B142" s="2" t="s">
        <v>485</v>
      </c>
      <c r="C142" s="2"/>
      <c r="D142" s="2" t="s">
        <v>15</v>
      </c>
      <c r="E142" s="4" t="str">
        <f>IF(ISERROR("ONTD_P12"),"",HYPERLINK("#INDEX('Value Lookup'!A:A,MATCH(A" &amp; ROW() &amp; ",'Value Lookup'!A:A,0))","Value Lookup"))</f>
        <v>Value Lookup</v>
      </c>
      <c r="F142" s="4" t="str">
        <f>IF(ISERROR("ONTD_P12"),"",HYPERLINK("#INDEX('Frequencies'!A:A,MATCH(A" &amp; ROW() &amp; ",'Frequencies'!A:A,0))","Frequencies"))</f>
        <v>Frequencies</v>
      </c>
      <c r="G142" s="2"/>
      <c r="H142" s="2"/>
      <c r="I142" s="2"/>
      <c r="J142" s="2">
        <v>113</v>
      </c>
      <c r="K142" s="2"/>
      <c r="L142" s="2"/>
    </row>
    <row r="143" spans="1:12" ht="50.1" customHeight="1" x14ac:dyDescent="0.25">
      <c r="A143" s="3" t="s">
        <v>486</v>
      </c>
      <c r="B143" s="2" t="s">
        <v>487</v>
      </c>
      <c r="C143" s="2"/>
      <c r="D143" s="2" t="s">
        <v>15</v>
      </c>
      <c r="E143" s="4" t="str">
        <f>IF(ISERROR("ONTD_P13"),"",HYPERLINK("#INDEX('Value Lookup'!A:A,MATCH(A" &amp; ROW() &amp; ",'Value Lookup'!A:A,0))","Value Lookup"))</f>
        <v>Value Lookup</v>
      </c>
      <c r="F143" s="4" t="str">
        <f>IF(ISERROR("ONTD_P13"),"",HYPERLINK("#INDEX('Frequencies'!A:A,MATCH(A" &amp; ROW() &amp; ",'Frequencies'!A:A,0))","Frequencies"))</f>
        <v>Frequencies</v>
      </c>
      <c r="G143" s="2"/>
      <c r="H143" s="2"/>
      <c r="I143" s="2"/>
      <c r="J143" s="2">
        <v>114</v>
      </c>
      <c r="K143" s="2"/>
      <c r="L143" s="2"/>
    </row>
    <row r="144" spans="1:12" ht="50.1" customHeight="1" x14ac:dyDescent="0.25">
      <c r="A144" s="3" t="s">
        <v>488</v>
      </c>
      <c r="B144" s="2" t="s">
        <v>489</v>
      </c>
      <c r="C144" s="2"/>
      <c r="D144" s="2" t="s">
        <v>15</v>
      </c>
      <c r="E144" s="4" t="str">
        <f>IF(ISERROR("ONTD_P14"),"",HYPERLINK("#INDEX('Value Lookup'!A:A,MATCH(A" &amp; ROW() &amp; ",'Value Lookup'!A:A,0))","Value Lookup"))</f>
        <v>Value Lookup</v>
      </c>
      <c r="F144" s="4" t="str">
        <f>IF(ISERROR("ONTD_P14"),"",HYPERLINK("#INDEX('Frequencies'!A:A,MATCH(A" &amp; ROW() &amp; ",'Frequencies'!A:A,0))","Frequencies"))</f>
        <v>Frequencies</v>
      </c>
      <c r="G144" s="2"/>
      <c r="H144" s="2"/>
      <c r="I144" s="2"/>
      <c r="J144" s="2">
        <v>115</v>
      </c>
      <c r="K144" s="2"/>
      <c r="L144" s="2"/>
    </row>
    <row r="145" spans="1:12" ht="50.1" customHeight="1" x14ac:dyDescent="0.25">
      <c r="A145" s="3" t="s">
        <v>490</v>
      </c>
      <c r="B145" s="2" t="s">
        <v>491</v>
      </c>
      <c r="C145" s="2"/>
      <c r="D145" s="2" t="s">
        <v>15</v>
      </c>
      <c r="E145" s="4" t="str">
        <f>IF(ISERROR("ONTD_P15"),"",HYPERLINK("#INDEX('Value Lookup'!A:A,MATCH(A" &amp; ROW() &amp; ",'Value Lookup'!A:A,0))","Value Lookup"))</f>
        <v>Value Lookup</v>
      </c>
      <c r="F145" s="4" t="str">
        <f>IF(ISERROR("ONTD_P15"),"",HYPERLINK("#INDEX('Frequencies'!A:A,MATCH(A" &amp; ROW() &amp; ",'Frequencies'!A:A,0))","Frequencies"))</f>
        <v>Frequencies</v>
      </c>
      <c r="G145" s="2"/>
      <c r="H145" s="2"/>
      <c r="I145" s="2"/>
      <c r="J145" s="2">
        <v>116</v>
      </c>
      <c r="K145" s="2"/>
      <c r="L145" s="2"/>
    </row>
    <row r="146" spans="1:12" ht="50.1" customHeight="1" x14ac:dyDescent="0.25">
      <c r="A146" s="3" t="s">
        <v>723</v>
      </c>
      <c r="B146" s="2" t="s">
        <v>724</v>
      </c>
      <c r="C146" s="2"/>
      <c r="D146" s="2" t="s">
        <v>15</v>
      </c>
      <c r="E146" s="2" t="str">
        <f>IF(ISERROR("TDCASEID"),"","NA")</f>
        <v>NA</v>
      </c>
      <c r="F146" s="4" t="str">
        <f>IF(ISERROR("TDCASEID"),"",HYPERLINK("#INDEX('Frequencies'!A:A,MATCH(A" &amp; ROW() &amp; ",'Frequencies'!A:A,0))","Frequencies"))</f>
        <v>Frequencies</v>
      </c>
      <c r="G146" s="2"/>
      <c r="H146" s="2"/>
      <c r="I146" s="2"/>
      <c r="J146" s="2">
        <v>117</v>
      </c>
      <c r="K146" s="2"/>
      <c r="L146" s="2"/>
    </row>
    <row r="147" spans="1:12" ht="50.1" customHeight="1" x14ac:dyDescent="0.25">
      <c r="A147" s="3" t="s">
        <v>521</v>
      </c>
      <c r="B147" s="2" t="s">
        <v>522</v>
      </c>
      <c r="C147" s="2"/>
      <c r="D147" s="2" t="s">
        <v>15</v>
      </c>
      <c r="E147" s="2" t="str">
        <f>IF(ISERROR("PERINDT2"),"","NA")</f>
        <v>NA</v>
      </c>
      <c r="F147" s="4" t="str">
        <f>IF(ISERROR("PERINDT2"),"",HYPERLINK("#INDEX('Frequencies'!A:A,MATCH(A" &amp; ROW() &amp; ",'Frequencies'!A:A,0))","Frequencies"))</f>
        <v>Frequencies</v>
      </c>
      <c r="G147" s="2"/>
      <c r="H147" s="2">
        <v>3</v>
      </c>
      <c r="I147" s="2"/>
      <c r="J147" s="2"/>
      <c r="K147" s="2"/>
      <c r="L147" s="2"/>
    </row>
    <row r="148" spans="1:12" ht="50.1" customHeight="1" x14ac:dyDescent="0.25">
      <c r="A148" s="3" t="s">
        <v>614</v>
      </c>
      <c r="B148" s="2" t="s">
        <v>615</v>
      </c>
      <c r="C148" s="2" t="s">
        <v>616</v>
      </c>
      <c r="D148" s="2" t="s">
        <v>41</v>
      </c>
      <c r="E148" s="2" t="s">
        <v>7044</v>
      </c>
      <c r="F148" s="4" t="str">
        <f>IF(ISERROR("R_AGE"),"",HYPERLINK("#INDEX('Frequencies'!A:A,MATCH(A" &amp; ROW() &amp; ",'Frequencies'!A:A,0))","Frequencies"))</f>
        <v>Frequencies</v>
      </c>
      <c r="G148" s="2"/>
      <c r="H148" s="2">
        <v>4</v>
      </c>
      <c r="I148" s="2"/>
      <c r="J148" s="2"/>
      <c r="K148" s="2"/>
      <c r="L148" s="2"/>
    </row>
    <row r="149" spans="1:12" ht="50.1" customHeight="1" x14ac:dyDescent="0.25">
      <c r="A149" s="3" t="s">
        <v>12</v>
      </c>
      <c r="B149" s="2" t="s">
        <v>13</v>
      </c>
      <c r="C149" s="2" t="s">
        <v>14</v>
      </c>
      <c r="D149" s="2" t="s">
        <v>15</v>
      </c>
      <c r="E149" s="4" t="str">
        <f>IF(ISERROR("AGERANGE"),"",HYPERLINK("#INDEX('Value Lookup'!A:A,MATCH(A" &amp; ROW() &amp; ",'Value Lookup'!A:A,0))","Value Lookup"))</f>
        <v>Value Lookup</v>
      </c>
      <c r="F149" s="4" t="str">
        <f>IF(ISERROR("AGERANGE"),"",HYPERLINK("#INDEX('Frequencies'!A:A,MATCH(A" &amp; ROW() &amp; ",'Frequencies'!A:A,0))","Frequencies"))</f>
        <v>Frequencies</v>
      </c>
      <c r="G149" s="2"/>
      <c r="H149" s="2">
        <v>5</v>
      </c>
      <c r="I149" s="2"/>
      <c r="J149" s="2"/>
      <c r="K149" s="2"/>
      <c r="L149" s="2"/>
    </row>
    <row r="150" spans="1:12" ht="50.1" customHeight="1" x14ac:dyDescent="0.25">
      <c r="A150" s="3" t="s">
        <v>194</v>
      </c>
      <c r="B150" s="2" t="s">
        <v>195</v>
      </c>
      <c r="C150" s="2" t="s">
        <v>196</v>
      </c>
      <c r="D150" s="2" t="s">
        <v>15</v>
      </c>
      <c r="E150" s="4" t="str">
        <f>IF(ISERROR("DRVR"),"",HYPERLINK("#INDEX('Value Lookup'!A:A,MATCH(A" &amp; ROW() &amp; ",'Value Lookup'!A:A,0))","Value Lookup"))</f>
        <v>Value Lookup</v>
      </c>
      <c r="F150" s="4" t="str">
        <f>IF(ISERROR("DRVR"),"",HYPERLINK("#INDEX('Frequencies'!A:A,MATCH(A" &amp; ROW() &amp; ",'Frequencies'!A:A,0))","Frequencies"))</f>
        <v>Frequencies</v>
      </c>
      <c r="G150" s="2"/>
      <c r="H150" s="2">
        <v>6</v>
      </c>
      <c r="I150" s="2"/>
      <c r="J150" s="2"/>
      <c r="K150" s="2"/>
      <c r="L150" s="2"/>
    </row>
    <row r="151" spans="1:12" ht="50.1" customHeight="1" x14ac:dyDescent="0.25">
      <c r="A151" s="3" t="s">
        <v>203</v>
      </c>
      <c r="B151" s="2" t="s">
        <v>204</v>
      </c>
      <c r="C151" s="2" t="s">
        <v>205</v>
      </c>
      <c r="D151" s="2" t="s">
        <v>15</v>
      </c>
      <c r="E151" s="4" t="str">
        <f>IF(ISERROR("EDUC"),"",HYPERLINK("#INDEX('Value Lookup'!A:A,MATCH(A" &amp; ROW() &amp; ",'Value Lookup'!A:A,0))","Value Lookup"))</f>
        <v>Value Lookup</v>
      </c>
      <c r="F151" s="4" t="str">
        <f>IF(ISERROR("EDUC"),"",HYPERLINK("#INDEX('Frequencies'!A:A,MATCH(A" &amp; ROW() &amp; ",'Frequencies'!A:A,0))","Frequencies"))</f>
        <v>Frequencies</v>
      </c>
      <c r="G151" s="2"/>
      <c r="H151" s="2">
        <v>7</v>
      </c>
      <c r="I151" s="2"/>
      <c r="J151" s="2"/>
      <c r="K151" s="2"/>
      <c r="L151" s="2"/>
    </row>
    <row r="152" spans="1:12" ht="50.1" customHeight="1" x14ac:dyDescent="0.25">
      <c r="A152" s="3" t="s">
        <v>642</v>
      </c>
      <c r="B152" s="2" t="s">
        <v>643</v>
      </c>
      <c r="C152" s="2" t="s">
        <v>644</v>
      </c>
      <c r="D152" s="2" t="s">
        <v>15</v>
      </c>
      <c r="E152" s="4" t="str">
        <f>IF(ISERROR("R_HISP"),"",HYPERLINK("#INDEX('Value Lookup'!A:A,MATCH(A" &amp; ROW() &amp; ",'Value Lookup'!A:A,0))","Value Lookup"))</f>
        <v>Value Lookup</v>
      </c>
      <c r="F152" s="4" t="str">
        <f>IF(ISERROR("R_HISP"),"",HYPERLINK("#INDEX('Frequencies'!A:A,MATCH(A" &amp; ROW() &amp; ",'Frequencies'!A:A,0))","Frequencies"))</f>
        <v>Frequencies</v>
      </c>
      <c r="G152" s="2"/>
      <c r="H152" s="2">
        <v>8</v>
      </c>
      <c r="I152" s="2"/>
      <c r="J152" s="2"/>
      <c r="K152" s="2"/>
      <c r="L152" s="2"/>
    </row>
    <row r="153" spans="1:12" ht="50.1" customHeight="1" x14ac:dyDescent="0.25">
      <c r="A153" s="3" t="s">
        <v>654</v>
      </c>
      <c r="B153" s="2" t="s">
        <v>655</v>
      </c>
      <c r="C153" s="2" t="s">
        <v>656</v>
      </c>
      <c r="D153" s="2" t="s">
        <v>15</v>
      </c>
      <c r="E153" s="4" t="str">
        <f>IF(ISERROR("R_RELAT"),"",HYPERLINK("#INDEX('Value Lookup'!A:A,MATCH(A" &amp; ROW() &amp; ",'Value Lookup'!A:A,0))","Value Lookup"))</f>
        <v>Value Lookup</v>
      </c>
      <c r="F153" s="4" t="str">
        <f>IF(ISERROR("R_RELAT"),"",HYPERLINK("#INDEX('Frequencies'!A:A,MATCH(A" &amp; ROW() &amp; ",'Frequencies'!A:A,0))","Frequencies"))</f>
        <v>Frequencies</v>
      </c>
      <c r="G153" s="2"/>
      <c r="H153" s="2">
        <v>9</v>
      </c>
      <c r="I153" s="2"/>
      <c r="J153" s="2"/>
      <c r="K153" s="2"/>
      <c r="L153" s="2"/>
    </row>
    <row r="154" spans="1:12" ht="50.1" customHeight="1" x14ac:dyDescent="0.25">
      <c r="A154" s="3" t="s">
        <v>658</v>
      </c>
      <c r="B154" s="2" t="s">
        <v>659</v>
      </c>
      <c r="C154" s="2" t="s">
        <v>660</v>
      </c>
      <c r="D154" s="2" t="s">
        <v>15</v>
      </c>
      <c r="E154" s="4" t="str">
        <f>IF(ISERROR("R_SEX"),"",HYPERLINK("#INDEX('Value Lookup'!A:A,MATCH(A" &amp; ROW() &amp; ",'Value Lookup'!A:A,0))","Value Lookup"))</f>
        <v>Value Lookup</v>
      </c>
      <c r="F154" s="4" t="str">
        <f>IF(ISERROR("R_SEX"),"",HYPERLINK("#INDEX('Frequencies'!A:A,MATCH(A" &amp; ROW() &amp; ",'Frequencies'!A:A,0))","Frequencies"))</f>
        <v>Frequencies</v>
      </c>
      <c r="G154" s="2"/>
      <c r="H154" s="2">
        <v>10</v>
      </c>
      <c r="I154" s="2"/>
      <c r="J154" s="2"/>
      <c r="K154" s="2"/>
      <c r="L154" s="2"/>
    </row>
    <row r="155" spans="1:12" ht="50.1" customHeight="1" x14ac:dyDescent="0.25">
      <c r="A155" s="3" t="s">
        <v>650</v>
      </c>
      <c r="B155" s="2" t="s">
        <v>651</v>
      </c>
      <c r="C155" s="2"/>
      <c r="D155" s="2" t="s">
        <v>15</v>
      </c>
      <c r="E155" s="4" t="str">
        <f>IF(ISERROR("R_RACE"),"",HYPERLINK("#INDEX('Value Lookup'!A:A,MATCH(A" &amp; ROW() &amp; ",'Value Lookup'!A:A,0))","Value Lookup"))</f>
        <v>Value Lookup</v>
      </c>
      <c r="F155" s="4" t="str">
        <f>IF(ISERROR("R_RACE"),"",HYPERLINK("#INDEX('Frequencies'!A:A,MATCH(A" &amp; ROW() &amp; ",'Frequencies'!A:A,0))","Frequencies"))</f>
        <v>Frequencies</v>
      </c>
      <c r="G155" s="2"/>
      <c r="H155" s="2">
        <v>11</v>
      </c>
      <c r="I155" s="2"/>
      <c r="J155" s="2"/>
      <c r="K155" s="2"/>
      <c r="L155" s="2"/>
    </row>
    <row r="156" spans="1:12" ht="50.1" customHeight="1" x14ac:dyDescent="0.25">
      <c r="A156" s="3" t="s">
        <v>534</v>
      </c>
      <c r="B156" s="2" t="s">
        <v>535</v>
      </c>
      <c r="C156" s="2" t="s">
        <v>536</v>
      </c>
      <c r="D156" s="2" t="s">
        <v>15</v>
      </c>
      <c r="E156" s="4" t="str">
        <f>IF(ISERROR("PRMACT"),"",HYPERLINK("#INDEX('Value Lookup'!A:A,MATCH(A" &amp; ROW() &amp; ",'Value Lookup'!A:A,0))","Value Lookup"))</f>
        <v>Value Lookup</v>
      </c>
      <c r="F156" s="4" t="str">
        <f>IF(ISERROR("PRMACT"),"",HYPERLINK("#INDEX('Frequencies'!A:A,MATCH(A" &amp; ROW() &amp; ",'Frequencies'!A:A,0))","Frequencies"))</f>
        <v>Frequencies</v>
      </c>
      <c r="G156" s="2"/>
      <c r="H156" s="2">
        <v>12</v>
      </c>
      <c r="I156" s="2"/>
      <c r="J156" s="2"/>
      <c r="K156" s="2"/>
      <c r="L156" s="2"/>
    </row>
    <row r="157" spans="1:12" ht="50.1" customHeight="1" x14ac:dyDescent="0.25">
      <c r="A157" s="3" t="s">
        <v>515</v>
      </c>
      <c r="B157" s="2" t="s">
        <v>516</v>
      </c>
      <c r="C157" s="2" t="s">
        <v>517</v>
      </c>
      <c r="D157" s="2" t="s">
        <v>15</v>
      </c>
      <c r="E157" s="4" t="str">
        <f>IF(ISERROR("PAYPROF"),"",HYPERLINK("#INDEX('Value Lookup'!A:A,MATCH(A" &amp; ROW() &amp; ",'Value Lookup'!A:A,0))","Value Lookup"))</f>
        <v>Value Lookup</v>
      </c>
      <c r="F157" s="4" t="str">
        <f>IF(ISERROR("PAYPROF"),"",HYPERLINK("#INDEX('Frequencies'!A:A,MATCH(A" &amp; ROW() &amp; ",'Frequencies'!A:A,0))","Frequencies"))</f>
        <v>Frequencies</v>
      </c>
      <c r="G157" s="2"/>
      <c r="H157" s="2">
        <v>13</v>
      </c>
      <c r="I157" s="2"/>
      <c r="J157" s="2"/>
      <c r="K157" s="2"/>
      <c r="L157" s="2"/>
    </row>
    <row r="158" spans="1:12" ht="50.1" customHeight="1" x14ac:dyDescent="0.25">
      <c r="A158" s="3" t="s">
        <v>246</v>
      </c>
      <c r="B158" s="2" t="s">
        <v>247</v>
      </c>
      <c r="C158" s="2" t="s">
        <v>248</v>
      </c>
      <c r="D158" s="2" t="s">
        <v>15</v>
      </c>
      <c r="E158" s="4" t="str">
        <f>IF(ISERROR("GT1JBLWK"),"",HYPERLINK("#INDEX('Value Lookup'!A:A,MATCH(A" &amp; ROW() &amp; ",'Value Lookup'!A:A,0))","Value Lookup"))</f>
        <v>Value Lookup</v>
      </c>
      <c r="F158" s="4" t="str">
        <f>IF(ISERROR("GT1JBLWK"),"",HYPERLINK("#INDEX('Frequencies'!A:A,MATCH(A" &amp; ROW() &amp; ",'Frequencies'!A:A,0))","Frequencies"))</f>
        <v>Frequencies</v>
      </c>
      <c r="G158" s="2"/>
      <c r="H158" s="2">
        <v>14</v>
      </c>
      <c r="I158" s="2"/>
      <c r="J158" s="2"/>
      <c r="K158" s="2"/>
      <c r="L158" s="2"/>
    </row>
    <row r="159" spans="1:12" ht="50.1" customHeight="1" x14ac:dyDescent="0.25">
      <c r="A159" s="3" t="s">
        <v>1044</v>
      </c>
      <c r="B159" s="2" t="s">
        <v>1045</v>
      </c>
      <c r="C159" s="2" t="s">
        <v>1046</v>
      </c>
      <c r="D159" s="2" t="s">
        <v>15</v>
      </c>
      <c r="E159" s="4" t="str">
        <f>IF(ISERROR("WRK_HOME"),"",HYPERLINK("#INDEX('Value Lookup'!A:A,MATCH(A" &amp; ROW() &amp; ",'Value Lookup'!A:A,0))","Value Lookup"))</f>
        <v>Value Lookup</v>
      </c>
      <c r="F159" s="4" t="str">
        <f>IF(ISERROR("WRK_HOME"),"",HYPERLINK("#INDEX('Frequencies'!A:A,MATCH(A" &amp; ROW() &amp; ",'Frequencies'!A:A,0))","Frequencies"))</f>
        <v>Frequencies</v>
      </c>
      <c r="G159" s="2"/>
      <c r="H159" s="2">
        <v>15</v>
      </c>
      <c r="I159" s="2"/>
      <c r="J159" s="2"/>
      <c r="K159" s="2"/>
      <c r="L159" s="2"/>
    </row>
    <row r="160" spans="1:12" ht="50.1" customHeight="1" x14ac:dyDescent="0.25">
      <c r="A160" s="3" t="s">
        <v>992</v>
      </c>
      <c r="B160" s="2" t="s">
        <v>993</v>
      </c>
      <c r="C160" s="2" t="s">
        <v>994</v>
      </c>
      <c r="D160" s="2" t="s">
        <v>15</v>
      </c>
      <c r="E160" s="4" t="str">
        <f>IF(ISERROR("WKFTPT"),"",HYPERLINK("#INDEX('Value Lookup'!A:A,MATCH(A" &amp; ROW() &amp; ",'Value Lookup'!A:A,0))","Value Lookup"))</f>
        <v>Value Lookup</v>
      </c>
      <c r="F160" s="4" t="str">
        <f>IF(ISERROR("WKFTPT"),"",HYPERLINK("#INDEX('Frequencies'!A:A,MATCH(A" &amp; ROW() &amp; ",'Frequencies'!A:A,0))","Frequencies"))</f>
        <v>Frequencies</v>
      </c>
      <c r="G160" s="2"/>
      <c r="H160" s="2">
        <v>16</v>
      </c>
      <c r="I160" s="2"/>
      <c r="J160" s="2"/>
      <c r="K160" s="2"/>
      <c r="L160" s="2"/>
    </row>
    <row r="161" spans="1:12" ht="50.1" customHeight="1" x14ac:dyDescent="0.25">
      <c r="A161" s="3" t="s">
        <v>1054</v>
      </c>
      <c r="B161" s="2" t="s">
        <v>1055</v>
      </c>
      <c r="C161" s="2" t="s">
        <v>1056</v>
      </c>
      <c r="D161" s="2" t="s">
        <v>15</v>
      </c>
      <c r="E161" s="4" t="str">
        <f>IF(ISERROR("WRKTRANS"),"",HYPERLINK("#INDEX('Value Lookup'!A:A,MATCH(A" &amp; ROW() &amp; ",'Value Lookup'!A:A,0))","Value Lookup"))</f>
        <v>Value Lookup</v>
      </c>
      <c r="F161" s="4" t="str">
        <f>IF(ISERROR("WRKTRANS"),"",HYPERLINK("#INDEX('Frequencies'!A:A,MATCH(A" &amp; ROW() &amp; ",'Frequencies'!A:A,0))","Frequencies"))</f>
        <v>Frequencies</v>
      </c>
      <c r="G161" s="2"/>
      <c r="H161" s="2">
        <v>17</v>
      </c>
      <c r="I161" s="2"/>
      <c r="J161" s="2"/>
      <c r="K161" s="2"/>
      <c r="L161" s="2"/>
    </row>
    <row r="162" spans="1:12" ht="50.1" customHeight="1" x14ac:dyDescent="0.25">
      <c r="A162" s="3" t="s">
        <v>1057</v>
      </c>
      <c r="B162" s="2" t="s">
        <v>1058</v>
      </c>
      <c r="C162" s="2" t="s">
        <v>1059</v>
      </c>
      <c r="D162" s="2" t="s">
        <v>15</v>
      </c>
      <c r="E162" s="4" t="str">
        <f>IF(ISERROR("WRKTRNOS"),"",HYPERLINK("#INDEX('Value Lookup'!A:A,MATCH(A" &amp; ROW() &amp; ",'Value Lookup'!A:A,0))","Value Lookup"))</f>
        <v>Value Lookup</v>
      </c>
      <c r="F162" s="4" t="str">
        <f>IF(ISERROR("WRKTRNOS"),"",HYPERLINK("#INDEX('Frequencies'!A:A,MATCH(A" &amp; ROW() &amp; ",'Frequencies'!A:A,0))","Frequencies"))</f>
        <v>Frequencies</v>
      </c>
      <c r="G162" s="2"/>
      <c r="H162" s="2">
        <v>18</v>
      </c>
      <c r="I162" s="2"/>
      <c r="J162" s="2"/>
      <c r="K162" s="2"/>
      <c r="L162" s="2"/>
    </row>
    <row r="163" spans="1:12" ht="50.1" customHeight="1" x14ac:dyDescent="0.25">
      <c r="A163" s="3" t="s">
        <v>404</v>
      </c>
      <c r="B163" s="2" t="s">
        <v>405</v>
      </c>
      <c r="C163" s="2" t="s">
        <v>406</v>
      </c>
      <c r="D163" s="2" t="s">
        <v>15</v>
      </c>
      <c r="E163" s="4" t="str">
        <f>IF(ISERROR("LSTTRDAY17"),"",HYPERLINK("#INDEX('Value Lookup'!A:A,MATCH(A" &amp; ROW() &amp; ",'Value Lookup'!A:A,0))","Value Lookup"))</f>
        <v>Value Lookup</v>
      </c>
      <c r="F163" s="4" t="str">
        <f>IF(ISERROR("LSTTRDAY17"),"",HYPERLINK("#INDEX('Frequencies'!A:A,MATCH(A" &amp; ROW() &amp; ",'Frequencies'!A:A,0))","Frequencies"))</f>
        <v>Frequencies</v>
      </c>
      <c r="G163" s="2"/>
      <c r="H163" s="2">
        <v>19</v>
      </c>
      <c r="I163" s="2"/>
      <c r="J163" s="2"/>
      <c r="K163" s="2"/>
      <c r="L163" s="2"/>
    </row>
    <row r="164" spans="1:12" ht="50.1" customHeight="1" x14ac:dyDescent="0.25">
      <c r="A164" s="3" t="s">
        <v>456</v>
      </c>
      <c r="B164" s="2" t="s">
        <v>457</v>
      </c>
      <c r="C164" s="2" t="s">
        <v>458</v>
      </c>
      <c r="D164" s="2" t="s">
        <v>15</v>
      </c>
      <c r="E164" s="4" t="str">
        <f>IF(ISERROR("OCCAT"),"",HYPERLINK("#INDEX('Value Lookup'!A:A,MATCH(A" &amp; ROW() &amp; ",'Value Lookup'!A:A,0))","Value Lookup"))</f>
        <v>Value Lookup</v>
      </c>
      <c r="F164" s="4" t="str">
        <f>IF(ISERROR("OCCAT"),"",HYPERLINK("#INDEX('Frequencies'!A:A,MATCH(A" &amp; ROW() &amp; ",'Frequencies'!A:A,0))","Frequencies"))</f>
        <v>Frequencies</v>
      </c>
      <c r="G164" s="2"/>
      <c r="H164" s="2">
        <v>20</v>
      </c>
      <c r="I164" s="2"/>
      <c r="J164" s="2"/>
      <c r="K164" s="2"/>
      <c r="L164" s="2"/>
    </row>
    <row r="165" spans="1:12" ht="50.1" customHeight="1" x14ac:dyDescent="0.25">
      <c r="A165" s="3" t="s">
        <v>375</v>
      </c>
      <c r="B165" s="2" t="s">
        <v>376</v>
      </c>
      <c r="C165" s="2" t="s">
        <v>377</v>
      </c>
      <c r="D165" s="2" t="s">
        <v>15</v>
      </c>
      <c r="E165" s="4" t="str">
        <f>IF(ISERROR("JOBCATOS"),"",HYPERLINK("#INDEX('Value Lookup'!A:A,MATCH(A" &amp; ROW() &amp; ",'Value Lookup'!A:A,0))","Value Lookup"))</f>
        <v>Value Lookup</v>
      </c>
      <c r="F165" s="4" t="str">
        <f>IF(ISERROR("JOBCATOS"),"",HYPERLINK("#INDEX('Frequencies'!A:A,MATCH(A" &amp; ROW() &amp; ",'Frequencies'!A:A,0))","Frequencies"))</f>
        <v>Frequencies</v>
      </c>
      <c r="G165" s="2"/>
      <c r="H165" s="2">
        <v>21</v>
      </c>
      <c r="I165" s="2"/>
      <c r="J165" s="2"/>
      <c r="K165" s="2"/>
      <c r="L165" s="2"/>
    </row>
    <row r="166" spans="1:12" ht="50.1" customHeight="1" x14ac:dyDescent="0.25">
      <c r="A166" s="3" t="s">
        <v>684</v>
      </c>
      <c r="B166" s="2" t="s">
        <v>685</v>
      </c>
      <c r="C166" s="2" t="s">
        <v>686</v>
      </c>
      <c r="D166" s="2" t="s">
        <v>15</v>
      </c>
      <c r="E166" s="4" t="str">
        <f>IF(ISERROR("SCHTYP"),"",HYPERLINK("#INDEX('Value Lookup'!A:A,MATCH(A" &amp; ROW() &amp; ",'Value Lookup'!A:A,0))","Value Lookup"))</f>
        <v>Value Lookup</v>
      </c>
      <c r="F166" s="4" t="str">
        <f>IF(ISERROR("SCHTYP"),"",HYPERLINK("#INDEX('Frequencies'!A:A,MATCH(A" &amp; ROW() &amp; ",'Frequencies'!A:A,0))","Frequencies"))</f>
        <v>Frequencies</v>
      </c>
      <c r="G166" s="2"/>
      <c r="H166" s="2">
        <v>22</v>
      </c>
      <c r="I166" s="2"/>
      <c r="J166" s="2"/>
      <c r="K166" s="2"/>
      <c r="L166" s="2"/>
    </row>
    <row r="167" spans="1:12" ht="50.1" customHeight="1" x14ac:dyDescent="0.25">
      <c r="A167" s="3" t="s">
        <v>453</v>
      </c>
      <c r="B167" s="2" t="s">
        <v>454</v>
      </c>
      <c r="C167" s="2" t="s">
        <v>455</v>
      </c>
      <c r="D167" s="2" t="s">
        <v>41</v>
      </c>
      <c r="E167" s="2" t="str">
        <f>IF(ISERROR("NWALKTRP"),"","Range: 0 - 99")</f>
        <v>Range: 0 - 99</v>
      </c>
      <c r="F167" s="4" t="str">
        <f>IF(ISERROR("NWALKTRP"),"",HYPERLINK("#INDEX('Frequencies'!A:A,MATCH(A" &amp; ROW() &amp; ",'Frequencies'!A:A,0))","Frequencies"))</f>
        <v>Frequencies</v>
      </c>
      <c r="G167" s="2"/>
      <c r="H167" s="2">
        <v>23</v>
      </c>
      <c r="I167" s="2"/>
      <c r="J167" s="2"/>
      <c r="K167" s="2"/>
      <c r="L167" s="2"/>
    </row>
    <row r="168" spans="1:12" ht="50.1" customHeight="1" x14ac:dyDescent="0.25">
      <c r="A168" s="3" t="s">
        <v>931</v>
      </c>
      <c r="B168" s="2" t="s">
        <v>932</v>
      </c>
      <c r="C168" s="2" t="s">
        <v>933</v>
      </c>
      <c r="D168" s="2" t="s">
        <v>41</v>
      </c>
      <c r="E168" s="2" t="str">
        <f>IF(ISERROR("WALK4EX"),"","Range: 0 - [$NWALKTRIP]")</f>
        <v>Range: 0 - [$NWALKTRIP]</v>
      </c>
      <c r="F168" s="4" t="str">
        <f>IF(ISERROR("WALK4EX"),"",HYPERLINK("#INDEX('Frequencies'!A:A,MATCH(A" &amp; ROW() &amp; ",'Frequencies'!A:A,0))","Frequencies"))</f>
        <v>Frequencies</v>
      </c>
      <c r="G168" s="2"/>
      <c r="H168" s="2">
        <v>24</v>
      </c>
      <c r="I168" s="2"/>
      <c r="J168" s="2"/>
      <c r="K168" s="2"/>
      <c r="L168" s="2"/>
    </row>
    <row r="169" spans="1:12" ht="50.1" customHeight="1" x14ac:dyDescent="0.25">
      <c r="A169" s="3" t="s">
        <v>438</v>
      </c>
      <c r="B169" s="2" t="s">
        <v>439</v>
      </c>
      <c r="C169" s="2" t="s">
        <v>440</v>
      </c>
      <c r="D169" s="2" t="s">
        <v>41</v>
      </c>
      <c r="E169" s="2" t="str">
        <f>IF(ISERROR("NBIKETRP"),"","Range: 0 - 99")</f>
        <v>Range: 0 - 99</v>
      </c>
      <c r="F169" s="4" t="str">
        <f>IF(ISERROR("NBIKETRP"),"",HYPERLINK("#INDEX('Frequencies'!A:A,MATCH(A" &amp; ROW() &amp; ",'Frequencies'!A:A,0))","Frequencies"))</f>
        <v>Frequencies</v>
      </c>
      <c r="G169" s="2"/>
      <c r="H169" s="2">
        <v>25</v>
      </c>
      <c r="I169" s="2"/>
      <c r="J169" s="2"/>
      <c r="K169" s="2"/>
      <c r="L169" s="2"/>
    </row>
    <row r="170" spans="1:12" ht="50.1" customHeight="1" x14ac:dyDescent="0.25">
      <c r="A170" s="3" t="s">
        <v>52</v>
      </c>
      <c r="B170" s="2" t="s">
        <v>53</v>
      </c>
      <c r="C170" s="2" t="s">
        <v>54</v>
      </c>
      <c r="D170" s="2" t="s">
        <v>41</v>
      </c>
      <c r="E170" s="2" t="str">
        <f>IF(ISERROR("BIKE4EX"),"","Range: 0 - [$NBIKETRIP]")</f>
        <v>Range: 0 - [$NBIKETRIP]</v>
      </c>
      <c r="F170" s="4" t="str">
        <f>IF(ISERROR("BIKE4EX"),"",HYPERLINK("#INDEX('Frequencies'!A:A,MATCH(A" &amp; ROW() &amp; ",'Frequencies'!A:A,0))","Frequencies"))</f>
        <v>Frequencies</v>
      </c>
      <c r="G170" s="2"/>
      <c r="H170" s="2">
        <v>26</v>
      </c>
      <c r="I170" s="2"/>
      <c r="J170" s="2"/>
      <c r="K170" s="2"/>
      <c r="L170" s="2"/>
    </row>
    <row r="171" spans="1:12" ht="50.1" customHeight="1" x14ac:dyDescent="0.25">
      <c r="A171" s="3" t="s">
        <v>72</v>
      </c>
      <c r="B171" s="2" t="s">
        <v>73</v>
      </c>
      <c r="C171" s="2" t="s">
        <v>74</v>
      </c>
      <c r="D171" s="2" t="s">
        <v>41</v>
      </c>
      <c r="E171" s="2" t="str">
        <f>IF(ISERROR("BIKESHARE"),"","Range: 0 - 99")</f>
        <v>Range: 0 - 99</v>
      </c>
      <c r="F171" s="4" t="str">
        <f>IF(ISERROR("BIKESHARE"),"",HYPERLINK("#INDEX('Frequencies'!A:A,MATCH(A" &amp; ROW() &amp; ",'Frequencies'!A:A,0))","Frequencies"))</f>
        <v>Frequencies</v>
      </c>
      <c r="G171" s="2"/>
      <c r="H171" s="2">
        <v>27</v>
      </c>
      <c r="I171" s="2"/>
      <c r="J171" s="2"/>
      <c r="K171" s="2"/>
      <c r="L171" s="2"/>
    </row>
    <row r="172" spans="1:12" ht="50.1" customHeight="1" x14ac:dyDescent="0.25">
      <c r="A172" s="3" t="s">
        <v>55</v>
      </c>
      <c r="B172" s="2" t="s">
        <v>56</v>
      </c>
      <c r="C172" s="2" t="s">
        <v>57</v>
      </c>
      <c r="D172" s="2" t="s">
        <v>15</v>
      </c>
      <c r="E172" s="4" t="str">
        <f>IF(ISERROR("BIKE_D"),"",HYPERLINK("#INDEX('Value Lookup'!A:A,MATCH(A" &amp; ROW() &amp; ",'Value Lookup'!A:A,0))","Value Lookup"))</f>
        <v>Value Lookup</v>
      </c>
      <c r="F172" s="4" t="str">
        <f>IF(ISERROR("BIKE_D"),"",HYPERLINK("#INDEX('Frequencies'!A:A,MATCH(A" &amp; ROW() &amp; ",'Frequencies'!A:A,0))","Frequencies"))</f>
        <v>Frequencies</v>
      </c>
      <c r="G172" s="2"/>
      <c r="H172" s="2">
        <v>28</v>
      </c>
      <c r="I172" s="2"/>
      <c r="J172" s="2"/>
      <c r="K172" s="2"/>
      <c r="L172" s="2"/>
    </row>
    <row r="173" spans="1:12" ht="50.1" customHeight="1" x14ac:dyDescent="0.25">
      <c r="A173" s="3" t="s">
        <v>60</v>
      </c>
      <c r="B173" s="2" t="s">
        <v>61</v>
      </c>
      <c r="C173" s="2" t="s">
        <v>57</v>
      </c>
      <c r="D173" s="2" t="s">
        <v>15</v>
      </c>
      <c r="E173" s="4" t="str">
        <f>IF(ISERROR("BIKE_F"),"",HYPERLINK("#INDEX('Value Lookup'!A:A,MATCH(A" &amp; ROW() &amp; ",'Value Lookup'!A:A,0))","Value Lookup"))</f>
        <v>Value Lookup</v>
      </c>
      <c r="F173" s="4" t="str">
        <f>IF(ISERROR("BIKE_F"),"",HYPERLINK("#INDEX('Frequencies'!A:A,MATCH(A" &amp; ROW() &amp; ",'Frequencies'!A:A,0))","Frequencies"))</f>
        <v>Frequencies</v>
      </c>
      <c r="G173" s="2"/>
      <c r="H173" s="2">
        <v>29</v>
      </c>
      <c r="I173" s="2"/>
      <c r="J173" s="2"/>
      <c r="K173" s="2"/>
      <c r="L173" s="2"/>
    </row>
    <row r="174" spans="1:12" ht="50.1" customHeight="1" x14ac:dyDescent="0.25">
      <c r="A174" s="3" t="s">
        <v>62</v>
      </c>
      <c r="B174" s="2" t="s">
        <v>63</v>
      </c>
      <c r="C174" s="2" t="s">
        <v>57</v>
      </c>
      <c r="D174" s="2" t="s">
        <v>15</v>
      </c>
      <c r="E174" s="4" t="str">
        <f>IF(ISERROR("BIKE_G"),"",HYPERLINK("#INDEX('Value Lookup'!A:A,MATCH(A" &amp; ROW() &amp; ",'Value Lookup'!A:A,0))","Value Lookup"))</f>
        <v>Value Lookup</v>
      </c>
      <c r="F174" s="4" t="str">
        <f>IF(ISERROR("BIKE_G"),"",HYPERLINK("#INDEX('Frequencies'!A:A,MATCH(A" &amp; ROW() &amp; ",'Frequencies'!A:A,0))","Frequencies"))</f>
        <v>Frequencies</v>
      </c>
      <c r="G174" s="2"/>
      <c r="H174" s="2">
        <v>30</v>
      </c>
      <c r="I174" s="2"/>
      <c r="J174" s="2"/>
      <c r="K174" s="2"/>
      <c r="L174" s="2"/>
    </row>
    <row r="175" spans="1:12" ht="50.1" customHeight="1" x14ac:dyDescent="0.25">
      <c r="A175" s="3" t="s">
        <v>64</v>
      </c>
      <c r="B175" s="2" t="s">
        <v>65</v>
      </c>
      <c r="C175" s="2" t="s">
        <v>57</v>
      </c>
      <c r="D175" s="2" t="s">
        <v>15</v>
      </c>
      <c r="E175" s="4" t="str">
        <f>IF(ISERROR("BIKE_K"),"",HYPERLINK("#INDEX('Value Lookup'!A:A,MATCH(A" &amp; ROW() &amp; ",'Value Lookup'!A:A,0))","Value Lookup"))</f>
        <v>Value Lookup</v>
      </c>
      <c r="F175" s="4" t="str">
        <f>IF(ISERROR("BIKE_K"),"",HYPERLINK("#INDEX('Frequencies'!A:A,MATCH(A" &amp; ROW() &amp; ",'Frequencies'!A:A,0))","Frequencies"))</f>
        <v>Frequencies</v>
      </c>
      <c r="G175" s="2"/>
      <c r="H175" s="2">
        <v>31</v>
      </c>
      <c r="I175" s="2"/>
      <c r="J175" s="2"/>
      <c r="K175" s="2"/>
      <c r="L175" s="2"/>
    </row>
    <row r="176" spans="1:12" ht="50.1" customHeight="1" x14ac:dyDescent="0.25">
      <c r="A176" s="3" t="s">
        <v>66</v>
      </c>
      <c r="B176" s="2" t="s">
        <v>67</v>
      </c>
      <c r="C176" s="2" t="s">
        <v>57</v>
      </c>
      <c r="D176" s="2" t="s">
        <v>15</v>
      </c>
      <c r="E176" s="4" t="str">
        <f>IF(ISERROR("BIKE_P"),"",HYPERLINK("#INDEX('Value Lookup'!A:A,MATCH(A" &amp; ROW() &amp; ",'Value Lookup'!A:A,0))","Value Lookup"))</f>
        <v>Value Lookup</v>
      </c>
      <c r="F176" s="4" t="str">
        <f>IF(ISERROR("BIKE_P"),"",HYPERLINK("#INDEX('Frequencies'!A:A,MATCH(A" &amp; ROW() &amp; ",'Frequencies'!A:A,0))","Frequencies"))</f>
        <v>Frequencies</v>
      </c>
      <c r="G176" s="2"/>
      <c r="H176" s="2">
        <v>32</v>
      </c>
      <c r="I176" s="2"/>
      <c r="J176" s="2"/>
      <c r="K176" s="2"/>
      <c r="L176" s="2"/>
    </row>
    <row r="177" spans="1:12" ht="50.1" customHeight="1" x14ac:dyDescent="0.25">
      <c r="A177" s="3" t="s">
        <v>68</v>
      </c>
      <c r="B177" s="2" t="s">
        <v>69</v>
      </c>
      <c r="C177" s="2" t="s">
        <v>57</v>
      </c>
      <c r="D177" s="2" t="s">
        <v>15</v>
      </c>
      <c r="E177" s="4" t="str">
        <f>IF(ISERROR("BIKE_R"),"",HYPERLINK("#INDEX('Value Lookup'!A:A,MATCH(A" &amp; ROW() &amp; ",'Value Lookup'!A:A,0))","Value Lookup"))</f>
        <v>Value Lookup</v>
      </c>
      <c r="F177" s="4" t="str">
        <f>IF(ISERROR("BIKE_R"),"",HYPERLINK("#INDEX('Frequencies'!A:A,MATCH(A" &amp; ROW() &amp; ",'Frequencies'!A:A,0))","Frequencies"))</f>
        <v>Frequencies</v>
      </c>
      <c r="G177" s="2"/>
      <c r="H177" s="2">
        <v>33</v>
      </c>
      <c r="I177" s="2"/>
      <c r="J177" s="2"/>
      <c r="K177" s="2"/>
      <c r="L177" s="2"/>
    </row>
    <row r="178" spans="1:12" ht="50.1" customHeight="1" x14ac:dyDescent="0.25">
      <c r="A178" s="3" t="s">
        <v>75</v>
      </c>
      <c r="B178" s="2" t="s">
        <v>76</v>
      </c>
      <c r="C178" s="2" t="s">
        <v>57</v>
      </c>
      <c r="D178" s="2" t="s">
        <v>15</v>
      </c>
      <c r="E178" s="4" t="str">
        <f>IF(ISERROR("BIKE_Z"),"",HYPERLINK("#INDEX('Value Lookup'!A:A,MATCH(A" &amp; ROW() &amp; ",'Value Lookup'!A:A,0))","Value Lookup"))</f>
        <v>Value Lookup</v>
      </c>
      <c r="F178" s="4" t="str">
        <f>IF(ISERROR("BIKE_Z"),"",HYPERLINK("#INDEX('Frequencies'!A:A,MATCH(A" &amp; ROW() &amp; ",'Frequencies'!A:A,0))","Frequencies"))</f>
        <v>Frequencies</v>
      </c>
      <c r="G178" s="2"/>
      <c r="H178" s="2">
        <v>34</v>
      </c>
      <c r="I178" s="2"/>
      <c r="J178" s="2"/>
      <c r="K178" s="2"/>
      <c r="L178" s="2"/>
    </row>
    <row r="179" spans="1:12" ht="50.1" customHeight="1" x14ac:dyDescent="0.25">
      <c r="A179" s="3" t="s">
        <v>58</v>
      </c>
      <c r="B179" s="2" t="s">
        <v>59</v>
      </c>
      <c r="C179" s="2" t="s">
        <v>57</v>
      </c>
      <c r="D179" s="2" t="s">
        <v>15</v>
      </c>
      <c r="E179" s="4" t="str">
        <f>IF(ISERROR("BIKE_DK"),"",HYPERLINK("#INDEX('Value Lookup'!A:A,MATCH(A" &amp; ROW() &amp; ",'Value Lookup'!A:A,0))","Value Lookup"))</f>
        <v>Value Lookup</v>
      </c>
      <c r="F179" s="4" t="str">
        <f>IF(ISERROR("BIKE_DK"),"",HYPERLINK("#INDEX('Frequencies'!A:A,MATCH(A" &amp; ROW() &amp; ",'Frequencies'!A:A,0))","Frequencies"))</f>
        <v>Frequencies</v>
      </c>
      <c r="G179" s="2"/>
      <c r="H179" s="2">
        <v>35</v>
      </c>
      <c r="I179" s="2"/>
      <c r="J179" s="2"/>
      <c r="K179" s="2"/>
      <c r="L179" s="2"/>
    </row>
    <row r="180" spans="1:12" ht="50.1" customHeight="1" x14ac:dyDescent="0.25">
      <c r="A180" s="3" t="s">
        <v>70</v>
      </c>
      <c r="B180" s="2" t="s">
        <v>71</v>
      </c>
      <c r="C180" s="2" t="s">
        <v>57</v>
      </c>
      <c r="D180" s="2" t="s">
        <v>15</v>
      </c>
      <c r="E180" s="4" t="str">
        <f>IF(ISERROR("BIKE_RF"),"",HYPERLINK("#INDEX('Value Lookup'!A:A,MATCH(A" &amp; ROW() &amp; ",'Value Lookup'!A:A,0))","Value Lookup"))</f>
        <v>Value Lookup</v>
      </c>
      <c r="F180" s="4" t="str">
        <f>IF(ISERROR("BIKE_RF"),"",HYPERLINK("#INDEX('Frequencies'!A:A,MATCH(A" &amp; ROW() &amp; ",'Frequencies'!A:A,0))","Frequencies"))</f>
        <v>Frequencies</v>
      </c>
      <c r="G180" s="2"/>
      <c r="H180" s="2">
        <v>36</v>
      </c>
      <c r="I180" s="2"/>
      <c r="J180" s="2"/>
      <c r="K180" s="2"/>
      <c r="L180" s="2"/>
    </row>
    <row r="181" spans="1:12" ht="50.1" customHeight="1" x14ac:dyDescent="0.25">
      <c r="A181" s="3" t="s">
        <v>934</v>
      </c>
      <c r="B181" s="2" t="s">
        <v>935</v>
      </c>
      <c r="C181" s="2" t="s">
        <v>936</v>
      </c>
      <c r="D181" s="2" t="s">
        <v>15</v>
      </c>
      <c r="E181" s="4" t="str">
        <f>IF(ISERROR("WALK_D"),"",HYPERLINK("#INDEX('Value Lookup'!A:A,MATCH(A" &amp; ROW() &amp; ",'Value Lookup'!A:A,0))","Value Lookup"))</f>
        <v>Value Lookup</v>
      </c>
      <c r="F181" s="4" t="str">
        <f>IF(ISERROR("WALK_D"),"",HYPERLINK("#INDEX('Frequencies'!A:A,MATCH(A" &amp; ROW() &amp; ",'Frequencies'!A:A,0))","Frequencies"))</f>
        <v>Frequencies</v>
      </c>
      <c r="G181" s="2"/>
      <c r="H181" s="2">
        <v>37</v>
      </c>
      <c r="I181" s="2"/>
      <c r="J181" s="2"/>
      <c r="K181" s="2"/>
      <c r="L181" s="2"/>
    </row>
    <row r="182" spans="1:12" ht="50.1" customHeight="1" x14ac:dyDescent="0.25">
      <c r="A182" s="3" t="s">
        <v>939</v>
      </c>
      <c r="B182" s="2" t="s">
        <v>940</v>
      </c>
      <c r="C182" s="2" t="s">
        <v>936</v>
      </c>
      <c r="D182" s="2" t="s">
        <v>15</v>
      </c>
      <c r="E182" s="4" t="str">
        <f>IF(ISERROR("WALK_E"),"",HYPERLINK("#INDEX('Value Lookup'!A:A,MATCH(A" &amp; ROW() &amp; ",'Value Lookup'!A:A,0))","Value Lookup"))</f>
        <v>Value Lookup</v>
      </c>
      <c r="F182" s="4" t="str">
        <f>IF(ISERROR("WALK_E"),"",HYPERLINK("#INDEX('Frequencies'!A:A,MATCH(A" &amp; ROW() &amp; ",'Frequencies'!A:A,0))","Frequencies"))</f>
        <v>Frequencies</v>
      </c>
      <c r="G182" s="2"/>
      <c r="H182" s="2">
        <v>38</v>
      </c>
      <c r="I182" s="2"/>
      <c r="J182" s="2"/>
      <c r="K182" s="2"/>
      <c r="L182" s="2"/>
    </row>
    <row r="183" spans="1:12" ht="50.1" customHeight="1" x14ac:dyDescent="0.25">
      <c r="A183" s="3" t="s">
        <v>941</v>
      </c>
      <c r="B183" s="2" t="s">
        <v>942</v>
      </c>
      <c r="C183" s="2" t="s">
        <v>936</v>
      </c>
      <c r="D183" s="2" t="s">
        <v>15</v>
      </c>
      <c r="E183" s="4" t="str">
        <f>IF(ISERROR("WALK_F"),"",HYPERLINK("#INDEX('Value Lookup'!A:A,MATCH(A" &amp; ROW() &amp; ",'Value Lookup'!A:A,0))","Value Lookup"))</f>
        <v>Value Lookup</v>
      </c>
      <c r="F183" s="4" t="str">
        <f>IF(ISERROR("WALK_F"),"",HYPERLINK("#INDEX('Frequencies'!A:A,MATCH(A" &amp; ROW() &amp; ",'Frequencies'!A:A,0))","Frequencies"))</f>
        <v>Frequencies</v>
      </c>
      <c r="G183" s="2"/>
      <c r="H183" s="2">
        <v>39</v>
      </c>
      <c r="I183" s="2"/>
      <c r="J183" s="2"/>
      <c r="K183" s="2"/>
      <c r="L183" s="2"/>
    </row>
    <row r="184" spans="1:12" ht="50.1" customHeight="1" x14ac:dyDescent="0.25">
      <c r="A184" s="3" t="s">
        <v>943</v>
      </c>
      <c r="B184" s="2" t="s">
        <v>944</v>
      </c>
      <c r="C184" s="2" t="s">
        <v>936</v>
      </c>
      <c r="D184" s="2" t="s">
        <v>15</v>
      </c>
      <c r="E184" s="4" t="str">
        <f>IF(ISERROR("WALK_G"),"",HYPERLINK("#INDEX('Value Lookup'!A:A,MATCH(A" &amp; ROW() &amp; ",'Value Lookup'!A:A,0))","Value Lookup"))</f>
        <v>Value Lookup</v>
      </c>
      <c r="F184" s="4" t="str">
        <f>IF(ISERROR("WALK_G"),"",HYPERLINK("#INDEX('Frequencies'!A:A,MATCH(A" &amp; ROW() &amp; ",'Frequencies'!A:A,0))","Frequencies"))</f>
        <v>Frequencies</v>
      </c>
      <c r="G184" s="2"/>
      <c r="H184" s="2">
        <v>40</v>
      </c>
      <c r="I184" s="2"/>
      <c r="J184" s="2"/>
      <c r="K184" s="2"/>
      <c r="L184" s="2"/>
    </row>
    <row r="185" spans="1:12" ht="50.1" customHeight="1" x14ac:dyDescent="0.25">
      <c r="A185" s="3" t="s">
        <v>945</v>
      </c>
      <c r="B185" s="2" t="s">
        <v>946</v>
      </c>
      <c r="C185" s="2" t="s">
        <v>936</v>
      </c>
      <c r="D185" s="2" t="s">
        <v>15</v>
      </c>
      <c r="E185" s="4" t="str">
        <f>IF(ISERROR("WALK_K"),"",HYPERLINK("#INDEX('Value Lookup'!A:A,MATCH(A" &amp; ROW() &amp; ",'Value Lookup'!A:A,0))","Value Lookup"))</f>
        <v>Value Lookup</v>
      </c>
      <c r="F185" s="4" t="str">
        <f>IF(ISERROR("WALK_K"),"",HYPERLINK("#INDEX('Frequencies'!A:A,MATCH(A" &amp; ROW() &amp; ",'Frequencies'!A:A,0))","Frequencies"))</f>
        <v>Frequencies</v>
      </c>
      <c r="G185" s="2"/>
      <c r="H185" s="2">
        <v>41</v>
      </c>
      <c r="I185" s="2"/>
      <c r="J185" s="2"/>
      <c r="K185" s="2"/>
      <c r="L185" s="2"/>
    </row>
    <row r="186" spans="1:12" ht="50.1" customHeight="1" x14ac:dyDescent="0.25">
      <c r="A186" s="3" t="s">
        <v>947</v>
      </c>
      <c r="B186" s="2" t="s">
        <v>948</v>
      </c>
      <c r="C186" s="2" t="s">
        <v>936</v>
      </c>
      <c r="D186" s="2" t="s">
        <v>15</v>
      </c>
      <c r="E186" s="4" t="str">
        <f>IF(ISERROR("WALK_Q"),"",HYPERLINK("#INDEX('Value Lookup'!A:A,MATCH(A" &amp; ROW() &amp; ",'Value Lookup'!A:A,0))","Value Lookup"))</f>
        <v>Value Lookup</v>
      </c>
      <c r="F186" s="4" t="str">
        <f>IF(ISERROR("WALK_Q"),"",HYPERLINK("#INDEX('Frequencies'!A:A,MATCH(A" &amp; ROW() &amp; ",'Frequencies'!A:A,0))","Frequencies"))</f>
        <v>Frequencies</v>
      </c>
      <c r="G186" s="2"/>
      <c r="H186" s="2">
        <v>42</v>
      </c>
      <c r="I186" s="2"/>
      <c r="J186" s="2"/>
      <c r="K186" s="2"/>
      <c r="L186" s="2"/>
    </row>
    <row r="187" spans="1:12" ht="50.1" customHeight="1" x14ac:dyDescent="0.25">
      <c r="A187" s="3" t="s">
        <v>951</v>
      </c>
      <c r="B187" s="2" t="s">
        <v>952</v>
      </c>
      <c r="C187" s="2" t="s">
        <v>936</v>
      </c>
      <c r="D187" s="2" t="s">
        <v>15</v>
      </c>
      <c r="E187" s="4" t="str">
        <f>IF(ISERROR("WALK_Z"),"",HYPERLINK("#INDEX('Value Lookup'!A:A,MATCH(A" &amp; ROW() &amp; ",'Value Lookup'!A:A,0))","Value Lookup"))</f>
        <v>Value Lookup</v>
      </c>
      <c r="F187" s="4" t="str">
        <f>IF(ISERROR("WALK_Z"),"",HYPERLINK("#INDEX('Frequencies'!A:A,MATCH(A" &amp; ROW() &amp; ",'Frequencies'!A:A,0))","Frequencies"))</f>
        <v>Frequencies</v>
      </c>
      <c r="G187" s="2"/>
      <c r="H187" s="2">
        <v>43</v>
      </c>
      <c r="I187" s="2"/>
      <c r="J187" s="2"/>
      <c r="K187" s="2"/>
      <c r="L187" s="2"/>
    </row>
    <row r="188" spans="1:12" ht="50.1" customHeight="1" x14ac:dyDescent="0.25">
      <c r="A188" s="3" t="s">
        <v>937</v>
      </c>
      <c r="B188" s="2" t="s">
        <v>938</v>
      </c>
      <c r="C188" s="2" t="s">
        <v>936</v>
      </c>
      <c r="D188" s="2" t="s">
        <v>15</v>
      </c>
      <c r="E188" s="4" t="str">
        <f>IF(ISERROR("WALK_DK"),"",HYPERLINK("#INDEX('Value Lookup'!A:A,MATCH(A" &amp; ROW() &amp; ",'Value Lookup'!A:A,0))","Value Lookup"))</f>
        <v>Value Lookup</v>
      </c>
      <c r="F188" s="4" t="str">
        <f>IF(ISERROR("WALK_DK"),"",HYPERLINK("#INDEX('Frequencies'!A:A,MATCH(A" &amp; ROW() &amp; ",'Frequencies'!A:A,0))","Frequencies"))</f>
        <v>Frequencies</v>
      </c>
      <c r="G188" s="2"/>
      <c r="H188" s="2">
        <v>44</v>
      </c>
      <c r="I188" s="2"/>
      <c r="J188" s="2"/>
      <c r="K188" s="2"/>
      <c r="L188" s="2"/>
    </row>
    <row r="189" spans="1:12" ht="50.1" customHeight="1" x14ac:dyDescent="0.25">
      <c r="A189" s="3" t="s">
        <v>949</v>
      </c>
      <c r="B189" s="2" t="s">
        <v>950</v>
      </c>
      <c r="C189" s="2" t="s">
        <v>936</v>
      </c>
      <c r="D189" s="2" t="s">
        <v>15</v>
      </c>
      <c r="E189" s="4" t="str">
        <f>IF(ISERROR("WALK_RF"),"",HYPERLINK("#INDEX('Value Lookup'!A:A,MATCH(A" &amp; ROW() &amp; ",'Value Lookup'!A:A,0))","Value Lookup"))</f>
        <v>Value Lookup</v>
      </c>
      <c r="F189" s="4" t="str">
        <f>IF(ISERROR("WALK_RF"),"",HYPERLINK("#INDEX('Frequencies'!A:A,MATCH(A" &amp; ROW() &amp; ",'Frequencies'!A:A,0))","Frequencies"))</f>
        <v>Frequencies</v>
      </c>
      <c r="G189" s="2"/>
      <c r="H189" s="2">
        <v>45</v>
      </c>
      <c r="I189" s="2"/>
      <c r="J189" s="2"/>
      <c r="K189" s="2"/>
      <c r="L189" s="2"/>
    </row>
    <row r="190" spans="1:12" ht="50.1" customHeight="1" x14ac:dyDescent="0.25">
      <c r="A190" s="3" t="s">
        <v>576</v>
      </c>
      <c r="B190" s="2" t="s">
        <v>577</v>
      </c>
      <c r="C190" s="2" t="s">
        <v>578</v>
      </c>
      <c r="D190" s="2" t="s">
        <v>41</v>
      </c>
      <c r="E190" s="2" t="str">
        <f>IF(ISERROR("PTUSED"),"","Range: 0 - 240")</f>
        <v>Range: 0 - 240</v>
      </c>
      <c r="F190" s="4" t="str">
        <f>IF(ISERROR("PTUSED"),"",HYPERLINK("#INDEX('Frequencies'!A:A,MATCH(A" &amp; ROW() &amp; ",'Frequencies'!A:A,0))","Frequencies"))</f>
        <v>Frequencies</v>
      </c>
      <c r="G190" s="2"/>
      <c r="H190" s="2">
        <v>46</v>
      </c>
      <c r="I190" s="2"/>
      <c r="J190" s="2"/>
      <c r="K190" s="2"/>
      <c r="L190" s="2"/>
    </row>
    <row r="191" spans="1:12" ht="50.1" customHeight="1" x14ac:dyDescent="0.25">
      <c r="A191" s="3" t="s">
        <v>419</v>
      </c>
      <c r="B191" s="2" t="s">
        <v>420</v>
      </c>
      <c r="C191" s="2" t="s">
        <v>421</v>
      </c>
      <c r="D191" s="2" t="s">
        <v>41</v>
      </c>
      <c r="E191" s="2" t="str">
        <f>IF(ISERROR("MCUSED"),"","Range: 0 - 99")</f>
        <v>Range: 0 - 99</v>
      </c>
      <c r="F191" s="4" t="str">
        <f>IF(ISERROR("MCUSED"),"",HYPERLINK("#INDEX('Frequencies'!A:A,MATCH(A" &amp; ROW() &amp; ",'Frequencies'!A:A,0))","Frequencies"))</f>
        <v>Frequencies</v>
      </c>
      <c r="G191" s="2"/>
      <c r="H191" s="2">
        <v>47</v>
      </c>
      <c r="I191" s="2"/>
      <c r="J191" s="2"/>
      <c r="K191" s="2"/>
      <c r="L191" s="2"/>
    </row>
    <row r="192" spans="1:12" ht="50.1" customHeight="1" x14ac:dyDescent="0.25">
      <c r="A192" s="3" t="s">
        <v>128</v>
      </c>
      <c r="B192" s="2" t="s">
        <v>129</v>
      </c>
      <c r="C192" s="2" t="s">
        <v>130</v>
      </c>
      <c r="D192" s="2" t="s">
        <v>41</v>
      </c>
      <c r="E192" s="2" t="str">
        <f>IF(ISERROR("CARSHARE"),"","Range: 0 - 99")</f>
        <v>Range: 0 - 99</v>
      </c>
      <c r="F192" s="4" t="str">
        <f>IF(ISERROR("CARSHARE"),"",HYPERLINK("#INDEX('Frequencies'!A:A,MATCH(A" &amp; ROW() &amp; ",'Frequencies'!A:A,0))","Frequencies"))</f>
        <v>Frequencies</v>
      </c>
      <c r="G192" s="2"/>
      <c r="H192" s="2">
        <v>48</v>
      </c>
      <c r="I192" s="2"/>
      <c r="J192" s="2"/>
      <c r="K192" s="2"/>
      <c r="L192" s="2"/>
    </row>
    <row r="193" spans="1:12" ht="50.1" customHeight="1" x14ac:dyDescent="0.25">
      <c r="A193" s="3" t="s">
        <v>647</v>
      </c>
      <c r="B193" s="2" t="s">
        <v>648</v>
      </c>
      <c r="C193" s="2" t="s">
        <v>649</v>
      </c>
      <c r="D193" s="2" t="s">
        <v>41</v>
      </c>
      <c r="E193" s="2" t="str">
        <f>IF(ISERROR("RIDESHARE"),"","Range: 0 - 99")</f>
        <v>Range: 0 - 99</v>
      </c>
      <c r="F193" s="4" t="str">
        <f>IF(ISERROR("RIDESHARE"),"",HYPERLINK("#INDEX('Frequencies'!A:A,MATCH(A" &amp; ROW() &amp; ",'Frequencies'!A:A,0))","Frequencies"))</f>
        <v>Frequencies</v>
      </c>
      <c r="G193" s="2"/>
      <c r="H193" s="2">
        <v>49</v>
      </c>
      <c r="I193" s="2"/>
      <c r="J193" s="2"/>
      <c r="K193" s="2"/>
      <c r="L193" s="2"/>
    </row>
    <row r="194" spans="1:12" ht="50.1" customHeight="1" x14ac:dyDescent="0.25">
      <c r="A194" s="3" t="s">
        <v>125</v>
      </c>
      <c r="B194" s="2" t="s">
        <v>126</v>
      </c>
      <c r="C194" s="2" t="s">
        <v>127</v>
      </c>
      <c r="D194" s="2" t="s">
        <v>41</v>
      </c>
      <c r="E194" s="2" t="str">
        <f>IF(ISERROR("CARRODE"),"","Range: 1 - 20")</f>
        <v>Range: 1 - 20</v>
      </c>
      <c r="F194" s="4" t="str">
        <f>IF(ISERROR("CARRODE"),"",HYPERLINK("#INDEX('Frequencies'!A:A,MATCH(A" &amp; ROW() &amp; ",'Frequencies'!A:A,0))","Frequencies"))</f>
        <v>Frequencies</v>
      </c>
      <c r="G194" s="2"/>
      <c r="H194" s="2">
        <v>50</v>
      </c>
      <c r="I194" s="2"/>
      <c r="J194" s="2"/>
      <c r="K194" s="2"/>
      <c r="L194" s="2"/>
    </row>
    <row r="195" spans="1:12" ht="50.1" customHeight="1" x14ac:dyDescent="0.25">
      <c r="A195" s="3" t="s">
        <v>731</v>
      </c>
      <c r="B195" s="2" t="s">
        <v>732</v>
      </c>
      <c r="C195" s="2" t="s">
        <v>733</v>
      </c>
      <c r="D195" s="2" t="s">
        <v>41</v>
      </c>
      <c r="E195" s="2" t="str">
        <f>IF(ISERROR("TIMETOWK"),"","Range: 0 - 600")</f>
        <v>Range: 0 - 600</v>
      </c>
      <c r="F195" s="4" t="str">
        <f>IF(ISERROR("TIMETOWK"),"",HYPERLINK("#INDEX('Frequencies'!A:A,MATCH(A" &amp; ROW() &amp; ",'Frequencies'!A:A,0))","Frequencies"))</f>
        <v>Frequencies</v>
      </c>
      <c r="G195" s="2"/>
      <c r="H195" s="2">
        <v>51</v>
      </c>
      <c r="I195" s="2"/>
      <c r="J195" s="2"/>
      <c r="K195" s="2"/>
      <c r="L195" s="2"/>
    </row>
    <row r="196" spans="1:12" ht="50.1" customHeight="1" x14ac:dyDescent="0.25">
      <c r="A196" s="3" t="s">
        <v>441</v>
      </c>
      <c r="B196" s="2" t="s">
        <v>442</v>
      </c>
      <c r="C196" s="2" t="s">
        <v>443</v>
      </c>
      <c r="D196" s="2" t="s">
        <v>41</v>
      </c>
      <c r="E196" s="2" t="str">
        <f>IF(ISERROR("NOCONG"),"","Range: 0 - 180")</f>
        <v>Range: 0 - 180</v>
      </c>
      <c r="F196" s="4" t="str">
        <f>IF(ISERROR("NOCONG"),"",HYPERLINK("#INDEX('Frequencies'!A:A,MATCH(A" &amp; ROW() &amp; ",'Frequencies'!A:A,0))","Frequencies"))</f>
        <v>Frequencies</v>
      </c>
      <c r="G196" s="2"/>
      <c r="H196" s="2">
        <v>52</v>
      </c>
      <c r="I196" s="2"/>
      <c r="J196" s="2"/>
      <c r="K196" s="2"/>
      <c r="L196" s="2"/>
    </row>
    <row r="197" spans="1:12" ht="50.1" customHeight="1" x14ac:dyDescent="0.25">
      <c r="A197" s="3" t="s">
        <v>579</v>
      </c>
      <c r="B197" s="2" t="s">
        <v>580</v>
      </c>
      <c r="C197" s="2" t="s">
        <v>581</v>
      </c>
      <c r="D197" s="2" t="s">
        <v>41</v>
      </c>
      <c r="E197" s="2" t="str">
        <f>IF(ISERROR("PUBTIME"),"","Range: 0 - 60")</f>
        <v>Range: 0 - 60</v>
      </c>
      <c r="F197" s="4" t="str">
        <f>IF(ISERROR("PUBTIME"),"",HYPERLINK("#INDEX('Frequencies'!A:A,MATCH(A" &amp; ROW() &amp; ",'Frequencies'!A:A,0))","Frequencies"))</f>
        <v>Frequencies</v>
      </c>
      <c r="G197" s="2"/>
      <c r="H197" s="2">
        <v>53</v>
      </c>
      <c r="I197" s="2"/>
      <c r="J197" s="2"/>
      <c r="K197" s="2"/>
      <c r="L197" s="2"/>
    </row>
    <row r="198" spans="1:12" ht="50.1" customHeight="1" x14ac:dyDescent="0.25">
      <c r="A198" s="3" t="s">
        <v>1051</v>
      </c>
      <c r="B198" s="2" t="s">
        <v>1052</v>
      </c>
      <c r="C198" s="2" t="s">
        <v>1053</v>
      </c>
      <c r="D198" s="2" t="s">
        <v>15</v>
      </c>
      <c r="E198" s="4" t="str">
        <f>IF(ISERROR("WRKTIME"),"",HYPERLINK("#INDEX('Value Lookup'!A:A,MATCH(A" &amp; ROW() &amp; ",'Value Lookup'!A:A,0))","Value Lookup"))</f>
        <v>Value Lookup</v>
      </c>
      <c r="F198" s="4" t="str">
        <f>IF(ISERROR("WRKTIME"),"",HYPERLINK("#INDEX('Frequencies'!A:A,MATCH(A" &amp; ROW() &amp; ",'Frequencies'!A:A,0))","Frequencies"))</f>
        <v>Frequencies</v>
      </c>
      <c r="G198" s="2"/>
      <c r="H198" s="2">
        <v>54</v>
      </c>
      <c r="I198" s="2"/>
      <c r="J198" s="2"/>
      <c r="K198" s="2"/>
      <c r="L198" s="2"/>
    </row>
    <row r="199" spans="1:12" ht="50.1" customHeight="1" x14ac:dyDescent="0.25">
      <c r="A199" s="3" t="s">
        <v>1047</v>
      </c>
      <c r="B199" s="2" t="s">
        <v>1048</v>
      </c>
      <c r="C199" s="2"/>
      <c r="D199" s="2" t="s">
        <v>15</v>
      </c>
      <c r="E199" s="4" t="str">
        <f>IF(ISERROR("WRKHR"),"",HYPERLINK("#INDEX('Value Lookup'!A:A,MATCH(A" &amp; ROW() &amp; ",'Value Lookup'!A:A,0))","Value Lookup"))</f>
        <v>Value Lookup</v>
      </c>
      <c r="F199" s="4" t="str">
        <f>IF(ISERROR("WRKHR"),"",HYPERLINK("#INDEX('Frequencies'!A:A,MATCH(A" &amp; ROW() &amp; ",'Frequencies'!A:A,0))","Frequencies"))</f>
        <v>Frequencies</v>
      </c>
      <c r="G199" s="2"/>
      <c r="H199" s="2">
        <v>55</v>
      </c>
      <c r="I199" s="2"/>
      <c r="J199" s="2"/>
      <c r="K199" s="2"/>
      <c r="L199" s="2"/>
    </row>
    <row r="200" spans="1:12" ht="50.1" customHeight="1" x14ac:dyDescent="0.25">
      <c r="A200" s="3" t="s">
        <v>1049</v>
      </c>
      <c r="B200" s="2" t="s">
        <v>1050</v>
      </c>
      <c r="C200" s="2"/>
      <c r="D200" s="2" t="s">
        <v>15</v>
      </c>
      <c r="E200" s="4" t="str">
        <f>IF(ISERROR("WRKMIN"),"",HYPERLINK("#INDEX('Value Lookup'!A:A,MATCH(A" &amp; ROW() &amp; ",'Value Lookup'!A:A,0))","Value Lookup"))</f>
        <v>Value Lookup</v>
      </c>
      <c r="F200" s="4" t="str">
        <f>IF(ISERROR("WRKMIN"),"",HYPERLINK("#INDEX('Frequencies'!A:A,MATCH(A" &amp; ROW() &amp; ",'Frequencies'!A:A,0))","Frequencies"))</f>
        <v>Frequencies</v>
      </c>
      <c r="G200" s="2"/>
      <c r="H200" s="2">
        <v>56</v>
      </c>
      <c r="I200" s="2"/>
      <c r="J200" s="2"/>
      <c r="K200" s="2"/>
      <c r="L200" s="2"/>
    </row>
    <row r="201" spans="1:12" ht="50.1" customHeight="1" x14ac:dyDescent="0.25">
      <c r="A201" s="3" t="s">
        <v>1040</v>
      </c>
      <c r="B201" s="2" t="s">
        <v>1041</v>
      </c>
      <c r="C201" s="2"/>
      <c r="D201" s="2" t="s">
        <v>15</v>
      </c>
      <c r="E201" s="4" t="str">
        <f>IF(ISERROR("WRKAMPM"),"",HYPERLINK("#INDEX('Value Lookup'!A:A,MATCH(A" &amp; ROW() &amp; ",'Value Lookup'!A:A,0))","Value Lookup"))</f>
        <v>Value Lookup</v>
      </c>
      <c r="F201" s="4" t="str">
        <f>IF(ISERROR("WRKAMPM"),"",HYPERLINK("#INDEX('Frequencies'!A:A,MATCH(A" &amp; ROW() &amp; ",'Frequencies'!A:A,0))","Frequencies"))</f>
        <v>Frequencies</v>
      </c>
      <c r="G201" s="2"/>
      <c r="H201" s="2">
        <v>57</v>
      </c>
      <c r="I201" s="2"/>
      <c r="J201" s="2"/>
      <c r="K201" s="2"/>
      <c r="L201" s="2"/>
    </row>
    <row r="202" spans="1:12" ht="50.1" customHeight="1" x14ac:dyDescent="0.25">
      <c r="A202" s="3" t="s">
        <v>1027</v>
      </c>
      <c r="B202" s="2" t="s">
        <v>1028</v>
      </c>
      <c r="C202" s="2" t="s">
        <v>1029</v>
      </c>
      <c r="D202" s="2" t="s">
        <v>15</v>
      </c>
      <c r="E202" s="4" t="str">
        <f>IF(ISERROR("WKRMHM"),"",HYPERLINK("#INDEX('Value Lookup'!A:A,MATCH(A" &amp; ROW() &amp; ",'Value Lookup'!A:A,0))","Value Lookup"))</f>
        <v>Value Lookup</v>
      </c>
      <c r="F202" s="4" t="str">
        <f>IF(ISERROR("WKRMHM"),"",HYPERLINK("#INDEX('Frequencies'!A:A,MATCH(A" &amp; ROW() &amp; ",'Frequencies'!A:A,0))","Frequencies"))</f>
        <v>Frequencies</v>
      </c>
      <c r="G202" s="2"/>
      <c r="H202" s="2">
        <v>58</v>
      </c>
      <c r="I202" s="2"/>
      <c r="J202" s="2"/>
      <c r="K202" s="2"/>
      <c r="L202" s="2"/>
    </row>
    <row r="203" spans="1:12" ht="50.1" customHeight="1" x14ac:dyDescent="0.25">
      <c r="A203" s="3" t="s">
        <v>225</v>
      </c>
      <c r="B203" s="2" t="s">
        <v>226</v>
      </c>
      <c r="C203" s="2" t="s">
        <v>227</v>
      </c>
      <c r="D203" s="2" t="s">
        <v>15</v>
      </c>
      <c r="E203" s="4" t="str">
        <f>IF(ISERROR("FLEXTIME"),"",HYPERLINK("#INDEX('Value Lookup'!A:A,MATCH(A" &amp; ROW() &amp; ",'Value Lookup'!A:A,0))","Value Lookup"))</f>
        <v>Value Lookup</v>
      </c>
      <c r="F203" s="4" t="str">
        <f>IF(ISERROR("FLEXTIME"),"",HYPERLINK("#INDEX('Frequencies'!A:A,MATCH(A" &amp; ROW() &amp; ",'Frequencies'!A:A,0))","Frequencies"))</f>
        <v>Frequencies</v>
      </c>
      <c r="G203" s="2"/>
      <c r="H203" s="2">
        <v>59</v>
      </c>
      <c r="I203" s="2"/>
      <c r="J203" s="2"/>
      <c r="K203" s="2"/>
      <c r="L203" s="2"/>
    </row>
    <row r="204" spans="1:12" ht="50.1" customHeight="1" x14ac:dyDescent="0.25">
      <c r="A204" s="3" t="s">
        <v>989</v>
      </c>
      <c r="B204" s="2" t="s">
        <v>990</v>
      </c>
      <c r="C204" s="2" t="s">
        <v>991</v>
      </c>
      <c r="D204" s="2" t="s">
        <v>41</v>
      </c>
      <c r="E204" s="2" t="str">
        <f>IF(ISERROR("WKFMHMXX"),"","Range: 0 - 31")</f>
        <v>Range: 0 - 31</v>
      </c>
      <c r="F204" s="4" t="str">
        <f>IF(ISERROR("WKFMHMXX"),"",HYPERLINK("#INDEX('Frequencies'!A:A,MATCH(A" &amp; ROW() &amp; ",'Frequencies'!A:A,0))","Frequencies"))</f>
        <v>Frequencies</v>
      </c>
      <c r="G204" s="2"/>
      <c r="H204" s="2">
        <v>60</v>
      </c>
      <c r="I204" s="2"/>
      <c r="J204" s="2"/>
      <c r="K204" s="2"/>
      <c r="L204" s="2"/>
    </row>
    <row r="205" spans="1:12" ht="50.1" customHeight="1" x14ac:dyDescent="0.25">
      <c r="A205" s="3" t="s">
        <v>672</v>
      </c>
      <c r="B205" s="2" t="s">
        <v>673</v>
      </c>
      <c r="C205" s="2" t="s">
        <v>674</v>
      </c>
      <c r="D205" s="2" t="s">
        <v>15</v>
      </c>
      <c r="E205" s="4" t="str">
        <f>IF(ISERROR("SCHTRN1"),"",HYPERLINK("#INDEX('Value Lookup'!A:A,MATCH(A" &amp; ROW() &amp; ",'Value Lookup'!A:A,0))","Value Lookup"))</f>
        <v>Value Lookup</v>
      </c>
      <c r="F205" s="4" t="str">
        <f>IF(ISERROR("SCHTRN1"),"",HYPERLINK("#INDEX('Frequencies'!A:A,MATCH(A" &amp; ROW() &amp; ",'Frequencies'!A:A,0))","Frequencies"))</f>
        <v>Frequencies</v>
      </c>
      <c r="G205" s="2"/>
      <c r="H205" s="2">
        <v>61</v>
      </c>
      <c r="I205" s="2"/>
      <c r="J205" s="2"/>
      <c r="K205" s="2"/>
      <c r="L205" s="2"/>
    </row>
    <row r="206" spans="1:12" ht="50.1" customHeight="1" x14ac:dyDescent="0.25">
      <c r="A206" s="3" t="s">
        <v>675</v>
      </c>
      <c r="B206" s="2" t="s">
        <v>676</v>
      </c>
      <c r="C206" s="2" t="s">
        <v>677</v>
      </c>
      <c r="D206" s="2" t="s">
        <v>15</v>
      </c>
      <c r="E206" s="4" t="str">
        <f>IF(ISERROR("SCHTRN1O"),"",HYPERLINK("#INDEX('Value Lookup'!A:A,MATCH(A" &amp; ROW() &amp; ",'Value Lookup'!A:A,0))","Value Lookup"))</f>
        <v>Value Lookup</v>
      </c>
      <c r="F206" s="4" t="str">
        <f>IF(ISERROR("SCHTRN1O"),"",HYPERLINK("#INDEX('Frequencies'!A:A,MATCH(A" &amp; ROW() &amp; ",'Frequencies'!A:A,0))","Frequencies"))</f>
        <v>Frequencies</v>
      </c>
      <c r="G206" s="2"/>
      <c r="H206" s="2">
        <v>62</v>
      </c>
      <c r="I206" s="2"/>
      <c r="J206" s="2"/>
      <c r="K206" s="2"/>
      <c r="L206" s="2"/>
    </row>
    <row r="207" spans="1:12" ht="50.1" customHeight="1" x14ac:dyDescent="0.25">
      <c r="A207" s="3" t="s">
        <v>678</v>
      </c>
      <c r="B207" s="2" t="s">
        <v>679</v>
      </c>
      <c r="C207" s="2" t="s">
        <v>680</v>
      </c>
      <c r="D207" s="2" t="s">
        <v>15</v>
      </c>
      <c r="E207" s="4" t="str">
        <f>IF(ISERROR("SCHTRN2"),"",HYPERLINK("#INDEX('Value Lookup'!A:A,MATCH(A" &amp; ROW() &amp; ",'Value Lookup'!A:A,0))","Value Lookup"))</f>
        <v>Value Lookup</v>
      </c>
      <c r="F207" s="4" t="str">
        <f>IF(ISERROR("SCHTRN2"),"",HYPERLINK("#INDEX('Frequencies'!A:A,MATCH(A" &amp; ROW() &amp; ",'Frequencies'!A:A,0))","Frequencies"))</f>
        <v>Frequencies</v>
      </c>
      <c r="G207" s="2"/>
      <c r="H207" s="2">
        <v>63</v>
      </c>
      <c r="I207" s="2"/>
      <c r="J207" s="2"/>
      <c r="K207" s="2"/>
      <c r="L207" s="2"/>
    </row>
    <row r="208" spans="1:12" ht="50.1" customHeight="1" x14ac:dyDescent="0.25">
      <c r="A208" s="3" t="s">
        <v>681</v>
      </c>
      <c r="B208" s="2" t="s">
        <v>682</v>
      </c>
      <c r="C208" s="2" t="s">
        <v>683</v>
      </c>
      <c r="D208" s="2" t="s">
        <v>15</v>
      </c>
      <c r="E208" s="4" t="str">
        <f>IF(ISERROR("SCHTRN2O"),"",HYPERLINK("#INDEX('Value Lookup'!A:A,MATCH(A" &amp; ROW() &amp; ",'Value Lookup'!A:A,0))","Value Lookup"))</f>
        <v>Value Lookup</v>
      </c>
      <c r="F208" s="4" t="str">
        <f>IF(ISERROR("SCHTRN2O"),"",HYPERLINK("#INDEX('Frequencies'!A:A,MATCH(A" &amp; ROW() &amp; ",'Frequencies'!A:A,0))","Frequencies"))</f>
        <v>Frequencies</v>
      </c>
      <c r="G208" s="2"/>
      <c r="H208" s="2">
        <v>64</v>
      </c>
      <c r="I208" s="2"/>
      <c r="J208" s="2"/>
      <c r="K208" s="2"/>
      <c r="L208" s="2"/>
    </row>
    <row r="209" spans="1:12" ht="50.1" customHeight="1" x14ac:dyDescent="0.25">
      <c r="A209" s="3" t="s">
        <v>177</v>
      </c>
      <c r="B209" s="2" t="s">
        <v>178</v>
      </c>
      <c r="C209" s="2" t="s">
        <v>179</v>
      </c>
      <c r="D209" s="2" t="s">
        <v>15</v>
      </c>
      <c r="E209" s="4" t="str">
        <f>IF(ISERROR("DIARYCMP"),"",HYPERLINK("#INDEX('Value Lookup'!A:A,MATCH(A" &amp; ROW() &amp; ",'Value Lookup'!A:A,0))","Value Lookup"))</f>
        <v>Value Lookup</v>
      </c>
      <c r="F209" s="4" t="str">
        <f>IF(ISERROR("DIARYCMP"),"",HYPERLINK("#INDEX('Frequencies'!A:A,MATCH(A" &amp; ROW() &amp; ",'Frequencies'!A:A,0))","Frequencies"))</f>
        <v>Frequencies</v>
      </c>
      <c r="G209" s="2"/>
      <c r="H209" s="2">
        <v>65</v>
      </c>
      <c r="I209" s="2"/>
      <c r="J209" s="2"/>
      <c r="K209" s="2"/>
      <c r="L209" s="2"/>
    </row>
    <row r="210" spans="1:12" ht="50.1" customHeight="1" x14ac:dyDescent="0.25">
      <c r="A210" s="3" t="s">
        <v>180</v>
      </c>
      <c r="B210" s="2" t="s">
        <v>181</v>
      </c>
      <c r="C210" s="2" t="s">
        <v>182</v>
      </c>
      <c r="D210" s="2" t="s">
        <v>15</v>
      </c>
      <c r="E210" s="4" t="str">
        <f>IF(ISERROR("DIARYHAV"),"",HYPERLINK("#INDEX('Value Lookup'!A:A,MATCH(A" &amp; ROW() &amp; ",'Value Lookup'!A:A,0))","Value Lookup"))</f>
        <v>Value Lookup</v>
      </c>
      <c r="F210" s="4" t="str">
        <f>IF(ISERROR("DIARYHAV"),"",HYPERLINK("#INDEX('Frequencies'!A:A,MATCH(A" &amp; ROW() &amp; ",'Frequencies'!A:A,0))","Frequencies"))</f>
        <v>Frequencies</v>
      </c>
      <c r="G210" s="2"/>
      <c r="H210" s="2">
        <v>66</v>
      </c>
      <c r="I210" s="2"/>
      <c r="J210" s="2"/>
      <c r="K210" s="2"/>
      <c r="L210" s="2"/>
    </row>
    <row r="211" spans="1:12" ht="50.1" customHeight="1" x14ac:dyDescent="0.25">
      <c r="A211" s="3" t="s">
        <v>172</v>
      </c>
      <c r="B211" s="2" t="s">
        <v>173</v>
      </c>
      <c r="C211" s="2" t="s">
        <v>174</v>
      </c>
      <c r="D211" s="2" t="s">
        <v>41</v>
      </c>
      <c r="E211" s="2" t="str">
        <f>IF(ISERROR("DELIVER"),"","Range: 0 - 99")</f>
        <v>Range: 0 - 99</v>
      </c>
      <c r="F211" s="4" t="str">
        <f>IF(ISERROR("DELIVER"),"",HYPERLINK("#INDEX('Frequencies'!A:A,MATCH(A" &amp; ROW() &amp; ",'Frequencies'!A:A,0))","Frequencies"))</f>
        <v>Frequencies</v>
      </c>
      <c r="G211" s="2"/>
      <c r="H211" s="2">
        <v>67</v>
      </c>
      <c r="I211" s="2"/>
      <c r="J211" s="2"/>
      <c r="K211" s="2"/>
      <c r="L211" s="2"/>
    </row>
    <row r="212" spans="1:12" ht="50.1" customHeight="1" x14ac:dyDescent="0.25">
      <c r="A212" s="3" t="s">
        <v>422</v>
      </c>
      <c r="B212" s="2" t="s">
        <v>423</v>
      </c>
      <c r="C212" s="2" t="s">
        <v>424</v>
      </c>
      <c r="D212" s="2" t="s">
        <v>15</v>
      </c>
      <c r="E212" s="4" t="str">
        <f>IF(ISERROR("MEDCOND"),"",HYPERLINK("#INDEX('Value Lookup'!A:A,MATCH(A" &amp; ROW() &amp; ",'Value Lookup'!A:A,0))","Value Lookup"))</f>
        <v>Value Lookup</v>
      </c>
      <c r="F212" s="4" t="str">
        <f>IF(ISERROR("MEDCOND"),"",HYPERLINK("#INDEX('Frequencies'!A:A,MATCH(A" &amp; ROW() &amp; ",'Frequencies'!A:A,0))","Frequencies"))</f>
        <v>Frequencies</v>
      </c>
      <c r="G212" s="2"/>
      <c r="H212" s="2">
        <v>68</v>
      </c>
      <c r="I212" s="2"/>
      <c r="J212" s="2"/>
      <c r="K212" s="2"/>
      <c r="L212" s="2"/>
    </row>
    <row r="213" spans="1:12" ht="50.1" customHeight="1" x14ac:dyDescent="0.25">
      <c r="A213" s="3" t="s">
        <v>425</v>
      </c>
      <c r="B213" s="2" t="s">
        <v>426</v>
      </c>
      <c r="C213" s="2" t="s">
        <v>427</v>
      </c>
      <c r="D213" s="2" t="s">
        <v>15</v>
      </c>
      <c r="E213" s="4" t="str">
        <f>IF(ISERROR("MEDCOND6"),"",HYPERLINK("#INDEX('Value Lookup'!A:A,MATCH(A" &amp; ROW() &amp; ",'Value Lookup'!A:A,0))","Value Lookup"))</f>
        <v>Value Lookup</v>
      </c>
      <c r="F213" s="4" t="str">
        <f>IF(ISERROR("MEDCOND6"),"",HYPERLINK("#INDEX('Frequencies'!A:A,MATCH(A" &amp; ROW() &amp; ",'Frequencies'!A:A,0))","Frequencies"))</f>
        <v>Frequencies</v>
      </c>
      <c r="G213" s="2"/>
      <c r="H213" s="2">
        <v>69</v>
      </c>
      <c r="I213" s="2"/>
      <c r="J213" s="2"/>
      <c r="K213" s="2"/>
      <c r="L213" s="2"/>
    </row>
    <row r="214" spans="1:12" ht="50.1" customHeight="1" x14ac:dyDescent="0.25">
      <c r="A214" s="3" t="s">
        <v>261</v>
      </c>
      <c r="B214" s="2" t="s">
        <v>262</v>
      </c>
      <c r="C214" s="2" t="s">
        <v>263</v>
      </c>
      <c r="D214" s="2" t="s">
        <v>15</v>
      </c>
      <c r="E214" s="4" t="str">
        <f>IF(ISERROR("HEALTH"),"",HYPERLINK("#INDEX('Value Lookup'!A:A,MATCH(A" &amp; ROW() &amp; ",'Value Lookup'!A:A,0))","Value Lookup"))</f>
        <v>Value Lookup</v>
      </c>
      <c r="F214" s="4" t="str">
        <f>IF(ISERROR("HEALTH"),"",HYPERLINK("#INDEX('Frequencies'!A:A,MATCH(A" &amp; ROW() &amp; ",'Frequencies'!A:A,0))","Frequencies"))</f>
        <v>Frequencies</v>
      </c>
      <c r="G214" s="2"/>
      <c r="H214" s="2">
        <v>70</v>
      </c>
      <c r="I214" s="2"/>
      <c r="J214" s="2"/>
      <c r="K214" s="2"/>
      <c r="L214" s="2"/>
    </row>
    <row r="215" spans="1:12" ht="50.1" customHeight="1" x14ac:dyDescent="0.25">
      <c r="A215" s="3" t="s">
        <v>525</v>
      </c>
      <c r="B215" s="2" t="s">
        <v>526</v>
      </c>
      <c r="C215" s="2" t="s">
        <v>527</v>
      </c>
      <c r="D215" s="2" t="s">
        <v>15</v>
      </c>
      <c r="E215" s="4" t="str">
        <f>IF(ISERROR("PHYACT"),"",HYPERLINK("#INDEX('Value Lookup'!A:A,MATCH(A" &amp; ROW() &amp; ",'Value Lookup'!A:A,0))","Value Lookup"))</f>
        <v>Value Lookup</v>
      </c>
      <c r="F215" s="4" t="str">
        <f>IF(ISERROR("PHYACT"),"",HYPERLINK("#INDEX('Frequencies'!A:A,MATCH(A" &amp; ROW() &amp; ",'Frequencies'!A:A,0))","Frequencies"))</f>
        <v>Frequencies</v>
      </c>
      <c r="G215" s="2"/>
      <c r="H215" s="2">
        <v>71</v>
      </c>
      <c r="I215" s="2"/>
      <c r="J215" s="2"/>
      <c r="K215" s="2"/>
      <c r="L215" s="2"/>
    </row>
    <row r="216" spans="1:12" ht="50.1" customHeight="1" x14ac:dyDescent="0.25">
      <c r="A216" s="3" t="s">
        <v>922</v>
      </c>
      <c r="B216" s="2" t="s">
        <v>923</v>
      </c>
      <c r="C216" s="2" t="s">
        <v>924</v>
      </c>
      <c r="D216" s="2" t="s">
        <v>41</v>
      </c>
      <c r="E216" s="2" t="str">
        <f>IF(ISERROR("VPACT"),"","Range: 0 - 21")</f>
        <v>Range: 0 - 21</v>
      </c>
      <c r="F216" s="4" t="str">
        <f>IF(ISERROR("VPACT"),"",HYPERLINK("#INDEX('Frequencies'!A:A,MATCH(A" &amp; ROW() &amp; ",'Frequencies'!A:A,0))","Frequencies"))</f>
        <v>Frequencies</v>
      </c>
      <c r="G216" s="2"/>
      <c r="H216" s="2">
        <v>72</v>
      </c>
      <c r="I216" s="2"/>
      <c r="J216" s="2"/>
      <c r="K216" s="2"/>
      <c r="L216" s="2"/>
    </row>
    <row r="217" spans="1:12" ht="50.1" customHeight="1" x14ac:dyDescent="0.25">
      <c r="A217" s="3" t="s">
        <v>401</v>
      </c>
      <c r="B217" s="2" t="s">
        <v>402</v>
      </c>
      <c r="C217" s="2" t="s">
        <v>403</v>
      </c>
      <c r="D217" s="2" t="s">
        <v>41</v>
      </c>
      <c r="E217" s="2" t="str">
        <f>IF(ISERROR("LPACT"),"","Range: 0 - 21")</f>
        <v>Range: 0 - 21</v>
      </c>
      <c r="F217" s="4" t="str">
        <f>IF(ISERROR("LPACT"),"",HYPERLINK("#INDEX('Frequencies'!A:A,MATCH(A" &amp; ROW() &amp; ",'Frequencies'!A:A,0))","Frequencies"))</f>
        <v>Frequencies</v>
      </c>
      <c r="G217" s="2"/>
      <c r="H217" s="2">
        <v>73</v>
      </c>
      <c r="I217" s="2"/>
      <c r="J217" s="2"/>
      <c r="K217" s="2"/>
      <c r="L217" s="2"/>
    </row>
    <row r="218" spans="1:12" ht="50.1" customHeight="1" x14ac:dyDescent="0.25">
      <c r="A218" s="3" t="s">
        <v>116</v>
      </c>
      <c r="B218" s="2" t="s">
        <v>117</v>
      </c>
      <c r="C218" s="2" t="s">
        <v>118</v>
      </c>
      <c r="D218" s="2" t="s">
        <v>15</v>
      </c>
      <c r="E218" s="4" t="str">
        <f>IF(ISERROR("BORNINUS"),"",HYPERLINK("#INDEX('Value Lookup'!A:A,MATCH(A" &amp; ROW() &amp; ",'Value Lookup'!A:A,0))","Value Lookup"))</f>
        <v>Value Lookup</v>
      </c>
      <c r="F218" s="4" t="str">
        <f>IF(ISERROR("BORNINUS"),"",HYPERLINK("#INDEX('Frequencies'!A:A,MATCH(A" &amp; ROW() &amp; ",'Frequencies'!A:A,0))","Frequencies"))</f>
        <v>Frequencies</v>
      </c>
      <c r="G218" s="2"/>
      <c r="H218" s="2">
        <v>74</v>
      </c>
      <c r="I218" s="2"/>
      <c r="J218" s="2"/>
      <c r="K218" s="2"/>
      <c r="L218" s="2"/>
    </row>
    <row r="219" spans="1:12" ht="50.1" customHeight="1" x14ac:dyDescent="0.25">
      <c r="A219" s="3" t="s">
        <v>1073</v>
      </c>
      <c r="B219" s="2" t="s">
        <v>1074</v>
      </c>
      <c r="C219" s="2" t="s">
        <v>1075</v>
      </c>
      <c r="D219" s="2" t="s">
        <v>41</v>
      </c>
      <c r="E219" s="2" t="str">
        <f>IF(ISERROR("YRTOUS"),"","Range: [$WHENTOUSLOWERRANGE:C] - [$WHENTOUSUPPERRANGE:C]")</f>
        <v>Range: [$WHENTOUSLOWERRANGE:C] - [$WHENTOUSUPPERRANGE:C]</v>
      </c>
      <c r="F219" s="4" t="str">
        <f>IF(ISERROR("YRTOUS"),"",HYPERLINK("#INDEX('Frequencies'!A:A,MATCH(A" &amp; ROW() &amp; ",'Frequencies'!A:A,0))","Frequencies"))</f>
        <v>Frequencies</v>
      </c>
      <c r="G219" s="2"/>
      <c r="H219" s="2">
        <v>75</v>
      </c>
      <c r="I219" s="2"/>
      <c r="J219" s="2"/>
      <c r="K219" s="2"/>
      <c r="L219" s="2"/>
    </row>
    <row r="220" spans="1:12" ht="50.1" customHeight="1" x14ac:dyDescent="0.25">
      <c r="A220" s="3" t="s">
        <v>1076</v>
      </c>
      <c r="B220" s="2" t="s">
        <v>1077</v>
      </c>
      <c r="C220" s="2" t="s">
        <v>1078</v>
      </c>
      <c r="D220" s="2" t="s">
        <v>15</v>
      </c>
      <c r="E220" s="4" t="str">
        <f>IF(ISERROR("YRTOUS2"),"",HYPERLINK("#INDEX('Value Lookup'!A:A,MATCH(A" &amp; ROW() &amp; ",'Value Lookup'!A:A,0))","Value Lookup"))</f>
        <v>Value Lookup</v>
      </c>
      <c r="F220" s="4" t="str">
        <f>IF(ISERROR("YRTOUS2"),"",HYPERLINK("#INDEX('Frequencies'!A:A,MATCH(A" &amp; ROW() &amp; ",'Frequencies'!A:A,0))","Frequencies"))</f>
        <v>Frequencies</v>
      </c>
      <c r="G220" s="2"/>
      <c r="H220" s="2">
        <v>76</v>
      </c>
      <c r="I220" s="2"/>
      <c r="J220" s="2"/>
      <c r="K220" s="2"/>
      <c r="L220" s="2"/>
    </row>
    <row r="221" spans="1:12" ht="50.1" customHeight="1" x14ac:dyDescent="0.25">
      <c r="A221" s="3" t="s">
        <v>1068</v>
      </c>
      <c r="B221" s="2" t="s">
        <v>1069</v>
      </c>
      <c r="C221" s="2" t="s">
        <v>1070</v>
      </c>
      <c r="D221" s="2" t="s">
        <v>41</v>
      </c>
      <c r="E221" s="2" t="str">
        <f>IF(ISERROR("YEARMILE"),"","Range: 0 - 200000")</f>
        <v>Range: 0 - 200000</v>
      </c>
      <c r="F221" s="4" t="str">
        <f>IF(ISERROR("YEARMILE"),"",HYPERLINK("#INDEX('Frequencies'!A:A,MATCH(A" &amp; ROW() &amp; ",'Frequencies'!A:A,0))","Frequencies"))</f>
        <v>Frequencies</v>
      </c>
      <c r="G221" s="2"/>
      <c r="H221" s="2">
        <v>77</v>
      </c>
      <c r="I221" s="2"/>
      <c r="J221" s="2"/>
      <c r="K221" s="2"/>
      <c r="L221" s="2"/>
    </row>
    <row r="222" spans="1:12" ht="50.1" customHeight="1" x14ac:dyDescent="0.25">
      <c r="A222" s="3" t="s">
        <v>915</v>
      </c>
      <c r="B222" s="2" t="s">
        <v>916</v>
      </c>
      <c r="C222" s="2" t="s">
        <v>917</v>
      </c>
      <c r="D222" s="2" t="s">
        <v>15</v>
      </c>
      <c r="E222" s="4" t="str">
        <f>IF(ISERROR("VERYRMIL"),"",HYPERLINK("#INDEX('Value Lookup'!A:A,MATCH(A" &amp; ROW() &amp; ",'Value Lookup'!A:A,0))","Value Lookup"))</f>
        <v>Value Lookup</v>
      </c>
      <c r="F222" s="4" t="str">
        <f>IF(ISERROR("VERYRMIL"),"",HYPERLINK("#INDEX('Frequencies'!A:A,MATCH(A" &amp; ROW() &amp; ",'Frequencies'!A:A,0))","Frequencies"))</f>
        <v>Frequencies</v>
      </c>
      <c r="G222" s="2"/>
      <c r="H222" s="2">
        <v>78</v>
      </c>
      <c r="I222" s="2"/>
      <c r="J222" s="2"/>
      <c r="K222" s="2"/>
      <c r="L222" s="2"/>
    </row>
    <row r="223" spans="1:12" ht="50.1" customHeight="1" x14ac:dyDescent="0.25">
      <c r="A223" s="3" t="s">
        <v>1066</v>
      </c>
      <c r="B223" s="2" t="s">
        <v>1067</v>
      </c>
      <c r="C223" s="2" t="s">
        <v>219</v>
      </c>
      <c r="D223" s="2" t="s">
        <v>15</v>
      </c>
      <c r="E223" s="4" t="str">
        <f>IF(ISERROR("YEARMIL2"),"",HYPERLINK("#INDEX('Value Lookup'!A:A,MATCH(A" &amp; ROW() &amp; ",'Value Lookup'!A:A,0))","Value Lookup"))</f>
        <v>Value Lookup</v>
      </c>
      <c r="F223" s="4" t="str">
        <f>IF(ISERROR("YEARMIL2"),"",HYPERLINK("#INDEX('Frequencies'!A:A,MATCH(A" &amp; ROW() &amp; ",'Frequencies'!A:A,0))","Frequencies"))</f>
        <v>Frequencies</v>
      </c>
      <c r="G223" s="2"/>
      <c r="H223" s="2">
        <v>79</v>
      </c>
      <c r="I223" s="2"/>
      <c r="J223" s="2"/>
      <c r="K223" s="2"/>
      <c r="L223" s="2"/>
    </row>
    <row r="224" spans="1:12" ht="50.1" customHeight="1" x14ac:dyDescent="0.25">
      <c r="A224" s="3" t="s">
        <v>537</v>
      </c>
      <c r="B224" s="2" t="s">
        <v>538</v>
      </c>
      <c r="C224" s="2"/>
      <c r="D224" s="2" t="s">
        <v>15</v>
      </c>
      <c r="E224" s="4" t="str">
        <f>IF(ISERROR("PROXY"),"",HYPERLINK("#INDEX('Value Lookup'!A:A,MATCH(A" &amp; ROW() &amp; ",'Value Lookup'!A:A,0))","Value Lookup"))</f>
        <v>Value Lookup</v>
      </c>
      <c r="F224" s="4" t="str">
        <f>IF(ISERROR("PROXY"),"",HYPERLINK("#INDEX('Frequencies'!A:A,MATCH(A" &amp; ROW() &amp; ",'Frequencies'!A:A,0))","Frequencies"))</f>
        <v>Frequencies</v>
      </c>
      <c r="G224" s="2"/>
      <c r="H224" s="2">
        <v>80</v>
      </c>
      <c r="I224" s="2"/>
      <c r="J224" s="2"/>
      <c r="K224" s="2"/>
      <c r="L224" s="2"/>
    </row>
    <row r="225" spans="1:12" ht="50.1" customHeight="1" x14ac:dyDescent="0.25">
      <c r="A225" s="3" t="s">
        <v>969</v>
      </c>
      <c r="B225" s="2" t="s">
        <v>970</v>
      </c>
      <c r="C225" s="2"/>
      <c r="D225" s="2" t="s">
        <v>15</v>
      </c>
      <c r="E225" s="2" t="str">
        <f>IF(ISERROR("WHOPROXY"),"","NA")</f>
        <v>NA</v>
      </c>
      <c r="F225" s="4" t="str">
        <f>IF(ISERROR("WHOPROXY"),"",HYPERLINK("#INDEX('Frequencies'!A:A,MATCH(A" &amp; ROW() &amp; ",'Frequencies'!A:A,0))","Frequencies"))</f>
        <v>Frequencies</v>
      </c>
      <c r="G225" s="2"/>
      <c r="H225" s="2">
        <v>81</v>
      </c>
      <c r="I225" s="2"/>
      <c r="J225" s="2"/>
      <c r="K225" s="2"/>
      <c r="L225" s="2"/>
    </row>
    <row r="226" spans="1:12" ht="50.1" customHeight="1" x14ac:dyDescent="0.25">
      <c r="A226" s="3" t="s">
        <v>881</v>
      </c>
      <c r="B226" s="2" t="s">
        <v>882</v>
      </c>
      <c r="C226" s="2" t="s">
        <v>883</v>
      </c>
      <c r="D226" s="2" t="s">
        <v>15</v>
      </c>
      <c r="E226" s="4" t="str">
        <f>IF(ISERROR("USEPUBTR17"),"",HYPERLINK("#INDEX('Value Lookup'!A:A,MATCH(A" &amp; ROW() &amp; ",'Value Lookup'!A:A,0))","Value Lookup"))</f>
        <v>Value Lookup</v>
      </c>
      <c r="F226" s="4" t="str">
        <f>IF(ISERROR("USEPUBTR17"),"",HYPERLINK("#INDEX('Frequencies'!A:A,MATCH(A" &amp; ROW() &amp; ",'Frequencies'!A:A,0))","Frequencies"))</f>
        <v>Frequencies</v>
      </c>
      <c r="G226" s="2"/>
      <c r="H226" s="2">
        <v>82</v>
      </c>
      <c r="I226" s="2"/>
      <c r="J226" s="2"/>
      <c r="K226" s="2"/>
      <c r="L226" s="2"/>
    </row>
    <row r="227" spans="1:12" ht="50.1" customHeight="1" x14ac:dyDescent="0.25">
      <c r="A227" s="3" t="s">
        <v>879</v>
      </c>
      <c r="B227" s="2" t="s">
        <v>880</v>
      </c>
      <c r="C227" s="2"/>
      <c r="D227" s="2" t="s">
        <v>15</v>
      </c>
      <c r="E227" s="4" t="str">
        <f>IF(ISERROR("USEPUBTR"),"",HYPERLINK("#INDEX('Value Lookup'!A:A,MATCH(A" &amp; ROW() &amp; ",'Value Lookup'!A:A,0))","Value Lookup"))</f>
        <v>Value Lookup</v>
      </c>
      <c r="F227" s="4" t="str">
        <f>IF(ISERROR("USEPUBTR"),"",HYPERLINK("#INDEX('Frequencies'!A:A,MATCH(A" &amp; ROW() &amp; ",'Frequencies'!A:A,0))","Frequencies"))</f>
        <v>Frequencies</v>
      </c>
      <c r="G227" s="2"/>
      <c r="H227" s="2">
        <v>83</v>
      </c>
      <c r="I227" s="2"/>
      <c r="J227" s="2"/>
      <c r="K227" s="2"/>
      <c r="L227" s="2"/>
    </row>
    <row r="228" spans="1:12" ht="50.1" customHeight="1" x14ac:dyDescent="0.25">
      <c r="A228" s="3" t="s">
        <v>663</v>
      </c>
      <c r="B228" s="2" t="s">
        <v>664</v>
      </c>
      <c r="C228" s="2" t="s">
        <v>665</v>
      </c>
      <c r="D228" s="2" t="s">
        <v>15</v>
      </c>
      <c r="E228" s="4" t="str">
        <f>IF(ISERROR("SAMEPLC"),"",HYPERLINK("#INDEX('Value Lookup'!A:A,MATCH(A" &amp; ROW() &amp; ",'Value Lookup'!A:A,0))","Value Lookup"))</f>
        <v>Value Lookup</v>
      </c>
      <c r="F228" s="4" t="str">
        <f>IF(ISERROR("SAMEPLC"),"",HYPERLINK("#INDEX('Frequencies'!A:A,MATCH(A" &amp; ROW() &amp; ",'Frequencies'!A:A,0))","Frequencies"))</f>
        <v>Frequencies</v>
      </c>
      <c r="G228" s="2"/>
      <c r="H228" s="2">
        <v>84</v>
      </c>
      <c r="I228" s="2"/>
      <c r="J228" s="2"/>
      <c r="K228" s="2"/>
      <c r="L228" s="2"/>
    </row>
    <row r="229" spans="1:12" ht="50.1" customHeight="1" x14ac:dyDescent="0.25">
      <c r="A229" s="3" t="s">
        <v>666</v>
      </c>
      <c r="B229" s="2" t="s">
        <v>667</v>
      </c>
      <c r="C229" s="2" t="s">
        <v>665</v>
      </c>
      <c r="D229" s="2" t="s">
        <v>15</v>
      </c>
      <c r="E229" s="4" t="str">
        <f>IF(ISERROR("SAMEPLC_O"),"",HYPERLINK("#INDEX('Value Lookup'!A:A,MATCH(A" &amp; ROW() &amp; ",'Value Lookup'!A:A,0))","Value Lookup"))</f>
        <v>Value Lookup</v>
      </c>
      <c r="F229" s="4" t="str">
        <f>IF(ISERROR("SAMEPLC_O"),"",HYPERLINK("#INDEX('Frequencies'!A:A,MATCH(A" &amp; ROW() &amp; ",'Frequencies'!A:A,0))","Frequencies"))</f>
        <v>Frequencies</v>
      </c>
      <c r="G229" s="2"/>
      <c r="H229" s="2">
        <v>85</v>
      </c>
      <c r="I229" s="2"/>
      <c r="J229" s="2"/>
      <c r="K229" s="2"/>
      <c r="L229" s="2"/>
    </row>
    <row r="230" spans="1:12" ht="50.1" customHeight="1" x14ac:dyDescent="0.25">
      <c r="A230" s="3" t="s">
        <v>594</v>
      </c>
      <c r="B230" s="2" t="s">
        <v>595</v>
      </c>
      <c r="C230" s="2" t="s">
        <v>596</v>
      </c>
      <c r="D230" s="2" t="s">
        <v>15</v>
      </c>
      <c r="E230" s="4" t="str">
        <f>IF(ISERROR("RACE_1"),"",HYPERLINK("#INDEX('Value Lookup'!A:A,MATCH(A" &amp; ROW() &amp; ",'Value Lookup'!A:A,0))","Value Lookup"))</f>
        <v>Value Lookup</v>
      </c>
      <c r="F230" s="4" t="str">
        <f>IF(ISERROR("RACE_1"),"",HYPERLINK("#INDEX('Frequencies'!A:A,MATCH(A" &amp; ROW() &amp; ",'Frequencies'!A:A,0))","Frequencies"))</f>
        <v>Frequencies</v>
      </c>
      <c r="G230" s="2"/>
      <c r="H230" s="2">
        <v>86</v>
      </c>
      <c r="I230" s="2"/>
      <c r="J230" s="2"/>
      <c r="K230" s="2"/>
      <c r="L230" s="2"/>
    </row>
    <row r="231" spans="1:12" ht="50.1" customHeight="1" x14ac:dyDescent="0.25">
      <c r="A231" s="3" t="s">
        <v>597</v>
      </c>
      <c r="B231" s="2" t="s">
        <v>598</v>
      </c>
      <c r="C231" s="2" t="s">
        <v>596</v>
      </c>
      <c r="D231" s="2" t="s">
        <v>15</v>
      </c>
      <c r="E231" s="4" t="str">
        <f>IF(ISERROR("RACE_2"),"",HYPERLINK("#INDEX('Value Lookup'!A:A,MATCH(A" &amp; ROW() &amp; ",'Value Lookup'!A:A,0))","Value Lookup"))</f>
        <v>Value Lookup</v>
      </c>
      <c r="F231" s="4" t="str">
        <f>IF(ISERROR("RACE_2"),"",HYPERLINK("#INDEX('Frequencies'!A:A,MATCH(A" &amp; ROW() &amp; ",'Frequencies'!A:A,0))","Frequencies"))</f>
        <v>Frequencies</v>
      </c>
      <c r="G231" s="2"/>
      <c r="H231" s="2">
        <v>87</v>
      </c>
      <c r="I231" s="2"/>
      <c r="J231" s="2"/>
      <c r="K231" s="2"/>
      <c r="L231" s="2"/>
    </row>
    <row r="232" spans="1:12" ht="50.1" customHeight="1" x14ac:dyDescent="0.25">
      <c r="A232" s="3" t="s">
        <v>599</v>
      </c>
      <c r="B232" s="2" t="s">
        <v>600</v>
      </c>
      <c r="C232" s="2" t="s">
        <v>596</v>
      </c>
      <c r="D232" s="2" t="s">
        <v>15</v>
      </c>
      <c r="E232" s="4" t="str">
        <f>IF(ISERROR("RACE_3"),"",HYPERLINK("#INDEX('Value Lookup'!A:A,MATCH(A" &amp; ROW() &amp; ",'Value Lookup'!A:A,0))","Value Lookup"))</f>
        <v>Value Lookup</v>
      </c>
      <c r="F232" s="4" t="str">
        <f>IF(ISERROR("RACE_3"),"",HYPERLINK("#INDEX('Frequencies'!A:A,MATCH(A" &amp; ROW() &amp; ",'Frequencies'!A:A,0))","Frequencies"))</f>
        <v>Frequencies</v>
      </c>
      <c r="G232" s="2"/>
      <c r="H232" s="2">
        <v>88</v>
      </c>
      <c r="I232" s="2"/>
      <c r="J232" s="2"/>
      <c r="K232" s="2"/>
      <c r="L232" s="2"/>
    </row>
    <row r="233" spans="1:12" ht="50.1" customHeight="1" x14ac:dyDescent="0.25">
      <c r="A233" s="3" t="s">
        <v>601</v>
      </c>
      <c r="B233" s="2" t="s">
        <v>602</v>
      </c>
      <c r="C233" s="2" t="s">
        <v>596</v>
      </c>
      <c r="D233" s="2" t="s">
        <v>15</v>
      </c>
      <c r="E233" s="4" t="str">
        <f>IF(ISERROR("RACE_4"),"",HYPERLINK("#INDEX('Value Lookup'!A:A,MATCH(A" &amp; ROW() &amp; ",'Value Lookup'!A:A,0))","Value Lookup"))</f>
        <v>Value Lookup</v>
      </c>
      <c r="F233" s="4" t="str">
        <f>IF(ISERROR("RACE_4"),"",HYPERLINK("#INDEX('Frequencies'!A:A,MATCH(A" &amp; ROW() &amp; ",'Frequencies'!A:A,0))","Frequencies"))</f>
        <v>Frequencies</v>
      </c>
      <c r="G233" s="2"/>
      <c r="H233" s="2">
        <v>89</v>
      </c>
      <c r="I233" s="2"/>
      <c r="J233" s="2"/>
      <c r="K233" s="2"/>
      <c r="L233" s="2"/>
    </row>
    <row r="234" spans="1:12" ht="50.1" customHeight="1" x14ac:dyDescent="0.25">
      <c r="A234" s="3" t="s">
        <v>603</v>
      </c>
      <c r="B234" s="2" t="s">
        <v>604</v>
      </c>
      <c r="C234" s="2" t="s">
        <v>596</v>
      </c>
      <c r="D234" s="2" t="s">
        <v>15</v>
      </c>
      <c r="E234" s="4" t="str">
        <f>IF(ISERROR("RACE_5"),"",HYPERLINK("#INDEX('Value Lookup'!A:A,MATCH(A" &amp; ROW() &amp; ",'Value Lookup'!A:A,0))","Value Lookup"))</f>
        <v>Value Lookup</v>
      </c>
      <c r="F234" s="4" t="str">
        <f>IF(ISERROR("RACE_5"),"",HYPERLINK("#INDEX('Frequencies'!A:A,MATCH(A" &amp; ROW() &amp; ",'Frequencies'!A:A,0))","Frequencies"))</f>
        <v>Frequencies</v>
      </c>
      <c r="G234" s="2"/>
      <c r="H234" s="2">
        <v>90</v>
      </c>
      <c r="I234" s="2"/>
      <c r="J234" s="2"/>
      <c r="K234" s="2"/>
      <c r="L234" s="2"/>
    </row>
    <row r="235" spans="1:12" ht="50.1" customHeight="1" x14ac:dyDescent="0.25">
      <c r="A235" s="3" t="s">
        <v>605</v>
      </c>
      <c r="B235" s="2" t="s">
        <v>606</v>
      </c>
      <c r="C235" s="2" t="s">
        <v>596</v>
      </c>
      <c r="D235" s="2" t="s">
        <v>15</v>
      </c>
      <c r="E235" s="4" t="str">
        <f>IF(ISERROR("RACE_DK"),"",HYPERLINK("#INDEX('Value Lookup'!A:A,MATCH(A" &amp; ROW() &amp; ",'Value Lookup'!A:A,0))","Value Lookup"))</f>
        <v>Value Lookup</v>
      </c>
      <c r="F235" s="4" t="str">
        <f>IF(ISERROR("RACE_DK"),"",HYPERLINK("#INDEX('Frequencies'!A:A,MATCH(A" &amp; ROW() &amp; ",'Frequencies'!A:A,0))","Frequencies"))</f>
        <v>Frequencies</v>
      </c>
      <c r="G235" s="2"/>
      <c r="H235" s="2">
        <v>91</v>
      </c>
      <c r="I235" s="2"/>
      <c r="J235" s="2"/>
      <c r="K235" s="2"/>
      <c r="L235" s="2"/>
    </row>
    <row r="236" spans="1:12" ht="50.1" customHeight="1" x14ac:dyDescent="0.25">
      <c r="A236" s="3" t="s">
        <v>610</v>
      </c>
      <c r="B236" s="2" t="s">
        <v>611</v>
      </c>
      <c r="C236" s="2" t="s">
        <v>596</v>
      </c>
      <c r="D236" s="2" t="s">
        <v>15</v>
      </c>
      <c r="E236" s="4" t="str">
        <f>IF(ISERROR("RACE_RF"),"",HYPERLINK("#INDEX('Value Lookup'!A:A,MATCH(A" &amp; ROW() &amp; ",'Value Lookup'!A:A,0))","Value Lookup"))</f>
        <v>Value Lookup</v>
      </c>
      <c r="F236" s="4" t="str">
        <f>IF(ISERROR("RACE_RF"),"",HYPERLINK("#INDEX('Frequencies'!A:A,MATCH(A" &amp; ROW() &amp; ",'Frequencies'!A:A,0))","Frequencies"))</f>
        <v>Frequencies</v>
      </c>
      <c r="G236" s="2"/>
      <c r="H236" s="2">
        <v>92</v>
      </c>
      <c r="I236" s="2"/>
      <c r="J236" s="2"/>
      <c r="K236" s="2"/>
      <c r="L236" s="2"/>
    </row>
    <row r="237" spans="1:12" ht="50.1" customHeight="1" x14ac:dyDescent="0.25">
      <c r="A237" s="3" t="s">
        <v>612</v>
      </c>
      <c r="B237" s="2" t="s">
        <v>613</v>
      </c>
      <c r="C237" s="2" t="s">
        <v>596</v>
      </c>
      <c r="D237" s="2" t="s">
        <v>15</v>
      </c>
      <c r="E237" s="4" t="str">
        <f>IF(ISERROR("RACE_SE"),"",HYPERLINK("#INDEX('Value Lookup'!A:A,MATCH(A" &amp; ROW() &amp; ",'Value Lookup'!A:A,0))","Value Lookup"))</f>
        <v>Value Lookup</v>
      </c>
      <c r="F237" s="4" t="str">
        <f>IF(ISERROR("RACE_SE"),"",HYPERLINK("#INDEX('Frequencies'!A:A,MATCH(A" &amp; ROW() &amp; ",'Frequencies'!A:A,0))","Frequencies"))</f>
        <v>Frequencies</v>
      </c>
      <c r="G237" s="2"/>
      <c r="H237" s="2">
        <v>93</v>
      </c>
      <c r="I237" s="2"/>
      <c r="J237" s="2"/>
      <c r="K237" s="2"/>
      <c r="L237" s="2"/>
    </row>
    <row r="238" spans="1:12" ht="50.1" customHeight="1" x14ac:dyDescent="0.25">
      <c r="A238" s="3" t="s">
        <v>607</v>
      </c>
      <c r="B238" s="2" t="s">
        <v>608</v>
      </c>
      <c r="C238" s="2" t="s">
        <v>609</v>
      </c>
      <c r="D238" s="2" t="s">
        <v>15</v>
      </c>
      <c r="E238" s="4" t="str">
        <f>IF(ISERROR("RACE_O"),"",HYPERLINK("#INDEX('Value Lookup'!A:A,MATCH(A" &amp; ROW() &amp; ",'Value Lookup'!A:A,0))","Value Lookup"))</f>
        <v>Value Lookup</v>
      </c>
      <c r="F238" s="4" t="str">
        <f>IF(ISERROR("RACE_O"),"",HYPERLINK("#INDEX('Frequencies'!A:A,MATCH(A" &amp; ROW() &amp; ",'Frequencies'!A:A,0))","Frequencies"))</f>
        <v>Frequencies</v>
      </c>
      <c r="G238" s="2"/>
      <c r="H238" s="2">
        <v>94</v>
      </c>
      <c r="I238" s="2"/>
      <c r="J238" s="2"/>
      <c r="K238" s="2"/>
      <c r="L238" s="2"/>
    </row>
    <row r="239" spans="1:12" ht="50.1" customHeight="1" x14ac:dyDescent="0.25">
      <c r="A239" s="3" t="s">
        <v>16</v>
      </c>
      <c r="B239" s="2" t="s">
        <v>17</v>
      </c>
      <c r="C239" s="2" t="s">
        <v>18</v>
      </c>
      <c r="D239" s="2" t="s">
        <v>15</v>
      </c>
      <c r="E239" s="4" t="str">
        <f>IF(ISERROR("ALT_1"),"",HYPERLINK("#INDEX('Value Lookup'!A:A,MATCH(A" &amp; ROW() &amp; ",'Value Lookup'!A:A,0))","Value Lookup"))</f>
        <v>Value Lookup</v>
      </c>
      <c r="F239" s="4" t="str">
        <f>IF(ISERROR("ALT_1"),"",HYPERLINK("#INDEX('Frequencies'!A:A,MATCH(A" &amp; ROW() &amp; ",'Frequencies'!A:A,0))","Frequencies"))</f>
        <v>Frequencies</v>
      </c>
      <c r="G239" s="2"/>
      <c r="H239" s="2">
        <v>95</v>
      </c>
      <c r="I239" s="2"/>
      <c r="J239" s="2"/>
      <c r="K239" s="2"/>
      <c r="L239" s="2"/>
    </row>
    <row r="240" spans="1:12" ht="50.1" customHeight="1" x14ac:dyDescent="0.25">
      <c r="A240" s="3" t="s">
        <v>19</v>
      </c>
      <c r="B240" s="2" t="s">
        <v>20</v>
      </c>
      <c r="C240" s="2" t="s">
        <v>18</v>
      </c>
      <c r="D240" s="2" t="s">
        <v>15</v>
      </c>
      <c r="E240" s="4" t="str">
        <f>IF(ISERROR("ALT_2"),"",HYPERLINK("#INDEX('Value Lookup'!A:A,MATCH(A" &amp; ROW() &amp; ",'Value Lookup'!A:A,0))","Value Lookup"))</f>
        <v>Value Lookup</v>
      </c>
      <c r="F240" s="4" t="str">
        <f>IF(ISERROR("ALT_2"),"",HYPERLINK("#INDEX('Frequencies'!A:A,MATCH(A" &amp; ROW() &amp; ",'Frequencies'!A:A,0))","Frequencies"))</f>
        <v>Frequencies</v>
      </c>
      <c r="G240" s="2"/>
      <c r="H240" s="2">
        <v>96</v>
      </c>
      <c r="I240" s="2"/>
      <c r="J240" s="2"/>
      <c r="K240" s="2"/>
      <c r="L240" s="2"/>
    </row>
    <row r="241" spans="1:12" ht="50.1" customHeight="1" x14ac:dyDescent="0.25">
      <c r="A241" s="3" t="s">
        <v>21</v>
      </c>
      <c r="B241" s="2" t="s">
        <v>22</v>
      </c>
      <c r="C241" s="2" t="s">
        <v>18</v>
      </c>
      <c r="D241" s="2" t="s">
        <v>15</v>
      </c>
      <c r="E241" s="4" t="str">
        <f>IF(ISERROR("ALT_3"),"",HYPERLINK("#INDEX('Value Lookup'!A:A,MATCH(A" &amp; ROW() &amp; ",'Value Lookup'!A:A,0))","Value Lookup"))</f>
        <v>Value Lookup</v>
      </c>
      <c r="F241" s="4" t="str">
        <f>IF(ISERROR("ALT_3"),"",HYPERLINK("#INDEX('Frequencies'!A:A,MATCH(A" &amp; ROW() &amp; ",'Frequencies'!A:A,0))","Frequencies"))</f>
        <v>Frequencies</v>
      </c>
      <c r="G241" s="2"/>
      <c r="H241" s="2">
        <v>97</v>
      </c>
      <c r="I241" s="2"/>
      <c r="J241" s="2"/>
      <c r="K241" s="2"/>
      <c r="L241" s="2"/>
    </row>
    <row r="242" spans="1:12" ht="50.1" customHeight="1" x14ac:dyDescent="0.25">
      <c r="A242" s="3" t="s">
        <v>23</v>
      </c>
      <c r="B242" s="2" t="s">
        <v>24</v>
      </c>
      <c r="C242" s="2" t="s">
        <v>18</v>
      </c>
      <c r="D242" s="2" t="s">
        <v>15</v>
      </c>
      <c r="E242" s="4" t="str">
        <f>IF(ISERROR("ALT_4"),"",HYPERLINK("#INDEX('Value Lookup'!A:A,MATCH(A" &amp; ROW() &amp; ",'Value Lookup'!A:A,0))","Value Lookup"))</f>
        <v>Value Lookup</v>
      </c>
      <c r="F242" s="4" t="str">
        <f>IF(ISERROR("ALT_4"),"",HYPERLINK("#INDEX('Frequencies'!A:A,MATCH(A" &amp; ROW() &amp; ",'Frequencies'!A:A,0))","Frequencies"))</f>
        <v>Frequencies</v>
      </c>
      <c r="G242" s="2"/>
      <c r="H242" s="2">
        <v>98</v>
      </c>
      <c r="I242" s="2"/>
      <c r="J242" s="2"/>
      <c r="K242" s="2"/>
      <c r="L242" s="2"/>
    </row>
    <row r="243" spans="1:12" ht="50.1" customHeight="1" x14ac:dyDescent="0.25">
      <c r="A243" s="3" t="s">
        <v>25</v>
      </c>
      <c r="B243" s="2" t="s">
        <v>26</v>
      </c>
      <c r="C243" s="2" t="s">
        <v>18</v>
      </c>
      <c r="D243" s="2" t="s">
        <v>15</v>
      </c>
      <c r="E243" s="4" t="str">
        <f>IF(ISERROR("ALT_5"),"",HYPERLINK("#INDEX('Value Lookup'!A:A,MATCH(A" &amp; ROW() &amp; ",'Value Lookup'!A:A,0))","Value Lookup"))</f>
        <v>Value Lookup</v>
      </c>
      <c r="F243" s="4" t="str">
        <f>IF(ISERROR("ALT_5"),"",HYPERLINK("#INDEX('Frequencies'!A:A,MATCH(A" &amp; ROW() &amp; ",'Frequencies'!A:A,0))","Frequencies"))</f>
        <v>Frequencies</v>
      </c>
      <c r="G243" s="2"/>
      <c r="H243" s="2">
        <v>99</v>
      </c>
      <c r="I243" s="2"/>
      <c r="J243" s="2"/>
      <c r="K243" s="2"/>
      <c r="L243" s="2"/>
    </row>
    <row r="244" spans="1:12" ht="50.1" customHeight="1" x14ac:dyDescent="0.25">
      <c r="A244" s="3" t="s">
        <v>27</v>
      </c>
      <c r="B244" s="2" t="s">
        <v>28</v>
      </c>
      <c r="C244" s="2" t="s">
        <v>18</v>
      </c>
      <c r="D244" s="2" t="s">
        <v>15</v>
      </c>
      <c r="E244" s="4" t="str">
        <f>IF(ISERROR("ALT_6"),"",HYPERLINK("#INDEX('Value Lookup'!A:A,MATCH(A" &amp; ROW() &amp; ",'Value Lookup'!A:A,0))","Value Lookup"))</f>
        <v>Value Lookup</v>
      </c>
      <c r="F244" s="4" t="str">
        <f>IF(ISERROR("ALT_6"),"",HYPERLINK("#INDEX('Frequencies'!A:A,MATCH(A" &amp; ROW() &amp; ",'Frequencies'!A:A,0))","Frequencies"))</f>
        <v>Frequencies</v>
      </c>
      <c r="G244" s="2"/>
      <c r="H244" s="2">
        <v>100</v>
      </c>
      <c r="I244" s="2"/>
      <c r="J244" s="2"/>
      <c r="K244" s="2"/>
      <c r="L244" s="2"/>
    </row>
    <row r="245" spans="1:12" ht="50.1" customHeight="1" x14ac:dyDescent="0.25">
      <c r="A245" s="3" t="s">
        <v>29</v>
      </c>
      <c r="B245" s="2" t="s">
        <v>30</v>
      </c>
      <c r="C245" s="2" t="s">
        <v>18</v>
      </c>
      <c r="D245" s="2" t="s">
        <v>15</v>
      </c>
      <c r="E245" s="4" t="str">
        <f>IF(ISERROR("ALT_7"),"",HYPERLINK("#INDEX('Value Lookup'!A:A,MATCH(A" &amp; ROW() &amp; ",'Value Lookup'!A:A,0))","Value Lookup"))</f>
        <v>Value Lookup</v>
      </c>
      <c r="F245" s="4" t="str">
        <f>IF(ISERROR("ALT_7"),"",HYPERLINK("#INDEX('Frequencies'!A:A,MATCH(A" &amp; ROW() &amp; ",'Frequencies'!A:A,0))","Frequencies"))</f>
        <v>Frequencies</v>
      </c>
      <c r="G245" s="2"/>
      <c r="H245" s="2">
        <v>101</v>
      </c>
      <c r="I245" s="2"/>
      <c r="J245" s="2"/>
      <c r="K245" s="2"/>
      <c r="L245" s="2"/>
    </row>
    <row r="246" spans="1:12" ht="50.1" customHeight="1" x14ac:dyDescent="0.25">
      <c r="A246" s="3" t="s">
        <v>31</v>
      </c>
      <c r="B246" s="2" t="s">
        <v>32</v>
      </c>
      <c r="C246" s="2" t="s">
        <v>18</v>
      </c>
      <c r="D246" s="2" t="s">
        <v>15</v>
      </c>
      <c r="E246" s="4" t="str">
        <f>IF(ISERROR("ALT_DK"),"",HYPERLINK("#INDEX('Value Lookup'!A:A,MATCH(A" &amp; ROW() &amp; ",'Value Lookup'!A:A,0))","Value Lookup"))</f>
        <v>Value Lookup</v>
      </c>
      <c r="F246" s="4" t="str">
        <f>IF(ISERROR("ALT_DK"),"",HYPERLINK("#INDEX('Frequencies'!A:A,MATCH(A" &amp; ROW() &amp; ",'Frequencies'!A:A,0))","Frequencies"))</f>
        <v>Frequencies</v>
      </c>
      <c r="G246" s="2"/>
      <c r="H246" s="2">
        <v>102</v>
      </c>
      <c r="I246" s="2"/>
      <c r="J246" s="2"/>
      <c r="K246" s="2"/>
      <c r="L246" s="2"/>
    </row>
    <row r="247" spans="1:12" ht="50.1" customHeight="1" x14ac:dyDescent="0.25">
      <c r="A247" s="3" t="s">
        <v>35</v>
      </c>
      <c r="B247" s="2" t="s">
        <v>36</v>
      </c>
      <c r="C247" s="2" t="s">
        <v>18</v>
      </c>
      <c r="D247" s="2" t="s">
        <v>15</v>
      </c>
      <c r="E247" s="4" t="str">
        <f>IF(ISERROR("ALT_RF"),"",HYPERLINK("#INDEX('Value Lookup'!A:A,MATCH(A" &amp; ROW() &amp; ",'Value Lookup'!A:A,0))","Value Lookup"))</f>
        <v>Value Lookup</v>
      </c>
      <c r="F247" s="4" t="str">
        <f>IF(ISERROR("ALT_RF"),"",HYPERLINK("#INDEX('Frequencies'!A:A,MATCH(A" &amp; ROW() &amp; ",'Frequencies'!A:A,0))","Frequencies"))</f>
        <v>Frequencies</v>
      </c>
      <c r="G247" s="2"/>
      <c r="H247" s="2">
        <v>103</v>
      </c>
      <c r="I247" s="2"/>
      <c r="J247" s="2"/>
      <c r="K247" s="2"/>
      <c r="L247" s="2"/>
    </row>
    <row r="248" spans="1:12" ht="50.1" customHeight="1" x14ac:dyDescent="0.25">
      <c r="A248" s="3" t="s">
        <v>37</v>
      </c>
      <c r="B248" s="2" t="s">
        <v>38</v>
      </c>
      <c r="C248" s="2" t="s">
        <v>18</v>
      </c>
      <c r="D248" s="2" t="s">
        <v>15</v>
      </c>
      <c r="E248" s="4" t="str">
        <f>IF(ISERROR("ALT_SE"),"",HYPERLINK("#INDEX('Value Lookup'!A:A,MATCH(A" &amp; ROW() &amp; ",'Value Lookup'!A:A,0))","Value Lookup"))</f>
        <v>Value Lookup</v>
      </c>
      <c r="F248" s="4" t="str">
        <f>IF(ISERROR("ALT_SE"),"",HYPERLINK("#INDEX('Frequencies'!A:A,MATCH(A" &amp; ROW() &amp; ",'Frequencies'!A:A,0))","Frequencies"))</f>
        <v>Frequencies</v>
      </c>
      <c r="G248" s="2"/>
      <c r="H248" s="2">
        <v>104</v>
      </c>
      <c r="I248" s="2"/>
      <c r="J248" s="2"/>
      <c r="K248" s="2"/>
      <c r="L248" s="2"/>
    </row>
    <row r="249" spans="1:12" ht="50.1" customHeight="1" x14ac:dyDescent="0.25">
      <c r="A249" s="3" t="s">
        <v>33</v>
      </c>
      <c r="B249" s="2" t="s">
        <v>34</v>
      </c>
      <c r="C249" s="2"/>
      <c r="D249" s="2" t="s">
        <v>15</v>
      </c>
      <c r="E249" s="4" t="str">
        <f>IF(ISERROR("ALT_O"),"",HYPERLINK("#INDEX('Value Lookup'!A:A,MATCH(A" &amp; ROW() &amp; ",'Value Lookup'!A:A,0))","Value Lookup"))</f>
        <v>Value Lookup</v>
      </c>
      <c r="F249" s="4" t="str">
        <f>IF(ISERROR("ALT_O"),"",HYPERLINK("#INDEX('Frequencies'!A:A,MATCH(A" &amp; ROW() &amp; ",'Frequencies'!A:A,0))","Frequencies"))</f>
        <v>Frequencies</v>
      </c>
      <c r="G249" s="2"/>
      <c r="H249" s="2">
        <v>105</v>
      </c>
      <c r="I249" s="2"/>
      <c r="J249" s="2"/>
      <c r="K249" s="2"/>
      <c r="L249" s="2"/>
    </row>
    <row r="250" spans="1:12" ht="50.1" customHeight="1" x14ac:dyDescent="0.25">
      <c r="A250" s="3" t="s">
        <v>1034</v>
      </c>
      <c r="B250" s="2" t="s">
        <v>1035</v>
      </c>
      <c r="C250" s="2" t="s">
        <v>415</v>
      </c>
      <c r="D250" s="2" t="s">
        <v>15</v>
      </c>
      <c r="E250" s="4" t="str">
        <f>IF(ISERROR("W_NONE"),"",HYPERLINK("#INDEX('Value Lookup'!A:A,MATCH(A" &amp; ROW() &amp; ",'Value Lookup'!A:A,0))","Value Lookup"))</f>
        <v>Value Lookup</v>
      </c>
      <c r="F250" s="4" t="str">
        <f>IF(ISERROR("W_NONE"),"",HYPERLINK("#INDEX('Frequencies'!A:A,MATCH(A" &amp; ROW() &amp; ",'Frequencies'!A:A,0))","Frequencies"))</f>
        <v>Frequencies</v>
      </c>
      <c r="G250" s="2"/>
      <c r="H250" s="2">
        <v>106</v>
      </c>
      <c r="I250" s="2"/>
      <c r="J250" s="2"/>
      <c r="K250" s="2"/>
      <c r="L250" s="2"/>
    </row>
    <row r="251" spans="1:12" ht="50.1" customHeight="1" x14ac:dyDescent="0.25">
      <c r="A251" s="3" t="s">
        <v>953</v>
      </c>
      <c r="B251" s="2" t="s">
        <v>954</v>
      </c>
      <c r="C251" s="2" t="s">
        <v>415</v>
      </c>
      <c r="D251" s="2" t="s">
        <v>15</v>
      </c>
      <c r="E251" s="4" t="str">
        <f>IF(ISERROR("W_CANE"),"",HYPERLINK("#INDEX('Value Lookup'!A:A,MATCH(A" &amp; ROW() &amp; ",'Value Lookup'!A:A,0))","Value Lookup"))</f>
        <v>Value Lookup</v>
      </c>
      <c r="F251" s="4" t="str">
        <f>IF(ISERROR("W_CANE"),"",HYPERLINK("#INDEX('Frequencies'!A:A,MATCH(A" &amp; ROW() &amp; ",'Frequencies'!A:A,0))","Frequencies"))</f>
        <v>Frequencies</v>
      </c>
      <c r="G251" s="2"/>
      <c r="H251" s="2">
        <v>107</v>
      </c>
      <c r="I251" s="2"/>
      <c r="J251" s="2"/>
      <c r="K251" s="2"/>
      <c r="L251" s="2"/>
    </row>
    <row r="252" spans="1:12" ht="50.1" customHeight="1" x14ac:dyDescent="0.25">
      <c r="A252" s="3" t="s">
        <v>1064</v>
      </c>
      <c r="B252" s="2" t="s">
        <v>1065</v>
      </c>
      <c r="C252" s="2" t="s">
        <v>415</v>
      </c>
      <c r="D252" s="2" t="s">
        <v>15</v>
      </c>
      <c r="E252" s="4" t="str">
        <f>IF(ISERROR("W_WLKR"),"",HYPERLINK("#INDEX('Value Lookup'!A:A,MATCH(A" &amp; ROW() &amp; ",'Value Lookup'!A:A,0))","Value Lookup"))</f>
        <v>Value Lookup</v>
      </c>
      <c r="F252" s="4" t="str">
        <f>IF(ISERROR("W_WLKR"),"",HYPERLINK("#INDEX('Frequencies'!A:A,MATCH(A" &amp; ROW() &amp; ",'Frequencies'!A:A,0))","Frequencies"))</f>
        <v>Frequencies</v>
      </c>
      <c r="G252" s="2"/>
      <c r="H252" s="2">
        <v>108</v>
      </c>
      <c r="I252" s="2"/>
      <c r="J252" s="2"/>
      <c r="K252" s="2"/>
      <c r="L252" s="2"/>
    </row>
    <row r="253" spans="1:12" ht="50.1" customHeight="1" x14ac:dyDescent="0.25">
      <c r="A253" s="3" t="s">
        <v>1062</v>
      </c>
      <c r="B253" s="2" t="s">
        <v>1063</v>
      </c>
      <c r="C253" s="2" t="s">
        <v>415</v>
      </c>
      <c r="D253" s="2" t="s">
        <v>15</v>
      </c>
      <c r="E253" s="4" t="str">
        <f>IF(ISERROR("W_WHCANE"),"",HYPERLINK("#INDEX('Value Lookup'!A:A,MATCH(A" &amp; ROW() &amp; ",'Value Lookup'!A:A,0))","Value Lookup"))</f>
        <v>Value Lookup</v>
      </c>
      <c r="F253" s="4" t="str">
        <f>IF(ISERROR("W_WHCANE"),"",HYPERLINK("#INDEX('Frequencies'!A:A,MATCH(A" &amp; ROW() &amp; ",'Frequencies'!A:A,0))","Frequencies"))</f>
        <v>Frequencies</v>
      </c>
      <c r="G253" s="2"/>
      <c r="H253" s="2">
        <v>109</v>
      </c>
      <c r="I253" s="2"/>
      <c r="J253" s="2"/>
      <c r="K253" s="2"/>
      <c r="L253" s="2"/>
    </row>
    <row r="254" spans="1:12" ht="50.1" customHeight="1" x14ac:dyDescent="0.25">
      <c r="A254" s="3" t="s">
        <v>959</v>
      </c>
      <c r="B254" s="2" t="s">
        <v>960</v>
      </c>
      <c r="C254" s="2" t="s">
        <v>415</v>
      </c>
      <c r="D254" s="2" t="s">
        <v>15</v>
      </c>
      <c r="E254" s="4" t="str">
        <f>IF(ISERROR("W_DOG"),"",HYPERLINK("#INDEX('Value Lookup'!A:A,MATCH(A" &amp; ROW() &amp; ",'Value Lookup'!A:A,0))","Value Lookup"))</f>
        <v>Value Lookup</v>
      </c>
      <c r="F254" s="4" t="str">
        <f>IF(ISERROR("W_DOG"),"",HYPERLINK("#INDEX('Frequencies'!A:A,MATCH(A" &amp; ROW() &amp; ",'Frequencies'!A:A,0))","Frequencies"))</f>
        <v>Frequencies</v>
      </c>
      <c r="G254" s="2"/>
      <c r="H254" s="2">
        <v>110</v>
      </c>
      <c r="I254" s="2"/>
      <c r="J254" s="2"/>
      <c r="K254" s="2"/>
      <c r="L254" s="2"/>
    </row>
    <row r="255" spans="1:12" ht="50.1" customHeight="1" x14ac:dyDescent="0.25">
      <c r="A255" s="3" t="s">
        <v>957</v>
      </c>
      <c r="B255" s="2" t="s">
        <v>958</v>
      </c>
      <c r="C255" s="2" t="s">
        <v>415</v>
      </c>
      <c r="D255" s="2" t="s">
        <v>15</v>
      </c>
      <c r="E255" s="4" t="str">
        <f>IF(ISERROR("W_CRUTCH"),"",HYPERLINK("#INDEX('Value Lookup'!A:A,MATCH(A" &amp; ROW() &amp; ",'Value Lookup'!A:A,0))","Value Lookup"))</f>
        <v>Value Lookup</v>
      </c>
      <c r="F255" s="4" t="str">
        <f>IF(ISERROR("W_CRUTCH"),"",HYPERLINK("#INDEX('Frequencies'!A:A,MATCH(A" &amp; ROW() &amp; ",'Frequencies'!A:A,0))","Frequencies"))</f>
        <v>Frequencies</v>
      </c>
      <c r="G255" s="2"/>
      <c r="H255" s="2">
        <v>111</v>
      </c>
      <c r="I255" s="2"/>
      <c r="J255" s="2"/>
      <c r="K255" s="2"/>
      <c r="L255" s="2"/>
    </row>
    <row r="256" spans="1:12" ht="50.1" customHeight="1" x14ac:dyDescent="0.25">
      <c r="A256" s="3" t="s">
        <v>1060</v>
      </c>
      <c r="B256" s="2" t="s">
        <v>1061</v>
      </c>
      <c r="C256" s="2" t="s">
        <v>415</v>
      </c>
      <c r="D256" s="2" t="s">
        <v>15</v>
      </c>
      <c r="E256" s="4" t="str">
        <f>IF(ISERROR("W_SCOOTR"),"",HYPERLINK("#INDEX('Value Lookup'!A:A,MATCH(A" &amp; ROW() &amp; ",'Value Lookup'!A:A,0))","Value Lookup"))</f>
        <v>Value Lookup</v>
      </c>
      <c r="F256" s="4" t="str">
        <f>IF(ISERROR("W_SCOOTR"),"",HYPERLINK("#INDEX('Frequencies'!A:A,MATCH(A" &amp; ROW() &amp; ",'Frequencies'!A:A,0))","Frequencies"))</f>
        <v>Frequencies</v>
      </c>
      <c r="G256" s="2"/>
      <c r="H256" s="2">
        <v>112</v>
      </c>
      <c r="I256" s="2"/>
      <c r="J256" s="2"/>
      <c r="K256" s="2"/>
      <c r="L256" s="2"/>
    </row>
    <row r="257" spans="1:12" ht="50.1" customHeight="1" x14ac:dyDescent="0.25">
      <c r="A257" s="3" t="s">
        <v>955</v>
      </c>
      <c r="B257" s="2" t="s">
        <v>956</v>
      </c>
      <c r="C257" s="2" t="s">
        <v>415</v>
      </c>
      <c r="D257" s="2" t="s">
        <v>15</v>
      </c>
      <c r="E257" s="4" t="str">
        <f>IF(ISERROR("W_CHAIR"),"",HYPERLINK("#INDEX('Value Lookup'!A:A,MATCH(A" &amp; ROW() &amp; ",'Value Lookup'!A:A,0))","Value Lookup"))</f>
        <v>Value Lookup</v>
      </c>
      <c r="F257" s="4" t="str">
        <f>IF(ISERROR("W_CHAIR"),"",HYPERLINK("#INDEX('Frequencies'!A:A,MATCH(A" &amp; ROW() &amp; ",'Frequencies'!A:A,0))","Frequencies"))</f>
        <v>Frequencies</v>
      </c>
      <c r="G257" s="2"/>
      <c r="H257" s="2">
        <v>113</v>
      </c>
      <c r="I257" s="2"/>
      <c r="J257" s="2"/>
      <c r="K257" s="2"/>
      <c r="L257" s="2"/>
    </row>
    <row r="258" spans="1:12" ht="50.1" customHeight="1" x14ac:dyDescent="0.25">
      <c r="A258" s="3" t="s">
        <v>1032</v>
      </c>
      <c r="B258" s="2" t="s">
        <v>1033</v>
      </c>
      <c r="C258" s="2" t="s">
        <v>415</v>
      </c>
      <c r="D258" s="2" t="s">
        <v>15</v>
      </c>
      <c r="E258" s="4" t="str">
        <f>IF(ISERROR("W_MTRCHR"),"",HYPERLINK("#INDEX('Value Lookup'!A:A,MATCH(A" &amp; ROW() &amp; ",'Value Lookup'!A:A,0))","Value Lookup"))</f>
        <v>Value Lookup</v>
      </c>
      <c r="F258" s="4" t="str">
        <f>IF(ISERROR("W_MTRCHR"),"",HYPERLINK("#INDEX('Frequencies'!A:A,MATCH(A" &amp; ROW() &amp; ",'Frequencies'!A:A,0))","Frequencies"))</f>
        <v>Frequencies</v>
      </c>
      <c r="G258" s="2"/>
      <c r="H258" s="2">
        <v>114</v>
      </c>
      <c r="I258" s="2"/>
      <c r="J258" s="2"/>
      <c r="K258" s="2"/>
      <c r="L258" s="2"/>
    </row>
    <row r="259" spans="1:12" ht="50.1" customHeight="1" x14ac:dyDescent="0.25">
      <c r="A259" s="3" t="s">
        <v>413</v>
      </c>
      <c r="B259" s="2" t="s">
        <v>414</v>
      </c>
      <c r="C259" s="2" t="s">
        <v>415</v>
      </c>
      <c r="D259" s="2" t="s">
        <v>15</v>
      </c>
      <c r="E259" s="4" t="str">
        <f>IF(ISERROR("MCA8_OS"),"",HYPERLINK("#INDEX('Value Lookup'!A:A,MATCH(A" &amp; ROW() &amp; ",'Value Lookup'!A:A,0))","Value Lookup"))</f>
        <v>Value Lookup</v>
      </c>
      <c r="F259" s="4" t="str">
        <f>IF(ISERROR("MCA8_OS"),"",HYPERLINK("#INDEX('Frequencies'!A:A,MATCH(A" &amp; ROW() &amp; ",'Frequencies'!A:A,0))","Frequencies"))</f>
        <v>Frequencies</v>
      </c>
      <c r="G259" s="2"/>
      <c r="H259" s="2">
        <v>115</v>
      </c>
      <c r="I259" s="2"/>
      <c r="J259" s="2"/>
      <c r="K259" s="2"/>
      <c r="L259" s="2"/>
    </row>
    <row r="260" spans="1:12" ht="50.1" customHeight="1" x14ac:dyDescent="0.25">
      <c r="A260" s="3" t="s">
        <v>416</v>
      </c>
      <c r="B260" s="2" t="s">
        <v>417</v>
      </c>
      <c r="C260" s="2" t="s">
        <v>418</v>
      </c>
      <c r="D260" s="2" t="s">
        <v>15</v>
      </c>
      <c r="E260" s="4" t="str">
        <f>IF(ISERROR("MCA8_OTH"),"",HYPERLINK("#INDEX('Value Lookup'!A:A,MATCH(A" &amp; ROW() &amp; ",'Value Lookup'!A:A,0))","Value Lookup"))</f>
        <v>Value Lookup</v>
      </c>
      <c r="F260" s="4" t="str">
        <f>IF(ISERROR("MCA8_OTH"),"",HYPERLINK("#INDEX('Frequencies'!A:A,MATCH(A" &amp; ROW() &amp; ",'Frequencies'!A:A,0))","Frequencies"))</f>
        <v>Frequencies</v>
      </c>
      <c r="G260" s="2"/>
      <c r="H260" s="2">
        <v>116</v>
      </c>
      <c r="I260" s="2"/>
      <c r="J260" s="2"/>
      <c r="K260" s="2"/>
      <c r="L260" s="2"/>
    </row>
    <row r="261" spans="1:12" ht="50.1" customHeight="1" x14ac:dyDescent="0.25">
      <c r="A261" s="3" t="s">
        <v>166</v>
      </c>
      <c r="B261" s="2" t="s">
        <v>167</v>
      </c>
      <c r="C261" s="2" t="s">
        <v>149</v>
      </c>
      <c r="D261" s="2" t="s">
        <v>15</v>
      </c>
      <c r="E261" s="4" t="str">
        <f>IF(ISERROR("CONDTRAV"),"",HYPERLINK("#INDEX('Value Lookup'!A:A,MATCH(A" &amp; ROW() &amp; ",'Value Lookup'!A:A,0))","Value Lookup"))</f>
        <v>Value Lookup</v>
      </c>
      <c r="F261" s="4" t="str">
        <f>IF(ISERROR("CONDTRAV"),"",HYPERLINK("#INDEX('Frequencies'!A:A,MATCH(A" &amp; ROW() &amp; ",'Frequencies'!A:A,0))","Frequencies"))</f>
        <v>Frequencies</v>
      </c>
      <c r="G261" s="2"/>
      <c r="H261" s="2">
        <v>117</v>
      </c>
      <c r="I261" s="2"/>
      <c r="J261" s="2"/>
      <c r="K261" s="2"/>
      <c r="L261" s="2"/>
    </row>
    <row r="262" spans="1:12" ht="50.1" customHeight="1" x14ac:dyDescent="0.25">
      <c r="A262" s="3" t="s">
        <v>158</v>
      </c>
      <c r="B262" s="2" t="s">
        <v>159</v>
      </c>
      <c r="C262" s="2" t="s">
        <v>149</v>
      </c>
      <c r="D262" s="2" t="s">
        <v>15</v>
      </c>
      <c r="E262" s="4" t="str">
        <f>IF(ISERROR("CONDRIDE"),"",HYPERLINK("#INDEX('Value Lookup'!A:A,MATCH(A" &amp; ROW() &amp; ",'Value Lookup'!A:A,0))","Value Lookup"))</f>
        <v>Value Lookup</v>
      </c>
      <c r="F262" s="4" t="str">
        <f>IF(ISERROR("CONDRIDE"),"",HYPERLINK("#INDEX('Frequencies'!A:A,MATCH(A" &amp; ROW() &amp; ",'Frequencies'!A:A,0))","Frequencies"))</f>
        <v>Frequencies</v>
      </c>
      <c r="G262" s="2"/>
      <c r="H262" s="2">
        <v>118</v>
      </c>
      <c r="I262" s="2"/>
      <c r="J262" s="2"/>
      <c r="K262" s="2"/>
      <c r="L262" s="2"/>
    </row>
    <row r="263" spans="1:12" ht="50.1" customHeight="1" x14ac:dyDescent="0.25">
      <c r="A263" s="3" t="s">
        <v>150</v>
      </c>
      <c r="B263" s="2" t="s">
        <v>151</v>
      </c>
      <c r="C263" s="2" t="s">
        <v>149</v>
      </c>
      <c r="D263" s="2" t="s">
        <v>15</v>
      </c>
      <c r="E263" s="4" t="str">
        <f>IF(ISERROR("CONDNIGH"),"",HYPERLINK("#INDEX('Value Lookup'!A:A,MATCH(A" &amp; ROW() &amp; ",'Value Lookup'!A:A,0))","Value Lookup"))</f>
        <v>Value Lookup</v>
      </c>
      <c r="F263" s="4" t="str">
        <f>IF(ISERROR("CONDNIGH"),"",HYPERLINK("#INDEX('Frequencies'!A:A,MATCH(A" &amp; ROW() &amp; ",'Frequencies'!A:A,0))","Frequencies"))</f>
        <v>Frequencies</v>
      </c>
      <c r="G263" s="2"/>
      <c r="H263" s="2">
        <v>119</v>
      </c>
      <c r="I263" s="2"/>
      <c r="J263" s="2"/>
      <c r="K263" s="2"/>
      <c r="L263" s="2"/>
    </row>
    <row r="264" spans="1:12" ht="50.1" customHeight="1" x14ac:dyDescent="0.25">
      <c r="A264" s="3" t="s">
        <v>160</v>
      </c>
      <c r="B264" s="2" t="s">
        <v>161</v>
      </c>
      <c r="C264" s="2" t="s">
        <v>149</v>
      </c>
      <c r="D264" s="2" t="s">
        <v>15</v>
      </c>
      <c r="E264" s="4" t="str">
        <f>IF(ISERROR("CONDRIVE"),"",HYPERLINK("#INDEX('Value Lookup'!A:A,MATCH(A" &amp; ROW() &amp; ",'Value Lookup'!A:A,0))","Value Lookup"))</f>
        <v>Value Lookup</v>
      </c>
      <c r="F264" s="4" t="str">
        <f>IF(ISERROR("CONDRIVE"),"",HYPERLINK("#INDEX('Frequencies'!A:A,MATCH(A" &amp; ROW() &amp; ",'Frequencies'!A:A,0))","Frequencies"))</f>
        <v>Frequencies</v>
      </c>
      <c r="G264" s="2"/>
      <c r="H264" s="2">
        <v>120</v>
      </c>
      <c r="I264" s="2"/>
      <c r="J264" s="2"/>
      <c r="K264" s="2"/>
      <c r="L264" s="2"/>
    </row>
    <row r="265" spans="1:12" ht="50.1" customHeight="1" x14ac:dyDescent="0.25">
      <c r="A265" s="3" t="s">
        <v>154</v>
      </c>
      <c r="B265" s="2" t="s">
        <v>155</v>
      </c>
      <c r="C265" s="2" t="s">
        <v>149</v>
      </c>
      <c r="D265" s="2" t="s">
        <v>15</v>
      </c>
      <c r="E265" s="4" t="str">
        <f>IF(ISERROR("CONDPUB"),"",HYPERLINK("#INDEX('Value Lookup'!A:A,MATCH(A" &amp; ROW() &amp; ",'Value Lookup'!A:A,0))","Value Lookup"))</f>
        <v>Value Lookup</v>
      </c>
      <c r="F265" s="4" t="str">
        <f>IF(ISERROR("CONDPUB"),"",HYPERLINK("#INDEX('Frequencies'!A:A,MATCH(A" &amp; ROW() &amp; ",'Frequencies'!A:A,0))","Frequencies"))</f>
        <v>Frequencies</v>
      </c>
      <c r="G265" s="2"/>
      <c r="H265" s="2">
        <v>121</v>
      </c>
      <c r="I265" s="2"/>
      <c r="J265" s="2"/>
      <c r="K265" s="2"/>
      <c r="L265" s="2"/>
    </row>
    <row r="266" spans="1:12" ht="50.1" customHeight="1" x14ac:dyDescent="0.25">
      <c r="A266" s="3" t="s">
        <v>162</v>
      </c>
      <c r="B266" s="2" t="s">
        <v>163</v>
      </c>
      <c r="C266" s="2" t="s">
        <v>149</v>
      </c>
      <c r="D266" s="2" t="s">
        <v>15</v>
      </c>
      <c r="E266" s="4" t="str">
        <f>IF(ISERROR("CONDSPEC"),"",HYPERLINK("#INDEX('Value Lookup'!A:A,MATCH(A" &amp; ROW() &amp; ",'Value Lookup'!A:A,0))","Value Lookup"))</f>
        <v>Value Lookup</v>
      </c>
      <c r="F266" s="4" t="str">
        <f>IF(ISERROR("CONDSPEC"),"",HYPERLINK("#INDEX('Frequencies'!A:A,MATCH(A" &amp; ROW() &amp; ",'Frequencies'!A:A,0))","Frequencies"))</f>
        <v>Frequencies</v>
      </c>
      <c r="G266" s="2"/>
      <c r="H266" s="2">
        <v>122</v>
      </c>
      <c r="I266" s="2"/>
      <c r="J266" s="2"/>
      <c r="K266" s="2"/>
      <c r="L266" s="2"/>
    </row>
    <row r="267" spans="1:12" ht="50.1" customHeight="1" x14ac:dyDescent="0.25">
      <c r="A267" s="3" t="s">
        <v>164</v>
      </c>
      <c r="B267" s="2" t="s">
        <v>165</v>
      </c>
      <c r="C267" s="2" t="s">
        <v>149</v>
      </c>
      <c r="D267" s="2" t="s">
        <v>15</v>
      </c>
      <c r="E267" s="4" t="str">
        <f>IF(ISERROR("CONDTAX"),"",HYPERLINK("#INDEX('Value Lookup'!A:A,MATCH(A" &amp; ROW() &amp; ",'Value Lookup'!A:A,0))","Value Lookup"))</f>
        <v>Value Lookup</v>
      </c>
      <c r="F267" s="4" t="str">
        <f>IF(ISERROR("CONDTAX"),"",HYPERLINK("#INDEX('Frequencies'!A:A,MATCH(A" &amp; ROW() &amp; ",'Frequencies'!A:A,0))","Frequencies"))</f>
        <v>Frequencies</v>
      </c>
      <c r="G267" s="2"/>
      <c r="H267" s="2">
        <v>123</v>
      </c>
      <c r="I267" s="2"/>
      <c r="J267" s="2"/>
      <c r="K267" s="2"/>
      <c r="L267" s="2"/>
    </row>
    <row r="268" spans="1:12" ht="50.1" customHeight="1" x14ac:dyDescent="0.25">
      <c r="A268" s="3" t="s">
        <v>152</v>
      </c>
      <c r="B268" s="2" t="s">
        <v>153</v>
      </c>
      <c r="C268" s="2" t="s">
        <v>149</v>
      </c>
      <c r="D268" s="2" t="s">
        <v>15</v>
      </c>
      <c r="E268" s="4" t="str">
        <f>IF(ISERROR("CONDNONE"),"",HYPERLINK("#INDEX('Value Lookup'!A:A,MATCH(A" &amp; ROW() &amp; ",'Value Lookup'!A:A,0))","Value Lookup"))</f>
        <v>Value Lookup</v>
      </c>
      <c r="F268" s="4" t="str">
        <f>IF(ISERROR("CONDNONE"),"",HYPERLINK("#INDEX('Frequencies'!A:A,MATCH(A" &amp; ROW() &amp; ",'Frequencies'!A:A,0))","Frequencies"))</f>
        <v>Frequencies</v>
      </c>
      <c r="G268" s="2"/>
      <c r="H268" s="2">
        <v>124</v>
      </c>
      <c r="I268" s="2"/>
      <c r="J268" s="2"/>
      <c r="K268" s="2"/>
      <c r="L268" s="2"/>
    </row>
    <row r="269" spans="1:12" ht="50.1" customHeight="1" x14ac:dyDescent="0.25">
      <c r="A269" s="3" t="s">
        <v>147</v>
      </c>
      <c r="B269" s="2" t="s">
        <v>148</v>
      </c>
      <c r="C269" s="2" t="s">
        <v>149</v>
      </c>
      <c r="D269" s="2" t="s">
        <v>15</v>
      </c>
      <c r="E269" s="4" t="str">
        <f>IF(ISERROR("CONDDK"),"",HYPERLINK("#INDEX('Value Lookup'!A:A,MATCH(A" &amp; ROW() &amp; ",'Value Lookup'!A:A,0))","Value Lookup"))</f>
        <v>Value Lookup</v>
      </c>
      <c r="F269" s="4" t="str">
        <f>IF(ISERROR("CONDDK"),"",HYPERLINK("#INDEX('Frequencies'!A:A,MATCH(A" &amp; ROW() &amp; ",'Frequencies'!A:A,0))","Frequencies"))</f>
        <v>Frequencies</v>
      </c>
      <c r="G269" s="2"/>
      <c r="H269" s="2">
        <v>125</v>
      </c>
      <c r="I269" s="2"/>
      <c r="J269" s="2"/>
      <c r="K269" s="2"/>
      <c r="L269" s="2"/>
    </row>
    <row r="270" spans="1:12" ht="50.1" customHeight="1" x14ac:dyDescent="0.25">
      <c r="A270" s="3" t="s">
        <v>156</v>
      </c>
      <c r="B270" s="2" t="s">
        <v>157</v>
      </c>
      <c r="C270" s="2" t="s">
        <v>149</v>
      </c>
      <c r="D270" s="2" t="s">
        <v>15</v>
      </c>
      <c r="E270" s="4" t="str">
        <f>IF(ISERROR("CONDRF"),"",HYPERLINK("#INDEX('Value Lookup'!A:A,MATCH(A" &amp; ROW() &amp; ",'Value Lookup'!A:A,0))","Value Lookup"))</f>
        <v>Value Lookup</v>
      </c>
      <c r="F270" s="4" t="str">
        <f>IF(ISERROR("CONDRF"),"",HYPERLINK("#INDEX('Frequencies'!A:A,MATCH(A" &amp; ROW() &amp; ",'Frequencies'!A:A,0))","Frequencies"))</f>
        <v>Frequencies</v>
      </c>
      <c r="G270" s="2"/>
      <c r="H270" s="2">
        <v>126</v>
      </c>
      <c r="I270" s="2"/>
      <c r="J270" s="2"/>
      <c r="K270" s="2"/>
      <c r="L270" s="2"/>
    </row>
    <row r="271" spans="1:12" ht="50.1" customHeight="1" x14ac:dyDescent="0.25">
      <c r="A271" s="3" t="s">
        <v>588</v>
      </c>
      <c r="B271" s="2" t="s">
        <v>589</v>
      </c>
      <c r="C271" s="2"/>
      <c r="D271" s="2" t="s">
        <v>15</v>
      </c>
      <c r="E271" s="4" t="str">
        <f>IF(ISERROR("QC_LOC"),"",HYPERLINK("#INDEX('Value Lookup'!A:A,MATCH(A" &amp; ROW() &amp; ",'Value Lookup'!A:A,0))","Value Lookup"))</f>
        <v>Value Lookup</v>
      </c>
      <c r="F271" s="4" t="str">
        <f>IF(ISERROR("QC_LOC"),"",HYPERLINK("#INDEX('Frequencies'!A:A,MATCH(A" &amp; ROW() &amp; ",'Frequencies'!A:A,0))","Frequencies"))</f>
        <v>Frequencies</v>
      </c>
      <c r="G271" s="2"/>
      <c r="H271" s="2">
        <v>127</v>
      </c>
      <c r="I271" s="2"/>
      <c r="J271" s="2"/>
      <c r="K271" s="2"/>
      <c r="L271" s="2"/>
    </row>
    <row r="272" spans="1:12" ht="50.1" customHeight="1" x14ac:dyDescent="0.25">
      <c r="A272" s="3" t="s">
        <v>586</v>
      </c>
      <c r="B272" s="2" t="s">
        <v>587</v>
      </c>
      <c r="C272" s="2"/>
      <c r="D272" s="2" t="s">
        <v>15</v>
      </c>
      <c r="E272" s="4" t="str">
        <f>IF(ISERROR("QC_JOINT"),"",HYPERLINK("#INDEX('Value Lookup'!A:A,MATCH(A" &amp; ROW() &amp; ",'Value Lookup'!A:A,0))","Value Lookup"))</f>
        <v>Value Lookup</v>
      </c>
      <c r="F272" s="4" t="str">
        <f>IF(ISERROR("QC_JOINT"),"",HYPERLINK("#INDEX('Frequencies'!A:A,MATCH(A" &amp; ROW() &amp; ",'Frequencies'!A:A,0))","Frequencies"))</f>
        <v>Frequencies</v>
      </c>
      <c r="G272" s="2"/>
      <c r="H272" s="2">
        <v>128</v>
      </c>
      <c r="I272" s="2"/>
      <c r="J272" s="2"/>
      <c r="K272" s="2"/>
      <c r="L272" s="2"/>
    </row>
    <row r="273" spans="1:12" ht="50.1" customHeight="1" x14ac:dyDescent="0.25">
      <c r="A273" s="3" t="s">
        <v>592</v>
      </c>
      <c r="B273" s="2" t="s">
        <v>593</v>
      </c>
      <c r="C273" s="2"/>
      <c r="D273" s="2" t="s">
        <v>15</v>
      </c>
      <c r="E273" s="4" t="str">
        <f>IF(ISERROR("QC_TIME"),"",HYPERLINK("#INDEX('Value Lookup'!A:A,MATCH(A" &amp; ROW() &amp; ",'Value Lookup'!A:A,0))","Value Lookup"))</f>
        <v>Value Lookup</v>
      </c>
      <c r="F273" s="4" t="str">
        <f>IF(ISERROR("QC_TIME"),"",HYPERLINK("#INDEX('Frequencies'!A:A,MATCH(A" &amp; ROW() &amp; ",'Frequencies'!A:A,0))","Frequencies"))</f>
        <v>Frequencies</v>
      </c>
      <c r="G273" s="2"/>
      <c r="H273" s="2">
        <v>129</v>
      </c>
      <c r="I273" s="2"/>
      <c r="J273" s="2"/>
      <c r="K273" s="2"/>
      <c r="L273" s="2"/>
    </row>
    <row r="274" spans="1:12" ht="50.1" customHeight="1" x14ac:dyDescent="0.25">
      <c r="A274" s="3" t="s">
        <v>590</v>
      </c>
      <c r="B274" s="2" t="s">
        <v>591</v>
      </c>
      <c r="C274" s="2"/>
      <c r="D274" s="2" t="s">
        <v>15</v>
      </c>
      <c r="E274" s="4" t="str">
        <f>IF(ISERROR("QC_LOOP"),"",HYPERLINK("#INDEX('Value Lookup'!A:A,MATCH(A" &amp; ROW() &amp; ",'Value Lookup'!A:A,0))","Value Lookup"))</f>
        <v>Value Lookup</v>
      </c>
      <c r="F274" s="4" t="str">
        <f>IF(ISERROR("QC_LOOP"),"",HYPERLINK("#INDEX('Frequencies'!A:A,MATCH(A" &amp; ROW() &amp; ",'Frequencies'!A:A,0))","Frequencies"))</f>
        <v>Frequencies</v>
      </c>
      <c r="G274" s="2"/>
      <c r="H274" s="2">
        <v>130</v>
      </c>
      <c r="I274" s="2"/>
      <c r="J274" s="2"/>
      <c r="K274" s="2"/>
      <c r="L274" s="2"/>
    </row>
    <row r="275" spans="1:12" ht="50.1" customHeight="1" x14ac:dyDescent="0.25">
      <c r="A275" s="3" t="s">
        <v>584</v>
      </c>
      <c r="B275" s="2" t="s">
        <v>585</v>
      </c>
      <c r="C275" s="2"/>
      <c r="D275" s="2" t="s">
        <v>15</v>
      </c>
      <c r="E275" s="4" t="str">
        <f>IF(ISERROR("QC_DAY"),"",HYPERLINK("#INDEX('Value Lookup'!A:A,MATCH(A" &amp; ROW() &amp; ",'Value Lookup'!A:A,0))","Value Lookup"))</f>
        <v>Value Lookup</v>
      </c>
      <c r="F275" s="4" t="str">
        <f>IF(ISERROR("QC_DAY"),"",HYPERLINK("#INDEX('Frequencies'!A:A,MATCH(A" &amp; ROW() &amp; ",'Frequencies'!A:A,0))","Frequencies"))</f>
        <v>Frequencies</v>
      </c>
      <c r="G275" s="2"/>
      <c r="H275" s="2">
        <v>131</v>
      </c>
      <c r="I275" s="2"/>
      <c r="J275" s="2"/>
      <c r="K275" s="2"/>
      <c r="L275" s="2"/>
    </row>
    <row r="276" spans="1:12" ht="50.1" customHeight="1" x14ac:dyDescent="0.25">
      <c r="A276" s="3" t="s">
        <v>621</v>
      </c>
      <c r="B276" s="2" t="s">
        <v>622</v>
      </c>
      <c r="C276" s="2" t="s">
        <v>623</v>
      </c>
      <c r="D276" s="2" t="s">
        <v>15</v>
      </c>
      <c r="E276" s="4" t="str">
        <f>IF(ISERROR("RDTRP_50"),"",HYPERLINK("#INDEX('Value Lookup'!A:A,MATCH(A" &amp; ROW() &amp; ",'Value Lookup'!A:A,0))","Value Lookup"))</f>
        <v>Value Lookup</v>
      </c>
      <c r="F276" s="4" t="str">
        <f>IF(ISERROR("RDTRP_50"),"",HYPERLINK("#INDEX('Frequencies'!A:A,MATCH(A" &amp; ROW() &amp; ",'Frequencies'!A:A,0))","Frequencies"))</f>
        <v>Frequencies</v>
      </c>
      <c r="G276" s="2"/>
      <c r="H276" s="2">
        <v>132</v>
      </c>
      <c r="I276" s="2"/>
      <c r="J276" s="2"/>
      <c r="K276" s="2"/>
      <c r="L276" s="2" t="s">
        <v>80</v>
      </c>
    </row>
    <row r="277" spans="1:12" ht="50.1" customHeight="1" x14ac:dyDescent="0.25">
      <c r="A277" s="3" t="s">
        <v>624</v>
      </c>
      <c r="B277" s="2" t="s">
        <v>625</v>
      </c>
      <c r="C277" s="2" t="s">
        <v>626</v>
      </c>
      <c r="D277" s="2" t="s">
        <v>41</v>
      </c>
      <c r="E277" s="2" t="str">
        <f>IF(ISERROR("RDTRP_BUS"),"","Range: 0 - 100")</f>
        <v>Range: 0 - 100</v>
      </c>
      <c r="F277" s="4" t="str">
        <f>IF(ISERROR("RDTRP_BUS"),"",HYPERLINK("#INDEX('Frequencies'!A:A,MATCH(A" &amp; ROW() &amp; ",'Frequencies'!A:A,0))","Frequencies"))</f>
        <v>Frequencies</v>
      </c>
      <c r="G277" s="2"/>
      <c r="H277" s="2">
        <v>133</v>
      </c>
      <c r="I277" s="2"/>
      <c r="J277" s="2"/>
      <c r="K277" s="2"/>
      <c r="L277" s="2" t="s">
        <v>80</v>
      </c>
    </row>
    <row r="278" spans="1:12" ht="50.1" customHeight="1" x14ac:dyDescent="0.25">
      <c r="A278" s="3" t="s">
        <v>630</v>
      </c>
      <c r="B278" s="2" t="s">
        <v>631</v>
      </c>
      <c r="C278" s="2" t="s">
        <v>632</v>
      </c>
      <c r="D278" s="2" t="s">
        <v>41</v>
      </c>
      <c r="E278" s="2" t="str">
        <f>IF(ISERROR("RDTRP_PER"),"","Range: 0 - 100")</f>
        <v>Range: 0 - 100</v>
      </c>
      <c r="F278" s="4" t="str">
        <f>IF(ISERROR("RDTRP_PER"),"",HYPERLINK("#INDEX('Frequencies'!A:A,MATCH(A" &amp; ROW() &amp; ",'Frequencies'!A:A,0))","Frequencies"))</f>
        <v>Frequencies</v>
      </c>
      <c r="G278" s="2"/>
      <c r="H278" s="2">
        <v>134</v>
      </c>
      <c r="I278" s="2"/>
      <c r="J278" s="2"/>
      <c r="K278" s="2"/>
      <c r="L278" s="2" t="s">
        <v>80</v>
      </c>
    </row>
    <row r="279" spans="1:12" ht="50.1" customHeight="1" x14ac:dyDescent="0.25">
      <c r="A279" s="3" t="s">
        <v>633</v>
      </c>
      <c r="B279" s="2" t="s">
        <v>634</v>
      </c>
      <c r="C279" s="2" t="s">
        <v>635</v>
      </c>
      <c r="D279" s="2" t="s">
        <v>41</v>
      </c>
      <c r="E279" s="2" t="str">
        <f>IF(ISERROR("RDTRP_REC"),"","Range: 0 - 100")</f>
        <v>Range: 0 - 100</v>
      </c>
      <c r="F279" s="4" t="str">
        <f>IF(ISERROR("RDTRP_REC"),"",HYPERLINK("#INDEX('Frequencies'!A:A,MATCH(A" &amp; ROW() &amp; ",'Frequencies'!A:A,0))","Frequencies"))</f>
        <v>Frequencies</v>
      </c>
      <c r="G279" s="2"/>
      <c r="H279" s="2">
        <v>135</v>
      </c>
      <c r="I279" s="2"/>
      <c r="J279" s="2"/>
      <c r="K279" s="2"/>
      <c r="L279" s="2" t="s">
        <v>80</v>
      </c>
    </row>
    <row r="280" spans="1:12" ht="50.1" customHeight="1" x14ac:dyDescent="0.25">
      <c r="A280" s="3" t="s">
        <v>627</v>
      </c>
      <c r="B280" s="2" t="s">
        <v>628</v>
      </c>
      <c r="C280" s="2" t="s">
        <v>629</v>
      </c>
      <c r="D280" s="2" t="s">
        <v>41</v>
      </c>
      <c r="E280" s="2" t="str">
        <f>IF(ISERROR("RDTRP_O"),"","Range: 0 - 100")</f>
        <v>Range: 0 - 100</v>
      </c>
      <c r="F280" s="4" t="str">
        <f>IF(ISERROR("RDTRP_O"),"",HYPERLINK("#INDEX('Frequencies'!A:A,MATCH(A" &amp; ROW() &amp; ",'Frequencies'!A:A,0))","Frequencies"))</f>
        <v>Frequencies</v>
      </c>
      <c r="G280" s="2"/>
      <c r="H280" s="2">
        <v>136</v>
      </c>
      <c r="I280" s="2"/>
      <c r="J280" s="2"/>
      <c r="K280" s="2"/>
      <c r="L280" s="2" t="s">
        <v>80</v>
      </c>
    </row>
    <row r="281" spans="1:12" ht="50.1" customHeight="1" x14ac:dyDescent="0.25">
      <c r="A281" s="3" t="s">
        <v>541</v>
      </c>
      <c r="B281" s="2" t="s">
        <v>542</v>
      </c>
      <c r="C281" s="2" t="s">
        <v>543</v>
      </c>
      <c r="D281" s="2" t="s">
        <v>15</v>
      </c>
      <c r="E281" s="4" t="str">
        <f>IF(ISERROR("PTMORE_1"),"",HYPERLINK("#INDEX('Value Lookup'!A:A,MATCH(A" &amp; ROW() &amp; ",'Value Lookup'!A:A,0))","Value Lookup"))</f>
        <v>Value Lookup</v>
      </c>
      <c r="F281" s="4" t="str">
        <f>IF(ISERROR("PTMORE_1"),"",HYPERLINK("#INDEX('Frequencies'!A:A,MATCH(A" &amp; ROW() &amp; ",'Frequencies'!A:A,0))","Frequencies"))</f>
        <v>Frequencies</v>
      </c>
      <c r="G281" s="2"/>
      <c r="H281" s="2">
        <v>137</v>
      </c>
      <c r="I281" s="2"/>
      <c r="J281" s="2"/>
      <c r="K281" s="2"/>
      <c r="L281" s="2" t="s">
        <v>80</v>
      </c>
    </row>
    <row r="282" spans="1:12" ht="50.1" customHeight="1" x14ac:dyDescent="0.25">
      <c r="A282" s="3" t="s">
        <v>546</v>
      </c>
      <c r="B282" s="2" t="s">
        <v>547</v>
      </c>
      <c r="C282" s="2" t="s">
        <v>543</v>
      </c>
      <c r="D282" s="2" t="s">
        <v>15</v>
      </c>
      <c r="E282" s="4" t="str">
        <f>IF(ISERROR("PTMORE_2"),"",HYPERLINK("#INDEX('Value Lookup'!A:A,MATCH(A" &amp; ROW() &amp; ",'Value Lookup'!A:A,0))","Value Lookup"))</f>
        <v>Value Lookup</v>
      </c>
      <c r="F282" s="4" t="str">
        <f>IF(ISERROR("PTMORE_2"),"",HYPERLINK("#INDEX('Frequencies'!A:A,MATCH(A" &amp; ROW() &amp; ",'Frequencies'!A:A,0))","Frequencies"))</f>
        <v>Frequencies</v>
      </c>
      <c r="G282" s="2"/>
      <c r="H282" s="2">
        <v>138</v>
      </c>
      <c r="I282" s="2"/>
      <c r="J282" s="2"/>
      <c r="K282" s="2"/>
      <c r="L282" s="2" t="s">
        <v>80</v>
      </c>
    </row>
    <row r="283" spans="1:12" ht="50.1" customHeight="1" x14ac:dyDescent="0.25">
      <c r="A283" s="3" t="s">
        <v>548</v>
      </c>
      <c r="B283" s="2" t="s">
        <v>549</v>
      </c>
      <c r="C283" s="2" t="s">
        <v>543</v>
      </c>
      <c r="D283" s="2" t="s">
        <v>15</v>
      </c>
      <c r="E283" s="4" t="str">
        <f>IF(ISERROR("PTMORE_3"),"",HYPERLINK("#INDEX('Value Lookup'!A:A,MATCH(A" &amp; ROW() &amp; ",'Value Lookup'!A:A,0))","Value Lookup"))</f>
        <v>Value Lookup</v>
      </c>
      <c r="F283" s="4" t="str">
        <f>IF(ISERROR("PTMORE_3"),"",HYPERLINK("#INDEX('Frequencies'!A:A,MATCH(A" &amp; ROW() &amp; ",'Frequencies'!A:A,0))","Frequencies"))</f>
        <v>Frequencies</v>
      </c>
      <c r="G283" s="2"/>
      <c r="H283" s="2">
        <v>139</v>
      </c>
      <c r="I283" s="2"/>
      <c r="J283" s="2"/>
      <c r="K283" s="2"/>
      <c r="L283" s="2" t="s">
        <v>80</v>
      </c>
    </row>
    <row r="284" spans="1:12" ht="50.1" customHeight="1" x14ac:dyDescent="0.25">
      <c r="A284" s="3" t="s">
        <v>550</v>
      </c>
      <c r="B284" s="2" t="s">
        <v>551</v>
      </c>
      <c r="C284" s="2" t="s">
        <v>543</v>
      </c>
      <c r="D284" s="2" t="s">
        <v>15</v>
      </c>
      <c r="E284" s="4" t="str">
        <f>IF(ISERROR("PTMORE_4"),"",HYPERLINK("#INDEX('Value Lookup'!A:A,MATCH(A" &amp; ROW() &amp; ",'Value Lookup'!A:A,0))","Value Lookup"))</f>
        <v>Value Lookup</v>
      </c>
      <c r="F284" s="4" t="str">
        <f>IF(ISERROR("PTMORE_4"),"",HYPERLINK("#INDEX('Frequencies'!A:A,MATCH(A" &amp; ROW() &amp; ",'Frequencies'!A:A,0))","Frequencies"))</f>
        <v>Frequencies</v>
      </c>
      <c r="G284" s="2"/>
      <c r="H284" s="2">
        <v>140</v>
      </c>
      <c r="I284" s="2"/>
      <c r="J284" s="2"/>
      <c r="K284" s="2"/>
      <c r="L284" s="2" t="s">
        <v>80</v>
      </c>
    </row>
    <row r="285" spans="1:12" ht="50.1" customHeight="1" x14ac:dyDescent="0.25">
      <c r="A285" s="3" t="s">
        <v>552</v>
      </c>
      <c r="B285" s="2" t="s">
        <v>553</v>
      </c>
      <c r="C285" s="2" t="s">
        <v>543</v>
      </c>
      <c r="D285" s="2" t="s">
        <v>15</v>
      </c>
      <c r="E285" s="4" t="str">
        <f>IF(ISERROR("PTMORE_5"),"",HYPERLINK("#INDEX('Value Lookup'!A:A,MATCH(A" &amp; ROW() &amp; ",'Value Lookup'!A:A,0))","Value Lookup"))</f>
        <v>Value Lookup</v>
      </c>
      <c r="F285" s="4" t="str">
        <f>IF(ISERROR("PTMORE_5"),"",HYPERLINK("#INDEX('Frequencies'!A:A,MATCH(A" &amp; ROW() &amp; ",'Frequencies'!A:A,0))","Frequencies"))</f>
        <v>Frequencies</v>
      </c>
      <c r="G285" s="2"/>
      <c r="H285" s="2">
        <v>141</v>
      </c>
      <c r="I285" s="2"/>
      <c r="J285" s="2"/>
      <c r="K285" s="2"/>
      <c r="L285" s="2" t="s">
        <v>80</v>
      </c>
    </row>
    <row r="286" spans="1:12" ht="50.1" customHeight="1" x14ac:dyDescent="0.25">
      <c r="A286" s="3" t="s">
        <v>554</v>
      </c>
      <c r="B286" s="2" t="s">
        <v>555</v>
      </c>
      <c r="C286" s="2" t="s">
        <v>543</v>
      </c>
      <c r="D286" s="2" t="s">
        <v>15</v>
      </c>
      <c r="E286" s="4" t="str">
        <f>IF(ISERROR("PTMORE_6"),"",HYPERLINK("#INDEX('Value Lookup'!A:A,MATCH(A" &amp; ROW() &amp; ",'Value Lookup'!A:A,0))","Value Lookup"))</f>
        <v>Value Lookup</v>
      </c>
      <c r="F286" s="4" t="str">
        <f>IF(ISERROR("PTMORE_6"),"",HYPERLINK("#INDEX('Frequencies'!A:A,MATCH(A" &amp; ROW() &amp; ",'Frequencies'!A:A,0))","Frequencies"))</f>
        <v>Frequencies</v>
      </c>
      <c r="G286" s="2"/>
      <c r="H286" s="2">
        <v>142</v>
      </c>
      <c r="I286" s="2"/>
      <c r="J286" s="2"/>
      <c r="K286" s="2"/>
      <c r="L286" s="2" t="s">
        <v>80</v>
      </c>
    </row>
    <row r="287" spans="1:12" ht="50.1" customHeight="1" x14ac:dyDescent="0.25">
      <c r="A287" s="3" t="s">
        <v>556</v>
      </c>
      <c r="B287" s="2" t="s">
        <v>557</v>
      </c>
      <c r="C287" s="2" t="s">
        <v>543</v>
      </c>
      <c r="D287" s="2" t="s">
        <v>15</v>
      </c>
      <c r="E287" s="4" t="str">
        <f>IF(ISERROR("PTMORE_7"),"",HYPERLINK("#INDEX('Value Lookup'!A:A,MATCH(A" &amp; ROW() &amp; ",'Value Lookup'!A:A,0))","Value Lookup"))</f>
        <v>Value Lookup</v>
      </c>
      <c r="F287" s="4" t="str">
        <f>IF(ISERROR("PTMORE_7"),"",HYPERLINK("#INDEX('Frequencies'!A:A,MATCH(A" &amp; ROW() &amp; ",'Frequencies'!A:A,0))","Frequencies"))</f>
        <v>Frequencies</v>
      </c>
      <c r="G287" s="2"/>
      <c r="H287" s="2">
        <v>143</v>
      </c>
      <c r="I287" s="2"/>
      <c r="J287" s="2"/>
      <c r="K287" s="2"/>
      <c r="L287" s="2" t="s">
        <v>80</v>
      </c>
    </row>
    <row r="288" spans="1:12" ht="50.1" customHeight="1" x14ac:dyDescent="0.25">
      <c r="A288" s="3" t="s">
        <v>558</v>
      </c>
      <c r="B288" s="2" t="s">
        <v>559</v>
      </c>
      <c r="C288" s="2" t="s">
        <v>543</v>
      </c>
      <c r="D288" s="2" t="s">
        <v>15</v>
      </c>
      <c r="E288" s="4" t="str">
        <f>IF(ISERROR("PTMORE_8"),"",HYPERLINK("#INDEX('Value Lookup'!A:A,MATCH(A" &amp; ROW() &amp; ",'Value Lookup'!A:A,0))","Value Lookup"))</f>
        <v>Value Lookup</v>
      </c>
      <c r="F288" s="4" t="str">
        <f>IF(ISERROR("PTMORE_8"),"",HYPERLINK("#INDEX('Frequencies'!A:A,MATCH(A" &amp; ROW() &amp; ",'Frequencies'!A:A,0))","Frequencies"))</f>
        <v>Frequencies</v>
      </c>
      <c r="G288" s="2"/>
      <c r="H288" s="2">
        <v>144</v>
      </c>
      <c r="I288" s="2"/>
      <c r="J288" s="2"/>
      <c r="K288" s="2"/>
      <c r="L288" s="2" t="s">
        <v>80</v>
      </c>
    </row>
    <row r="289" spans="1:12" ht="50.1" customHeight="1" x14ac:dyDescent="0.25">
      <c r="A289" s="3" t="s">
        <v>560</v>
      </c>
      <c r="B289" s="2" t="s">
        <v>561</v>
      </c>
      <c r="C289" s="2" t="s">
        <v>543</v>
      </c>
      <c r="D289" s="2" t="s">
        <v>15</v>
      </c>
      <c r="E289" s="4" t="str">
        <f>IF(ISERROR("PTMORE_9"),"",HYPERLINK("#INDEX('Value Lookup'!A:A,MATCH(A" &amp; ROW() &amp; ",'Value Lookup'!A:A,0))","Value Lookup"))</f>
        <v>Value Lookup</v>
      </c>
      <c r="F289" s="4" t="str">
        <f>IF(ISERROR("PTMORE_9"),"",HYPERLINK("#INDEX('Frequencies'!A:A,MATCH(A" &amp; ROW() &amp; ",'Frequencies'!A:A,0))","Frequencies"))</f>
        <v>Frequencies</v>
      </c>
      <c r="G289" s="2"/>
      <c r="H289" s="2">
        <v>145</v>
      </c>
      <c r="I289" s="2"/>
      <c r="J289" s="2"/>
      <c r="K289" s="2"/>
      <c r="L289" s="2" t="s">
        <v>80</v>
      </c>
    </row>
    <row r="290" spans="1:12" ht="50.1" customHeight="1" x14ac:dyDescent="0.25">
      <c r="A290" s="3" t="s">
        <v>544</v>
      </c>
      <c r="B290" s="2" t="s">
        <v>545</v>
      </c>
      <c r="C290" s="2" t="s">
        <v>543</v>
      </c>
      <c r="D290" s="2" t="s">
        <v>15</v>
      </c>
      <c r="E290" s="4" t="str">
        <f>IF(ISERROR("PTMORE_10"),"",HYPERLINK("#INDEX('Value Lookup'!A:A,MATCH(A" &amp; ROW() &amp; ",'Value Lookup'!A:A,0))","Value Lookup"))</f>
        <v>Value Lookup</v>
      </c>
      <c r="F290" s="4" t="str">
        <f>IF(ISERROR("PTMORE_10"),"",HYPERLINK("#INDEX('Frequencies'!A:A,MATCH(A" &amp; ROW() &amp; ",'Frequencies'!A:A,0))","Frequencies"))</f>
        <v>Frequencies</v>
      </c>
      <c r="G290" s="2"/>
      <c r="H290" s="2">
        <v>146</v>
      </c>
      <c r="I290" s="2"/>
      <c r="J290" s="2"/>
      <c r="K290" s="2"/>
      <c r="L290" s="2" t="s">
        <v>80</v>
      </c>
    </row>
    <row r="291" spans="1:12" ht="50.1" customHeight="1" x14ac:dyDescent="0.25">
      <c r="A291" s="3" t="s">
        <v>571</v>
      </c>
      <c r="B291" s="2" t="s">
        <v>572</v>
      </c>
      <c r="C291" s="2" t="s">
        <v>543</v>
      </c>
      <c r="D291" s="2" t="s">
        <v>15</v>
      </c>
      <c r="E291" s="4" t="str">
        <f>IF(ISERROR("PTMORE_SE"),"",HYPERLINK("#INDEX('Value Lookup'!A:A,MATCH(A" &amp; ROW() &amp; ",'Value Lookup'!A:A,0))","Value Lookup"))</f>
        <v>Value Lookup</v>
      </c>
      <c r="F291" s="4" t="str">
        <f>IF(ISERROR("PTMORE_SE"),"",HYPERLINK("#INDEX('Frequencies'!A:A,MATCH(A" &amp; ROW() &amp; ",'Frequencies'!A:A,0))","Frequencies"))</f>
        <v>Frequencies</v>
      </c>
      <c r="G291" s="2"/>
      <c r="H291" s="2">
        <v>147</v>
      </c>
      <c r="I291" s="2"/>
      <c r="J291" s="2"/>
      <c r="K291" s="2"/>
      <c r="L291" s="2" t="s">
        <v>80</v>
      </c>
    </row>
    <row r="292" spans="1:12" ht="50.1" customHeight="1" x14ac:dyDescent="0.25">
      <c r="A292" s="3" t="s">
        <v>564</v>
      </c>
      <c r="B292" s="2" t="s">
        <v>565</v>
      </c>
      <c r="C292" s="2" t="s">
        <v>543</v>
      </c>
      <c r="D292" s="2" t="s">
        <v>15</v>
      </c>
      <c r="E292" s="4" t="str">
        <f>IF(ISERROR("PTMORE_NA"),"",HYPERLINK("#INDEX('Value Lookup'!A:A,MATCH(A" &amp; ROW() &amp; ",'Value Lookup'!A:A,0))","Value Lookup"))</f>
        <v>Value Lookup</v>
      </c>
      <c r="F292" s="4" t="str">
        <f>IF(ISERROR("PTMORE_NA"),"",HYPERLINK("#INDEX('Frequencies'!A:A,MATCH(A" &amp; ROW() &amp; ",'Frequencies'!A:A,0))","Frequencies"))</f>
        <v>Frequencies</v>
      </c>
      <c r="G292" s="2"/>
      <c r="H292" s="2">
        <v>148</v>
      </c>
      <c r="I292" s="2"/>
      <c r="J292" s="2"/>
      <c r="K292" s="2"/>
      <c r="L292" s="2" t="s">
        <v>80</v>
      </c>
    </row>
    <row r="293" spans="1:12" ht="50.1" customHeight="1" x14ac:dyDescent="0.25">
      <c r="A293" s="3" t="s">
        <v>562</v>
      </c>
      <c r="B293" s="2" t="s">
        <v>563</v>
      </c>
      <c r="C293" s="2" t="s">
        <v>543</v>
      </c>
      <c r="D293" s="2" t="s">
        <v>15</v>
      </c>
      <c r="E293" s="4" t="str">
        <f>IF(ISERROR("PTMORE_DK"),"",HYPERLINK("#INDEX('Value Lookup'!A:A,MATCH(A" &amp; ROW() &amp; ",'Value Lookup'!A:A,0))","Value Lookup"))</f>
        <v>Value Lookup</v>
      </c>
      <c r="F293" s="4" t="str">
        <f>IF(ISERROR("PTMORE_DK"),"",HYPERLINK("#INDEX('Frequencies'!A:A,MATCH(A" &amp; ROW() &amp; ",'Frequencies'!A:A,0))","Frequencies"))</f>
        <v>Frequencies</v>
      </c>
      <c r="G293" s="2"/>
      <c r="H293" s="2">
        <v>149</v>
      </c>
      <c r="I293" s="2"/>
      <c r="J293" s="2"/>
      <c r="K293" s="2"/>
      <c r="L293" s="2" t="s">
        <v>80</v>
      </c>
    </row>
    <row r="294" spans="1:12" ht="50.1" customHeight="1" x14ac:dyDescent="0.25">
      <c r="A294" s="3" t="s">
        <v>569</v>
      </c>
      <c r="B294" s="2" t="s">
        <v>570</v>
      </c>
      <c r="C294" s="2" t="s">
        <v>543</v>
      </c>
      <c r="D294" s="2" t="s">
        <v>15</v>
      </c>
      <c r="E294" s="4" t="str">
        <f>IF(ISERROR("PTMORE_RF"),"",HYPERLINK("#INDEX('Value Lookup'!A:A,MATCH(A" &amp; ROW() &amp; ",'Value Lookup'!A:A,0))","Value Lookup"))</f>
        <v>Value Lookup</v>
      </c>
      <c r="F294" s="4" t="str">
        <f>IF(ISERROR("PTMORE_RF"),"",HYPERLINK("#INDEX('Frequencies'!A:A,MATCH(A" &amp; ROW() &amp; ",'Frequencies'!A:A,0))","Frequencies"))</f>
        <v>Frequencies</v>
      </c>
      <c r="G294" s="2"/>
      <c r="H294" s="2">
        <v>150</v>
      </c>
      <c r="I294" s="2"/>
      <c r="J294" s="2"/>
      <c r="K294" s="2"/>
      <c r="L294" s="2" t="s">
        <v>80</v>
      </c>
    </row>
    <row r="295" spans="1:12" ht="50.1" customHeight="1" x14ac:dyDescent="0.25">
      <c r="A295" s="3" t="s">
        <v>566</v>
      </c>
      <c r="B295" s="2" t="s">
        <v>567</v>
      </c>
      <c r="C295" s="2" t="s">
        <v>568</v>
      </c>
      <c r="D295" s="2" t="s">
        <v>15</v>
      </c>
      <c r="E295" s="4" t="str">
        <f>IF(ISERROR("PTMORE_O"),"",HYPERLINK("#INDEX('Value Lookup'!A:A,MATCH(A" &amp; ROW() &amp; ",'Value Lookup'!A:A,0))","Value Lookup"))</f>
        <v>Value Lookup</v>
      </c>
      <c r="F295" s="4" t="str">
        <f>IF(ISERROR("PTMORE_O"),"",HYPERLINK("#INDEX('Frequencies'!A:A,MATCH(A" &amp; ROW() &amp; ",'Frequencies'!A:A,0))","Frequencies"))</f>
        <v>Frequencies</v>
      </c>
      <c r="G295" s="2"/>
      <c r="H295" s="2">
        <v>151</v>
      </c>
      <c r="I295" s="2"/>
      <c r="J295" s="2"/>
      <c r="K295" s="2"/>
      <c r="L295" s="2" t="s">
        <v>80</v>
      </c>
    </row>
    <row r="296" spans="1:12" ht="50.1" customHeight="1" x14ac:dyDescent="0.25">
      <c r="A296" s="3" t="s">
        <v>995</v>
      </c>
      <c r="B296" s="2" t="s">
        <v>996</v>
      </c>
      <c r="C296" s="2" t="s">
        <v>997</v>
      </c>
      <c r="D296" s="2" t="s">
        <v>15</v>
      </c>
      <c r="E296" s="4" t="str">
        <f>IF(ISERROR("WKMORE_CA_1"),"",HYPERLINK("#INDEX('Value Lookup'!A:A,MATCH(A" &amp; ROW() &amp; ",'Value Lookup'!A:A,0))","Value Lookup"))</f>
        <v>Value Lookup</v>
      </c>
      <c r="F296" s="4" t="str">
        <f>IF(ISERROR("WKMORE_CA_1"),"",HYPERLINK("#INDEX('Frequencies'!A:A,MATCH(A" &amp; ROW() &amp; ",'Frequencies'!A:A,0))","Frequencies"))</f>
        <v>Frequencies</v>
      </c>
      <c r="G296" s="2"/>
      <c r="H296" s="2">
        <v>152</v>
      </c>
      <c r="I296" s="2"/>
      <c r="J296" s="2"/>
      <c r="K296" s="2"/>
      <c r="L296" s="2" t="s">
        <v>80</v>
      </c>
    </row>
    <row r="297" spans="1:12" ht="50.1" customHeight="1" x14ac:dyDescent="0.25">
      <c r="A297" s="3" t="s">
        <v>1000</v>
      </c>
      <c r="B297" s="2" t="s">
        <v>1001</v>
      </c>
      <c r="C297" s="2" t="s">
        <v>997</v>
      </c>
      <c r="D297" s="2" t="s">
        <v>15</v>
      </c>
      <c r="E297" s="4" t="str">
        <f>IF(ISERROR("WKMORE_CA_2"),"",HYPERLINK("#INDEX('Value Lookup'!A:A,MATCH(A" &amp; ROW() &amp; ",'Value Lookup'!A:A,0))","Value Lookup"))</f>
        <v>Value Lookup</v>
      </c>
      <c r="F297" s="4" t="str">
        <f>IF(ISERROR("WKMORE_CA_2"),"",HYPERLINK("#INDEX('Frequencies'!A:A,MATCH(A" &amp; ROW() &amp; ",'Frequencies'!A:A,0))","Frequencies"))</f>
        <v>Frequencies</v>
      </c>
      <c r="G297" s="2"/>
      <c r="H297" s="2">
        <v>153</v>
      </c>
      <c r="I297" s="2"/>
      <c r="J297" s="2"/>
      <c r="K297" s="2"/>
      <c r="L297" s="2" t="s">
        <v>80</v>
      </c>
    </row>
    <row r="298" spans="1:12" ht="50.1" customHeight="1" x14ac:dyDescent="0.25">
      <c r="A298" s="3" t="s">
        <v>1002</v>
      </c>
      <c r="B298" s="2" t="s">
        <v>1003</v>
      </c>
      <c r="C298" s="2" t="s">
        <v>997</v>
      </c>
      <c r="D298" s="2" t="s">
        <v>15</v>
      </c>
      <c r="E298" s="4" t="str">
        <f>IF(ISERROR("WKMORE_CA_3"),"",HYPERLINK("#INDEX('Value Lookup'!A:A,MATCH(A" &amp; ROW() &amp; ",'Value Lookup'!A:A,0))","Value Lookup"))</f>
        <v>Value Lookup</v>
      </c>
      <c r="F298" s="4" t="str">
        <f>IF(ISERROR("WKMORE_CA_3"),"",HYPERLINK("#INDEX('Frequencies'!A:A,MATCH(A" &amp; ROW() &amp; ",'Frequencies'!A:A,0))","Frequencies"))</f>
        <v>Frequencies</v>
      </c>
      <c r="G298" s="2"/>
      <c r="H298" s="2">
        <v>154</v>
      </c>
      <c r="I298" s="2"/>
      <c r="J298" s="2"/>
      <c r="K298" s="2"/>
      <c r="L298" s="2" t="s">
        <v>80</v>
      </c>
    </row>
    <row r="299" spans="1:12" ht="50.1" customHeight="1" x14ac:dyDescent="0.25">
      <c r="A299" s="3" t="s">
        <v>1004</v>
      </c>
      <c r="B299" s="2" t="s">
        <v>1005</v>
      </c>
      <c r="C299" s="2" t="s">
        <v>997</v>
      </c>
      <c r="D299" s="2" t="s">
        <v>15</v>
      </c>
      <c r="E299" s="4" t="str">
        <f>IF(ISERROR("WKMORE_CA_4"),"",HYPERLINK("#INDEX('Value Lookup'!A:A,MATCH(A" &amp; ROW() &amp; ",'Value Lookup'!A:A,0))","Value Lookup"))</f>
        <v>Value Lookup</v>
      </c>
      <c r="F299" s="4" t="str">
        <f>IF(ISERROR("WKMORE_CA_4"),"",HYPERLINK("#INDEX('Frequencies'!A:A,MATCH(A" &amp; ROW() &amp; ",'Frequencies'!A:A,0))","Frequencies"))</f>
        <v>Frequencies</v>
      </c>
      <c r="G299" s="2"/>
      <c r="H299" s="2">
        <v>155</v>
      </c>
      <c r="I299" s="2"/>
      <c r="J299" s="2"/>
      <c r="K299" s="2"/>
      <c r="L299" s="2" t="s">
        <v>80</v>
      </c>
    </row>
    <row r="300" spans="1:12" ht="50.1" customHeight="1" x14ac:dyDescent="0.25">
      <c r="A300" s="3" t="s">
        <v>1006</v>
      </c>
      <c r="B300" s="2" t="s">
        <v>1007</v>
      </c>
      <c r="C300" s="2" t="s">
        <v>997</v>
      </c>
      <c r="D300" s="2" t="s">
        <v>15</v>
      </c>
      <c r="E300" s="4" t="str">
        <f>IF(ISERROR("WKMORE_CA_5"),"",HYPERLINK("#INDEX('Value Lookup'!A:A,MATCH(A" &amp; ROW() &amp; ",'Value Lookup'!A:A,0))","Value Lookup"))</f>
        <v>Value Lookup</v>
      </c>
      <c r="F300" s="4" t="str">
        <f>IF(ISERROR("WKMORE_CA_5"),"",HYPERLINK("#INDEX('Frequencies'!A:A,MATCH(A" &amp; ROW() &amp; ",'Frequencies'!A:A,0))","Frequencies"))</f>
        <v>Frequencies</v>
      </c>
      <c r="G300" s="2"/>
      <c r="H300" s="2">
        <v>156</v>
      </c>
      <c r="I300" s="2"/>
      <c r="J300" s="2"/>
      <c r="K300" s="2"/>
      <c r="L300" s="2" t="s">
        <v>80</v>
      </c>
    </row>
    <row r="301" spans="1:12" ht="50.1" customHeight="1" x14ac:dyDescent="0.25">
      <c r="A301" s="3" t="s">
        <v>1008</v>
      </c>
      <c r="B301" s="2" t="s">
        <v>1009</v>
      </c>
      <c r="C301" s="2" t="s">
        <v>997</v>
      </c>
      <c r="D301" s="2" t="s">
        <v>15</v>
      </c>
      <c r="E301" s="4" t="str">
        <f>IF(ISERROR("WKMORE_CA_6"),"",HYPERLINK("#INDEX('Value Lookup'!A:A,MATCH(A" &amp; ROW() &amp; ",'Value Lookup'!A:A,0))","Value Lookup"))</f>
        <v>Value Lookup</v>
      </c>
      <c r="F301" s="4" t="str">
        <f>IF(ISERROR("WKMORE_CA_6"),"",HYPERLINK("#INDEX('Frequencies'!A:A,MATCH(A" &amp; ROW() &amp; ",'Frequencies'!A:A,0))","Frequencies"))</f>
        <v>Frequencies</v>
      </c>
      <c r="G301" s="2"/>
      <c r="H301" s="2">
        <v>157</v>
      </c>
      <c r="I301" s="2"/>
      <c r="J301" s="2"/>
      <c r="K301" s="2"/>
      <c r="L301" s="2" t="s">
        <v>80</v>
      </c>
    </row>
    <row r="302" spans="1:12" ht="50.1" customHeight="1" x14ac:dyDescent="0.25">
      <c r="A302" s="3" t="s">
        <v>1010</v>
      </c>
      <c r="B302" s="2" t="s">
        <v>1011</v>
      </c>
      <c r="C302" s="2" t="s">
        <v>997</v>
      </c>
      <c r="D302" s="2" t="s">
        <v>15</v>
      </c>
      <c r="E302" s="4" t="str">
        <f>IF(ISERROR("WKMORE_CA_7"),"",HYPERLINK("#INDEX('Value Lookup'!A:A,MATCH(A" &amp; ROW() &amp; ",'Value Lookup'!A:A,0))","Value Lookup"))</f>
        <v>Value Lookup</v>
      </c>
      <c r="F302" s="4" t="str">
        <f>IF(ISERROR("WKMORE_CA_7"),"",HYPERLINK("#INDEX('Frequencies'!A:A,MATCH(A" &amp; ROW() &amp; ",'Frequencies'!A:A,0))","Frequencies"))</f>
        <v>Frequencies</v>
      </c>
      <c r="G302" s="2"/>
      <c r="H302" s="2">
        <v>158</v>
      </c>
      <c r="I302" s="2"/>
      <c r="J302" s="2"/>
      <c r="K302" s="2"/>
      <c r="L302" s="2" t="s">
        <v>80</v>
      </c>
    </row>
    <row r="303" spans="1:12" ht="50.1" customHeight="1" x14ac:dyDescent="0.25">
      <c r="A303" s="3" t="s">
        <v>1012</v>
      </c>
      <c r="B303" s="2" t="s">
        <v>1013</v>
      </c>
      <c r="C303" s="2" t="s">
        <v>997</v>
      </c>
      <c r="D303" s="2" t="s">
        <v>15</v>
      </c>
      <c r="E303" s="4" t="str">
        <f>IF(ISERROR("WKMORE_CA_8"),"",HYPERLINK("#INDEX('Value Lookup'!A:A,MATCH(A" &amp; ROW() &amp; ",'Value Lookup'!A:A,0))","Value Lookup"))</f>
        <v>Value Lookup</v>
      </c>
      <c r="F303" s="4" t="str">
        <f>IF(ISERROR("WKMORE_CA_8"),"",HYPERLINK("#INDEX('Frequencies'!A:A,MATCH(A" &amp; ROW() &amp; ",'Frequencies'!A:A,0))","Frequencies"))</f>
        <v>Frequencies</v>
      </c>
      <c r="G303" s="2"/>
      <c r="H303" s="2">
        <v>159</v>
      </c>
      <c r="I303" s="2"/>
      <c r="J303" s="2"/>
      <c r="K303" s="2"/>
      <c r="L303" s="2" t="s">
        <v>80</v>
      </c>
    </row>
    <row r="304" spans="1:12" ht="50.1" customHeight="1" x14ac:dyDescent="0.25">
      <c r="A304" s="3" t="s">
        <v>1014</v>
      </c>
      <c r="B304" s="2" t="s">
        <v>1015</v>
      </c>
      <c r="C304" s="2" t="s">
        <v>997</v>
      </c>
      <c r="D304" s="2" t="s">
        <v>15</v>
      </c>
      <c r="E304" s="4" t="str">
        <f>IF(ISERROR("WKMORE_CA_9"),"",HYPERLINK("#INDEX('Value Lookup'!A:A,MATCH(A" &amp; ROW() &amp; ",'Value Lookup'!A:A,0))","Value Lookup"))</f>
        <v>Value Lookup</v>
      </c>
      <c r="F304" s="4" t="str">
        <f>IF(ISERROR("WKMORE_CA_9"),"",HYPERLINK("#INDEX('Frequencies'!A:A,MATCH(A" &amp; ROW() &amp; ",'Frequencies'!A:A,0))","Frequencies"))</f>
        <v>Frequencies</v>
      </c>
      <c r="G304" s="2"/>
      <c r="H304" s="2">
        <v>160</v>
      </c>
      <c r="I304" s="2"/>
      <c r="J304" s="2"/>
      <c r="K304" s="2"/>
      <c r="L304" s="2" t="s">
        <v>80</v>
      </c>
    </row>
    <row r="305" spans="1:12" ht="50.1" customHeight="1" x14ac:dyDescent="0.25">
      <c r="A305" s="3" t="s">
        <v>998</v>
      </c>
      <c r="B305" s="2" t="s">
        <v>999</v>
      </c>
      <c r="C305" s="2" t="s">
        <v>997</v>
      </c>
      <c r="D305" s="2" t="s">
        <v>15</v>
      </c>
      <c r="E305" s="4" t="str">
        <f>IF(ISERROR("WKMORE_CA_10"),"",HYPERLINK("#INDEX('Value Lookup'!A:A,MATCH(A" &amp; ROW() &amp; ",'Value Lookup'!A:A,0))","Value Lookup"))</f>
        <v>Value Lookup</v>
      </c>
      <c r="F305" s="4" t="str">
        <f>IF(ISERROR("WKMORE_CA_10"),"",HYPERLINK("#INDEX('Frequencies'!A:A,MATCH(A" &amp; ROW() &amp; ",'Frequencies'!A:A,0))","Frequencies"))</f>
        <v>Frequencies</v>
      </c>
      <c r="G305" s="2"/>
      <c r="H305" s="2">
        <v>161</v>
      </c>
      <c r="I305" s="2"/>
      <c r="J305" s="2"/>
      <c r="K305" s="2"/>
      <c r="L305" s="2" t="s">
        <v>80</v>
      </c>
    </row>
    <row r="306" spans="1:12" ht="50.1" customHeight="1" x14ac:dyDescent="0.25">
      <c r="A306" s="3" t="s">
        <v>1025</v>
      </c>
      <c r="B306" s="2" t="s">
        <v>1026</v>
      </c>
      <c r="C306" s="2" t="s">
        <v>997</v>
      </c>
      <c r="D306" s="2" t="s">
        <v>15</v>
      </c>
      <c r="E306" s="4" t="str">
        <f>IF(ISERROR("WKMORE_CA_SE"),"",HYPERLINK("#INDEX('Value Lookup'!A:A,MATCH(A" &amp; ROW() &amp; ",'Value Lookup'!A:A,0))","Value Lookup"))</f>
        <v>Value Lookup</v>
      </c>
      <c r="F306" s="4" t="str">
        <f>IF(ISERROR("WKMORE_CA_SE"),"",HYPERLINK("#INDEX('Frequencies'!A:A,MATCH(A" &amp; ROW() &amp; ",'Frequencies'!A:A,0))","Frequencies"))</f>
        <v>Frequencies</v>
      </c>
      <c r="G306" s="2"/>
      <c r="H306" s="2">
        <v>162</v>
      </c>
      <c r="I306" s="2"/>
      <c r="J306" s="2"/>
      <c r="K306" s="2"/>
      <c r="L306" s="2" t="s">
        <v>80</v>
      </c>
    </row>
    <row r="307" spans="1:12" ht="50.1" customHeight="1" x14ac:dyDescent="0.25">
      <c r="A307" s="3" t="s">
        <v>1018</v>
      </c>
      <c r="B307" s="2" t="s">
        <v>1019</v>
      </c>
      <c r="C307" s="2" t="s">
        <v>997</v>
      </c>
      <c r="D307" s="2" t="s">
        <v>15</v>
      </c>
      <c r="E307" s="4" t="str">
        <f>IF(ISERROR("WKMORE_CA_NA"),"",HYPERLINK("#INDEX('Value Lookup'!A:A,MATCH(A" &amp; ROW() &amp; ",'Value Lookup'!A:A,0))","Value Lookup"))</f>
        <v>Value Lookup</v>
      </c>
      <c r="F307" s="4" t="str">
        <f>IF(ISERROR("WKMORE_CA_NA"),"",HYPERLINK("#INDEX('Frequencies'!A:A,MATCH(A" &amp; ROW() &amp; ",'Frequencies'!A:A,0))","Frequencies"))</f>
        <v>Frequencies</v>
      </c>
      <c r="G307" s="2"/>
      <c r="H307" s="2">
        <v>163</v>
      </c>
      <c r="I307" s="2"/>
      <c r="J307" s="2"/>
      <c r="K307" s="2"/>
      <c r="L307" s="2" t="s">
        <v>80</v>
      </c>
    </row>
    <row r="308" spans="1:12" ht="50.1" customHeight="1" x14ac:dyDescent="0.25">
      <c r="A308" s="3" t="s">
        <v>1023</v>
      </c>
      <c r="B308" s="2" t="s">
        <v>1024</v>
      </c>
      <c r="C308" s="2" t="s">
        <v>997</v>
      </c>
      <c r="D308" s="2" t="s">
        <v>15</v>
      </c>
      <c r="E308" s="4" t="str">
        <f>IF(ISERROR("WKMORE_CA_RF"),"",HYPERLINK("#INDEX('Value Lookup'!A:A,MATCH(A" &amp; ROW() &amp; ",'Value Lookup'!A:A,0))","Value Lookup"))</f>
        <v>Value Lookup</v>
      </c>
      <c r="F308" s="4" t="str">
        <f>IF(ISERROR("WKMORE_CA_RF"),"",HYPERLINK("#INDEX('Frequencies'!A:A,MATCH(A" &amp; ROW() &amp; ",'Frequencies'!A:A,0))","Frequencies"))</f>
        <v>Frequencies</v>
      </c>
      <c r="G308" s="2"/>
      <c r="H308" s="2">
        <v>164</v>
      </c>
      <c r="I308" s="2"/>
      <c r="J308" s="2"/>
      <c r="K308" s="2"/>
      <c r="L308" s="2" t="s">
        <v>80</v>
      </c>
    </row>
    <row r="309" spans="1:12" ht="50.1" customHeight="1" x14ac:dyDescent="0.25">
      <c r="A309" s="3" t="s">
        <v>1016</v>
      </c>
      <c r="B309" s="2" t="s">
        <v>1017</v>
      </c>
      <c r="C309" s="2" t="s">
        <v>997</v>
      </c>
      <c r="D309" s="2" t="s">
        <v>15</v>
      </c>
      <c r="E309" s="4" t="str">
        <f>IF(ISERROR("WKMORE_CA_DK"),"",HYPERLINK("#INDEX('Value Lookup'!A:A,MATCH(A" &amp; ROW() &amp; ",'Value Lookup'!A:A,0))","Value Lookup"))</f>
        <v>Value Lookup</v>
      </c>
      <c r="F309" s="4" t="str">
        <f>IF(ISERROR("WKMORE_CA_DK"),"",HYPERLINK("#INDEX('Frequencies'!A:A,MATCH(A" &amp; ROW() &amp; ",'Frequencies'!A:A,0))","Frequencies"))</f>
        <v>Frequencies</v>
      </c>
      <c r="G309" s="2"/>
      <c r="H309" s="2">
        <v>165</v>
      </c>
      <c r="I309" s="2"/>
      <c r="J309" s="2"/>
      <c r="K309" s="2"/>
      <c r="L309" s="2" t="s">
        <v>80</v>
      </c>
    </row>
    <row r="310" spans="1:12" ht="50.1" customHeight="1" x14ac:dyDescent="0.25">
      <c r="A310" s="3" t="s">
        <v>1020</v>
      </c>
      <c r="B310" s="2" t="s">
        <v>1021</v>
      </c>
      <c r="C310" s="2" t="s">
        <v>1022</v>
      </c>
      <c r="D310" s="2" t="s">
        <v>15</v>
      </c>
      <c r="E310" s="4" t="str">
        <f>IF(ISERROR("WKMORE_CA_O"),"",HYPERLINK("#INDEX('Value Lookup'!A:A,MATCH(A" &amp; ROW() &amp; ",'Value Lookup'!A:A,0))","Value Lookup"))</f>
        <v>Value Lookup</v>
      </c>
      <c r="F310" s="4" t="str">
        <f>IF(ISERROR("WKMORE_CA_O"),"",HYPERLINK("#INDEX('Frequencies'!A:A,MATCH(A" &amp; ROW() &amp; ",'Frequencies'!A:A,0))","Frequencies"))</f>
        <v>Frequencies</v>
      </c>
      <c r="G310" s="2"/>
      <c r="H310" s="2">
        <v>166</v>
      </c>
      <c r="I310" s="2"/>
      <c r="J310" s="2"/>
      <c r="K310" s="2"/>
      <c r="L310" s="2" t="s">
        <v>80</v>
      </c>
    </row>
    <row r="311" spans="1:12" ht="50.1" customHeight="1" x14ac:dyDescent="0.25">
      <c r="A311" s="3" t="s">
        <v>77</v>
      </c>
      <c r="B311" s="2" t="s">
        <v>78</v>
      </c>
      <c r="C311" s="2" t="s">
        <v>79</v>
      </c>
      <c r="D311" s="2" t="s">
        <v>15</v>
      </c>
      <c r="E311" s="4" t="str">
        <f>IF(ISERROR("BKMORE_CA_1"),"",HYPERLINK("#INDEX('Value Lookup'!A:A,MATCH(A" &amp; ROW() &amp; ",'Value Lookup'!A:A,0))","Value Lookup"))</f>
        <v>Value Lookup</v>
      </c>
      <c r="F311" s="4" t="str">
        <f>IF(ISERROR("BKMORE_CA_1"),"",HYPERLINK("#INDEX('Frequencies'!A:A,MATCH(A" &amp; ROW() &amp; ",'Frequencies'!A:A,0))","Frequencies"))</f>
        <v>Frequencies</v>
      </c>
      <c r="G311" s="2"/>
      <c r="H311" s="2">
        <v>167</v>
      </c>
      <c r="I311" s="2"/>
      <c r="J311" s="2"/>
      <c r="K311" s="2"/>
      <c r="L311" s="2" t="s">
        <v>80</v>
      </c>
    </row>
    <row r="312" spans="1:12" ht="50.1" customHeight="1" x14ac:dyDescent="0.25">
      <c r="A312" s="3" t="s">
        <v>87</v>
      </c>
      <c r="B312" s="2" t="s">
        <v>88</v>
      </c>
      <c r="C312" s="2" t="s">
        <v>79</v>
      </c>
      <c r="D312" s="2" t="s">
        <v>15</v>
      </c>
      <c r="E312" s="4" t="str">
        <f>IF(ISERROR("BKMORE_CA_2"),"",HYPERLINK("#INDEX('Value Lookup'!A:A,MATCH(A" &amp; ROW() &amp; ",'Value Lookup'!A:A,0))","Value Lookup"))</f>
        <v>Value Lookup</v>
      </c>
      <c r="F312" s="4" t="str">
        <f>IF(ISERROR("BKMORE_CA_2"),"",HYPERLINK("#INDEX('Frequencies'!A:A,MATCH(A" &amp; ROW() &amp; ",'Frequencies'!A:A,0))","Frequencies"))</f>
        <v>Frequencies</v>
      </c>
      <c r="G312" s="2"/>
      <c r="H312" s="2">
        <v>168</v>
      </c>
      <c r="I312" s="2"/>
      <c r="J312" s="2"/>
      <c r="K312" s="2"/>
      <c r="L312" s="2" t="s">
        <v>80</v>
      </c>
    </row>
    <row r="313" spans="1:12" ht="50.1" customHeight="1" x14ac:dyDescent="0.25">
      <c r="A313" s="3" t="s">
        <v>89</v>
      </c>
      <c r="B313" s="2" t="s">
        <v>90</v>
      </c>
      <c r="C313" s="2" t="s">
        <v>79</v>
      </c>
      <c r="D313" s="2" t="s">
        <v>15</v>
      </c>
      <c r="E313" s="4" t="str">
        <f>IF(ISERROR("BKMORE_CA_3"),"",HYPERLINK("#INDEX('Value Lookup'!A:A,MATCH(A" &amp; ROW() &amp; ",'Value Lookup'!A:A,0))","Value Lookup"))</f>
        <v>Value Lookup</v>
      </c>
      <c r="F313" s="4" t="str">
        <f>IF(ISERROR("BKMORE_CA_3"),"",HYPERLINK("#INDEX('Frequencies'!A:A,MATCH(A" &amp; ROW() &amp; ",'Frequencies'!A:A,0))","Frequencies"))</f>
        <v>Frequencies</v>
      </c>
      <c r="G313" s="2"/>
      <c r="H313" s="2">
        <v>169</v>
      </c>
      <c r="I313" s="2"/>
      <c r="J313" s="2"/>
      <c r="K313" s="2"/>
      <c r="L313" s="2" t="s">
        <v>80</v>
      </c>
    </row>
    <row r="314" spans="1:12" ht="50.1" customHeight="1" x14ac:dyDescent="0.25">
      <c r="A314" s="3" t="s">
        <v>91</v>
      </c>
      <c r="B314" s="2" t="s">
        <v>92</v>
      </c>
      <c r="C314" s="2" t="s">
        <v>79</v>
      </c>
      <c r="D314" s="2" t="s">
        <v>15</v>
      </c>
      <c r="E314" s="4" t="str">
        <f>IF(ISERROR("BKMORE_CA_4"),"",HYPERLINK("#INDEX('Value Lookup'!A:A,MATCH(A" &amp; ROW() &amp; ",'Value Lookup'!A:A,0))","Value Lookup"))</f>
        <v>Value Lookup</v>
      </c>
      <c r="F314" s="4" t="str">
        <f>IF(ISERROR("BKMORE_CA_4"),"",HYPERLINK("#INDEX('Frequencies'!A:A,MATCH(A" &amp; ROW() &amp; ",'Frequencies'!A:A,0))","Frequencies"))</f>
        <v>Frequencies</v>
      </c>
      <c r="G314" s="2"/>
      <c r="H314" s="2">
        <v>170</v>
      </c>
      <c r="I314" s="2"/>
      <c r="J314" s="2"/>
      <c r="K314" s="2"/>
      <c r="L314" s="2" t="s">
        <v>80</v>
      </c>
    </row>
    <row r="315" spans="1:12" ht="50.1" customHeight="1" x14ac:dyDescent="0.25">
      <c r="A315" s="3" t="s">
        <v>93</v>
      </c>
      <c r="B315" s="2" t="s">
        <v>94</v>
      </c>
      <c r="C315" s="2" t="s">
        <v>79</v>
      </c>
      <c r="D315" s="2" t="s">
        <v>15</v>
      </c>
      <c r="E315" s="4" t="str">
        <f>IF(ISERROR("BKMORE_CA_5"),"",HYPERLINK("#INDEX('Value Lookup'!A:A,MATCH(A" &amp; ROW() &amp; ",'Value Lookup'!A:A,0))","Value Lookup"))</f>
        <v>Value Lookup</v>
      </c>
      <c r="F315" s="4" t="str">
        <f>IF(ISERROR("BKMORE_CA_5"),"",HYPERLINK("#INDEX('Frequencies'!A:A,MATCH(A" &amp; ROW() &amp; ",'Frequencies'!A:A,0))","Frequencies"))</f>
        <v>Frequencies</v>
      </c>
      <c r="G315" s="2"/>
      <c r="H315" s="2">
        <v>171</v>
      </c>
      <c r="I315" s="2"/>
      <c r="J315" s="2"/>
      <c r="K315" s="2"/>
      <c r="L315" s="2" t="s">
        <v>80</v>
      </c>
    </row>
    <row r="316" spans="1:12" ht="50.1" customHeight="1" x14ac:dyDescent="0.25">
      <c r="A316" s="3" t="s">
        <v>95</v>
      </c>
      <c r="B316" s="2" t="s">
        <v>96</v>
      </c>
      <c r="C316" s="2" t="s">
        <v>79</v>
      </c>
      <c r="D316" s="2" t="s">
        <v>15</v>
      </c>
      <c r="E316" s="4" t="str">
        <f>IF(ISERROR("BKMORE_CA_6"),"",HYPERLINK("#INDEX('Value Lookup'!A:A,MATCH(A" &amp; ROW() &amp; ",'Value Lookup'!A:A,0))","Value Lookup"))</f>
        <v>Value Lookup</v>
      </c>
      <c r="F316" s="4" t="str">
        <f>IF(ISERROR("BKMORE_CA_6"),"",HYPERLINK("#INDEX('Frequencies'!A:A,MATCH(A" &amp; ROW() &amp; ",'Frequencies'!A:A,0))","Frequencies"))</f>
        <v>Frequencies</v>
      </c>
      <c r="G316" s="2"/>
      <c r="H316" s="2">
        <v>172</v>
      </c>
      <c r="I316" s="2"/>
      <c r="J316" s="2"/>
      <c r="K316" s="2"/>
      <c r="L316" s="2" t="s">
        <v>80</v>
      </c>
    </row>
    <row r="317" spans="1:12" ht="50.1" customHeight="1" x14ac:dyDescent="0.25">
      <c r="A317" s="3" t="s">
        <v>97</v>
      </c>
      <c r="B317" s="2" t="s">
        <v>98</v>
      </c>
      <c r="C317" s="2" t="s">
        <v>79</v>
      </c>
      <c r="D317" s="2" t="s">
        <v>15</v>
      </c>
      <c r="E317" s="4" t="str">
        <f>IF(ISERROR("BKMORE_CA_7"),"",HYPERLINK("#INDEX('Value Lookup'!A:A,MATCH(A" &amp; ROW() &amp; ",'Value Lookup'!A:A,0))","Value Lookup"))</f>
        <v>Value Lookup</v>
      </c>
      <c r="F317" s="4" t="str">
        <f>IF(ISERROR("BKMORE_CA_7"),"",HYPERLINK("#INDEX('Frequencies'!A:A,MATCH(A" &amp; ROW() &amp; ",'Frequencies'!A:A,0))","Frequencies"))</f>
        <v>Frequencies</v>
      </c>
      <c r="G317" s="2"/>
      <c r="H317" s="2">
        <v>173</v>
      </c>
      <c r="I317" s="2"/>
      <c r="J317" s="2"/>
      <c r="K317" s="2"/>
      <c r="L317" s="2" t="s">
        <v>80</v>
      </c>
    </row>
    <row r="318" spans="1:12" ht="50.1" customHeight="1" x14ac:dyDescent="0.25">
      <c r="A318" s="3" t="s">
        <v>99</v>
      </c>
      <c r="B318" s="2" t="s">
        <v>100</v>
      </c>
      <c r="C318" s="2" t="s">
        <v>79</v>
      </c>
      <c r="D318" s="2" t="s">
        <v>15</v>
      </c>
      <c r="E318" s="4" t="str">
        <f>IF(ISERROR("BKMORE_CA_8"),"",HYPERLINK("#INDEX('Value Lookup'!A:A,MATCH(A" &amp; ROW() &amp; ",'Value Lookup'!A:A,0))","Value Lookup"))</f>
        <v>Value Lookup</v>
      </c>
      <c r="F318" s="4" t="str">
        <f>IF(ISERROR("BKMORE_CA_8"),"",HYPERLINK("#INDEX('Frequencies'!A:A,MATCH(A" &amp; ROW() &amp; ",'Frequencies'!A:A,0))","Frequencies"))</f>
        <v>Frequencies</v>
      </c>
      <c r="G318" s="2"/>
      <c r="H318" s="2">
        <v>174</v>
      </c>
      <c r="I318" s="2"/>
      <c r="J318" s="2"/>
      <c r="K318" s="2"/>
      <c r="L318" s="2" t="s">
        <v>80</v>
      </c>
    </row>
    <row r="319" spans="1:12" ht="50.1" customHeight="1" x14ac:dyDescent="0.25">
      <c r="A319" s="3" t="s">
        <v>101</v>
      </c>
      <c r="B319" s="2" t="s">
        <v>102</v>
      </c>
      <c r="C319" s="2" t="s">
        <v>79</v>
      </c>
      <c r="D319" s="2" t="s">
        <v>15</v>
      </c>
      <c r="E319" s="4" t="str">
        <f>IF(ISERROR("BKMORE_CA_9"),"",HYPERLINK("#INDEX('Value Lookup'!A:A,MATCH(A" &amp; ROW() &amp; ",'Value Lookup'!A:A,0))","Value Lookup"))</f>
        <v>Value Lookup</v>
      </c>
      <c r="F319" s="4" t="str">
        <f>IF(ISERROR("BKMORE_CA_9"),"",HYPERLINK("#INDEX('Frequencies'!A:A,MATCH(A" &amp; ROW() &amp; ",'Frequencies'!A:A,0))","Frequencies"))</f>
        <v>Frequencies</v>
      </c>
      <c r="G319" s="2"/>
      <c r="H319" s="2">
        <v>175</v>
      </c>
      <c r="I319" s="2"/>
      <c r="J319" s="2"/>
      <c r="K319" s="2"/>
      <c r="L319" s="2" t="s">
        <v>80</v>
      </c>
    </row>
    <row r="320" spans="1:12" ht="50.1" customHeight="1" x14ac:dyDescent="0.25">
      <c r="A320" s="3" t="s">
        <v>81</v>
      </c>
      <c r="B320" s="2" t="s">
        <v>82</v>
      </c>
      <c r="C320" s="2" t="s">
        <v>79</v>
      </c>
      <c r="D320" s="2" t="s">
        <v>15</v>
      </c>
      <c r="E320" s="4" t="str">
        <f>IF(ISERROR("BKMORE_CA_10"),"",HYPERLINK("#INDEX('Value Lookup'!A:A,MATCH(A" &amp; ROW() &amp; ",'Value Lookup'!A:A,0))","Value Lookup"))</f>
        <v>Value Lookup</v>
      </c>
      <c r="F320" s="4" t="str">
        <f>IF(ISERROR("BKMORE_CA_10"),"",HYPERLINK("#INDEX('Frequencies'!A:A,MATCH(A" &amp; ROW() &amp; ",'Frequencies'!A:A,0))","Frequencies"))</f>
        <v>Frequencies</v>
      </c>
      <c r="G320" s="2"/>
      <c r="H320" s="2">
        <v>176</v>
      </c>
      <c r="I320" s="2"/>
      <c r="J320" s="2"/>
      <c r="K320" s="2"/>
      <c r="L320" s="2" t="s">
        <v>80</v>
      </c>
    </row>
    <row r="321" spans="1:12" ht="50.1" customHeight="1" x14ac:dyDescent="0.25">
      <c r="A321" s="3" t="s">
        <v>83</v>
      </c>
      <c r="B321" s="2" t="s">
        <v>84</v>
      </c>
      <c r="C321" s="2" t="s">
        <v>79</v>
      </c>
      <c r="D321" s="2" t="s">
        <v>15</v>
      </c>
      <c r="E321" s="4" t="str">
        <f>IF(ISERROR("BKMORE_CA_11"),"",HYPERLINK("#INDEX('Value Lookup'!A:A,MATCH(A" &amp; ROW() &amp; ",'Value Lookup'!A:A,0))","Value Lookup"))</f>
        <v>Value Lookup</v>
      </c>
      <c r="F321" s="4" t="str">
        <f>IF(ISERROR("BKMORE_CA_11"),"",HYPERLINK("#INDEX('Frequencies'!A:A,MATCH(A" &amp; ROW() &amp; ",'Frequencies'!A:A,0))","Frequencies"))</f>
        <v>Frequencies</v>
      </c>
      <c r="G321" s="2"/>
      <c r="H321" s="2">
        <v>177</v>
      </c>
      <c r="I321" s="2"/>
      <c r="J321" s="2"/>
      <c r="K321" s="2"/>
      <c r="L321" s="2" t="s">
        <v>80</v>
      </c>
    </row>
    <row r="322" spans="1:12" ht="50.1" customHeight="1" x14ac:dyDescent="0.25">
      <c r="A322" s="3" t="s">
        <v>85</v>
      </c>
      <c r="B322" s="2" t="s">
        <v>86</v>
      </c>
      <c r="C322" s="2" t="s">
        <v>79</v>
      </c>
      <c r="D322" s="2" t="s">
        <v>15</v>
      </c>
      <c r="E322" s="4" t="str">
        <f>IF(ISERROR("BKMORE_CA_12"),"",HYPERLINK("#INDEX('Value Lookup'!A:A,MATCH(A" &amp; ROW() &amp; ",'Value Lookup'!A:A,0))","Value Lookup"))</f>
        <v>Value Lookup</v>
      </c>
      <c r="F322" s="4" t="str">
        <f>IF(ISERROR("BKMORE_CA_12"),"",HYPERLINK("#INDEX('Frequencies'!A:A,MATCH(A" &amp; ROW() &amp; ",'Frequencies'!A:A,0))","Frequencies"))</f>
        <v>Frequencies</v>
      </c>
      <c r="G322" s="2"/>
      <c r="H322" s="2">
        <v>178</v>
      </c>
      <c r="I322" s="2"/>
      <c r="J322" s="2"/>
      <c r="K322" s="2"/>
      <c r="L322" s="2" t="s">
        <v>80</v>
      </c>
    </row>
    <row r="323" spans="1:12" ht="50.1" customHeight="1" x14ac:dyDescent="0.25">
      <c r="A323" s="3" t="s">
        <v>112</v>
      </c>
      <c r="B323" s="2" t="s">
        <v>113</v>
      </c>
      <c r="C323" s="2" t="s">
        <v>79</v>
      </c>
      <c r="D323" s="2" t="s">
        <v>15</v>
      </c>
      <c r="E323" s="4" t="str">
        <f>IF(ISERROR("BKMORE_CA_SE"),"",HYPERLINK("#INDEX('Value Lookup'!A:A,MATCH(A" &amp; ROW() &amp; ",'Value Lookup'!A:A,0))","Value Lookup"))</f>
        <v>Value Lookup</v>
      </c>
      <c r="F323" s="4" t="str">
        <f>IF(ISERROR("BKMORE_CA_SE"),"",HYPERLINK("#INDEX('Frequencies'!A:A,MATCH(A" &amp; ROW() &amp; ",'Frequencies'!A:A,0))","Frequencies"))</f>
        <v>Frequencies</v>
      </c>
      <c r="G323" s="2"/>
      <c r="H323" s="2">
        <v>179</v>
      </c>
      <c r="I323" s="2"/>
      <c r="J323" s="2"/>
      <c r="K323" s="2"/>
      <c r="L323" s="2" t="s">
        <v>80</v>
      </c>
    </row>
    <row r="324" spans="1:12" ht="50.1" customHeight="1" x14ac:dyDescent="0.25">
      <c r="A324" s="3" t="s">
        <v>105</v>
      </c>
      <c r="B324" s="2" t="s">
        <v>106</v>
      </c>
      <c r="C324" s="2" t="s">
        <v>79</v>
      </c>
      <c r="D324" s="2" t="s">
        <v>15</v>
      </c>
      <c r="E324" s="4" t="str">
        <f>IF(ISERROR("BKMORE_CA_NA"),"",HYPERLINK("#INDEX('Value Lookup'!A:A,MATCH(A" &amp; ROW() &amp; ",'Value Lookup'!A:A,0))","Value Lookup"))</f>
        <v>Value Lookup</v>
      </c>
      <c r="F324" s="4" t="str">
        <f>IF(ISERROR("BKMORE_CA_NA"),"",HYPERLINK("#INDEX('Frequencies'!A:A,MATCH(A" &amp; ROW() &amp; ",'Frequencies'!A:A,0))","Frequencies"))</f>
        <v>Frequencies</v>
      </c>
      <c r="G324" s="2"/>
      <c r="H324" s="2">
        <v>180</v>
      </c>
      <c r="I324" s="2"/>
      <c r="J324" s="2"/>
      <c r="K324" s="2"/>
      <c r="L324" s="2" t="s">
        <v>80</v>
      </c>
    </row>
    <row r="325" spans="1:12" ht="50.1" customHeight="1" x14ac:dyDescent="0.25">
      <c r="A325" s="3" t="s">
        <v>103</v>
      </c>
      <c r="B325" s="2" t="s">
        <v>104</v>
      </c>
      <c r="C325" s="2" t="s">
        <v>79</v>
      </c>
      <c r="D325" s="2" t="s">
        <v>15</v>
      </c>
      <c r="E325" s="4" t="str">
        <f>IF(ISERROR("BKMORE_CA_DK"),"",HYPERLINK("#INDEX('Value Lookup'!A:A,MATCH(A" &amp; ROW() &amp; ",'Value Lookup'!A:A,0))","Value Lookup"))</f>
        <v>Value Lookup</v>
      </c>
      <c r="F325" s="4" t="str">
        <f>IF(ISERROR("BKMORE_CA_DK"),"",HYPERLINK("#INDEX('Frequencies'!A:A,MATCH(A" &amp; ROW() &amp; ",'Frequencies'!A:A,0))","Frequencies"))</f>
        <v>Frequencies</v>
      </c>
      <c r="G325" s="2"/>
      <c r="H325" s="2">
        <v>181</v>
      </c>
      <c r="I325" s="2"/>
      <c r="J325" s="2"/>
      <c r="K325" s="2"/>
      <c r="L325" s="2" t="s">
        <v>80</v>
      </c>
    </row>
    <row r="326" spans="1:12" ht="50.1" customHeight="1" x14ac:dyDescent="0.25">
      <c r="A326" s="3" t="s">
        <v>110</v>
      </c>
      <c r="B326" s="2" t="s">
        <v>111</v>
      </c>
      <c r="C326" s="2" t="s">
        <v>79</v>
      </c>
      <c r="D326" s="2" t="s">
        <v>15</v>
      </c>
      <c r="E326" s="4" t="str">
        <f>IF(ISERROR("BKMORE_CA_RF"),"",HYPERLINK("#INDEX('Value Lookup'!A:A,MATCH(A" &amp; ROW() &amp; ",'Value Lookup'!A:A,0))","Value Lookup"))</f>
        <v>Value Lookup</v>
      </c>
      <c r="F326" s="4" t="str">
        <f>IF(ISERROR("BKMORE_CA_RF"),"",HYPERLINK("#INDEX('Frequencies'!A:A,MATCH(A" &amp; ROW() &amp; ",'Frequencies'!A:A,0))","Frequencies"))</f>
        <v>Frequencies</v>
      </c>
      <c r="G326" s="2"/>
      <c r="H326" s="2">
        <v>182</v>
      </c>
      <c r="I326" s="2"/>
      <c r="J326" s="2"/>
      <c r="K326" s="2"/>
      <c r="L326" s="2" t="s">
        <v>80</v>
      </c>
    </row>
    <row r="327" spans="1:12" ht="50.1" customHeight="1" x14ac:dyDescent="0.25">
      <c r="A327" s="3" t="s">
        <v>107</v>
      </c>
      <c r="B327" s="2" t="s">
        <v>108</v>
      </c>
      <c r="C327" s="2" t="s">
        <v>109</v>
      </c>
      <c r="D327" s="2" t="s">
        <v>15</v>
      </c>
      <c r="E327" s="4" t="str">
        <f>IF(ISERROR("BKMORE_CA_O"),"",HYPERLINK("#INDEX('Value Lookup'!A:A,MATCH(A" &amp; ROW() &amp; ",'Value Lookup'!A:A,0))","Value Lookup"))</f>
        <v>Value Lookup</v>
      </c>
      <c r="F327" s="4" t="str">
        <f>IF(ISERROR("BKMORE_CA_O"),"",HYPERLINK("#INDEX('Frequencies'!A:A,MATCH(A" &amp; ROW() &amp; ",'Frequencies'!A:A,0))","Frequencies"))</f>
        <v>Frequencies</v>
      </c>
      <c r="G327" s="2"/>
      <c r="H327" s="2">
        <v>183</v>
      </c>
      <c r="I327" s="2"/>
      <c r="J327" s="2"/>
      <c r="K327" s="2"/>
      <c r="L327" s="2" t="s">
        <v>80</v>
      </c>
    </row>
    <row r="328" spans="1:12" ht="50.1" customHeight="1" x14ac:dyDescent="0.25">
      <c r="A328" s="3" t="s">
        <v>1036</v>
      </c>
      <c r="B328" s="2" t="s">
        <v>1037</v>
      </c>
      <c r="C328" s="2"/>
      <c r="D328" s="2" t="s">
        <v>15</v>
      </c>
      <c r="E328" s="4" t="str">
        <f>IF(ISERROR("WORKER"),"",HYPERLINK("#INDEX('Value Lookup'!A:A,MATCH(A" &amp; ROW() &amp; ",'Value Lookup'!A:A,0))","Value Lookup"))</f>
        <v>Value Lookup</v>
      </c>
      <c r="F328" s="4" t="str">
        <f>IF(ISERROR("WORKER"),"",HYPERLINK("#INDEX('Frequencies'!A:A,MATCH(A" &amp; ROW() &amp; ",'Frequencies'!A:A,0))","Frequencies"))</f>
        <v>Frequencies</v>
      </c>
      <c r="G328" s="2"/>
      <c r="H328" s="2">
        <v>184</v>
      </c>
      <c r="I328" s="2"/>
      <c r="J328" s="2"/>
      <c r="K328" s="2"/>
      <c r="L328" s="2"/>
    </row>
    <row r="329" spans="1:12" ht="50.1" customHeight="1" x14ac:dyDescent="0.25">
      <c r="A329" s="3" t="s">
        <v>175</v>
      </c>
      <c r="B329" s="2" t="s">
        <v>176</v>
      </c>
      <c r="C329" s="2"/>
      <c r="D329" s="2" t="s">
        <v>15</v>
      </c>
      <c r="E329" s="4" t="str">
        <f>IF(ISERROR("DIARY"),"",HYPERLINK("#INDEX('Value Lookup'!A:A,MATCH(A" &amp; ROW() &amp; ",'Value Lookup'!A:A,0))","Value Lookup"))</f>
        <v>Value Lookup</v>
      </c>
      <c r="F329" s="4" t="str">
        <f>IF(ISERROR("DIARY"),"",HYPERLINK("#INDEX('Frequencies'!A:A,MATCH(A" &amp; ROW() &amp; ",'Frequencies'!A:A,0))","Frequencies"))</f>
        <v>Frequencies</v>
      </c>
      <c r="G329" s="2"/>
      <c r="H329" s="2">
        <v>185</v>
      </c>
      <c r="I329" s="2"/>
      <c r="J329" s="2"/>
      <c r="K329" s="2"/>
      <c r="L329" s="2"/>
    </row>
    <row r="330" spans="1:12" ht="50.1" customHeight="1" x14ac:dyDescent="0.25">
      <c r="A330" s="3" t="s">
        <v>508</v>
      </c>
      <c r="B330" s="2" t="s">
        <v>509</v>
      </c>
      <c r="C330" s="2"/>
      <c r="D330" s="2" t="s">
        <v>15</v>
      </c>
      <c r="E330" s="4" t="str">
        <f>IF(ISERROR("OUTCNTRY"),"",HYPERLINK("#INDEX('Value Lookup'!A:A,MATCH(A" &amp; ROW() &amp; ",'Value Lookup'!A:A,0))","Value Lookup"))</f>
        <v>Value Lookup</v>
      </c>
      <c r="F330" s="4" t="str">
        <f>IF(ISERROR("OUTCNTRY"),"",HYPERLINK("#INDEX('Frequencies'!A:A,MATCH(A" &amp; ROW() &amp; ",'Frequencies'!A:A,0))","Frequencies"))</f>
        <v>Frequencies</v>
      </c>
      <c r="G330" s="2"/>
      <c r="H330" s="2">
        <v>186</v>
      </c>
      <c r="I330" s="2"/>
      <c r="J330" s="2"/>
      <c r="K330" s="2"/>
      <c r="L330" s="2"/>
    </row>
    <row r="331" spans="1:12" ht="50.1" customHeight="1" x14ac:dyDescent="0.25">
      <c r="A331" s="3" t="s">
        <v>228</v>
      </c>
      <c r="B331" s="2" t="s">
        <v>229</v>
      </c>
      <c r="C331" s="2"/>
      <c r="D331" s="2" t="s">
        <v>15</v>
      </c>
      <c r="E331" s="4" t="str">
        <f>IF(ISERROR("FRSTHM"),"",HYPERLINK("#INDEX('Value Lookup'!A:A,MATCH(A" &amp; ROW() &amp; ",'Value Lookup'!A:A,0))","Value Lookup"))</f>
        <v>Value Lookup</v>
      </c>
      <c r="F331" s="4" t="str">
        <f>IF(ISERROR("FRSTHM"),"",HYPERLINK("#INDEX('Frequencies'!A:A,MATCH(A" &amp; ROW() &amp; ",'Frequencies'!A:A,0))","Frequencies"))</f>
        <v>Frequencies</v>
      </c>
      <c r="G331" s="2"/>
      <c r="H331" s="2">
        <v>187</v>
      </c>
      <c r="I331" s="2"/>
      <c r="J331" s="2"/>
      <c r="K331" s="2"/>
      <c r="L331" s="2"/>
    </row>
    <row r="332" spans="1:12" ht="50.1" customHeight="1" x14ac:dyDescent="0.25">
      <c r="A332" s="3" t="s">
        <v>230</v>
      </c>
      <c r="B332" s="2" t="s">
        <v>231</v>
      </c>
      <c r="C332" s="2"/>
      <c r="D332" s="2" t="s">
        <v>15</v>
      </c>
      <c r="E332" s="4" t="str">
        <f>IF(ISERROR("FRSTHM17"),"",HYPERLINK("#INDEX('Value Lookup'!A:A,MATCH(A" &amp; ROW() &amp; ",'Value Lookup'!A:A,0))","Value Lookup"))</f>
        <v>Value Lookup</v>
      </c>
      <c r="F332" s="4" t="str">
        <f>IF(ISERROR("FRSTHM17"),"",HYPERLINK("#INDEX('Frequencies'!A:A,MATCH(A" &amp; ROW() &amp; ",'Frequencies'!A:A,0))","Frequencies"))</f>
        <v>Frequencies</v>
      </c>
      <c r="G332" s="2"/>
      <c r="H332" s="2">
        <v>188</v>
      </c>
      <c r="I332" s="2"/>
      <c r="J332" s="2"/>
      <c r="K332" s="2"/>
      <c r="L332" s="2"/>
    </row>
    <row r="333" spans="1:12" ht="50.1" customHeight="1" x14ac:dyDescent="0.25">
      <c r="A333" s="3" t="s">
        <v>143</v>
      </c>
      <c r="B333" s="2" t="s">
        <v>144</v>
      </c>
      <c r="C333" s="2"/>
      <c r="D333" s="2" t="s">
        <v>41</v>
      </c>
      <c r="E333" s="2" t="str">
        <f>IF(ISERROR("CNTTDTR"),"","NA")</f>
        <v>NA</v>
      </c>
      <c r="F333" s="4" t="str">
        <f>IF(ISERROR("CNTTDTR"),"",HYPERLINK("#INDEX('Frequencies'!A:A,MATCH(A" &amp; ROW() &amp; ",'Frequencies'!A:A,0))","Frequencies"))</f>
        <v>Frequencies</v>
      </c>
      <c r="G333" s="2"/>
      <c r="H333" s="2">
        <v>189</v>
      </c>
      <c r="I333" s="2"/>
      <c r="J333" s="2"/>
      <c r="K333" s="2"/>
      <c r="L333" s="2"/>
    </row>
    <row r="334" spans="1:12" ht="50.1" customHeight="1" x14ac:dyDescent="0.25">
      <c r="A334" s="3" t="s">
        <v>244</v>
      </c>
      <c r="B334" s="2" t="s">
        <v>245</v>
      </c>
      <c r="C334" s="2"/>
      <c r="D334" s="2" t="s">
        <v>41</v>
      </c>
      <c r="E334" s="4" t="str">
        <f>IF(ISERROR("GCDWORK"),"",HYPERLINK("#INDEX('Value Lookup'!A:A,MATCH(A" &amp; ROW() &amp; ",'Value Lookup'!A:A,0))","Value Lookup"))</f>
        <v>Value Lookup</v>
      </c>
      <c r="F334" s="4" t="str">
        <f>IF(ISERROR("GCDWORK"),"",HYPERLINK("#INDEX('Frequencies'!A:A,MATCH(A" &amp; ROW() &amp; ",'Frequencies'!A:A,0))","Frequencies"))</f>
        <v>Frequencies</v>
      </c>
      <c r="G334" s="2"/>
      <c r="H334" s="2">
        <v>190</v>
      </c>
      <c r="I334" s="2"/>
      <c r="J334" s="2"/>
      <c r="K334" s="2"/>
      <c r="L334" s="2"/>
    </row>
    <row r="335" spans="1:12" ht="50.1" customHeight="1" x14ac:dyDescent="0.25">
      <c r="A335" s="3" t="s">
        <v>1030</v>
      </c>
      <c r="B335" s="2" t="s">
        <v>1031</v>
      </c>
      <c r="C335" s="2"/>
      <c r="D335" s="2" t="s">
        <v>15</v>
      </c>
      <c r="E335" s="4" t="str">
        <f>IF(ISERROR("WKSTFIPS"),"",HYPERLINK("#INDEX('Value Lookup'!A:A,MATCH(A" &amp; ROW() &amp; ",'Value Lookup'!A:A,0))","Value Lookup"))</f>
        <v>Value Lookup</v>
      </c>
      <c r="F335" s="4" t="str">
        <f>IF(ISERROR("WKSTFIPS"),"",HYPERLINK("#INDEX('Frequencies'!A:A,MATCH(A" &amp; ROW() &amp; ",'Frequencies'!A:A,0))","Frequencies"))</f>
        <v>Frequencies</v>
      </c>
      <c r="G335" s="2"/>
      <c r="H335" s="2">
        <v>191</v>
      </c>
      <c r="I335" s="2"/>
      <c r="J335" s="2"/>
      <c r="K335" s="2"/>
      <c r="L335" s="2"/>
    </row>
    <row r="336" spans="1:12" ht="50.1" customHeight="1" x14ac:dyDescent="0.25">
      <c r="A336" s="3" t="s">
        <v>42</v>
      </c>
      <c r="B336" s="2" t="s">
        <v>43</v>
      </c>
      <c r="C336" s="2"/>
      <c r="D336" s="2" t="s">
        <v>15</v>
      </c>
      <c r="E336" s="4" t="str">
        <f>IF(ISERROR("AWAYHOME"),"",HYPERLINK("#INDEX('Value Lookup'!A:A,MATCH(A" &amp; ROW() &amp; ",'Value Lookup'!A:A,0))","Value Lookup"))</f>
        <v>Value Lookup</v>
      </c>
      <c r="F336" s="4" t="str">
        <f>IF(ISERROR("AWAYHOME"),"",HYPERLINK("#INDEX('Frequencies'!A:A,MATCH(A" &amp; ROW() &amp; ",'Frequencies'!A:A,0))","Frequencies"))</f>
        <v>Frequencies</v>
      </c>
      <c r="G336" s="2"/>
      <c r="H336" s="2">
        <v>192</v>
      </c>
      <c r="I336" s="2"/>
      <c r="J336" s="2"/>
      <c r="K336" s="2"/>
      <c r="L336" s="2"/>
    </row>
    <row r="337" spans="1:12" ht="50.1" customHeight="1" x14ac:dyDescent="0.25">
      <c r="A337" s="3" t="s">
        <v>44</v>
      </c>
      <c r="B337" s="2" t="s">
        <v>45</v>
      </c>
      <c r="C337" s="2"/>
      <c r="D337" s="2" t="s">
        <v>15</v>
      </c>
      <c r="E337" s="4" t="str">
        <f>IF(ISERROR("AWAYHOME17"),"",HYPERLINK("#INDEX('Value Lookup'!A:A,MATCH(A" &amp; ROW() &amp; ",'Value Lookup'!A:A,0))","Value Lookup"))</f>
        <v>Value Lookup</v>
      </c>
      <c r="F337" s="4" t="str">
        <f>IF(ISERROR("AWAYHOME17"),"",HYPERLINK("#INDEX('Frequencies'!A:A,MATCH(A" &amp; ROW() &amp; ",'Frequencies'!A:A,0))","Frequencies"))</f>
        <v>Frequencies</v>
      </c>
      <c r="G337" s="2"/>
      <c r="H337" s="2">
        <v>193</v>
      </c>
      <c r="I337" s="2"/>
      <c r="J337" s="2"/>
      <c r="K337" s="2"/>
      <c r="L337" s="2"/>
    </row>
    <row r="338" spans="1:12" ht="50.1" customHeight="1" x14ac:dyDescent="0.25">
      <c r="A338" s="3" t="s">
        <v>189</v>
      </c>
      <c r="B338" s="2" t="s">
        <v>190</v>
      </c>
      <c r="C338" s="2"/>
      <c r="D338" s="2" t="s">
        <v>15</v>
      </c>
      <c r="E338" s="4" t="str">
        <f>IF(ISERROR("DRIVER"),"",HYPERLINK("#INDEX('Value Lookup'!A:A,MATCH(A" &amp; ROW() &amp; ",'Value Lookup'!A:A,0))","Value Lookup"))</f>
        <v>Value Lookup</v>
      </c>
      <c r="F338" s="4" t="str">
        <f>IF(ISERROR("DRIVER"),"",HYPERLINK("#INDEX('Frequencies'!A:A,MATCH(A" &amp; ROW() &amp; ",'Frequencies'!A:A,0))","Frequencies"))</f>
        <v>Frequencies</v>
      </c>
      <c r="G338" s="2"/>
      <c r="H338" s="2">
        <v>194</v>
      </c>
      <c r="I338" s="2"/>
      <c r="J338" s="2"/>
      <c r="K338" s="2"/>
      <c r="L338" s="2"/>
    </row>
    <row r="339" spans="1:12" ht="50.1" customHeight="1" x14ac:dyDescent="0.25">
      <c r="A339" s="3" t="s">
        <v>725</v>
      </c>
      <c r="B339" s="2" t="s">
        <v>726</v>
      </c>
      <c r="C339" s="2"/>
      <c r="D339" s="2" t="s">
        <v>15</v>
      </c>
      <c r="E339" s="4" t="str">
        <f>IF(ISERROR("TDDRIVER"),"",HYPERLINK("#INDEX('Value Lookup'!A:A,MATCH(A" &amp; ROW() &amp; ",'Value Lookup'!A:A,0))","Value Lookup"))</f>
        <v>Value Lookup</v>
      </c>
      <c r="F339" s="4" t="str">
        <f>IF(ISERROR("TDDRIVER"),"",HYPERLINK("#INDEX('Frequencies'!A:A,MATCH(A" &amp; ROW() &amp; ",'Frequencies'!A:A,0))","Frequencies"))</f>
        <v>Frequencies</v>
      </c>
      <c r="G339" s="2"/>
      <c r="H339" s="2">
        <v>195</v>
      </c>
      <c r="I339" s="2"/>
      <c r="J339" s="2"/>
      <c r="K339" s="2"/>
      <c r="L339" s="2"/>
    </row>
    <row r="340" spans="1:12" ht="50.1" customHeight="1" x14ac:dyDescent="0.25">
      <c r="A340" s="3" t="s">
        <v>510</v>
      </c>
      <c r="B340" s="2" t="s">
        <v>511</v>
      </c>
      <c r="C340" s="2"/>
      <c r="D340" s="2" t="s">
        <v>15</v>
      </c>
      <c r="E340" s="4" t="str">
        <f>IF(ISERROR("OUTOFTWN"),"",HYPERLINK("#INDEX('Value Lookup'!A:A,MATCH(A" &amp; ROW() &amp; ",'Value Lookup'!A:A,0))","Value Lookup"))</f>
        <v>Value Lookup</v>
      </c>
      <c r="F340" s="4" t="str">
        <f>IF(ISERROR("OUTOFTWN"),"",HYPERLINK("#INDEX('Frequencies'!A:A,MATCH(A" &amp; ROW() &amp; ",'Frequencies'!A:A,0))","Frequencies"))</f>
        <v>Frequencies</v>
      </c>
      <c r="G340" s="2"/>
      <c r="H340" s="2">
        <v>196</v>
      </c>
      <c r="I340" s="2"/>
      <c r="J340" s="2"/>
      <c r="K340" s="2"/>
      <c r="L340" s="2"/>
    </row>
    <row r="341" spans="1:12" ht="50.1" customHeight="1" x14ac:dyDescent="0.25">
      <c r="A341" s="3" t="s">
        <v>187</v>
      </c>
      <c r="B341" s="2" t="s">
        <v>188</v>
      </c>
      <c r="C341" s="2"/>
      <c r="D341" s="2" t="s">
        <v>41</v>
      </c>
      <c r="E341" s="4" t="str">
        <f>IF(ISERROR("DISTTOWK17"),"",HYPERLINK("#INDEX('Value Lookup'!A:A,MATCH(A" &amp; ROW() &amp; ",'Value Lookup'!A:A,0))","Value Lookup"))</f>
        <v>Value Lookup</v>
      </c>
      <c r="F341" s="4" t="str">
        <f>IF(ISERROR("DISTTOWK17"),"",HYPERLINK("#INDEX('Frequencies'!A:A,MATCH(A" &amp; ROW() &amp; ",'Frequencies'!A:A,0))","Frequencies"))</f>
        <v>Frequencies</v>
      </c>
      <c r="G341" s="2"/>
      <c r="H341" s="2">
        <v>197</v>
      </c>
      <c r="I341" s="2"/>
      <c r="J341" s="2"/>
      <c r="K341" s="2"/>
      <c r="L341" s="2"/>
    </row>
    <row r="342" spans="1:12" ht="50.1" customHeight="1" x14ac:dyDescent="0.25">
      <c r="A342" s="3" t="s">
        <v>185</v>
      </c>
      <c r="B342" s="2" t="s">
        <v>186</v>
      </c>
      <c r="C342" s="2"/>
      <c r="D342" s="2" t="s">
        <v>41</v>
      </c>
      <c r="E342" s="4" t="str">
        <f>IF(ISERROR("DISTTOSC17"),"",HYPERLINK("#INDEX('Value Lookup'!A:A,MATCH(A" &amp; ROW() &amp; ",'Value Lookup'!A:A,0))","Value Lookup"))</f>
        <v>Value Lookup</v>
      </c>
      <c r="F342" s="4" t="str">
        <f>IF(ISERROR("DISTTOSC17"),"",HYPERLINK("#INDEX('Frequencies'!A:A,MATCH(A" &amp; ROW() &amp; ",'Frequencies'!A:A,0))","Frequencies"))</f>
        <v>Frequencies</v>
      </c>
      <c r="G342" s="2"/>
      <c r="H342" s="2">
        <v>198</v>
      </c>
      <c r="I342" s="2"/>
      <c r="J342" s="2"/>
      <c r="K342" s="2"/>
      <c r="L342" s="2"/>
    </row>
    <row r="343" spans="1:12" ht="50.1" customHeight="1" x14ac:dyDescent="0.25">
      <c r="A343" s="3" t="s">
        <v>657</v>
      </c>
      <c r="B343" s="2" t="s">
        <v>641</v>
      </c>
      <c r="C343" s="2"/>
      <c r="D343" s="2" t="s">
        <v>15</v>
      </c>
      <c r="E343" s="4" t="str">
        <f>IF(ISERROR("R_RETMODE"),"",HYPERLINK("#INDEX('Value Lookup'!A:A,MATCH(A" &amp; ROW() &amp; ",'Value Lookup'!A:A,0))","Value Lookup"))</f>
        <v>Value Lookup</v>
      </c>
      <c r="F343" s="4" t="str">
        <f>IF(ISERROR("R_RETMODE"),"",HYPERLINK("#INDEX('Frequencies'!A:A,MATCH(A" &amp; ROW() &amp; ",'Frequencies'!A:A,0))","Frequencies"))</f>
        <v>Frequencies</v>
      </c>
      <c r="G343" s="2"/>
      <c r="H343" s="2">
        <v>199</v>
      </c>
      <c r="I343" s="2"/>
      <c r="J343" s="2"/>
      <c r="K343" s="2"/>
      <c r="L343" s="2"/>
    </row>
    <row r="344" spans="1:12" ht="50.1" customHeight="1" x14ac:dyDescent="0.25">
      <c r="A344" s="3" t="s">
        <v>617</v>
      </c>
      <c r="B344" s="2" t="s">
        <v>618</v>
      </c>
      <c r="C344" s="2"/>
      <c r="D344" s="2" t="s">
        <v>41</v>
      </c>
      <c r="E344" s="2" t="str">
        <f>IF(ISERROR("R_AGE_IMP"),"","NA")</f>
        <v>NA</v>
      </c>
      <c r="F344" s="4" t="str">
        <f>IF(ISERROR("R_AGE_IMP"),"",HYPERLINK("#INDEX('Frequencies'!A:A,MATCH(A" &amp; ROW() &amp; ",'Frequencies'!A:A,0))","Frequencies"))</f>
        <v>Frequencies</v>
      </c>
      <c r="G344" s="2"/>
      <c r="H344" s="2">
        <v>200</v>
      </c>
      <c r="I344" s="2"/>
      <c r="J344" s="2"/>
      <c r="K344" s="2"/>
      <c r="L344" s="2"/>
    </row>
    <row r="345" spans="1:12" ht="50.1" customHeight="1" x14ac:dyDescent="0.25">
      <c r="A345" s="3" t="s">
        <v>661</v>
      </c>
      <c r="B345" s="2" t="s">
        <v>662</v>
      </c>
      <c r="C345" s="2"/>
      <c r="D345" s="2" t="s">
        <v>15</v>
      </c>
      <c r="E345" s="2" t="str">
        <f>IF(ISERROR("R_SEX_IMP"),"","NA")</f>
        <v>NA</v>
      </c>
      <c r="F345" s="4" t="str">
        <f>IF(ISERROR("R_SEX_IMP"),"",HYPERLINK("#INDEX('Frequencies'!A:A,MATCH(A" &amp; ROW() &amp; ",'Frequencies'!A:A,0))","Frequencies"))</f>
        <v>Frequencies</v>
      </c>
      <c r="G345" s="2"/>
      <c r="H345" s="2">
        <v>201</v>
      </c>
      <c r="I345" s="2"/>
      <c r="J345" s="2"/>
      <c r="K345" s="2"/>
      <c r="L345" s="2"/>
    </row>
    <row r="346" spans="1:12" ht="50.1" customHeight="1" x14ac:dyDescent="0.25">
      <c r="A346" s="3" t="s">
        <v>645</v>
      </c>
      <c r="B346" s="2" t="s">
        <v>646</v>
      </c>
      <c r="C346" s="2"/>
      <c r="D346" s="2" t="s">
        <v>15</v>
      </c>
      <c r="E346" s="2" t="str">
        <f>IF(ISERROR("R_HISP_IMP"),"","NA")</f>
        <v>NA</v>
      </c>
      <c r="F346" s="4" t="str">
        <f>IF(ISERROR("R_HISP_IMP"),"",HYPERLINK("#INDEX('Frequencies'!A:A,MATCH(A" &amp; ROW() &amp; ",'Frequencies'!A:A,0))","Frequencies"))</f>
        <v>Frequencies</v>
      </c>
      <c r="G346" s="2"/>
      <c r="H346" s="2">
        <v>202</v>
      </c>
      <c r="I346" s="2"/>
      <c r="J346" s="2"/>
      <c r="K346" s="2"/>
      <c r="L346" s="2"/>
    </row>
    <row r="347" spans="1:12" ht="50.1" customHeight="1" x14ac:dyDescent="0.25">
      <c r="A347" s="3" t="s">
        <v>652</v>
      </c>
      <c r="B347" s="2" t="s">
        <v>653</v>
      </c>
      <c r="C347" s="2"/>
      <c r="D347" s="2" t="s">
        <v>15</v>
      </c>
      <c r="E347" s="2" t="str">
        <f>IF(ISERROR("R_RACE_IMP"),"","NA")</f>
        <v>NA</v>
      </c>
      <c r="F347" s="4" t="str">
        <f>IF(ISERROR("R_RACE_IMP"),"",HYPERLINK("#INDEX('Frequencies'!A:A,MATCH(A" &amp; ROW() &amp; ",'Frequencies'!A:A,0))","Frequencies"))</f>
        <v>Frequencies</v>
      </c>
      <c r="G347" s="2"/>
      <c r="H347" s="2">
        <v>203</v>
      </c>
      <c r="I347" s="2"/>
      <c r="J347" s="2"/>
      <c r="K347" s="2"/>
      <c r="L347" s="2"/>
    </row>
    <row r="348" spans="1:12" ht="50.1" customHeight="1" x14ac:dyDescent="0.25">
      <c r="A348" s="3" t="s">
        <v>1038</v>
      </c>
      <c r="B348" s="2" t="s">
        <v>1039</v>
      </c>
      <c r="C348" s="2"/>
      <c r="D348" s="2" t="s">
        <v>15</v>
      </c>
      <c r="E348" s="2" t="str">
        <f>IF(ISERROR("WORKER_IMP"),"","NA")</f>
        <v>NA</v>
      </c>
      <c r="F348" s="4" t="str">
        <f>IF(ISERROR("WORKER_IMP"),"",HYPERLINK("#INDEX('Frequencies'!A:A,MATCH(A" &amp; ROW() &amp; ",'Frequencies'!A:A,0))","Frequencies"))</f>
        <v>Frequencies</v>
      </c>
      <c r="G348" s="2"/>
      <c r="H348" s="2">
        <v>204</v>
      </c>
      <c r="I348" s="2"/>
      <c r="J348" s="2"/>
      <c r="K348" s="2"/>
      <c r="L348" s="2"/>
    </row>
    <row r="349" spans="1:12" ht="50.1" customHeight="1" x14ac:dyDescent="0.25">
      <c r="A349" s="3" t="s">
        <v>719</v>
      </c>
      <c r="B349" s="2" t="s">
        <v>720</v>
      </c>
      <c r="C349" s="2"/>
      <c r="D349" s="2" t="s">
        <v>15</v>
      </c>
      <c r="E349" s="2" t="str">
        <f>IF(ISERROR("TDAYDAT2"),"","NA")</f>
        <v>NA</v>
      </c>
      <c r="F349" s="4" t="str">
        <f>IF(ISERROR("TDAYDAT2"),"",HYPERLINK("#INDEX('Frequencies'!A:A,MATCH(A" &amp; ROW() &amp; ",'Frequencies'!A:A,0))","Frequencies"))</f>
        <v>Frequencies</v>
      </c>
      <c r="G349" s="2">
        <v>2</v>
      </c>
      <c r="H349" s="2"/>
      <c r="I349" s="2"/>
      <c r="J349" s="2"/>
      <c r="K349" s="2"/>
      <c r="L349" s="2"/>
    </row>
    <row r="350" spans="1:12" ht="50.1" customHeight="1" x14ac:dyDescent="0.25">
      <c r="A350" s="3" t="s">
        <v>183</v>
      </c>
      <c r="B350" s="2" t="s">
        <v>184</v>
      </c>
      <c r="C350" s="2"/>
      <c r="D350" s="2" t="s">
        <v>41</v>
      </c>
      <c r="E350" s="2" t="str">
        <f>IF(ISERROR("DIFFDATE"),"","NA")</f>
        <v>NA</v>
      </c>
      <c r="F350" s="4" t="str">
        <f>IF(ISERROR("DIFFDATE"),"",HYPERLINK("#INDEX('Frequencies'!A:A,MATCH(A" &amp; ROW() &amp; ",'Frequencies'!A:A,0))","Frequencies"))</f>
        <v>Frequencies</v>
      </c>
      <c r="G350" s="2">
        <v>3</v>
      </c>
      <c r="H350" s="2"/>
      <c r="I350" s="2"/>
      <c r="J350" s="2"/>
      <c r="K350" s="2"/>
      <c r="L350" s="2"/>
    </row>
    <row r="351" spans="1:12" ht="50.1" customHeight="1" x14ac:dyDescent="0.25">
      <c r="A351" s="3" t="s">
        <v>791</v>
      </c>
      <c r="B351" s="2" t="s">
        <v>792</v>
      </c>
      <c r="C351" s="2"/>
      <c r="D351" s="2" t="s">
        <v>15</v>
      </c>
      <c r="E351" s="4" t="str">
        <f>IF(ISERROR("TRAVDAY"),"",HYPERLINK("#INDEX('Value Lookup'!A:A,MATCH(A" &amp; ROW() &amp; ",'Value Lookup'!A:A,0))","Value Lookup"))</f>
        <v>Value Lookup</v>
      </c>
      <c r="F351" s="4" t="str">
        <f>IF(ISERROR("TRAVDAY"),"",HYPERLINK("#INDEX('Frequencies'!A:A,MATCH(A" &amp; ROW() &amp; ",'Frequencies'!A:A,0))","Frequencies"))</f>
        <v>Frequencies</v>
      </c>
      <c r="G351" s="2">
        <v>4</v>
      </c>
      <c r="H351" s="2"/>
      <c r="I351" s="2"/>
      <c r="J351" s="2"/>
      <c r="K351" s="2"/>
      <c r="L351" s="2"/>
    </row>
    <row r="352" spans="1:12" ht="50.1" customHeight="1" x14ac:dyDescent="0.25">
      <c r="A352" s="3" t="s">
        <v>734</v>
      </c>
      <c r="B352" s="2" t="s">
        <v>735</v>
      </c>
      <c r="C352" s="2"/>
      <c r="D352" s="2" t="s">
        <v>15</v>
      </c>
      <c r="E352" s="2" t="str">
        <f>IF(ISERROR("TIMEZONE"),"","NA")</f>
        <v>NA</v>
      </c>
      <c r="F352" s="4" t="str">
        <f>IF(ISERROR("TIMEZONE"),"",HYPERLINK("#INDEX('Frequencies'!A:A,MATCH(A" &amp; ROW() &amp; ",'Frequencies'!A:A,0))","Frequencies"))</f>
        <v>Frequencies</v>
      </c>
      <c r="G352" s="2">
        <v>5</v>
      </c>
      <c r="H352" s="2"/>
      <c r="I352" s="2"/>
      <c r="J352" s="2"/>
      <c r="K352" s="2"/>
      <c r="L352" s="2"/>
    </row>
    <row r="353" spans="1:12" ht="50.1" customHeight="1" x14ac:dyDescent="0.25">
      <c r="A353" s="3" t="s">
        <v>381</v>
      </c>
      <c r="B353" s="2" t="s">
        <v>382</v>
      </c>
      <c r="C353" s="2" t="s">
        <v>383</v>
      </c>
      <c r="D353" s="2" t="s">
        <v>15</v>
      </c>
      <c r="E353" s="4" t="str">
        <f>IF(ISERROR("LANG"),"",HYPERLINK("#INDEX('Value Lookup'!A:A,MATCH(A" &amp; ROW() &amp; ",'Value Lookup'!A:A,0))","Value Lookup"))</f>
        <v>Value Lookup</v>
      </c>
      <c r="F353" s="4" t="str">
        <f>IF(ISERROR("LANG"),"",HYPERLINK("#INDEX('Frequencies'!A:A,MATCH(A" &amp; ROW() &amp; ",'Frequencies'!A:A,0))","Frequencies"))</f>
        <v>Frequencies</v>
      </c>
      <c r="G353" s="2">
        <v>6</v>
      </c>
      <c r="H353" s="2"/>
      <c r="I353" s="2"/>
      <c r="J353" s="2"/>
      <c r="K353" s="2"/>
      <c r="L353" s="2"/>
    </row>
    <row r="354" spans="1:12" ht="50.1" customHeight="1" x14ac:dyDescent="0.25">
      <c r="A354" s="3" t="s">
        <v>668</v>
      </c>
      <c r="B354" s="2" t="s">
        <v>669</v>
      </c>
      <c r="C354" s="2"/>
      <c r="D354" s="2" t="s">
        <v>15</v>
      </c>
      <c r="E354" s="4" t="str">
        <f>IF(ISERROR("SAMPAREA"),"",HYPERLINK("#INDEX('Value Lookup'!A:A,MATCH(A" &amp; ROW() &amp; ",'Value Lookup'!A:A,0))","Value Lookup"))</f>
        <v>Value Lookup</v>
      </c>
      <c r="F354" s="4" t="str">
        <f>IF(ISERROR("SAMPAREA"),"",HYPERLINK("#INDEX('Frequencies'!A:A,MATCH(A" &amp; ROW() &amp; ",'Frequencies'!A:A,0))","Frequencies"))</f>
        <v>Frequencies</v>
      </c>
      <c r="G354" s="2">
        <v>7</v>
      </c>
      <c r="H354" s="2"/>
      <c r="I354" s="2"/>
      <c r="J354" s="2"/>
      <c r="K354" s="2"/>
      <c r="L354" s="2"/>
    </row>
    <row r="355" spans="1:12" ht="50.1" customHeight="1" x14ac:dyDescent="0.25">
      <c r="A355" s="3" t="s">
        <v>670</v>
      </c>
      <c r="B355" s="2" t="s">
        <v>671</v>
      </c>
      <c r="C355" s="2"/>
      <c r="D355" s="2" t="s">
        <v>15</v>
      </c>
      <c r="E355" s="4" t="str">
        <f>IF(ISERROR("SAMPSTRAT"),"",HYPERLINK("#INDEX('Value Lookup'!A:A,MATCH(A" &amp; ROW() &amp; ",'Value Lookup'!A:A,0))","Value Lookup"))</f>
        <v>Value Lookup</v>
      </c>
      <c r="F355" s="4" t="str">
        <f>IF(ISERROR("SAMPSTRAT"),"",HYPERLINK("#INDEX('Frequencies'!A:A,MATCH(A" &amp; ROW() &amp; ",'Frequencies'!A:A,0))","Frequencies"))</f>
        <v>Frequencies</v>
      </c>
      <c r="G355" s="2">
        <v>8</v>
      </c>
      <c r="H355" s="2"/>
      <c r="I355" s="2"/>
      <c r="J355" s="2"/>
      <c r="K355" s="2"/>
      <c r="L355" s="2"/>
    </row>
    <row r="356" spans="1:12" ht="50.1" customHeight="1" x14ac:dyDescent="0.25">
      <c r="A356" s="3" t="s">
        <v>636</v>
      </c>
      <c r="B356" s="2" t="s">
        <v>637</v>
      </c>
      <c r="C356" s="2"/>
      <c r="D356" s="2" t="s">
        <v>15</v>
      </c>
      <c r="E356" s="4" t="str">
        <f>IF(ISERROR("RECMODE"),"",HYPERLINK("#INDEX('Value Lookup'!A:A,MATCH(A" &amp; ROW() &amp; ",'Value Lookup'!A:A,0))","Value Lookup"))</f>
        <v>Value Lookup</v>
      </c>
      <c r="F356" s="4" t="str">
        <f>IF(ISERROR("RECMODE"),"",HYPERLINK("#INDEX('Frequencies'!A:A,MATCH(A" &amp; ROW() &amp; ",'Frequencies'!A:A,0))","Frequencies"))</f>
        <v>Frequencies</v>
      </c>
      <c r="G356" s="2">
        <v>9</v>
      </c>
      <c r="H356" s="2"/>
      <c r="I356" s="2"/>
      <c r="J356" s="2"/>
      <c r="K356" s="2"/>
      <c r="L356" s="2"/>
    </row>
    <row r="357" spans="1:12" ht="50.1" customHeight="1" x14ac:dyDescent="0.25">
      <c r="A357" s="3" t="s">
        <v>640</v>
      </c>
      <c r="B357" s="2" t="s">
        <v>641</v>
      </c>
      <c r="C357" s="2"/>
      <c r="D357" s="2" t="s">
        <v>15</v>
      </c>
      <c r="E357" s="4" t="str">
        <f>IF(ISERROR("RETMODE"),"",HYPERLINK("#INDEX('Value Lookup'!A:A,MATCH(A" &amp; ROW() &amp; ",'Value Lookup'!A:A,0))","Value Lookup"))</f>
        <v>Value Lookup</v>
      </c>
      <c r="F357" s="4" t="str">
        <f>IF(ISERROR("RETMODE"),"",HYPERLINK("#INDEX('Frequencies'!A:A,MATCH(A" &amp; ROW() &amp; ",'Frequencies'!A:A,0))","Frequencies"))</f>
        <v>Frequencies</v>
      </c>
      <c r="G357" s="2">
        <v>10</v>
      </c>
      <c r="H357" s="2"/>
      <c r="I357" s="2"/>
      <c r="J357" s="2"/>
      <c r="K357" s="2"/>
      <c r="L357" s="2"/>
    </row>
    <row r="358" spans="1:12" ht="50.1" customHeight="1" x14ac:dyDescent="0.25">
      <c r="A358" s="3" t="s">
        <v>341</v>
      </c>
      <c r="B358" s="2" t="s">
        <v>342</v>
      </c>
      <c r="C358" s="2" t="s">
        <v>343</v>
      </c>
      <c r="D358" s="2" t="s">
        <v>15</v>
      </c>
      <c r="E358" s="4" t="str">
        <f>IF(ISERROR("HOMEOWN"),"",HYPERLINK("#INDEX('Value Lookup'!A:A,MATCH(A" &amp; ROW() &amp; ",'Value Lookup'!A:A,0))","Value Lookup"))</f>
        <v>Value Lookup</v>
      </c>
      <c r="F358" s="4" t="str">
        <f>IF(ISERROR("HOMEOWN"),"",HYPERLINK("#INDEX('Frequencies'!A:A,MATCH(A" &amp; ROW() &amp; ",'Frequencies'!A:A,0))","Frequencies"))</f>
        <v>Frequencies</v>
      </c>
      <c r="G358" s="2">
        <v>11</v>
      </c>
      <c r="H358" s="2"/>
      <c r="I358" s="2"/>
      <c r="J358" s="2"/>
      <c r="K358" s="2"/>
      <c r="L358" s="2"/>
    </row>
    <row r="359" spans="1:12" ht="50.1" customHeight="1" x14ac:dyDescent="0.25">
      <c r="A359" s="3" t="s">
        <v>346</v>
      </c>
      <c r="B359" s="2" t="s">
        <v>347</v>
      </c>
      <c r="C359" s="2" t="s">
        <v>348</v>
      </c>
      <c r="D359" s="2" t="s">
        <v>15</v>
      </c>
      <c r="E359" s="4" t="str">
        <f>IF(ISERROR("HOMEOWOS"),"",HYPERLINK("#INDEX('Value Lookup'!A:A,MATCH(A" &amp; ROW() &amp; ",'Value Lookup'!A:A,0))","Value Lookup"))</f>
        <v>Value Lookup</v>
      </c>
      <c r="F359" s="4" t="str">
        <f>IF(ISERROR("HOMEOWOS"),"",HYPERLINK("#INDEX('Frequencies'!A:A,MATCH(A" &amp; ROW() &amp; ",'Frequencies'!A:A,0))","Frequencies"))</f>
        <v>Frequencies</v>
      </c>
      <c r="G359" s="2">
        <v>12</v>
      </c>
      <c r="H359" s="2"/>
      <c r="I359" s="2"/>
      <c r="J359" s="2"/>
      <c r="K359" s="2"/>
      <c r="L359" s="2"/>
    </row>
    <row r="360" spans="1:12" ht="50.1" customHeight="1" x14ac:dyDescent="0.25">
      <c r="A360" s="3" t="s">
        <v>288</v>
      </c>
      <c r="B360" s="2" t="s">
        <v>289</v>
      </c>
      <c r="C360" s="2" t="s">
        <v>290</v>
      </c>
      <c r="D360" s="2" t="s">
        <v>41</v>
      </c>
      <c r="E360" s="2" t="str">
        <f>IF(ISERROR("HHSIZE"),"","Range: 1 - 15")</f>
        <v>Range: 1 - 15</v>
      </c>
      <c r="F360" s="4" t="str">
        <f>IF(ISERROR("HHSIZE"),"",HYPERLINK("#INDEX('Frequencies'!A:A,MATCH(A" &amp; ROW() &amp; ",'Frequencies'!A:A,0))","Frequencies"))</f>
        <v>Frequencies</v>
      </c>
      <c r="G360" s="2">
        <v>13</v>
      </c>
      <c r="H360" s="2"/>
      <c r="I360" s="2"/>
      <c r="J360" s="2"/>
      <c r="K360" s="2"/>
      <c r="L360" s="2"/>
    </row>
    <row r="361" spans="1:12" ht="50.1" customHeight="1" x14ac:dyDescent="0.25">
      <c r="A361" s="3" t="s">
        <v>295</v>
      </c>
      <c r="B361" s="2" t="s">
        <v>296</v>
      </c>
      <c r="C361" s="2" t="s">
        <v>297</v>
      </c>
      <c r="D361" s="2" t="s">
        <v>41</v>
      </c>
      <c r="E361" s="2" t="str">
        <f>IF(ISERROR("HHVEHCNT"),"","Range: 0 - 12")</f>
        <v>Range: 0 - 12</v>
      </c>
      <c r="F361" s="4" t="str">
        <f>IF(ISERROR("HHVEHCNT"),"",HYPERLINK("#INDEX('Frequencies'!A:A,MATCH(A" &amp; ROW() &amp; ",'Frequencies'!A:A,0))","Frequencies"))</f>
        <v>Frequencies</v>
      </c>
      <c r="G361" s="2">
        <v>14</v>
      </c>
      <c r="H361" s="2"/>
      <c r="I361" s="2"/>
      <c r="J361" s="2"/>
      <c r="K361" s="2"/>
      <c r="L361" s="2"/>
    </row>
    <row r="362" spans="1:12" ht="50.1" customHeight="1" x14ac:dyDescent="0.25">
      <c r="A362" s="3" t="s">
        <v>272</v>
      </c>
      <c r="B362" s="2" t="s">
        <v>273</v>
      </c>
      <c r="C362" s="2" t="s">
        <v>274</v>
      </c>
      <c r="D362" s="2" t="s">
        <v>15</v>
      </c>
      <c r="E362" s="4" t="str">
        <f>IF(ISERROR("HHFAMINC"),"",HYPERLINK("#INDEX('Value Lookup'!A:A,MATCH(A" &amp; ROW() &amp; ",'Value Lookup'!A:A,0))","Value Lookup"))</f>
        <v>Value Lookup</v>
      </c>
      <c r="F362" s="4" t="str">
        <f>IF(ISERROR("HHFAMINC"),"",HYPERLINK("#INDEX('Frequencies'!A:A,MATCH(A" &amp; ROW() &amp; ",'Frequencies'!A:A,0))","Frequencies"))</f>
        <v>Frequencies</v>
      </c>
      <c r="G362" s="2">
        <v>15</v>
      </c>
      <c r="H362" s="2"/>
      <c r="I362" s="2"/>
      <c r="J362" s="2"/>
      <c r="K362" s="2"/>
      <c r="L362" s="2"/>
    </row>
    <row r="363" spans="1:12" ht="50.1" customHeight="1" x14ac:dyDescent="0.25">
      <c r="A363" s="3" t="s">
        <v>378</v>
      </c>
      <c r="B363" s="2" t="s">
        <v>379</v>
      </c>
      <c r="C363" s="2" t="s">
        <v>380</v>
      </c>
      <c r="D363" s="2" t="s">
        <v>15</v>
      </c>
      <c r="E363" s="4" t="str">
        <f>IF(ISERROR("LANDLINE"),"",HYPERLINK("#INDEX('Value Lookup'!A:A,MATCH(A" &amp; ROW() &amp; ",'Value Lookup'!A:A,0))","Value Lookup"))</f>
        <v>Value Lookup</v>
      </c>
      <c r="F363" s="4" t="str">
        <f>IF(ISERROR("LANDLINE"),"",HYPERLINK("#INDEX('Frequencies'!A:A,MATCH(A" &amp; ROW() &amp; ",'Frequencies'!A:A,0))","Frequencies"))</f>
        <v>Frequencies</v>
      </c>
      <c r="G363" s="2">
        <v>16</v>
      </c>
      <c r="H363" s="2"/>
      <c r="I363" s="2"/>
      <c r="J363" s="2"/>
      <c r="K363" s="2"/>
      <c r="L363" s="2"/>
    </row>
    <row r="364" spans="1:12" ht="50.1" customHeight="1" x14ac:dyDescent="0.25">
      <c r="A364" s="3" t="s">
        <v>518</v>
      </c>
      <c r="B364" s="2" t="s">
        <v>519</v>
      </c>
      <c r="C364" s="2" t="s">
        <v>520</v>
      </c>
      <c r="D364" s="2" t="s">
        <v>15</v>
      </c>
      <c r="E364" s="4" t="str">
        <f>IF(ISERROR("PC"),"",HYPERLINK("#INDEX('Value Lookup'!A:A,MATCH(A" &amp; ROW() &amp; ",'Value Lookup'!A:A,0))","Value Lookup"))</f>
        <v>Value Lookup</v>
      </c>
      <c r="F364" s="4" t="str">
        <f>IF(ISERROR("PC"),"",HYPERLINK("#INDEX('Frequencies'!A:A,MATCH(A" &amp; ROW() &amp; ",'Frequencies'!A:A,0))","Frequencies"))</f>
        <v>Frequencies</v>
      </c>
      <c r="G364" s="2">
        <v>17</v>
      </c>
      <c r="H364" s="2"/>
      <c r="I364" s="2"/>
      <c r="J364" s="2"/>
      <c r="K364" s="2"/>
      <c r="L364" s="2"/>
    </row>
    <row r="365" spans="1:12" ht="50.1" customHeight="1" x14ac:dyDescent="0.25">
      <c r="A365" s="3" t="s">
        <v>689</v>
      </c>
      <c r="B365" s="2" t="s">
        <v>690</v>
      </c>
      <c r="C365" s="2" t="s">
        <v>691</v>
      </c>
      <c r="D365" s="2" t="s">
        <v>15</v>
      </c>
      <c r="E365" s="4" t="str">
        <f>IF(ISERROR("SPHONE"),"",HYPERLINK("#INDEX('Value Lookup'!A:A,MATCH(A" &amp; ROW() &amp; ",'Value Lookup'!A:A,0))","Value Lookup"))</f>
        <v>Value Lookup</v>
      </c>
      <c r="F365" s="4" t="str">
        <f>IF(ISERROR("SPHONE"),"",HYPERLINK("#INDEX('Frequencies'!A:A,MATCH(A" &amp; ROW() &amp; ",'Frequencies'!A:A,0))","Frequencies"))</f>
        <v>Frequencies</v>
      </c>
      <c r="G365" s="2">
        <v>18</v>
      </c>
      <c r="H365" s="2"/>
      <c r="I365" s="2"/>
      <c r="J365" s="2"/>
      <c r="K365" s="2"/>
      <c r="L365" s="2"/>
    </row>
    <row r="366" spans="1:12" ht="50.1" customHeight="1" x14ac:dyDescent="0.25">
      <c r="A366" s="3" t="s">
        <v>713</v>
      </c>
      <c r="B366" s="2" t="s">
        <v>714</v>
      </c>
      <c r="C366" s="2" t="s">
        <v>715</v>
      </c>
      <c r="D366" s="2" t="s">
        <v>15</v>
      </c>
      <c r="E366" s="4" t="str">
        <f>IF(ISERROR("TAB"),"",HYPERLINK("#INDEX('Value Lookup'!A:A,MATCH(A" &amp; ROW() &amp; ",'Value Lookup'!A:A,0))","Value Lookup"))</f>
        <v>Value Lookup</v>
      </c>
      <c r="F366" s="4" t="str">
        <f>IF(ISERROR("TAB"),"",HYPERLINK("#INDEX('Frequencies'!A:A,MATCH(A" &amp; ROW() &amp; ",'Frequencies'!A:A,0))","Frequencies"))</f>
        <v>Frequencies</v>
      </c>
      <c r="G366" s="2">
        <v>19</v>
      </c>
      <c r="H366" s="2"/>
      <c r="I366" s="2"/>
      <c r="J366" s="2"/>
      <c r="K366" s="2"/>
      <c r="L366" s="2"/>
    </row>
    <row r="367" spans="1:12" ht="50.1" customHeight="1" x14ac:dyDescent="0.25">
      <c r="A367" s="3" t="s">
        <v>464</v>
      </c>
      <c r="B367" s="2" t="s">
        <v>465</v>
      </c>
      <c r="C367" s="2" t="s">
        <v>466</v>
      </c>
      <c r="D367" s="2" t="s">
        <v>15</v>
      </c>
      <c r="E367" s="4" t="str">
        <f>IF(ISERROR("ODEVICE"),"",HYPERLINK("#INDEX('Value Lookup'!A:A,MATCH(A" &amp; ROW() &amp; ",'Value Lookup'!A:A,0))","Value Lookup"))</f>
        <v>Value Lookup</v>
      </c>
      <c r="F367" s="4" t="str">
        <f>IF(ISERROR("ODEVICE"),"",HYPERLINK("#INDEX('Frequencies'!A:A,MATCH(A" &amp; ROW() &amp; ",'Frequencies'!A:A,0))","Frequencies"))</f>
        <v>Frequencies</v>
      </c>
      <c r="G367" s="2">
        <v>20</v>
      </c>
      <c r="H367" s="2"/>
      <c r="I367" s="2"/>
      <c r="J367" s="2"/>
      <c r="K367" s="2"/>
      <c r="L367" s="2"/>
    </row>
    <row r="368" spans="1:12" ht="50.1" customHeight="1" x14ac:dyDescent="0.25">
      <c r="A368" s="3" t="s">
        <v>467</v>
      </c>
      <c r="B368" s="2" t="s">
        <v>468</v>
      </c>
      <c r="C368" s="2" t="s">
        <v>418</v>
      </c>
      <c r="D368" s="2" t="s">
        <v>15</v>
      </c>
      <c r="E368" s="4" t="str">
        <f>IF(ISERROR("ODEVICE_O"),"",HYPERLINK("#INDEX('Value Lookup'!A:A,MATCH(A" &amp; ROW() &amp; ",'Value Lookup'!A:A,0))","Value Lookup"))</f>
        <v>Value Lookup</v>
      </c>
      <c r="F368" s="4" t="str">
        <f>IF(ISERROR("ODEVICE_O"),"",HYPERLINK("#INDEX('Frequencies'!A:A,MATCH(A" &amp; ROW() &amp; ",'Frequencies'!A:A,0))","Frequencies"))</f>
        <v>Frequencies</v>
      </c>
      <c r="G368" s="2">
        <v>21</v>
      </c>
      <c r="H368" s="2"/>
      <c r="I368" s="2"/>
      <c r="J368" s="2"/>
      <c r="K368" s="2"/>
      <c r="L368" s="2"/>
    </row>
    <row r="369" spans="1:12" ht="50.1" customHeight="1" x14ac:dyDescent="0.25">
      <c r="A369" s="3" t="s">
        <v>925</v>
      </c>
      <c r="B369" s="2" t="s">
        <v>926</v>
      </c>
      <c r="C369" s="2" t="s">
        <v>927</v>
      </c>
      <c r="D369" s="2" t="s">
        <v>15</v>
      </c>
      <c r="E369" s="4" t="str">
        <f>IF(ISERROR("WALK"),"",HYPERLINK("#INDEX('Value Lookup'!A:A,MATCH(A" &amp; ROW() &amp; ",'Value Lookup'!A:A,0))","Value Lookup"))</f>
        <v>Value Lookup</v>
      </c>
      <c r="F369" s="4" t="str">
        <f>IF(ISERROR("WALK"),"",HYPERLINK("#INDEX('Frequencies'!A:A,MATCH(A" &amp; ROW() &amp; ",'Frequencies'!A:A,0))","Frequencies"))</f>
        <v>Frequencies</v>
      </c>
      <c r="G369" s="2">
        <v>22</v>
      </c>
      <c r="H369" s="2"/>
      <c r="I369" s="2"/>
      <c r="J369" s="2"/>
      <c r="K369" s="2"/>
      <c r="L369" s="2"/>
    </row>
    <row r="370" spans="1:12" ht="50.1" customHeight="1" x14ac:dyDescent="0.25">
      <c r="A370" s="3" t="s">
        <v>46</v>
      </c>
      <c r="B370" s="2" t="s">
        <v>47</v>
      </c>
      <c r="C370" s="2" t="s">
        <v>48</v>
      </c>
      <c r="D370" s="2" t="s">
        <v>15</v>
      </c>
      <c r="E370" s="4" t="str">
        <f>IF(ISERROR("BIKE"),"",HYPERLINK("#INDEX('Value Lookup'!A:A,MATCH(A" &amp; ROW() &amp; ",'Value Lookup'!A:A,0))","Value Lookup"))</f>
        <v>Value Lookup</v>
      </c>
      <c r="F370" s="4" t="str">
        <f>IF(ISERROR("BIKE"),"",HYPERLINK("#INDEX('Frequencies'!A:A,MATCH(A" &amp; ROW() &amp; ",'Frequencies'!A:A,0))","Frequencies"))</f>
        <v>Frequencies</v>
      </c>
      <c r="G370" s="2">
        <v>23</v>
      </c>
      <c r="H370" s="2"/>
      <c r="I370" s="2"/>
      <c r="J370" s="2"/>
      <c r="K370" s="2"/>
      <c r="L370" s="2"/>
    </row>
    <row r="371" spans="1:12" ht="50.1" customHeight="1" x14ac:dyDescent="0.25">
      <c r="A371" s="3" t="s">
        <v>122</v>
      </c>
      <c r="B371" s="2" t="s">
        <v>123</v>
      </c>
      <c r="C371" s="2" t="s">
        <v>124</v>
      </c>
      <c r="D371" s="2" t="s">
        <v>15</v>
      </c>
      <c r="E371" s="4" t="str">
        <f>IF(ISERROR("CAR"),"",HYPERLINK("#INDEX('Value Lookup'!A:A,MATCH(A" &amp; ROW() &amp; ",'Value Lookup'!A:A,0))","Value Lookup"))</f>
        <v>Value Lookup</v>
      </c>
      <c r="F371" s="4" t="str">
        <f>IF(ISERROR("CAR"),"",HYPERLINK("#INDEX('Frequencies'!A:A,MATCH(A" &amp; ROW() &amp; ",'Frequencies'!A:A,0))","Frequencies"))</f>
        <v>Frequencies</v>
      </c>
      <c r="G371" s="2">
        <v>24</v>
      </c>
      <c r="H371" s="2"/>
      <c r="I371" s="2"/>
      <c r="J371" s="2"/>
      <c r="K371" s="2"/>
      <c r="L371" s="2"/>
    </row>
    <row r="372" spans="1:12" ht="50.1" customHeight="1" x14ac:dyDescent="0.25">
      <c r="A372" s="3" t="s">
        <v>716</v>
      </c>
      <c r="B372" s="2" t="s">
        <v>717</v>
      </c>
      <c r="C372" s="2" t="s">
        <v>718</v>
      </c>
      <c r="D372" s="2" t="s">
        <v>15</v>
      </c>
      <c r="E372" s="4" t="str">
        <f>IF(ISERROR("TAXI"),"",HYPERLINK("#INDEX('Value Lookup'!A:A,MATCH(A" &amp; ROW() &amp; ",'Value Lookup'!A:A,0))","Value Lookup"))</f>
        <v>Value Lookup</v>
      </c>
      <c r="F372" s="4" t="str">
        <f>IF(ISERROR("TAXI"),"",HYPERLINK("#INDEX('Frequencies'!A:A,MATCH(A" &amp; ROW() &amp; ",'Frequencies'!A:A,0))","Frequencies"))</f>
        <v>Frequencies</v>
      </c>
      <c r="G372" s="2">
        <v>25</v>
      </c>
      <c r="H372" s="2"/>
      <c r="I372" s="2"/>
      <c r="J372" s="2"/>
      <c r="K372" s="2"/>
      <c r="L372" s="2"/>
    </row>
    <row r="373" spans="1:12" ht="50.1" customHeight="1" x14ac:dyDescent="0.25">
      <c r="A373" s="3" t="s">
        <v>119</v>
      </c>
      <c r="B373" s="2" t="s">
        <v>120</v>
      </c>
      <c r="C373" s="2" t="s">
        <v>121</v>
      </c>
      <c r="D373" s="2" t="s">
        <v>15</v>
      </c>
      <c r="E373" s="4" t="str">
        <f>IF(ISERROR("BUS"),"",HYPERLINK("#INDEX('Value Lookup'!A:A,MATCH(A" &amp; ROW() &amp; ",'Value Lookup'!A:A,0))","Value Lookup"))</f>
        <v>Value Lookup</v>
      </c>
      <c r="F373" s="4" t="str">
        <f>IF(ISERROR("BUS"),"",HYPERLINK("#INDEX('Frequencies'!A:A,MATCH(A" &amp; ROW() &amp; ",'Frequencies'!A:A,0))","Frequencies"))</f>
        <v>Frequencies</v>
      </c>
      <c r="G373" s="2">
        <v>26</v>
      </c>
      <c r="H373" s="2"/>
      <c r="I373" s="2"/>
      <c r="J373" s="2"/>
      <c r="K373" s="2"/>
      <c r="L373" s="2"/>
    </row>
    <row r="374" spans="1:12" ht="50.1" customHeight="1" x14ac:dyDescent="0.25">
      <c r="A374" s="3" t="s">
        <v>788</v>
      </c>
      <c r="B374" s="2" t="s">
        <v>789</v>
      </c>
      <c r="C374" s="2" t="s">
        <v>790</v>
      </c>
      <c r="D374" s="2" t="s">
        <v>15</v>
      </c>
      <c r="E374" s="4" t="str">
        <f>IF(ISERROR("TRAIN"),"",HYPERLINK("#INDEX('Value Lookup'!A:A,MATCH(A" &amp; ROW() &amp; ",'Value Lookup'!A:A,0))","Value Lookup"))</f>
        <v>Value Lookup</v>
      </c>
      <c r="F374" s="4" t="str">
        <f>IF(ISERROR("TRAIN"),"",HYPERLINK("#INDEX('Frequencies'!A:A,MATCH(A" &amp; ROW() &amp; ",'Frequencies'!A:A,0))","Frequencies"))</f>
        <v>Frequencies</v>
      </c>
      <c r="G374" s="2">
        <v>27</v>
      </c>
      <c r="H374" s="2"/>
      <c r="I374" s="2"/>
      <c r="J374" s="2"/>
      <c r="K374" s="2"/>
      <c r="L374" s="2"/>
    </row>
    <row r="375" spans="1:12" ht="50.1" customHeight="1" x14ac:dyDescent="0.25">
      <c r="A375" s="3" t="s">
        <v>512</v>
      </c>
      <c r="B375" s="2" t="s">
        <v>513</v>
      </c>
      <c r="C375" s="2" t="s">
        <v>514</v>
      </c>
      <c r="D375" s="2" t="s">
        <v>15</v>
      </c>
      <c r="E375" s="4" t="str">
        <f>IF(ISERROR("PARA"),"",HYPERLINK("#INDEX('Value Lookup'!A:A,MATCH(A" &amp; ROW() &amp; ",'Value Lookup'!A:A,0))","Value Lookup"))</f>
        <v>Value Lookup</v>
      </c>
      <c r="F375" s="4" t="str">
        <f>IF(ISERROR("PARA"),"",HYPERLINK("#INDEX('Frequencies'!A:A,MATCH(A" &amp; ROW() &amp; ",'Frequencies'!A:A,0))","Frequencies"))</f>
        <v>Frequencies</v>
      </c>
      <c r="G375" s="2">
        <v>28</v>
      </c>
      <c r="H375" s="2"/>
      <c r="I375" s="2"/>
      <c r="J375" s="2"/>
      <c r="K375" s="2"/>
      <c r="L375" s="2"/>
    </row>
    <row r="376" spans="1:12" ht="50.1" customHeight="1" x14ac:dyDescent="0.25">
      <c r="A376" s="3" t="s">
        <v>531</v>
      </c>
      <c r="B376" s="2" t="s">
        <v>532</v>
      </c>
      <c r="C376" s="2" t="s">
        <v>533</v>
      </c>
      <c r="D376" s="2" t="s">
        <v>15</v>
      </c>
      <c r="E376" s="4" t="str">
        <f>IF(ISERROR("PRICE"),"",HYPERLINK("#INDEX('Value Lookup'!A:A,MATCH(A" &amp; ROW() &amp; ",'Value Lookup'!A:A,0))","Value Lookup"))</f>
        <v>Value Lookup</v>
      </c>
      <c r="F376" s="4" t="str">
        <f>IF(ISERROR("PRICE"),"",HYPERLINK("#INDEX('Frequencies'!A:A,MATCH(A" &amp; ROW() &amp; ",'Frequencies'!A:A,0))","Frequencies"))</f>
        <v>Frequencies</v>
      </c>
      <c r="G376" s="2">
        <v>29</v>
      </c>
      <c r="H376" s="2"/>
      <c r="I376" s="2"/>
      <c r="J376" s="2"/>
      <c r="K376" s="2"/>
      <c r="L376" s="2"/>
    </row>
    <row r="377" spans="1:12" ht="50.1" customHeight="1" x14ac:dyDescent="0.25">
      <c r="A377" s="3" t="s">
        <v>528</v>
      </c>
      <c r="B377" s="2" t="s">
        <v>529</v>
      </c>
      <c r="C377" s="2" t="s">
        <v>530</v>
      </c>
      <c r="D377" s="2" t="s">
        <v>15</v>
      </c>
      <c r="E377" s="4" t="str">
        <f>IF(ISERROR("PLACE"),"",HYPERLINK("#INDEX('Value Lookup'!A:A,MATCH(A" &amp; ROW() &amp; ",'Value Lookup'!A:A,0))","Value Lookup"))</f>
        <v>Value Lookup</v>
      </c>
      <c r="F377" s="4" t="str">
        <f>IF(ISERROR("PLACE"),"",HYPERLINK("#INDEX('Frequencies'!A:A,MATCH(A" &amp; ROW() &amp; ",'Frequencies'!A:A,0))","Frequencies"))</f>
        <v>Frequencies</v>
      </c>
      <c r="G377" s="2">
        <v>30</v>
      </c>
      <c r="H377" s="2"/>
      <c r="I377" s="2"/>
      <c r="J377" s="2"/>
      <c r="K377" s="2"/>
      <c r="L377" s="2"/>
    </row>
    <row r="378" spans="1:12" ht="50.1" customHeight="1" x14ac:dyDescent="0.25">
      <c r="A378" s="3" t="s">
        <v>928</v>
      </c>
      <c r="B378" s="2" t="s">
        <v>929</v>
      </c>
      <c r="C378" s="2" t="s">
        <v>930</v>
      </c>
      <c r="D378" s="2" t="s">
        <v>15</v>
      </c>
      <c r="E378" s="4" t="str">
        <f>IF(ISERROR("WALK2SAVE"),"",HYPERLINK("#INDEX('Value Lookup'!A:A,MATCH(A" &amp; ROW() &amp; ",'Value Lookup'!A:A,0))","Value Lookup"))</f>
        <v>Value Lookup</v>
      </c>
      <c r="F378" s="4" t="str">
        <f>IF(ISERROR("WALK2SAVE"),"",HYPERLINK("#INDEX('Frequencies'!A:A,MATCH(A" &amp; ROW() &amp; ",'Frequencies'!A:A,0))","Frequencies"))</f>
        <v>Frequencies</v>
      </c>
      <c r="G378" s="2">
        <v>31</v>
      </c>
      <c r="H378" s="2"/>
      <c r="I378" s="2"/>
      <c r="J378" s="2"/>
      <c r="K378" s="2"/>
      <c r="L378" s="2"/>
    </row>
    <row r="379" spans="1:12" ht="50.1" customHeight="1" x14ac:dyDescent="0.25">
      <c r="A379" s="3" t="s">
        <v>49</v>
      </c>
      <c r="B379" s="2" t="s">
        <v>50</v>
      </c>
      <c r="C379" s="2" t="s">
        <v>51</v>
      </c>
      <c r="D379" s="2" t="s">
        <v>15</v>
      </c>
      <c r="E379" s="4" t="str">
        <f>IF(ISERROR("BIKE2SAVE"),"",HYPERLINK("#INDEX('Value Lookup'!A:A,MATCH(A" &amp; ROW() &amp; ",'Value Lookup'!A:A,0))","Value Lookup"))</f>
        <v>Value Lookup</v>
      </c>
      <c r="F379" s="4" t="str">
        <f>IF(ISERROR("BIKE2SAVE"),"",HYPERLINK("#INDEX('Frequencies'!A:A,MATCH(A" &amp; ROW() &amp; ",'Frequencies'!A:A,0))","Frequencies"))</f>
        <v>Frequencies</v>
      </c>
      <c r="G379" s="2">
        <v>32</v>
      </c>
      <c r="H379" s="2"/>
      <c r="I379" s="2"/>
      <c r="J379" s="2"/>
      <c r="K379" s="2"/>
      <c r="L379" s="2"/>
    </row>
    <row r="380" spans="1:12" ht="50.1" customHeight="1" x14ac:dyDescent="0.25">
      <c r="A380" s="3" t="s">
        <v>573</v>
      </c>
      <c r="B380" s="2" t="s">
        <v>574</v>
      </c>
      <c r="C380" s="2" t="s">
        <v>575</v>
      </c>
      <c r="D380" s="2" t="s">
        <v>15</v>
      </c>
      <c r="E380" s="4" t="str">
        <f>IF(ISERROR("PTRANS"),"",HYPERLINK("#INDEX('Value Lookup'!A:A,MATCH(A" &amp; ROW() &amp; ",'Value Lookup'!A:A,0))","Value Lookup"))</f>
        <v>Value Lookup</v>
      </c>
      <c r="F380" s="4" t="str">
        <f>IF(ISERROR("PTRANS"),"",HYPERLINK("#INDEX('Frequencies'!A:A,MATCH(A" &amp; ROW() &amp; ",'Frequencies'!A:A,0))","Frequencies"))</f>
        <v>Frequencies</v>
      </c>
      <c r="G380" s="2">
        <v>33</v>
      </c>
      <c r="H380" s="2"/>
      <c r="I380" s="2"/>
      <c r="J380" s="2"/>
      <c r="K380" s="2"/>
      <c r="L380" s="2"/>
    </row>
    <row r="381" spans="1:12" ht="50.1" customHeight="1" x14ac:dyDescent="0.25">
      <c r="A381" s="3" t="s">
        <v>843</v>
      </c>
      <c r="B381" s="2" t="s">
        <v>844</v>
      </c>
      <c r="C381" s="2"/>
      <c r="D381" s="2" t="s">
        <v>15</v>
      </c>
      <c r="E381" s="4" t="str">
        <f>IF(ISERROR("TRIP_CODE"),"",HYPERLINK("#INDEX('Value Lookup'!A:A,MATCH(A" &amp; ROW() &amp; ",'Value Lookup'!A:A,0))","Value Lookup"))</f>
        <v>Value Lookup</v>
      </c>
      <c r="F381" s="4" t="str">
        <f>IF(ISERROR("TRIP_CODE"),"",HYPERLINK("#INDEX('Frequencies'!A:A,MATCH(A" &amp; ROW() &amp; ",'Frequencies'!A:A,0))","Frequencies"))</f>
        <v>Frequencies</v>
      </c>
      <c r="G381" s="2">
        <v>34</v>
      </c>
      <c r="H381" s="2"/>
      <c r="I381" s="2"/>
      <c r="J381" s="2"/>
      <c r="K381" s="2"/>
      <c r="L381" s="2"/>
    </row>
    <row r="382" spans="1:12" ht="50.1" customHeight="1" x14ac:dyDescent="0.25">
      <c r="A382" s="3" t="s">
        <v>298</v>
      </c>
      <c r="B382" s="2" t="s">
        <v>299</v>
      </c>
      <c r="C382" s="2" t="s">
        <v>300</v>
      </c>
      <c r="D382" s="2" t="s">
        <v>15</v>
      </c>
      <c r="E382" s="4" t="str">
        <f>IF(ISERROR("HOMELOC_1"),"",HYPERLINK("#INDEX('Value Lookup'!A:A,MATCH(A" &amp; ROW() &amp; ",'Value Lookup'!A:A,0))","Value Lookup"))</f>
        <v>Value Lookup</v>
      </c>
      <c r="F382" s="4" t="str">
        <f>IF(ISERROR("HOMELOC_1"),"",HYPERLINK("#INDEX('Frequencies'!A:A,MATCH(A" &amp; ROW() &amp; ",'Frequencies'!A:A,0))","Frequencies"))</f>
        <v>Frequencies</v>
      </c>
      <c r="G382" s="2">
        <v>35</v>
      </c>
      <c r="H382" s="2"/>
      <c r="I382" s="2"/>
      <c r="J382" s="2"/>
      <c r="K382" s="2"/>
      <c r="L382" s="2" t="s">
        <v>301</v>
      </c>
    </row>
    <row r="383" spans="1:12" ht="50.1" customHeight="1" x14ac:dyDescent="0.25">
      <c r="A383" s="3" t="s">
        <v>308</v>
      </c>
      <c r="B383" s="2" t="s">
        <v>309</v>
      </c>
      <c r="C383" s="2" t="s">
        <v>300</v>
      </c>
      <c r="D383" s="2" t="s">
        <v>15</v>
      </c>
      <c r="E383" s="4" t="str">
        <f>IF(ISERROR("HOMELOC_2"),"",HYPERLINK("#INDEX('Value Lookup'!A:A,MATCH(A" &amp; ROW() &amp; ",'Value Lookup'!A:A,0))","Value Lookup"))</f>
        <v>Value Lookup</v>
      </c>
      <c r="F383" s="4" t="str">
        <f>IF(ISERROR("HOMELOC_2"),"",HYPERLINK("#INDEX('Frequencies'!A:A,MATCH(A" &amp; ROW() &amp; ",'Frequencies'!A:A,0))","Frequencies"))</f>
        <v>Frequencies</v>
      </c>
      <c r="G383" s="2">
        <v>36</v>
      </c>
      <c r="H383" s="2"/>
      <c r="I383" s="2"/>
      <c r="J383" s="2"/>
      <c r="K383" s="2"/>
      <c r="L383" s="2" t="s">
        <v>310</v>
      </c>
    </row>
    <row r="384" spans="1:12" ht="50.1" customHeight="1" x14ac:dyDescent="0.25">
      <c r="A384" s="3" t="s">
        <v>311</v>
      </c>
      <c r="B384" s="2" t="s">
        <v>312</v>
      </c>
      <c r="C384" s="2" t="s">
        <v>300</v>
      </c>
      <c r="D384" s="2" t="s">
        <v>15</v>
      </c>
      <c r="E384" s="4" t="str">
        <f>IF(ISERROR("HOMELOC_3"),"",HYPERLINK("#INDEX('Value Lookup'!A:A,MATCH(A" &amp; ROW() &amp; ",'Value Lookup'!A:A,0))","Value Lookup"))</f>
        <v>Value Lookup</v>
      </c>
      <c r="F384" s="4" t="str">
        <f>IF(ISERROR("HOMELOC_3"),"",HYPERLINK("#INDEX('Frequencies'!A:A,MATCH(A" &amp; ROW() &amp; ",'Frequencies'!A:A,0))","Frequencies"))</f>
        <v>Frequencies</v>
      </c>
      <c r="G384" s="2">
        <v>37</v>
      </c>
      <c r="H384" s="2"/>
      <c r="I384" s="2"/>
      <c r="J384" s="2"/>
      <c r="K384" s="2"/>
      <c r="L384" s="2" t="s">
        <v>313</v>
      </c>
    </row>
    <row r="385" spans="1:12" ht="50.1" customHeight="1" x14ac:dyDescent="0.25">
      <c r="A385" s="3" t="s">
        <v>314</v>
      </c>
      <c r="B385" s="2" t="s">
        <v>315</v>
      </c>
      <c r="C385" s="2" t="s">
        <v>300</v>
      </c>
      <c r="D385" s="2" t="s">
        <v>15</v>
      </c>
      <c r="E385" s="4" t="str">
        <f>IF(ISERROR("HOMELOC_4"),"",HYPERLINK("#INDEX('Value Lookup'!A:A,MATCH(A" &amp; ROW() &amp; ",'Value Lookup'!A:A,0))","Value Lookup"))</f>
        <v>Value Lookup</v>
      </c>
      <c r="F385" s="4" t="str">
        <f>IF(ISERROR("HOMELOC_4"),"",HYPERLINK("#INDEX('Frequencies'!A:A,MATCH(A" &amp; ROW() &amp; ",'Frequencies'!A:A,0))","Frequencies"))</f>
        <v>Frequencies</v>
      </c>
      <c r="G385" s="2">
        <v>38</v>
      </c>
      <c r="H385" s="2"/>
      <c r="I385" s="2"/>
      <c r="J385" s="2"/>
      <c r="K385" s="2"/>
      <c r="L385" s="2" t="s">
        <v>316</v>
      </c>
    </row>
    <row r="386" spans="1:12" ht="50.1" customHeight="1" x14ac:dyDescent="0.25">
      <c r="A386" s="3" t="s">
        <v>317</v>
      </c>
      <c r="B386" s="2" t="s">
        <v>318</v>
      </c>
      <c r="C386" s="2" t="s">
        <v>300</v>
      </c>
      <c r="D386" s="2" t="s">
        <v>15</v>
      </c>
      <c r="E386" s="4" t="str">
        <f>IF(ISERROR("HOMELOC_5"),"",HYPERLINK("#INDEX('Value Lookup'!A:A,MATCH(A" &amp; ROW() &amp; ",'Value Lookup'!A:A,0))","Value Lookup"))</f>
        <v>Value Lookup</v>
      </c>
      <c r="F386" s="4" t="str">
        <f>IF(ISERROR("HOMELOC_5"),"",HYPERLINK("#INDEX('Frequencies'!A:A,MATCH(A" &amp; ROW() &amp; ",'Frequencies'!A:A,0))","Frequencies"))</f>
        <v>Frequencies</v>
      </c>
      <c r="G386" s="2">
        <v>39</v>
      </c>
      <c r="H386" s="2"/>
      <c r="I386" s="2"/>
      <c r="J386" s="2"/>
      <c r="K386" s="2"/>
      <c r="L386" s="2" t="s">
        <v>319</v>
      </c>
    </row>
    <row r="387" spans="1:12" ht="50.1" customHeight="1" x14ac:dyDescent="0.25">
      <c r="A387" s="3" t="s">
        <v>320</v>
      </c>
      <c r="B387" s="2" t="s">
        <v>321</v>
      </c>
      <c r="C387" s="2" t="s">
        <v>300</v>
      </c>
      <c r="D387" s="2" t="s">
        <v>15</v>
      </c>
      <c r="E387" s="4" t="str">
        <f>IF(ISERROR("HOMELOC_6"),"",HYPERLINK("#INDEX('Value Lookup'!A:A,MATCH(A" &amp; ROW() &amp; ",'Value Lookup'!A:A,0))","Value Lookup"))</f>
        <v>Value Lookup</v>
      </c>
      <c r="F387" s="4" t="str">
        <f>IF(ISERROR("HOMELOC_6"),"",HYPERLINK("#INDEX('Frequencies'!A:A,MATCH(A" &amp; ROW() &amp; ",'Frequencies'!A:A,0))","Frequencies"))</f>
        <v>Frequencies</v>
      </c>
      <c r="G387" s="2">
        <v>40</v>
      </c>
      <c r="H387" s="2"/>
      <c r="I387" s="2"/>
      <c r="J387" s="2"/>
      <c r="K387" s="2"/>
      <c r="L387" s="2" t="s">
        <v>322</v>
      </c>
    </row>
    <row r="388" spans="1:12" ht="50.1" customHeight="1" x14ac:dyDescent="0.25">
      <c r="A388" s="3" t="s">
        <v>323</v>
      </c>
      <c r="B388" s="2" t="s">
        <v>324</v>
      </c>
      <c r="C388" s="2" t="s">
        <v>300</v>
      </c>
      <c r="D388" s="2" t="s">
        <v>15</v>
      </c>
      <c r="E388" s="4" t="str">
        <f>IF(ISERROR("HOMELOC_7"),"",HYPERLINK("#INDEX('Value Lookup'!A:A,MATCH(A" &amp; ROW() &amp; ",'Value Lookup'!A:A,0))","Value Lookup"))</f>
        <v>Value Lookup</v>
      </c>
      <c r="F388" s="4" t="str">
        <f>IF(ISERROR("HOMELOC_7"),"",HYPERLINK("#INDEX('Frequencies'!A:A,MATCH(A" &amp; ROW() &amp; ",'Frequencies'!A:A,0))","Frequencies"))</f>
        <v>Frequencies</v>
      </c>
      <c r="G388" s="2">
        <v>41</v>
      </c>
      <c r="H388" s="2"/>
      <c r="I388" s="2"/>
      <c r="J388" s="2"/>
      <c r="K388" s="2"/>
      <c r="L388" s="2" t="s">
        <v>325</v>
      </c>
    </row>
    <row r="389" spans="1:12" ht="50.1" customHeight="1" x14ac:dyDescent="0.25">
      <c r="A389" s="3" t="s">
        <v>326</v>
      </c>
      <c r="B389" s="2" t="s">
        <v>327</v>
      </c>
      <c r="C389" s="2" t="s">
        <v>300</v>
      </c>
      <c r="D389" s="2" t="s">
        <v>15</v>
      </c>
      <c r="E389" s="4" t="str">
        <f>IF(ISERROR("HOMELOC_8"),"",HYPERLINK("#INDEX('Value Lookup'!A:A,MATCH(A" &amp; ROW() &amp; ",'Value Lookup'!A:A,0))","Value Lookup"))</f>
        <v>Value Lookup</v>
      </c>
      <c r="F389" s="4" t="str">
        <f>IF(ISERROR("HOMELOC_8"),"",HYPERLINK("#INDEX('Frequencies'!A:A,MATCH(A" &amp; ROW() &amp; ",'Frequencies'!A:A,0))","Frequencies"))</f>
        <v>Frequencies</v>
      </c>
      <c r="G389" s="2">
        <v>42</v>
      </c>
      <c r="H389" s="2"/>
      <c r="I389" s="2"/>
      <c r="J389" s="2"/>
      <c r="K389" s="2"/>
      <c r="L389" s="2" t="s">
        <v>328</v>
      </c>
    </row>
    <row r="390" spans="1:12" ht="50.1" customHeight="1" x14ac:dyDescent="0.25">
      <c r="A390" s="3" t="s">
        <v>329</v>
      </c>
      <c r="B390" s="2" t="s">
        <v>330</v>
      </c>
      <c r="C390" s="2" t="s">
        <v>300</v>
      </c>
      <c r="D390" s="2" t="s">
        <v>15</v>
      </c>
      <c r="E390" s="4" t="str">
        <f>IF(ISERROR("HOMELOC_9"),"",HYPERLINK("#INDEX('Value Lookup'!A:A,MATCH(A" &amp; ROW() &amp; ",'Value Lookup'!A:A,0))","Value Lookup"))</f>
        <v>Value Lookup</v>
      </c>
      <c r="F390" s="4" t="str">
        <f>IF(ISERROR("HOMELOC_9"),"",HYPERLINK("#INDEX('Frequencies'!A:A,MATCH(A" &amp; ROW() &amp; ",'Frequencies'!A:A,0))","Frequencies"))</f>
        <v>Frequencies</v>
      </c>
      <c r="G390" s="2">
        <v>43</v>
      </c>
      <c r="H390" s="2"/>
      <c r="I390" s="2"/>
      <c r="J390" s="2"/>
      <c r="K390" s="2"/>
      <c r="L390" s="2" t="s">
        <v>331</v>
      </c>
    </row>
    <row r="391" spans="1:12" ht="50.1" customHeight="1" x14ac:dyDescent="0.25">
      <c r="A391" s="3" t="s">
        <v>302</v>
      </c>
      <c r="B391" s="2" t="s">
        <v>303</v>
      </c>
      <c r="C391" s="2" t="s">
        <v>300</v>
      </c>
      <c r="D391" s="2" t="s">
        <v>15</v>
      </c>
      <c r="E391" s="4" t="str">
        <f>IF(ISERROR("HOMELOC_10"),"",HYPERLINK("#INDEX('Value Lookup'!A:A,MATCH(A" &amp; ROW() &amp; ",'Value Lookup'!A:A,0))","Value Lookup"))</f>
        <v>Value Lookup</v>
      </c>
      <c r="F391" s="4" t="str">
        <f>IF(ISERROR("HOMELOC_10"),"",HYPERLINK("#INDEX('Frequencies'!A:A,MATCH(A" &amp; ROW() &amp; ",'Frequencies'!A:A,0))","Frequencies"))</f>
        <v>Frequencies</v>
      </c>
      <c r="G391" s="2">
        <v>44</v>
      </c>
      <c r="H391" s="2"/>
      <c r="I391" s="2"/>
      <c r="J391" s="2"/>
      <c r="K391" s="2"/>
      <c r="L391" s="2" t="s">
        <v>304</v>
      </c>
    </row>
    <row r="392" spans="1:12" ht="50.1" customHeight="1" x14ac:dyDescent="0.25">
      <c r="A392" s="3" t="s">
        <v>305</v>
      </c>
      <c r="B392" s="2" t="s">
        <v>306</v>
      </c>
      <c r="C392" s="2" t="s">
        <v>300</v>
      </c>
      <c r="D392" s="2" t="s">
        <v>15</v>
      </c>
      <c r="E392" s="4" t="str">
        <f>IF(ISERROR("HOMELOC_11"),"",HYPERLINK("#INDEX('Value Lookup'!A:A,MATCH(A" &amp; ROW() &amp; ",'Value Lookup'!A:A,0))","Value Lookup"))</f>
        <v>Value Lookup</v>
      </c>
      <c r="F392" s="4" t="str">
        <f>IF(ISERROR("HOMELOC_11"),"",HYPERLINK("#INDEX('Frequencies'!A:A,MATCH(A" &amp; ROW() &amp; ",'Frequencies'!A:A,0))","Frequencies"))</f>
        <v>Frequencies</v>
      </c>
      <c r="G392" s="2">
        <v>45</v>
      </c>
      <c r="H392" s="2"/>
      <c r="I392" s="2"/>
      <c r="J392" s="2"/>
      <c r="K392" s="2"/>
      <c r="L392" s="2" t="s">
        <v>307</v>
      </c>
    </row>
    <row r="393" spans="1:12" ht="50.1" customHeight="1" x14ac:dyDescent="0.25">
      <c r="A393" s="3" t="s">
        <v>335</v>
      </c>
      <c r="B393" s="2" t="s">
        <v>336</v>
      </c>
      <c r="C393" s="2" t="s">
        <v>300</v>
      </c>
      <c r="D393" s="2" t="s">
        <v>15</v>
      </c>
      <c r="E393" s="4" t="str">
        <f>IF(ISERROR("HOMELOC_NA"),"",HYPERLINK("#INDEX('Value Lookup'!A:A,MATCH(A" &amp; ROW() &amp; ",'Value Lookup'!A:A,0))","Value Lookup"))</f>
        <v>Value Lookup</v>
      </c>
      <c r="F393" s="4" t="str">
        <f>IF(ISERROR("HOMELOC_NA"),"",HYPERLINK("#INDEX('Frequencies'!A:A,MATCH(A" &amp; ROW() &amp; ",'Frequencies'!A:A,0))","Frequencies"))</f>
        <v>Frequencies</v>
      </c>
      <c r="G393" s="2">
        <v>46</v>
      </c>
      <c r="H393" s="2"/>
      <c r="I393" s="2"/>
      <c r="J393" s="2"/>
      <c r="K393" s="2"/>
      <c r="L393" s="2" t="s">
        <v>337</v>
      </c>
    </row>
    <row r="394" spans="1:12" ht="50.1" customHeight="1" x14ac:dyDescent="0.25">
      <c r="A394" s="3" t="s">
        <v>332</v>
      </c>
      <c r="B394" s="2" t="s">
        <v>333</v>
      </c>
      <c r="C394" s="2" t="s">
        <v>300</v>
      </c>
      <c r="D394" s="2" t="s">
        <v>15</v>
      </c>
      <c r="E394" s="4" t="str">
        <f>IF(ISERROR("HOMELOC_DK"),"",HYPERLINK("#INDEX('Value Lookup'!A:A,MATCH(A" &amp; ROW() &amp; ",'Value Lookup'!A:A,0))","Value Lookup"))</f>
        <v>Value Lookup</v>
      </c>
      <c r="F394" s="4" t="str">
        <f>IF(ISERROR("HOMELOC_DK"),"",HYPERLINK("#INDEX('Frequencies'!A:A,MATCH(A" &amp; ROW() &amp; ",'Frequencies'!A:A,0))","Frequencies"))</f>
        <v>Frequencies</v>
      </c>
      <c r="G394" s="2">
        <v>47</v>
      </c>
      <c r="H394" s="2"/>
      <c r="I394" s="2"/>
      <c r="J394" s="2"/>
      <c r="K394" s="2"/>
      <c r="L394" s="2" t="s">
        <v>334</v>
      </c>
    </row>
    <row r="395" spans="1:12" ht="50.1" customHeight="1" x14ac:dyDescent="0.25">
      <c r="A395" s="3" t="s">
        <v>338</v>
      </c>
      <c r="B395" s="2" t="s">
        <v>339</v>
      </c>
      <c r="C395" s="2" t="s">
        <v>300</v>
      </c>
      <c r="D395" s="2" t="s">
        <v>15</v>
      </c>
      <c r="E395" s="4" t="str">
        <f>IF(ISERROR("HOMELOC_RF"),"",HYPERLINK("#INDEX('Value Lookup'!A:A,MATCH(A" &amp; ROW() &amp; ",'Value Lookup'!A:A,0))","Value Lookup"))</f>
        <v>Value Lookup</v>
      </c>
      <c r="F395" s="4" t="str">
        <f>IF(ISERROR("HOMELOC_RF"),"",HYPERLINK("#INDEX('Frequencies'!A:A,MATCH(A" &amp; ROW() &amp; ",'Frequencies'!A:A,0))","Frequencies"))</f>
        <v>Frequencies</v>
      </c>
      <c r="G395" s="2">
        <v>48</v>
      </c>
      <c r="H395" s="2"/>
      <c r="I395" s="2"/>
      <c r="J395" s="2"/>
      <c r="K395" s="2"/>
      <c r="L395" s="2" t="s">
        <v>340</v>
      </c>
    </row>
    <row r="396" spans="1:12" ht="50.1" customHeight="1" x14ac:dyDescent="0.25">
      <c r="A396" s="3" t="s">
        <v>283</v>
      </c>
      <c r="B396" s="2" t="s">
        <v>284</v>
      </c>
      <c r="C396" s="2"/>
      <c r="D396" s="2" t="s">
        <v>15</v>
      </c>
      <c r="E396" s="2" t="str">
        <f>IF(ISERROR("HHRELATD"),"","NA")</f>
        <v>NA</v>
      </c>
      <c r="F396" s="4" t="str">
        <f>IF(ISERROR("HHRELATD"),"",HYPERLINK("#INDEX('Frequencies'!A:A,MATCH(A" &amp; ROW() &amp; ",'Frequencies'!A:A,0))","Frequencies"))</f>
        <v>Frequencies</v>
      </c>
      <c r="G396" s="2">
        <v>49</v>
      </c>
      <c r="H396" s="2"/>
      <c r="I396" s="2"/>
      <c r="J396" s="2"/>
      <c r="K396" s="2"/>
      <c r="L396" s="2"/>
    </row>
    <row r="397" spans="1:12" ht="50.1" customHeight="1" x14ac:dyDescent="0.25">
      <c r="A397" s="3" t="s">
        <v>197</v>
      </c>
      <c r="B397" s="2" t="s">
        <v>198</v>
      </c>
      <c r="C397" s="2"/>
      <c r="D397" s="2" t="s">
        <v>41</v>
      </c>
      <c r="E397" s="2" t="str">
        <f>IF(ISERROR("DRVRCNT"),"","NA")</f>
        <v>NA</v>
      </c>
      <c r="F397" s="4" t="str">
        <f>IF(ISERROR("DRVRCNT"),"",HYPERLINK("#INDEX('Frequencies'!A:A,MATCH(A" &amp; ROW() &amp; ",'Frequencies'!A:A,0))","Frequencies"))</f>
        <v>Frequencies</v>
      </c>
      <c r="G397" s="2">
        <v>50</v>
      </c>
      <c r="H397" s="2"/>
      <c r="I397" s="2"/>
      <c r="J397" s="2"/>
      <c r="K397" s="2"/>
      <c r="L397" s="2"/>
    </row>
    <row r="398" spans="1:12" ht="50.1" customHeight="1" x14ac:dyDescent="0.25">
      <c r="A398" s="3" t="s">
        <v>141</v>
      </c>
      <c r="B398" s="2" t="s">
        <v>142</v>
      </c>
      <c r="C398" s="2"/>
      <c r="D398" s="2" t="s">
        <v>41</v>
      </c>
      <c r="E398" s="2" t="str">
        <f>IF(ISERROR("CNTTDHH"),"","NA")</f>
        <v>NA</v>
      </c>
      <c r="F398" s="4" t="str">
        <f>IF(ISERROR("CNTTDHH"),"",HYPERLINK("#INDEX('Frequencies'!A:A,MATCH(A" &amp; ROW() &amp; ",'Frequencies'!A:A,0))","Frequencies"))</f>
        <v>Frequencies</v>
      </c>
      <c r="G398" s="2">
        <v>51</v>
      </c>
      <c r="H398" s="2"/>
      <c r="I398" s="2"/>
      <c r="J398" s="2"/>
      <c r="K398" s="2"/>
      <c r="L398" s="2"/>
    </row>
    <row r="399" spans="1:12" ht="50.1" customHeight="1" x14ac:dyDescent="0.25">
      <c r="A399" s="3" t="s">
        <v>291</v>
      </c>
      <c r="B399" s="2" t="s">
        <v>292</v>
      </c>
      <c r="C399" s="2"/>
      <c r="D399" s="2" t="s">
        <v>15</v>
      </c>
      <c r="E399" s="2" t="str">
        <f>IF(ISERROR("HHSTATE"),"","NA")</f>
        <v>NA</v>
      </c>
      <c r="F399" s="4" t="str">
        <f>IF(ISERROR("HHSTATE"),"",HYPERLINK("#INDEX('Frequencies'!A:A,MATCH(A" &amp; ROW() &amp; ",'Frequencies'!A:A,0))","Frequencies"))</f>
        <v>Frequencies</v>
      </c>
      <c r="G399" s="2">
        <v>52</v>
      </c>
      <c r="H399" s="2"/>
      <c r="I399" s="2"/>
      <c r="J399" s="2"/>
      <c r="K399" s="2"/>
      <c r="L399" s="2"/>
    </row>
    <row r="400" spans="1:12" ht="50.1" customHeight="1" x14ac:dyDescent="0.25">
      <c r="A400" s="3" t="s">
        <v>293</v>
      </c>
      <c r="B400" s="2" t="s">
        <v>294</v>
      </c>
      <c r="C400" s="2"/>
      <c r="D400" s="2" t="s">
        <v>15</v>
      </c>
      <c r="E400" s="4" t="str">
        <f>IF(ISERROR("HHSTFIPS"),"",HYPERLINK("#INDEX('Value Lookup'!A:A,MATCH(A" &amp; ROW() &amp; ",'Value Lookup'!A:A,0))","Value Lookup"))</f>
        <v>Value Lookup</v>
      </c>
      <c r="F400" s="4" t="str">
        <f>IF(ISERROR("HHSTFIPS"),"",HYPERLINK("#INDEX('Frequencies'!A:A,MATCH(A" &amp; ROW() &amp; ",'Frequencies'!A:A,0))","Frequencies"))</f>
        <v>Frequencies</v>
      </c>
      <c r="G400" s="2">
        <v>53</v>
      </c>
      <c r="H400" s="2"/>
      <c r="I400" s="2"/>
      <c r="J400" s="2"/>
      <c r="K400" s="2"/>
      <c r="L400" s="2"/>
    </row>
    <row r="401" spans="1:12" ht="50.1" customHeight="1" x14ac:dyDescent="0.25">
      <c r="A401" s="3" t="s">
        <v>446</v>
      </c>
      <c r="B401" s="2" t="s">
        <v>447</v>
      </c>
      <c r="C401" s="2"/>
      <c r="D401" s="2" t="s">
        <v>41</v>
      </c>
      <c r="E401" s="2" t="str">
        <f>IF(ISERROR("NUMADLT"),"","NA")</f>
        <v>NA</v>
      </c>
      <c r="F401" s="4" t="str">
        <f>IF(ISERROR("NUMADLT"),"",HYPERLINK("#INDEX('Frequencies'!A:A,MATCH(A" &amp; ROW() &amp; ",'Frequencies'!A:A,0))","Frequencies"))</f>
        <v>Frequencies</v>
      </c>
      <c r="G401" s="2">
        <v>54</v>
      </c>
      <c r="H401" s="2"/>
      <c r="I401" s="2"/>
      <c r="J401" s="2"/>
      <c r="K401" s="2"/>
      <c r="L401" s="2"/>
    </row>
    <row r="402" spans="1:12" ht="50.1" customHeight="1" x14ac:dyDescent="0.25">
      <c r="A402" s="3" t="s">
        <v>1071</v>
      </c>
      <c r="B402" s="2" t="s">
        <v>1072</v>
      </c>
      <c r="C402" s="2"/>
      <c r="D402" s="2" t="s">
        <v>41</v>
      </c>
      <c r="E402" s="2" t="str">
        <f>IF(ISERROR("YOUNGCHILD"),"","NA")</f>
        <v>NA</v>
      </c>
      <c r="F402" s="4" t="str">
        <f>IF(ISERROR("YOUNGCHILD"),"",HYPERLINK("#INDEX('Frequencies'!A:A,MATCH(A" &amp; ROW() &amp; ",'Frequencies'!A:A,0))","Frequencies"))</f>
        <v>Frequencies</v>
      </c>
      <c r="G402" s="2">
        <v>55</v>
      </c>
      <c r="H402" s="2"/>
      <c r="I402" s="2"/>
      <c r="J402" s="2"/>
      <c r="K402" s="2"/>
      <c r="L402" s="2"/>
    </row>
    <row r="403" spans="1:12" ht="50.1" customHeight="1" x14ac:dyDescent="0.25">
      <c r="A403" s="3" t="s">
        <v>1042</v>
      </c>
      <c r="B403" s="2" t="s">
        <v>1043</v>
      </c>
      <c r="C403" s="2"/>
      <c r="D403" s="2" t="s">
        <v>41</v>
      </c>
      <c r="E403" s="2" t="str">
        <f>IF(ISERROR("WRKCOUNT"),"","NA")</f>
        <v>NA</v>
      </c>
      <c r="F403" s="4" t="str">
        <f>IF(ISERROR("WRKCOUNT"),"",HYPERLINK("#INDEX('Frequencies'!A:A,MATCH(A" &amp; ROW() &amp; ",'Frequencies'!A:A,0))","Frequencies"))</f>
        <v>Frequencies</v>
      </c>
      <c r="G403" s="2">
        <v>56</v>
      </c>
      <c r="H403" s="2"/>
      <c r="I403" s="2"/>
      <c r="J403" s="2"/>
      <c r="K403" s="2"/>
      <c r="L403" s="2"/>
    </row>
    <row r="404" spans="1:12" ht="50.1" customHeight="1" x14ac:dyDescent="0.25">
      <c r="A404" s="3" t="s">
        <v>721</v>
      </c>
      <c r="B404" s="2" t="s">
        <v>722</v>
      </c>
      <c r="C404" s="2"/>
      <c r="D404" s="2" t="s">
        <v>15</v>
      </c>
      <c r="E404" s="2" t="str">
        <f>IF(ISERROR("TDAYDATE"),"","NA")</f>
        <v>NA</v>
      </c>
      <c r="F404" s="4" t="str">
        <f>IF(ISERROR("TDAYDATE"),"",HYPERLINK("#INDEX('Frequencies'!A:A,MATCH(A" &amp; ROW() &amp; ",'Frequencies'!A:A,0))","Frequencies"))</f>
        <v>Frequencies</v>
      </c>
      <c r="G404" s="2">
        <v>57</v>
      </c>
      <c r="H404" s="2"/>
      <c r="I404" s="2"/>
      <c r="J404" s="2"/>
      <c r="K404" s="2"/>
      <c r="L404" s="2"/>
    </row>
    <row r="405" spans="1:12" ht="50.1" customHeight="1" x14ac:dyDescent="0.25">
      <c r="A405" s="3" t="s">
        <v>285</v>
      </c>
      <c r="B405" s="2" t="s">
        <v>286</v>
      </c>
      <c r="C405" s="2" t="s">
        <v>287</v>
      </c>
      <c r="D405" s="2" t="s">
        <v>15</v>
      </c>
      <c r="E405" s="4" t="str">
        <f>IF(ISERROR("HHRESP"),"",HYPERLINK("#INDEX('Value Lookup'!A:A,MATCH(A" &amp; ROW() &amp; ",'Value Lookup'!A:A,0))","Value Lookup"))</f>
        <v>Value Lookup</v>
      </c>
      <c r="F405" s="4" t="str">
        <f>IF(ISERROR("HHRESP"),"",HYPERLINK("#INDEX('Frequencies'!A:A,MATCH(A" &amp; ROW() &amp; ",'Frequencies'!A:A,0))","Frequencies"))</f>
        <v>Frequencies</v>
      </c>
      <c r="G405" s="2">
        <v>58</v>
      </c>
      <c r="H405" s="2"/>
      <c r="I405" s="2"/>
      <c r="J405" s="2"/>
      <c r="K405" s="2"/>
      <c r="L405" s="2"/>
    </row>
    <row r="406" spans="1:12" ht="50.1" customHeight="1" x14ac:dyDescent="0.25">
      <c r="A406" s="3" t="s">
        <v>388</v>
      </c>
      <c r="B406" s="2" t="s">
        <v>389</v>
      </c>
      <c r="C406" s="2"/>
      <c r="D406" s="2" t="s">
        <v>15</v>
      </c>
      <c r="E406" s="4" t="str">
        <f>IF(ISERROR("LIF_CYC"),"",HYPERLINK("#INDEX('Value Lookup'!A:A,MATCH(A" &amp; ROW() &amp; ",'Value Lookup'!A:A,0))","Value Lookup"))</f>
        <v>Value Lookup</v>
      </c>
      <c r="F406" s="4" t="str">
        <f>IF(ISERROR("LIF_CYC"),"",HYPERLINK("#INDEX('Frequencies'!A:A,MATCH(A" &amp; ROW() &amp; ",'Frequencies'!A:A,0))","Frequencies"))</f>
        <v>Frequencies</v>
      </c>
      <c r="G406" s="2">
        <v>59</v>
      </c>
      <c r="H406" s="2"/>
      <c r="I406" s="2"/>
      <c r="J406" s="2"/>
      <c r="K406" s="2"/>
      <c r="L406" s="2"/>
    </row>
    <row r="407" spans="1:12" ht="50.1" customHeight="1" x14ac:dyDescent="0.25">
      <c r="A407" s="3" t="s">
        <v>434</v>
      </c>
      <c r="B407" s="2" t="s">
        <v>435</v>
      </c>
      <c r="C407" s="2"/>
      <c r="D407" s="2" t="s">
        <v>15</v>
      </c>
      <c r="E407" s="4" t="str">
        <f>IF(ISERROR("MSACAT"),"",HYPERLINK("#INDEX('Value Lookup'!A:A,MATCH(A" &amp; ROW() &amp; ",'Value Lookup'!A:A,0))","Value Lookup"))</f>
        <v>Value Lookup</v>
      </c>
      <c r="F407" s="4" t="str">
        <f>IF(ISERROR("MSACAT"),"",HYPERLINK("#INDEX('Frequencies'!A:A,MATCH(A" &amp; ROW() &amp; ",'Frequencies'!A:A,0))","Frequencies"))</f>
        <v>Frequencies</v>
      </c>
      <c r="G407" s="2">
        <v>60</v>
      </c>
      <c r="H407" s="2"/>
      <c r="I407" s="2"/>
      <c r="J407" s="2"/>
      <c r="K407" s="2"/>
      <c r="L407" s="2"/>
    </row>
    <row r="408" spans="1:12" ht="50.1" customHeight="1" x14ac:dyDescent="0.25">
      <c r="A408" s="3" t="s">
        <v>436</v>
      </c>
      <c r="B408" s="2" t="s">
        <v>437</v>
      </c>
      <c r="C408" s="2"/>
      <c r="D408" s="2" t="s">
        <v>15</v>
      </c>
      <c r="E408" s="4" t="str">
        <f>IF(ISERROR("MSASIZE"),"",HYPERLINK("#INDEX('Value Lookup'!A:A,MATCH(A" &amp; ROW() &amp; ",'Value Lookup'!A:A,0))","Value Lookup"))</f>
        <v>Value Lookup</v>
      </c>
      <c r="F408" s="4" t="str">
        <f>IF(ISERROR("MSASIZE"),"",HYPERLINK("#INDEX('Frequencies'!A:A,MATCH(A" &amp; ROW() &amp; ",'Frequencies'!A:A,0))","Frequencies"))</f>
        <v>Frequencies</v>
      </c>
      <c r="G408" s="2">
        <v>61</v>
      </c>
      <c r="H408" s="2"/>
      <c r="I408" s="2"/>
      <c r="J408" s="2"/>
      <c r="K408" s="2"/>
      <c r="L408" s="2"/>
    </row>
    <row r="409" spans="1:12" ht="50.1" customHeight="1" x14ac:dyDescent="0.25">
      <c r="A409" s="3" t="s">
        <v>619</v>
      </c>
      <c r="B409" s="2" t="s">
        <v>620</v>
      </c>
      <c r="C409" s="2"/>
      <c r="D409" s="2" t="s">
        <v>15</v>
      </c>
      <c r="E409" s="4" t="str">
        <f>IF(ISERROR("RAIL"),"",HYPERLINK("#INDEX('Value Lookup'!A:A,MATCH(A" &amp; ROW() &amp; ",'Value Lookup'!A:A,0))","Value Lookup"))</f>
        <v>Value Lookup</v>
      </c>
      <c r="F409" s="4" t="str">
        <f>IF(ISERROR("RAIL"),"",HYPERLINK("#INDEX('Frequencies'!A:A,MATCH(A" &amp; ROW() &amp; ",'Frequencies'!A:A,0))","Frequencies"))</f>
        <v>Frequencies</v>
      </c>
      <c r="G409" s="2">
        <v>62</v>
      </c>
      <c r="H409" s="2"/>
      <c r="I409" s="2"/>
      <c r="J409" s="2"/>
      <c r="K409" s="2"/>
      <c r="L409" s="2"/>
    </row>
    <row r="410" spans="1:12" ht="50.1" customHeight="1" x14ac:dyDescent="0.25">
      <c r="A410" s="3" t="s">
        <v>873</v>
      </c>
      <c r="B410" s="2" t="s">
        <v>874</v>
      </c>
      <c r="C410" s="2"/>
      <c r="D410" s="2" t="s">
        <v>15</v>
      </c>
      <c r="E410" s="4" t="str">
        <f>IF(ISERROR("URBAN"),"",HYPERLINK("#INDEX('Value Lookup'!A:A,MATCH(A" &amp; ROW() &amp; ",'Value Lookup'!A:A,0))","Value Lookup"))</f>
        <v>Value Lookup</v>
      </c>
      <c r="F410" s="4" t="str">
        <f>IF(ISERROR("URBAN"),"",HYPERLINK("#INDEX('Frequencies'!A:A,MATCH(A" &amp; ROW() &amp; ",'Frequencies'!A:A,0))","Frequencies"))</f>
        <v>Frequencies</v>
      </c>
      <c r="G410" s="2">
        <v>63</v>
      </c>
      <c r="H410" s="2"/>
      <c r="I410" s="2"/>
      <c r="J410" s="2"/>
      <c r="K410" s="2"/>
      <c r="L410" s="2"/>
    </row>
    <row r="411" spans="1:12" ht="50.1" customHeight="1" x14ac:dyDescent="0.25">
      <c r="A411" s="3" t="s">
        <v>875</v>
      </c>
      <c r="B411" s="2" t="s">
        <v>876</v>
      </c>
      <c r="C411" s="2"/>
      <c r="D411" s="2" t="s">
        <v>15</v>
      </c>
      <c r="E411" s="4" t="str">
        <f>IF(ISERROR("URBANSIZE"),"",HYPERLINK("#INDEX('Value Lookup'!A:A,MATCH(A" &amp; ROW() &amp; ",'Value Lookup'!A:A,0))","Value Lookup"))</f>
        <v>Value Lookup</v>
      </c>
      <c r="F411" s="4" t="str">
        <f>IF(ISERROR("URBANSIZE"),"",HYPERLINK("#INDEX('Frequencies'!A:A,MATCH(A" &amp; ROW() &amp; ",'Frequencies'!A:A,0))","Frequencies"))</f>
        <v>Frequencies</v>
      </c>
      <c r="G411" s="2">
        <v>64</v>
      </c>
      <c r="H411" s="2"/>
      <c r="I411" s="2"/>
      <c r="J411" s="2"/>
      <c r="K411" s="2"/>
      <c r="L411" s="2"/>
    </row>
    <row r="412" spans="1:12" ht="50.1" customHeight="1" x14ac:dyDescent="0.25">
      <c r="A412" s="3" t="s">
        <v>877</v>
      </c>
      <c r="B412" s="2" t="s">
        <v>878</v>
      </c>
      <c r="C412" s="2"/>
      <c r="D412" s="2" t="s">
        <v>15</v>
      </c>
      <c r="E412" s="4" t="str">
        <f>IF(ISERROR("URBRUR"),"",HYPERLINK("#INDEX('Value Lookup'!A:A,MATCH(A" &amp; ROW() &amp; ",'Value Lookup'!A:A,0))","Value Lookup"))</f>
        <v>Value Lookup</v>
      </c>
      <c r="F412" s="4" t="str">
        <f>IF(ISERROR("URBRUR"),"",HYPERLINK("#INDEX('Frequencies'!A:A,MATCH(A" &amp; ROW() &amp; ",'Frequencies'!A:A,0))","Frequencies"))</f>
        <v>Frequencies</v>
      </c>
      <c r="G412" s="2">
        <v>65</v>
      </c>
      <c r="H412" s="2"/>
      <c r="I412" s="2"/>
      <c r="J412" s="2"/>
      <c r="K412" s="2"/>
      <c r="L412" s="2"/>
    </row>
    <row r="413" spans="1:12" ht="50.1" customHeight="1" x14ac:dyDescent="0.25">
      <c r="A413" s="3" t="s">
        <v>242</v>
      </c>
      <c r="B413" s="2" t="s">
        <v>243</v>
      </c>
      <c r="C413" s="2"/>
      <c r="D413" s="2" t="s">
        <v>41</v>
      </c>
      <c r="E413" s="2" t="str">
        <f>IF(ISERROR("GASPRICE"),"","NA")</f>
        <v>NA</v>
      </c>
      <c r="F413" s="4" t="str">
        <f>IF(ISERROR("GASPRICE"),"",HYPERLINK("#INDEX('Frequencies'!A:A,MATCH(A" &amp; ROW() &amp; ",'Frequencies'!A:A,0))","Frequencies"))</f>
        <v>Frequencies</v>
      </c>
      <c r="G413" s="2">
        <v>66</v>
      </c>
      <c r="H413" s="2"/>
      <c r="I413" s="2"/>
      <c r="J413" s="2"/>
      <c r="K413" s="2"/>
      <c r="L413" s="2"/>
    </row>
    <row r="414" spans="1:12" ht="50.1" customHeight="1" x14ac:dyDescent="0.25">
      <c r="A414" s="3" t="s">
        <v>386</v>
      </c>
      <c r="B414" s="2" t="s">
        <v>387</v>
      </c>
      <c r="C414" s="2"/>
      <c r="D414" s="2" t="s">
        <v>41</v>
      </c>
      <c r="E414" s="4" t="str">
        <f>IF(ISERROR("LD_DIST"),"",HYPERLINK("#INDEX('Value Lookup'!A:A,MATCH(A" &amp; ROW() &amp; ",'Value Lookup'!A:A,0))","Value Lookup"))</f>
        <v>Value Lookup</v>
      </c>
      <c r="F414" s="4" t="str">
        <f>IF(ISERROR("LD_DIST"),"",HYPERLINK("#INDEX('Frequencies'!A:A,MATCH(A" &amp; ROW() &amp; ",'Frequencies'!A:A,0))","Frequencies"))</f>
        <v>Frequencies</v>
      </c>
      <c r="G414" s="2">
        <v>67</v>
      </c>
      <c r="H414" s="2"/>
      <c r="I414" s="2"/>
      <c r="J414" s="2"/>
      <c r="K414" s="2"/>
      <c r="L414" s="2"/>
    </row>
    <row r="415" spans="1:12" ht="50.1" customHeight="1" x14ac:dyDescent="0.25">
      <c r="A415" s="3" t="s">
        <v>687</v>
      </c>
      <c r="B415" s="2" t="s">
        <v>688</v>
      </c>
      <c r="C415" s="2"/>
      <c r="D415" s="2" t="s">
        <v>15</v>
      </c>
      <c r="E415" s="4" t="str">
        <f>IF(ISERROR("SCRESP"),"",HYPERLINK("#INDEX('Value Lookup'!A:A,MATCH(A" &amp; ROW() &amp; ",'Value Lookup'!A:A,0))","Value Lookup"))</f>
        <v>Value Lookup</v>
      </c>
      <c r="F415" s="4" t="str">
        <f>IF(ISERROR("SCRESP"),"",HYPERLINK("#INDEX('Frequencies'!A:A,MATCH(A" &amp; ROW() &amp; ",'Frequencies'!A:A,0))","Frequencies"))</f>
        <v>Frequencies</v>
      </c>
      <c r="G415" s="2">
        <v>68</v>
      </c>
      <c r="H415" s="2"/>
      <c r="I415" s="2"/>
      <c r="J415" s="2"/>
      <c r="K415" s="2"/>
      <c r="L415" s="2"/>
    </row>
    <row r="416" spans="1:12" ht="50.1" customHeight="1" x14ac:dyDescent="0.25">
      <c r="A416" s="3" t="s">
        <v>135</v>
      </c>
      <c r="B416" s="2" t="s">
        <v>136</v>
      </c>
      <c r="C416" s="2"/>
      <c r="D416" s="2" t="s">
        <v>15</v>
      </c>
      <c r="E416" s="4" t="str">
        <f>IF(ISERROR("CENSUS_D"),"",HYPERLINK("#INDEX('Value Lookup'!A:A,MATCH(A" &amp; ROW() &amp; ",'Value Lookup'!A:A,0))","Value Lookup"))</f>
        <v>Value Lookup</v>
      </c>
      <c r="F416" s="4" t="str">
        <f>IF(ISERROR("CENSUS_D"),"",HYPERLINK("#INDEX('Frequencies'!A:A,MATCH(A" &amp; ROW() &amp; ",'Frequencies'!A:A,0))","Frequencies"))</f>
        <v>Frequencies</v>
      </c>
      <c r="G416" s="2">
        <v>69</v>
      </c>
      <c r="H416" s="2"/>
      <c r="I416" s="2"/>
      <c r="J416" s="2"/>
      <c r="K416" s="2"/>
      <c r="L416" s="2"/>
    </row>
    <row r="417" spans="1:12" ht="50.1" customHeight="1" x14ac:dyDescent="0.25">
      <c r="A417" s="3" t="s">
        <v>137</v>
      </c>
      <c r="B417" s="2" t="s">
        <v>138</v>
      </c>
      <c r="C417" s="2"/>
      <c r="D417" s="2" t="s">
        <v>15</v>
      </c>
      <c r="E417" s="4" t="str">
        <f>IF(ISERROR("CENSUS_R"),"",HYPERLINK("#INDEX('Value Lookup'!A:A,MATCH(A" &amp; ROW() &amp; ",'Value Lookup'!A:A,0))","Value Lookup"))</f>
        <v>Value Lookup</v>
      </c>
      <c r="F417" s="4" t="str">
        <f>IF(ISERROR("CENSUS_R"),"",HYPERLINK("#INDEX('Frequencies'!A:A,MATCH(A" &amp; ROW() &amp; ",'Frequencies'!A:A,0))","Frequencies"))</f>
        <v>Frequencies</v>
      </c>
      <c r="G417" s="2">
        <v>70</v>
      </c>
      <c r="H417" s="2"/>
      <c r="I417" s="2"/>
      <c r="J417" s="2"/>
      <c r="K417" s="2"/>
      <c r="L417" s="2"/>
    </row>
    <row r="418" spans="1:12" ht="50.1" customHeight="1" x14ac:dyDescent="0.25">
      <c r="A418" s="3" t="s">
        <v>133</v>
      </c>
      <c r="B418" s="2" t="s">
        <v>134</v>
      </c>
      <c r="C418" s="2"/>
      <c r="D418" s="2" t="s">
        <v>15</v>
      </c>
      <c r="E418" s="4" t="str">
        <f>IF(ISERROR("CDIVMSAR"),"",HYPERLINK("#INDEX('Value Lookup'!A:A,MATCH(A" &amp; ROW() &amp; ",'Value Lookup'!A:A,0))","Value Lookup"))</f>
        <v>Value Lookup</v>
      </c>
      <c r="F418" s="4" t="str">
        <f>IF(ISERROR("CDIVMSAR"),"",HYPERLINK("#INDEX('Frequencies'!A:A,MATCH(A" &amp; ROW() &amp; ",'Frequencies'!A:A,0))","Frequencies"))</f>
        <v>Frequencies</v>
      </c>
      <c r="G418" s="2">
        <v>71</v>
      </c>
      <c r="H418" s="2"/>
      <c r="I418" s="2"/>
      <c r="J418" s="2"/>
      <c r="K418" s="2"/>
      <c r="L418" s="2"/>
    </row>
    <row r="419" spans="1:12" ht="50.1" customHeight="1" x14ac:dyDescent="0.25">
      <c r="A419" s="3" t="s">
        <v>281</v>
      </c>
      <c r="B419" s="2" t="s">
        <v>282</v>
      </c>
      <c r="C419" s="2"/>
      <c r="D419" s="2" t="s">
        <v>15</v>
      </c>
      <c r="E419" s="4" t="str">
        <f>IF(ISERROR("HH_RACE"),"",HYPERLINK("#INDEX('Value Lookup'!A:A,MATCH(A" &amp; ROW() &amp; ",'Value Lookup'!A:A,0))","Value Lookup"))</f>
        <v>Value Lookup</v>
      </c>
      <c r="F419" s="4" t="str">
        <f>IF(ISERROR("HH_RACE"),"",HYPERLINK("#INDEX('Frequencies'!A:A,MATCH(A" &amp; ROW() &amp; ",'Frequencies'!A:A,0))","Frequencies"))</f>
        <v>Frequencies</v>
      </c>
      <c r="G419" s="2">
        <v>72</v>
      </c>
      <c r="H419" s="2"/>
      <c r="I419" s="2"/>
      <c r="J419" s="2"/>
      <c r="K419" s="2"/>
      <c r="L419" s="2"/>
    </row>
    <row r="420" spans="1:12" ht="50.1" customHeight="1" x14ac:dyDescent="0.25">
      <c r="A420" s="3" t="s">
        <v>275</v>
      </c>
      <c r="B420" s="2" t="s">
        <v>276</v>
      </c>
      <c r="C420" s="2"/>
      <c r="D420" s="2" t="s">
        <v>15</v>
      </c>
      <c r="E420" s="4" t="str">
        <f>IF(ISERROR("HH_HISP"),"",HYPERLINK("#INDEX('Value Lookup'!A:A,MATCH(A" &amp; ROW() &amp; ",'Value Lookup'!A:A,0))","Value Lookup"))</f>
        <v>Value Lookup</v>
      </c>
      <c r="F420" s="4" t="str">
        <f>IF(ISERROR("HH_HISP"),"",HYPERLINK("#INDEX('Frequencies'!A:A,MATCH(A" &amp; ROW() &amp; ",'Frequencies'!A:A,0))","Frequencies"))</f>
        <v>Frequencies</v>
      </c>
      <c r="G420" s="2">
        <v>73</v>
      </c>
      <c r="H420" s="2"/>
      <c r="I420" s="2"/>
      <c r="J420" s="2"/>
      <c r="K420" s="2"/>
      <c r="L420" s="2"/>
    </row>
    <row r="421" spans="1:12" ht="50.1" customHeight="1" x14ac:dyDescent="0.25">
      <c r="A421" s="3" t="s">
        <v>270</v>
      </c>
      <c r="B421" s="2" t="s">
        <v>271</v>
      </c>
      <c r="C421" s="2"/>
      <c r="D421" s="2" t="s">
        <v>15</v>
      </c>
      <c r="E421" s="4" t="str">
        <f>IF(ISERROR("HH_CBSA"),"",HYPERLINK("#INDEX('Value Lookup'!A:A,MATCH(A" &amp; ROW() &amp; ",'Value Lookup'!A:A,0))","Value Lookup"))</f>
        <v>Value Lookup</v>
      </c>
      <c r="F421" s="4" t="str">
        <f>IF(ISERROR("HH_CBSA"),"",HYPERLINK("#INDEX('Frequencies'!A:A,MATCH(A" &amp; ROW() &amp; ",'Frequencies'!A:A,0))","Frequencies"))</f>
        <v>Frequencies</v>
      </c>
      <c r="G421" s="2">
        <v>74</v>
      </c>
      <c r="H421" s="2"/>
      <c r="I421" s="2"/>
      <c r="J421" s="2"/>
      <c r="K421" s="2"/>
      <c r="L421" s="2"/>
    </row>
    <row r="422" spans="1:12" ht="50.1" customHeight="1" x14ac:dyDescent="0.25">
      <c r="A422" s="3" t="s">
        <v>638</v>
      </c>
      <c r="B422" s="2" t="s">
        <v>639</v>
      </c>
      <c r="C422" s="2"/>
      <c r="D422" s="2" t="s">
        <v>41</v>
      </c>
      <c r="E422" s="2" t="str">
        <f>IF(ISERROR("RESP_CNT"),"","NA")</f>
        <v>NA</v>
      </c>
      <c r="F422" s="4" t="str">
        <f>IF(ISERROR("RESP_CNT"),"",HYPERLINK("#INDEX('Frequencies'!A:A,MATCH(A" &amp; ROW() &amp; ",'Frequencies'!A:A,0))","Frequencies"))</f>
        <v>Frequencies</v>
      </c>
      <c r="G422" s="2">
        <v>75</v>
      </c>
      <c r="H422" s="2"/>
      <c r="I422" s="2"/>
      <c r="J422" s="2"/>
      <c r="K422" s="2"/>
      <c r="L422" s="2"/>
    </row>
    <row r="423" spans="1:12" ht="50.1" customHeight="1" x14ac:dyDescent="0.25">
      <c r="A423" s="3" t="s">
        <v>223</v>
      </c>
      <c r="B423" s="2" t="s">
        <v>224</v>
      </c>
      <c r="C423" s="2"/>
      <c r="D423" s="2" t="s">
        <v>15</v>
      </c>
      <c r="E423" s="4" t="str">
        <f>IF(ISERROR("FLAG100"),"",HYPERLINK("#INDEX('Value Lookup'!A:A,MATCH(A" &amp; ROW() &amp; ",'Value Lookup'!A:A,0))","Value Lookup"))</f>
        <v>Value Lookup</v>
      </c>
      <c r="F423" s="4" t="str">
        <f>IF(ISERROR("FLAG100"),"",HYPERLINK("#INDEX('Frequencies'!A:A,MATCH(A" &amp; ROW() &amp; ",'Frequencies'!A:A,0))","Frequencies"))</f>
        <v>Frequencies</v>
      </c>
      <c r="G423" s="2">
        <v>76</v>
      </c>
      <c r="H423" s="2"/>
      <c r="I423" s="2"/>
      <c r="J423" s="2"/>
      <c r="K423" s="2"/>
      <c r="L423" s="2"/>
    </row>
    <row r="424" spans="1:12" ht="50.1" customHeight="1" x14ac:dyDescent="0.25">
      <c r="A424" s="3" t="s">
        <v>249</v>
      </c>
      <c r="B424" s="2" t="s">
        <v>250</v>
      </c>
      <c r="C424" s="2"/>
      <c r="D424" s="2" t="s">
        <v>15</v>
      </c>
      <c r="E424" s="4" t="str">
        <f>IF(ISERROR("HBHTNRNT"),"",HYPERLINK("#INDEX('Value Lookup'!A:A,MATCH(A" &amp; ROW() &amp; ",'Value Lookup'!A:A,0))","Value Lookup"))</f>
        <v>Value Lookup</v>
      </c>
      <c r="F424" s="4" t="str">
        <f>IF(ISERROR("HBHTNRNT"),"",HYPERLINK("#INDEX('Frequencies'!A:A,MATCH(A" &amp; ROW() &amp; ",'Frequencies'!A:A,0))","Frequencies"))</f>
        <v>Frequencies</v>
      </c>
      <c r="G424" s="2">
        <v>77</v>
      </c>
      <c r="H424" s="2"/>
      <c r="I424" s="2"/>
      <c r="J424" s="2"/>
      <c r="K424" s="2"/>
      <c r="L424" s="2"/>
    </row>
    <row r="425" spans="1:12" ht="50.1" customHeight="1" x14ac:dyDescent="0.25">
      <c r="A425" s="3" t="s">
        <v>253</v>
      </c>
      <c r="B425" s="2" t="s">
        <v>254</v>
      </c>
      <c r="C425" s="2"/>
      <c r="D425" s="2" t="s">
        <v>15</v>
      </c>
      <c r="E425" s="4" t="str">
        <f>IF(ISERROR("HBPPOPDN"),"",HYPERLINK("#INDEX('Value Lookup'!A:A,MATCH(A" &amp; ROW() &amp; ",'Value Lookup'!A:A,0))","Value Lookup"))</f>
        <v>Value Lookup</v>
      </c>
      <c r="F425" s="4" t="str">
        <f>IF(ISERROR("HBPPOPDN"),"",HYPERLINK("#INDEX('Frequencies'!A:A,MATCH(A" &amp; ROW() &amp; ",'Frequencies'!A:A,0))","Frequencies"))</f>
        <v>Frequencies</v>
      </c>
      <c r="G425" s="2">
        <v>78</v>
      </c>
      <c r="H425" s="2"/>
      <c r="I425" s="2"/>
      <c r="J425" s="2"/>
      <c r="K425" s="2"/>
      <c r="L425" s="2"/>
    </row>
    <row r="426" spans="1:12" ht="50.1" customHeight="1" x14ac:dyDescent="0.25">
      <c r="A426" s="3" t="s">
        <v>257</v>
      </c>
      <c r="B426" s="2" t="s">
        <v>258</v>
      </c>
      <c r="C426" s="2"/>
      <c r="D426" s="2" t="s">
        <v>15</v>
      </c>
      <c r="E426" s="4" t="str">
        <f>IF(ISERROR("HBRESDN"),"",HYPERLINK("#INDEX('Value Lookup'!A:A,MATCH(A" &amp; ROW() &amp; ",'Value Lookup'!A:A,0))","Value Lookup"))</f>
        <v>Value Lookup</v>
      </c>
      <c r="F426" s="4" t="str">
        <f>IF(ISERROR("HBRESDN"),"",HYPERLINK("#INDEX('Frequencies'!A:A,MATCH(A" &amp; ROW() &amp; ",'Frequencies'!A:A,0))","Frequencies"))</f>
        <v>Frequencies</v>
      </c>
      <c r="G426" s="2">
        <v>79</v>
      </c>
      <c r="H426" s="2"/>
      <c r="I426" s="2"/>
      <c r="J426" s="2"/>
      <c r="K426" s="2"/>
      <c r="L426" s="2"/>
    </row>
    <row r="427" spans="1:12" ht="50.1" customHeight="1" x14ac:dyDescent="0.25">
      <c r="A427" s="3" t="s">
        <v>357</v>
      </c>
      <c r="B427" s="2" t="s">
        <v>358</v>
      </c>
      <c r="C427" s="2"/>
      <c r="D427" s="2" t="s">
        <v>15</v>
      </c>
      <c r="E427" s="4" t="str">
        <f>IF(ISERROR("HTEEMPDN"),"",HYPERLINK("#INDEX('Value Lookup'!A:A,MATCH(A" &amp; ROW() &amp; ",'Value Lookup'!A:A,0))","Value Lookup"))</f>
        <v>Value Lookup</v>
      </c>
      <c r="F427" s="4" t="str">
        <f>IF(ISERROR("HTEEMPDN"),"",HYPERLINK("#INDEX('Frequencies'!A:A,MATCH(A" &amp; ROW() &amp; ",'Frequencies'!A:A,0))","Frequencies"))</f>
        <v>Frequencies</v>
      </c>
      <c r="G427" s="2">
        <v>80</v>
      </c>
      <c r="H427" s="2"/>
      <c r="I427" s="2"/>
      <c r="J427" s="2"/>
      <c r="K427" s="2"/>
      <c r="L427" s="2"/>
    </row>
    <row r="428" spans="1:12" ht="50.1" customHeight="1" x14ac:dyDescent="0.25">
      <c r="A428" s="3" t="s">
        <v>361</v>
      </c>
      <c r="B428" s="2" t="s">
        <v>362</v>
      </c>
      <c r="C428" s="2"/>
      <c r="D428" s="2" t="s">
        <v>15</v>
      </c>
      <c r="E428" s="4" t="str">
        <f>IF(ISERROR("HTHTNRNT"),"",HYPERLINK("#INDEX('Value Lookup'!A:A,MATCH(A" &amp; ROW() &amp; ",'Value Lookup'!A:A,0))","Value Lookup"))</f>
        <v>Value Lookup</v>
      </c>
      <c r="F428" s="4" t="str">
        <f>IF(ISERROR("HTHTNRNT"),"",HYPERLINK("#INDEX('Frequencies'!A:A,MATCH(A" &amp; ROW() &amp; ",'Frequencies'!A:A,0))","Frequencies"))</f>
        <v>Frequencies</v>
      </c>
      <c r="G428" s="2">
        <v>81</v>
      </c>
      <c r="H428" s="2"/>
      <c r="I428" s="2"/>
      <c r="J428" s="2"/>
      <c r="K428" s="2"/>
      <c r="L428" s="2"/>
    </row>
    <row r="429" spans="1:12" ht="50.1" customHeight="1" x14ac:dyDescent="0.25">
      <c r="A429" s="3" t="s">
        <v>365</v>
      </c>
      <c r="B429" s="2" t="s">
        <v>366</v>
      </c>
      <c r="C429" s="2"/>
      <c r="D429" s="2" t="s">
        <v>15</v>
      </c>
      <c r="E429" s="4" t="str">
        <f>IF(ISERROR("HTPPOPDN"),"",HYPERLINK("#INDEX('Value Lookup'!A:A,MATCH(A" &amp; ROW() &amp; ",'Value Lookup'!A:A,0))","Value Lookup"))</f>
        <v>Value Lookup</v>
      </c>
      <c r="F429" s="4" t="str">
        <f>IF(ISERROR("HTPPOPDN"),"",HYPERLINK("#INDEX('Frequencies'!A:A,MATCH(A" &amp; ROW() &amp; ",'Frequencies'!A:A,0))","Frequencies"))</f>
        <v>Frequencies</v>
      </c>
      <c r="G429" s="2">
        <v>82</v>
      </c>
      <c r="H429" s="2"/>
      <c r="I429" s="2"/>
      <c r="J429" s="2"/>
      <c r="K429" s="2"/>
      <c r="L429" s="2"/>
    </row>
    <row r="430" spans="1:12" ht="50.1" customHeight="1" x14ac:dyDescent="0.25">
      <c r="A430" s="3" t="s">
        <v>369</v>
      </c>
      <c r="B430" s="2" t="s">
        <v>370</v>
      </c>
      <c r="C430" s="2"/>
      <c r="D430" s="2" t="s">
        <v>15</v>
      </c>
      <c r="E430" s="4" t="str">
        <f>IF(ISERROR("HTRESDN"),"",HYPERLINK("#INDEX('Value Lookup'!A:A,MATCH(A" &amp; ROW() &amp; ",'Value Lookup'!A:A,0))","Value Lookup"))</f>
        <v>Value Lookup</v>
      </c>
      <c r="F430" s="4" t="str">
        <f>IF(ISERROR("HTRESDN"),"",HYPERLINK("#INDEX('Frequencies'!A:A,MATCH(A" &amp; ROW() &amp; ",'Frequencies'!A:A,0))","Frequencies"))</f>
        <v>Frequencies</v>
      </c>
      <c r="G430" s="2">
        <v>83</v>
      </c>
      <c r="H430" s="2"/>
      <c r="I430" s="2"/>
      <c r="J430" s="2"/>
      <c r="K430" s="2"/>
      <c r="L430" s="2"/>
    </row>
    <row r="431" spans="1:12" ht="50.1" customHeight="1" x14ac:dyDescent="0.25">
      <c r="A431" s="3" t="s">
        <v>251</v>
      </c>
      <c r="B431" s="2" t="s">
        <v>252</v>
      </c>
      <c r="C431" s="2"/>
      <c r="D431" s="2" t="s">
        <v>41</v>
      </c>
      <c r="E431" s="4" t="str">
        <f>IF(ISERROR("HBHTNRNT17"),"",HYPERLINK("#INDEX('Value Lookup'!A:A,MATCH(A" &amp; ROW() &amp; ",'Value Lookup'!A:A,0))","Value Lookup"))</f>
        <v>Value Lookup</v>
      </c>
      <c r="F431" s="4" t="str">
        <f>IF(ISERROR("HBHTNRNT17"),"",HYPERLINK("#INDEX('Frequencies'!A:A,MATCH(A" &amp; ROW() &amp; ",'Frequencies'!A:A,0))","Frequencies"))</f>
        <v>Frequencies</v>
      </c>
      <c r="G431" s="2">
        <v>84</v>
      </c>
      <c r="H431" s="2"/>
      <c r="I431" s="2"/>
      <c r="J431" s="2"/>
      <c r="K431" s="2"/>
      <c r="L431" s="2"/>
    </row>
    <row r="432" spans="1:12" ht="50.1" customHeight="1" x14ac:dyDescent="0.25">
      <c r="A432" s="3" t="s">
        <v>255</v>
      </c>
      <c r="B432" s="2" t="s">
        <v>256</v>
      </c>
      <c r="C432" s="2"/>
      <c r="D432" s="2" t="s">
        <v>41</v>
      </c>
      <c r="E432" s="2" t="str">
        <f>IF(ISERROR("HBPPOPDN17"),"","NA")</f>
        <v>NA</v>
      </c>
      <c r="F432" s="4" t="str">
        <f>IF(ISERROR("HBPPOPDN17"),"",HYPERLINK("#INDEX('Frequencies'!A:A,MATCH(A" &amp; ROW() &amp; ",'Frequencies'!A:A,0))","Frequencies"))</f>
        <v>Frequencies</v>
      </c>
      <c r="G432" s="2">
        <v>85</v>
      </c>
      <c r="H432" s="2"/>
      <c r="I432" s="2"/>
      <c r="J432" s="2"/>
      <c r="K432" s="2"/>
      <c r="L432" s="2"/>
    </row>
    <row r="433" spans="1:12" ht="50.1" customHeight="1" x14ac:dyDescent="0.25">
      <c r="A433" s="3" t="s">
        <v>259</v>
      </c>
      <c r="B433" s="2" t="s">
        <v>260</v>
      </c>
      <c r="C433" s="2"/>
      <c r="D433" s="2" t="s">
        <v>41</v>
      </c>
      <c r="E433" s="2" t="str">
        <f>IF(ISERROR("HBRESDN17"),"","NA")</f>
        <v>NA</v>
      </c>
      <c r="F433" s="4" t="str">
        <f>IF(ISERROR("HBRESDN17"),"",HYPERLINK("#INDEX('Frequencies'!A:A,MATCH(A" &amp; ROW() &amp; ",'Frequencies'!A:A,0))","Frequencies"))</f>
        <v>Frequencies</v>
      </c>
      <c r="G433" s="2">
        <v>86</v>
      </c>
      <c r="H433" s="2"/>
      <c r="I433" s="2"/>
      <c r="J433" s="2"/>
      <c r="K433" s="2"/>
      <c r="L433" s="2"/>
    </row>
    <row r="434" spans="1:12" ht="50.1" customHeight="1" x14ac:dyDescent="0.25">
      <c r="A434" s="3" t="s">
        <v>359</v>
      </c>
      <c r="B434" s="2" t="s">
        <v>360</v>
      </c>
      <c r="C434" s="2"/>
      <c r="D434" s="2" t="s">
        <v>41</v>
      </c>
      <c r="E434" s="2" t="str">
        <f>IF(ISERROR("HTEEMPDN17"),"","NA")</f>
        <v>NA</v>
      </c>
      <c r="F434" s="4" t="str">
        <f>IF(ISERROR("HTEEMPDN17"),"",HYPERLINK("#INDEX('Frequencies'!A:A,MATCH(A" &amp; ROW() &amp; ",'Frequencies'!A:A,0))","Frequencies"))</f>
        <v>Frequencies</v>
      </c>
      <c r="G434" s="2">
        <v>87</v>
      </c>
      <c r="H434" s="2"/>
      <c r="I434" s="2"/>
      <c r="J434" s="2"/>
      <c r="K434" s="2"/>
      <c r="L434" s="2"/>
    </row>
    <row r="435" spans="1:12" ht="50.1" customHeight="1" x14ac:dyDescent="0.25">
      <c r="A435" s="3" t="s">
        <v>363</v>
      </c>
      <c r="B435" s="2" t="s">
        <v>364</v>
      </c>
      <c r="C435" s="2"/>
      <c r="D435" s="2" t="s">
        <v>41</v>
      </c>
      <c r="E435" s="4" t="str">
        <f>IF(ISERROR("HTHTNRNT17"),"",HYPERLINK("#INDEX('Value Lookup'!A:A,MATCH(A" &amp; ROW() &amp; ",'Value Lookup'!A:A,0))","Value Lookup"))</f>
        <v>Value Lookup</v>
      </c>
      <c r="F435" s="4" t="str">
        <f>IF(ISERROR("HTHTNRNT17"),"",HYPERLINK("#INDEX('Frequencies'!A:A,MATCH(A" &amp; ROW() &amp; ",'Frequencies'!A:A,0))","Frequencies"))</f>
        <v>Frequencies</v>
      </c>
      <c r="G435" s="2">
        <v>88</v>
      </c>
      <c r="H435" s="2"/>
      <c r="I435" s="2"/>
      <c r="J435" s="2"/>
      <c r="K435" s="2"/>
      <c r="L435" s="2"/>
    </row>
    <row r="436" spans="1:12" ht="50.1" customHeight="1" x14ac:dyDescent="0.25">
      <c r="A436" s="3" t="s">
        <v>367</v>
      </c>
      <c r="B436" s="2" t="s">
        <v>368</v>
      </c>
      <c r="C436" s="2"/>
      <c r="D436" s="2" t="s">
        <v>41</v>
      </c>
      <c r="E436" s="2" t="str">
        <f>IF(ISERROR("HTPPOPDN17"),"","NA")</f>
        <v>NA</v>
      </c>
      <c r="F436" s="4" t="str">
        <f>IF(ISERROR("HTPPOPDN17"),"",HYPERLINK("#INDEX('Frequencies'!A:A,MATCH(A" &amp; ROW() &amp; ",'Frequencies'!A:A,0))","Frequencies"))</f>
        <v>Frequencies</v>
      </c>
      <c r="G436" s="2">
        <v>89</v>
      </c>
      <c r="H436" s="2"/>
      <c r="I436" s="2"/>
      <c r="J436" s="2"/>
      <c r="K436" s="2"/>
      <c r="L436" s="2"/>
    </row>
    <row r="437" spans="1:12" ht="50.1" customHeight="1" x14ac:dyDescent="0.25">
      <c r="A437" s="3" t="s">
        <v>371</v>
      </c>
      <c r="B437" s="2" t="s">
        <v>372</v>
      </c>
      <c r="C437" s="2"/>
      <c r="D437" s="2" t="s">
        <v>41</v>
      </c>
      <c r="E437" s="2" t="str">
        <f>IF(ISERROR("HTRESDN17"),"","NA")</f>
        <v>NA</v>
      </c>
      <c r="F437" s="4" t="str">
        <f>IF(ISERROR("HTRESDN17"),"",HYPERLINK("#INDEX('Frequencies'!A:A,MATCH(A" &amp; ROW() &amp; ",'Frequencies'!A:A,0))","Frequencies"))</f>
        <v>Frequencies</v>
      </c>
      <c r="G437" s="2">
        <v>90</v>
      </c>
      <c r="H437" s="2"/>
      <c r="I437" s="2"/>
      <c r="J437" s="2"/>
      <c r="K437" s="2"/>
      <c r="L437" s="2"/>
    </row>
    <row r="438" spans="1:12" ht="50.1" customHeight="1" x14ac:dyDescent="0.25">
      <c r="A438" s="3" t="s">
        <v>692</v>
      </c>
      <c r="B438" s="2" t="s">
        <v>693</v>
      </c>
      <c r="C438" s="2"/>
      <c r="D438" s="2" t="s">
        <v>15</v>
      </c>
      <c r="E438" s="4" t="str">
        <f>IF(ISERROR("SPONSCHG"),"",HYPERLINK("#INDEX('Value Lookup'!A:A,MATCH(A" &amp; ROW() &amp; ",'Value Lookup'!A:A,0))","Value Lookup"))</f>
        <v>Value Lookup</v>
      </c>
      <c r="F438" s="4" t="str">
        <f>IF(ISERROR("SPONSCHG"),"",HYPERLINK("#INDEX('Frequencies'!A:A,MATCH(A" &amp; ROW() &amp; ",'Frequencies'!A:A,0))","Frequencies"))</f>
        <v>Frequencies</v>
      </c>
      <c r="G438" s="2">
        <v>91</v>
      </c>
      <c r="H438" s="2"/>
      <c r="I438" s="2"/>
      <c r="J438" s="2"/>
      <c r="K438" s="2"/>
      <c r="L438" s="2"/>
    </row>
    <row r="439" spans="1:12" ht="50.1" customHeight="1" x14ac:dyDescent="0.25">
      <c r="A439" s="3" t="s">
        <v>961</v>
      </c>
      <c r="B439" s="2" t="s">
        <v>962</v>
      </c>
      <c r="C439" s="2"/>
      <c r="D439" s="2" t="s">
        <v>15</v>
      </c>
      <c r="E439" s="4" t="str">
        <f>IF(ISERROR("WEBUSE17"),"",HYPERLINK("#INDEX('Value Lookup'!A:A,MATCH(A" &amp; ROW() &amp; ",'Value Lookup'!A:A,0))","Value Lookup"))</f>
        <v>Value Lookup</v>
      </c>
      <c r="F439" s="4" t="str">
        <f>IF(ISERROR("WEBUSE17"),"",HYPERLINK("#INDEX('Frequencies'!A:A,MATCH(A" &amp; ROW() &amp; ",'Frequencies'!A:A,0))","Frequencies"))</f>
        <v>Frequencies</v>
      </c>
      <c r="G439" s="2">
        <v>92</v>
      </c>
      <c r="H439" s="2"/>
      <c r="I439" s="2"/>
      <c r="J439" s="2"/>
      <c r="K439" s="2"/>
      <c r="L439" s="2"/>
    </row>
    <row r="440" spans="1:12" ht="50.1" customHeight="1" x14ac:dyDescent="0.25">
      <c r="A440" s="3" t="s">
        <v>694</v>
      </c>
      <c r="B440" s="2" t="s">
        <v>695</v>
      </c>
      <c r="C440" s="2"/>
      <c r="D440" s="2" t="s">
        <v>15</v>
      </c>
      <c r="E440" s="4" t="str">
        <f>IF(ISERROR("SPONSOR"),"",HYPERLINK("#INDEX('Value Lookup'!A:A,MATCH(A" &amp; ROW() &amp; ",'Value Lookup'!A:A,0))","Value Lookup"))</f>
        <v>Value Lookup</v>
      </c>
      <c r="F440" s="4" t="str">
        <f>IF(ISERROR("SPONSOR"),"",HYPERLINK("#INDEX('Frequencies'!A:A,MATCH(A" &amp; ROW() &amp; ",'Frequencies'!A:A,0))","Frequencies"))</f>
        <v>Frequencies</v>
      </c>
      <c r="G440" s="2">
        <v>93</v>
      </c>
      <c r="H440" s="2"/>
      <c r="I440" s="2"/>
      <c r="J440" s="2"/>
      <c r="K440" s="2"/>
      <c r="L440" s="2"/>
    </row>
    <row r="441" spans="1:12" ht="50.1" customHeight="1" x14ac:dyDescent="0.25">
      <c r="A441" s="3" t="s">
        <v>344</v>
      </c>
      <c r="B441" s="2" t="s">
        <v>345</v>
      </c>
      <c r="C441" s="2"/>
      <c r="D441" s="2" t="s">
        <v>15</v>
      </c>
      <c r="E441" s="2" t="str">
        <f>IF(ISERROR("HOMEOWN_IMP"),"","NA")</f>
        <v>NA</v>
      </c>
      <c r="F441" s="4" t="str">
        <f>IF(ISERROR("HOMEOWN_IMP"),"",HYPERLINK("#INDEX('Frequencies'!A:A,MATCH(A" &amp; ROW() &amp; ",'Frequencies'!A:A,0))","Frequencies"))</f>
        <v>Frequencies</v>
      </c>
      <c r="G441" s="2">
        <v>94</v>
      </c>
      <c r="H441" s="2"/>
      <c r="I441" s="2"/>
      <c r="J441" s="2"/>
      <c r="K441" s="2"/>
      <c r="L441" s="2"/>
    </row>
    <row r="442" spans="1:12" ht="50.1" customHeight="1" x14ac:dyDescent="0.25">
      <c r="A442" s="3" t="s">
        <v>395</v>
      </c>
      <c r="B442" s="2" t="s">
        <v>396</v>
      </c>
      <c r="C442" s="2"/>
      <c r="D442" s="2" t="s">
        <v>15</v>
      </c>
      <c r="E442" s="4" t="str">
        <f>IF(ISERROR("LOCTYPE"),"",HYPERLINK("#INDEX('Value Lookup'!A:A,MATCH(A" &amp; ROW() &amp; ",'Value Lookup'!A:A,0))","Value Lookup"))</f>
        <v>Value Lookup</v>
      </c>
      <c r="F442" s="4" t="str">
        <f>IF(ISERROR("LOCTYPE"),"",HYPERLINK("#INDEX('Frequencies'!A:A,MATCH(A" &amp; ROW() &amp; ",'Frequencies'!A:A,0))","Frequencies"))</f>
        <v>Frequencies</v>
      </c>
      <c r="G442" s="2"/>
      <c r="H442" s="2"/>
      <c r="I442" s="2"/>
      <c r="J442" s="2"/>
      <c r="K442" s="2">
        <v>4</v>
      </c>
      <c r="L442" s="2"/>
    </row>
    <row r="443" spans="1:12" ht="50.1" customHeight="1" x14ac:dyDescent="0.25">
      <c r="A443" s="3" t="s">
        <v>397</v>
      </c>
      <c r="B443" s="2" t="s">
        <v>398</v>
      </c>
      <c r="C443" s="2"/>
      <c r="D443" s="2" t="s">
        <v>15</v>
      </c>
      <c r="E443" s="2" t="str">
        <f>IF(ISERROR("LONGITUDE"),"","NA")</f>
        <v>NA</v>
      </c>
      <c r="F443" s="4" t="str">
        <f>IF(ISERROR("LONGITUDE"),"",HYPERLINK("#INDEX('Frequencies'!A:A,MATCH(A" &amp; ROW() &amp; ",'Frequencies'!A:A,0))","Frequencies"))</f>
        <v>Frequencies</v>
      </c>
      <c r="G443" s="2"/>
      <c r="H443" s="2"/>
      <c r="I443" s="2"/>
      <c r="J443" s="2"/>
      <c r="K443" s="2">
        <v>5</v>
      </c>
      <c r="L443" s="2"/>
    </row>
    <row r="444" spans="1:12" ht="50.1" customHeight="1" x14ac:dyDescent="0.25">
      <c r="A444" s="3" t="s">
        <v>384</v>
      </c>
      <c r="B444" s="2" t="s">
        <v>385</v>
      </c>
      <c r="C444" s="2"/>
      <c r="D444" s="2" t="s">
        <v>15</v>
      </c>
      <c r="E444" s="2" t="str">
        <f>IF(ISERROR("LATITUDE"),"","NA")</f>
        <v>NA</v>
      </c>
      <c r="F444" s="4" t="str">
        <f>IF(ISERROR("LATITUDE"),"",HYPERLINK("#INDEX('Frequencies'!A:A,MATCH(A" &amp; ROW() &amp; ",'Frequencies'!A:A,0))","Frequencies"))</f>
        <v>Frequencies</v>
      </c>
      <c r="G444" s="2"/>
      <c r="H444" s="2"/>
      <c r="I444" s="2"/>
      <c r="J444" s="2"/>
      <c r="K444" s="2">
        <v>6</v>
      </c>
      <c r="L444" s="2"/>
    </row>
    <row r="445" spans="1:12" ht="50.1" customHeight="1" x14ac:dyDescent="0.25">
      <c r="A445" s="3" t="s">
        <v>390</v>
      </c>
      <c r="B445" s="2" t="s">
        <v>391</v>
      </c>
      <c r="C445" s="2" t="s">
        <v>392</v>
      </c>
      <c r="D445" s="2" t="s">
        <v>15</v>
      </c>
      <c r="E445" s="2" t="str">
        <f>IF(ISERROR("LOCNAME"),"","NA")</f>
        <v>NA</v>
      </c>
      <c r="F445" s="4" t="str">
        <f>IF(ISERROR("LOCNAME"),"",HYPERLINK("#INDEX('Frequencies'!A:A,MATCH(A" &amp; ROW() &amp; ",'Frequencies'!A:A,0))","Frequencies"))</f>
        <v>Frequencies</v>
      </c>
      <c r="G445" s="2"/>
      <c r="H445" s="2"/>
      <c r="I445" s="2"/>
      <c r="J445" s="2"/>
      <c r="K445" s="2">
        <v>7</v>
      </c>
      <c r="L445" s="2"/>
    </row>
    <row r="446" spans="1:12" ht="50.1" customHeight="1" x14ac:dyDescent="0.25">
      <c r="A446" s="3" t="s">
        <v>700</v>
      </c>
      <c r="B446" s="2" t="s">
        <v>701</v>
      </c>
      <c r="C446" s="2"/>
      <c r="D446" s="2" t="s">
        <v>15</v>
      </c>
      <c r="E446" s="2" t="str">
        <f>IF(ISERROR("STREETADDR"),"","NA")</f>
        <v>NA</v>
      </c>
      <c r="F446" s="4" t="str">
        <f>IF(ISERROR("STREETADDR"),"",HYPERLINK("#INDEX('Frequencies'!A:A,MATCH(A" &amp; ROW() &amp; ",'Frequencies'!A:A,0))","Frequencies"))</f>
        <v>Frequencies</v>
      </c>
      <c r="G446" s="2"/>
      <c r="H446" s="2"/>
      <c r="I446" s="2"/>
      <c r="J446" s="2"/>
      <c r="K446" s="2">
        <v>8</v>
      </c>
      <c r="L446" s="2"/>
    </row>
    <row r="447" spans="1:12" ht="50.1" customHeight="1" x14ac:dyDescent="0.25">
      <c r="A447" s="3" t="s">
        <v>139</v>
      </c>
      <c r="B447" s="2" t="s">
        <v>140</v>
      </c>
      <c r="C447" s="2"/>
      <c r="D447" s="2" t="s">
        <v>15</v>
      </c>
      <c r="E447" s="4" t="str">
        <f>IF(ISERROR("CITY"),"",HYPERLINK("#INDEX('Value Lookup'!A:A,MATCH(A" &amp; ROW() &amp; ",'Value Lookup'!A:A,0))","Value Lookup"))</f>
        <v>Value Lookup</v>
      </c>
      <c r="F447" s="4" t="str">
        <f>IF(ISERROR("CITY"),"",HYPERLINK("#INDEX('Frequencies'!A:A,MATCH(A" &amp; ROW() &amp; ",'Frequencies'!A:A,0))","Frequencies"))</f>
        <v>Frequencies</v>
      </c>
      <c r="G447" s="2"/>
      <c r="H447" s="2"/>
      <c r="I447" s="2"/>
      <c r="J447" s="2"/>
      <c r="K447" s="2">
        <v>9</v>
      </c>
      <c r="L447" s="2"/>
    </row>
    <row r="448" spans="1:12" ht="50.1" customHeight="1" x14ac:dyDescent="0.25">
      <c r="A448" s="3" t="s">
        <v>696</v>
      </c>
      <c r="B448" s="2" t="s">
        <v>697</v>
      </c>
      <c r="C448" s="2"/>
      <c r="D448" s="2" t="s">
        <v>15</v>
      </c>
      <c r="E448" s="4" t="str">
        <f>IF(ISERROR("STATE"),"",HYPERLINK("#INDEX('Value Lookup'!A:A,MATCH(A" &amp; ROW() &amp; ",'Value Lookup'!A:A,0))","Value Lookup"))</f>
        <v>Value Lookup</v>
      </c>
      <c r="F448" s="4" t="str">
        <f>IF(ISERROR("STATE"),"",HYPERLINK("#INDEX('Frequencies'!A:A,MATCH(A" &amp; ROW() &amp; ",'Frequencies'!A:A,0))","Frequencies"))</f>
        <v>Frequencies</v>
      </c>
      <c r="G448" s="2"/>
      <c r="H448" s="2"/>
      <c r="I448" s="2"/>
      <c r="J448" s="2"/>
      <c r="K448" s="2">
        <v>10</v>
      </c>
      <c r="L448" s="2"/>
    </row>
    <row r="449" spans="1:12" ht="50.1" customHeight="1" x14ac:dyDescent="0.25">
      <c r="A449" s="3" t="s">
        <v>1079</v>
      </c>
      <c r="B449" s="2" t="s">
        <v>1080</v>
      </c>
      <c r="C449" s="2"/>
      <c r="D449" s="2" t="s">
        <v>15</v>
      </c>
      <c r="E449" s="4" t="str">
        <f>IF(ISERROR("ZIP"),"",HYPERLINK("#INDEX('Value Lookup'!A:A,MATCH(A" &amp; ROW() &amp; ",'Value Lookup'!A:A,0))","Value Lookup"))</f>
        <v>Value Lookup</v>
      </c>
      <c r="F449" s="4" t="str">
        <f>IF(ISERROR("ZIP"),"",HYPERLINK("#INDEX('Frequencies'!A:A,MATCH(A" &amp; ROW() &amp; ",'Frequencies'!A:A,0))","Frequencies"))</f>
        <v>Frequencies</v>
      </c>
      <c r="G449" s="2"/>
      <c r="H449" s="2"/>
      <c r="I449" s="2"/>
      <c r="J449" s="2"/>
      <c r="K449" s="2">
        <v>11</v>
      </c>
      <c r="L449" s="2"/>
    </row>
    <row r="450" spans="1:12" ht="50.1" customHeight="1" x14ac:dyDescent="0.25">
      <c r="A450" s="3" t="s">
        <v>168</v>
      </c>
      <c r="B450" s="2" t="s">
        <v>169</v>
      </c>
      <c r="C450" s="2"/>
      <c r="D450" s="2" t="s">
        <v>15</v>
      </c>
      <c r="E450" s="2" t="str">
        <f>IF(ISERROR("COUNTRY"),"","NA")</f>
        <v>NA</v>
      </c>
      <c r="F450" s="4" t="str">
        <f>IF(ISERROR("COUNTRY"),"",HYPERLINK("#INDEX('Frequencies'!A:A,MATCH(A" &amp; ROW() &amp; ",'Frequencies'!A:A,0))","Frequencies"))</f>
        <v>Frequencies</v>
      </c>
      <c r="G450" s="2"/>
      <c r="H450" s="2"/>
      <c r="I450" s="2"/>
      <c r="J450" s="2"/>
      <c r="K450" s="2">
        <v>12</v>
      </c>
      <c r="L450" s="2"/>
    </row>
    <row r="451" spans="1:12" ht="50.1" customHeight="1" x14ac:dyDescent="0.25">
      <c r="A451" s="3" t="s">
        <v>238</v>
      </c>
      <c r="B451" s="2" t="s">
        <v>239</v>
      </c>
      <c r="C451" s="2"/>
      <c r="D451" s="2" t="s">
        <v>15</v>
      </c>
      <c r="E451" s="2" t="str">
        <f>IF(ISERROR("FULLADDR"),"","NA")</f>
        <v>NA</v>
      </c>
      <c r="F451" s="4" t="str">
        <f>IF(ISERROR("FULLADDR"),"",HYPERLINK("#INDEX('Frequencies'!A:A,MATCH(A" &amp; ROW() &amp; ",'Frequencies'!A:A,0))","Frequencies"))</f>
        <v>Frequencies</v>
      </c>
      <c r="G451" s="2"/>
      <c r="H451" s="2"/>
      <c r="I451" s="2"/>
      <c r="J451" s="2"/>
      <c r="K451" s="2">
        <v>13</v>
      </c>
      <c r="L451" s="2"/>
    </row>
    <row r="452" spans="1:12" ht="50.1" customHeight="1" x14ac:dyDescent="0.25">
      <c r="A452" s="3" t="s">
        <v>240</v>
      </c>
      <c r="B452" s="2" t="s">
        <v>241</v>
      </c>
      <c r="C452" s="2"/>
      <c r="D452" s="2" t="s">
        <v>15</v>
      </c>
      <c r="E452" s="4" t="str">
        <f>IF(ISERROR("FULLFIPS"),"",HYPERLINK("#INDEX('Value Lookup'!A:A,MATCH(A" &amp; ROW() &amp; ",'Value Lookup'!A:A,0))","Value Lookup"))</f>
        <v>Value Lookup</v>
      </c>
      <c r="F452" s="4" t="str">
        <f>IF(ISERROR("FULLFIPS"),"",HYPERLINK("#INDEX('Frequencies'!A:A,MATCH(A" &amp; ROW() &amp; ",'Frequencies'!A:A,0))","Frequencies"))</f>
        <v>Frequencies</v>
      </c>
      <c r="G452" s="2"/>
      <c r="H452" s="2"/>
      <c r="I452" s="2"/>
      <c r="J452" s="2"/>
      <c r="K452" s="2">
        <v>14</v>
      </c>
      <c r="L452" s="2"/>
    </row>
    <row r="453" spans="1:12" ht="50.1" customHeight="1" x14ac:dyDescent="0.25">
      <c r="A453" s="3" t="s">
        <v>698</v>
      </c>
      <c r="B453" s="2" t="s">
        <v>699</v>
      </c>
      <c r="C453" s="2"/>
      <c r="D453" s="2" t="s">
        <v>15</v>
      </c>
      <c r="E453" s="4" t="str">
        <f>IF(ISERROR("STATEFIPS"),"",HYPERLINK("#INDEX('Value Lookup'!A:A,MATCH(A" &amp; ROW() &amp; ",'Value Lookup'!A:A,0))","Value Lookup"))</f>
        <v>Value Lookup</v>
      </c>
      <c r="F453" s="4" t="str">
        <f>IF(ISERROR("STATEFIPS"),"",HYPERLINK("#INDEX('Frequencies'!A:A,MATCH(A" &amp; ROW() &amp; ",'Frequencies'!A:A,0))","Frequencies"))</f>
        <v>Frequencies</v>
      </c>
      <c r="G453" s="2"/>
      <c r="H453" s="2"/>
      <c r="I453" s="2"/>
      <c r="J453" s="2"/>
      <c r="K453" s="2">
        <v>15</v>
      </c>
      <c r="L453" s="2"/>
    </row>
    <row r="454" spans="1:12" ht="50.1" customHeight="1" x14ac:dyDescent="0.25">
      <c r="A454" s="3" t="s">
        <v>145</v>
      </c>
      <c r="B454" s="2" t="s">
        <v>146</v>
      </c>
      <c r="C454" s="2"/>
      <c r="D454" s="2" t="s">
        <v>15</v>
      </c>
      <c r="E454" s="4" t="str">
        <f>IF(ISERROR("CNTYFIPS"),"",HYPERLINK("#INDEX('Value Lookup'!A:A,MATCH(A" &amp; ROW() &amp; ",'Value Lookup'!A:A,0))","Value Lookup"))</f>
        <v>Value Lookup</v>
      </c>
      <c r="F454" s="4" t="str">
        <f>IF(ISERROR("CNTYFIPS"),"",HYPERLINK("#INDEX('Frequencies'!A:A,MATCH(A" &amp; ROW() &amp; ",'Frequencies'!A:A,0))","Frequencies"))</f>
        <v>Frequencies</v>
      </c>
      <c r="G454" s="2"/>
      <c r="H454" s="2"/>
      <c r="I454" s="2"/>
      <c r="J454" s="2"/>
      <c r="K454" s="2">
        <v>16</v>
      </c>
      <c r="L454" s="2"/>
    </row>
    <row r="455" spans="1:12" ht="50.1" customHeight="1" x14ac:dyDescent="0.25">
      <c r="A455" s="3" t="s">
        <v>786</v>
      </c>
      <c r="B455" s="2" t="s">
        <v>787</v>
      </c>
      <c r="C455" s="2"/>
      <c r="D455" s="2" t="s">
        <v>15</v>
      </c>
      <c r="E455" s="4" t="str">
        <f>IF(ISERROR("TRACTFIPS"),"",HYPERLINK("#INDEX('Value Lookup'!A:A,MATCH(A" &amp; ROW() &amp; ",'Value Lookup'!A:A,0))","Value Lookup"))</f>
        <v>Value Lookup</v>
      </c>
      <c r="F455" s="4" t="str">
        <f>IF(ISERROR("TRACTFIPS"),"",HYPERLINK("#INDEX('Frequencies'!A:A,MATCH(A" &amp; ROW() &amp; ",'Frequencies'!A:A,0))","Frequencies"))</f>
        <v>Frequencies</v>
      </c>
      <c r="G455" s="2"/>
      <c r="H455" s="2"/>
      <c r="I455" s="2"/>
      <c r="J455" s="2"/>
      <c r="K455" s="2">
        <v>17</v>
      </c>
      <c r="L455" s="2"/>
    </row>
    <row r="456" spans="1:12" ht="50.1" customHeight="1" x14ac:dyDescent="0.25">
      <c r="A456" s="3" t="s">
        <v>114</v>
      </c>
      <c r="B456" s="2" t="s">
        <v>115</v>
      </c>
      <c r="C456" s="2"/>
      <c r="D456" s="2" t="s">
        <v>15</v>
      </c>
      <c r="E456" s="4" t="str">
        <f>IF(ISERROR("BLOCKFIPS"),"",HYPERLINK("#INDEX('Value Lookup'!A:A,MATCH(A" &amp; ROW() &amp; ",'Value Lookup'!A:A,0))","Value Lookup"))</f>
        <v>Value Lookup</v>
      </c>
      <c r="F456" s="4" t="str">
        <f>IF(ISERROR("BLOCKFIPS"),"",HYPERLINK("#INDEX('Frequencies'!A:A,MATCH(A" &amp; ROW() &amp; ",'Frequencies'!A:A,0))","Frequencies"))</f>
        <v>Frequencies</v>
      </c>
      <c r="G456" s="2"/>
      <c r="H456" s="2"/>
      <c r="I456" s="2"/>
      <c r="J456" s="2"/>
      <c r="K456" s="2">
        <v>18</v>
      </c>
      <c r="L456" s="2"/>
    </row>
    <row r="457" spans="1:12" ht="50.1" customHeight="1" x14ac:dyDescent="0.25">
      <c r="A457" s="3" t="s">
        <v>131</v>
      </c>
      <c r="B457" s="2" t="s">
        <v>132</v>
      </c>
      <c r="C457" s="2"/>
      <c r="D457" s="2" t="s">
        <v>15</v>
      </c>
      <c r="E457" s="4" t="str">
        <f>IF(ISERROR("CBSA"),"",HYPERLINK("#INDEX('Value Lookup'!A:A,MATCH(A" &amp; ROW() &amp; ",'Value Lookup'!A:A,0))","Value Lookup"))</f>
        <v>Value Lookup</v>
      </c>
      <c r="F457" s="4" t="str">
        <f>IF(ISERROR("CBSA"),"",HYPERLINK("#INDEX('Frequencies'!A:A,MATCH(A" &amp; ROW() &amp; ",'Frequencies'!A:A,0))","Frequencies"))</f>
        <v>Frequencies</v>
      </c>
      <c r="G457" s="2"/>
      <c r="H457" s="2"/>
      <c r="I457" s="2"/>
      <c r="J457" s="2"/>
      <c r="K457" s="2">
        <v>19</v>
      </c>
      <c r="L457" s="2"/>
    </row>
    <row r="458" spans="1:12" ht="50.1" customHeight="1" x14ac:dyDescent="0.25">
      <c r="A458" s="3" t="s">
        <v>170</v>
      </c>
      <c r="B458" s="2" t="s">
        <v>171</v>
      </c>
      <c r="C458" s="2"/>
      <c r="D458" s="2" t="s">
        <v>15</v>
      </c>
      <c r="E458" s="4" t="str">
        <f>IF(ISERROR("CSA"),"",HYPERLINK("#INDEX('Value Lookup'!A:A,MATCH(A" &amp; ROW() &amp; ",'Value Lookup'!A:A,0))","Value Lookup"))</f>
        <v>Value Lookup</v>
      </c>
      <c r="F458" s="4" t="str">
        <f>IF(ISERROR("CSA"),"",HYPERLINK("#INDEX('Frequencies'!A:A,MATCH(A" &amp; ROW() &amp; ",'Frequencies'!A:A,0))","Frequencies"))</f>
        <v>Frequencies</v>
      </c>
      <c r="G458" s="2"/>
      <c r="H458" s="2"/>
      <c r="I458" s="2"/>
      <c r="J458" s="2"/>
      <c r="K458" s="2">
        <v>20</v>
      </c>
      <c r="L458" s="2"/>
    </row>
  </sheetData>
  <sortState ref="A2:L458">
    <sortCondition ref="I1"/>
  </sortState>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59"/>
  <sheetViews>
    <sheetView tabSelected="1" workbookViewId="0">
      <pane ySplit="1" topLeftCell="A2215" activePane="bottomLeft" state="frozen"/>
      <selection pane="bottomLeft" activeCell="A2216" sqref="A2216"/>
    </sheetView>
  </sheetViews>
  <sheetFormatPr defaultRowHeight="15" x14ac:dyDescent="0.25"/>
  <cols>
    <col min="1" max="4" width="13.7109375" customWidth="1"/>
  </cols>
  <sheetData>
    <row r="1" spans="1:4" ht="30" customHeight="1" x14ac:dyDescent="0.25">
      <c r="A1" s="1" t="s">
        <v>0</v>
      </c>
      <c r="B1" s="1" t="s">
        <v>1081</v>
      </c>
      <c r="C1" s="1" t="s">
        <v>1082</v>
      </c>
      <c r="D1" s="1" t="s">
        <v>1</v>
      </c>
    </row>
    <row r="2" spans="1:4" ht="12.95" customHeight="1" x14ac:dyDescent="0.25">
      <c r="A2" s="2" t="s">
        <v>12</v>
      </c>
      <c r="B2" s="2" t="s">
        <v>1083</v>
      </c>
      <c r="C2" s="5" t="s">
        <v>1084</v>
      </c>
      <c r="D2" s="2" t="s">
        <v>1085</v>
      </c>
    </row>
    <row r="3" spans="1:4" ht="12.95" customHeight="1" x14ac:dyDescent="0.25">
      <c r="A3" s="2" t="s">
        <v>12</v>
      </c>
      <c r="B3" s="2" t="s">
        <v>1083</v>
      </c>
      <c r="C3" s="5" t="s">
        <v>1086</v>
      </c>
      <c r="D3" s="2" t="s">
        <v>1087</v>
      </c>
    </row>
    <row r="4" spans="1:4" ht="12.95" customHeight="1" x14ac:dyDescent="0.25">
      <c r="A4" s="2" t="s">
        <v>12</v>
      </c>
      <c r="B4" s="2" t="s">
        <v>1083</v>
      </c>
      <c r="C4" s="5" t="s">
        <v>1088</v>
      </c>
      <c r="D4" s="2" t="s">
        <v>1089</v>
      </c>
    </row>
    <row r="5" spans="1:4" ht="12.95" customHeight="1" x14ac:dyDescent="0.25">
      <c r="A5" s="2" t="s">
        <v>12</v>
      </c>
      <c r="B5" s="2" t="s">
        <v>1083</v>
      </c>
      <c r="C5" s="5" t="s">
        <v>1090</v>
      </c>
      <c r="D5" s="2" t="s">
        <v>1091</v>
      </c>
    </row>
    <row r="6" spans="1:4" ht="12.95" customHeight="1" x14ac:dyDescent="0.25">
      <c r="A6" s="2" t="s">
        <v>12</v>
      </c>
      <c r="B6" s="2" t="s">
        <v>1083</v>
      </c>
      <c r="C6" s="5" t="s">
        <v>1092</v>
      </c>
      <c r="D6" s="2" t="s">
        <v>1093</v>
      </c>
    </row>
    <row r="7" spans="1:4" ht="12.95" customHeight="1" x14ac:dyDescent="0.25">
      <c r="A7" s="2" t="s">
        <v>12</v>
      </c>
      <c r="B7" s="2" t="s">
        <v>1083</v>
      </c>
      <c r="C7" s="5" t="s">
        <v>1094</v>
      </c>
      <c r="D7" s="2" t="s">
        <v>1095</v>
      </c>
    </row>
    <row r="8" spans="1:4" ht="12.95" customHeight="1" x14ac:dyDescent="0.25">
      <c r="A8" s="2" t="s">
        <v>12</v>
      </c>
      <c r="B8" s="2" t="s">
        <v>1083</v>
      </c>
      <c r="C8" s="5" t="s">
        <v>1096</v>
      </c>
      <c r="D8" s="2" t="s">
        <v>1097</v>
      </c>
    </row>
    <row r="9" spans="1:4" ht="12.95" customHeight="1" x14ac:dyDescent="0.25">
      <c r="A9" s="2" t="s">
        <v>12</v>
      </c>
      <c r="B9" s="2" t="s">
        <v>1083</v>
      </c>
      <c r="C9" s="5" t="s">
        <v>1098</v>
      </c>
      <c r="D9" s="2" t="s">
        <v>1099</v>
      </c>
    </row>
    <row r="10" spans="1:4" ht="12.95" customHeight="1" x14ac:dyDescent="0.25">
      <c r="A10" s="2" t="s">
        <v>12</v>
      </c>
      <c r="B10" s="2" t="s">
        <v>1083</v>
      </c>
      <c r="C10" s="5" t="s">
        <v>1100</v>
      </c>
      <c r="D10" s="2" t="s">
        <v>1101</v>
      </c>
    </row>
    <row r="11" spans="1:4" ht="12.95" customHeight="1" x14ac:dyDescent="0.25">
      <c r="A11" s="2" t="s">
        <v>16</v>
      </c>
      <c r="B11" s="2" t="s">
        <v>1083</v>
      </c>
      <c r="C11" s="5" t="s">
        <v>1102</v>
      </c>
      <c r="D11" s="2" t="s">
        <v>1103</v>
      </c>
    </row>
    <row r="12" spans="1:4" ht="12.95" customHeight="1" x14ac:dyDescent="0.25">
      <c r="A12" s="2" t="s">
        <v>16</v>
      </c>
      <c r="B12" s="2" t="s">
        <v>1083</v>
      </c>
      <c r="C12" s="5" t="s">
        <v>1084</v>
      </c>
      <c r="D12" s="2" t="s">
        <v>1085</v>
      </c>
    </row>
    <row r="13" spans="1:4" ht="12.95" customHeight="1" x14ac:dyDescent="0.25">
      <c r="A13" s="2" t="s">
        <v>16</v>
      </c>
      <c r="B13" s="2" t="s">
        <v>1083</v>
      </c>
      <c r="C13" s="5" t="s">
        <v>1086</v>
      </c>
      <c r="D13" s="2" t="s">
        <v>1087</v>
      </c>
    </row>
    <row r="14" spans="1:4" ht="12.95" customHeight="1" x14ac:dyDescent="0.25">
      <c r="A14" s="2" t="s">
        <v>16</v>
      </c>
      <c r="B14" s="2" t="s">
        <v>1083</v>
      </c>
      <c r="C14" s="5" t="s">
        <v>1088</v>
      </c>
      <c r="D14" s="2" t="s">
        <v>1089</v>
      </c>
    </row>
    <row r="15" spans="1:4" ht="12.95" customHeight="1" x14ac:dyDescent="0.25">
      <c r="A15" s="2" t="s">
        <v>16</v>
      </c>
      <c r="B15" s="2" t="s">
        <v>1083</v>
      </c>
      <c r="C15" s="5" t="s">
        <v>1090</v>
      </c>
      <c r="D15" s="2" t="s">
        <v>1104</v>
      </c>
    </row>
    <row r="16" spans="1:4" ht="12.95" customHeight="1" x14ac:dyDescent="0.25">
      <c r="A16" s="2" t="s">
        <v>16</v>
      </c>
      <c r="B16" s="2" t="s">
        <v>1083</v>
      </c>
      <c r="C16" s="5" t="s">
        <v>1092</v>
      </c>
      <c r="D16" s="2" t="s">
        <v>1105</v>
      </c>
    </row>
    <row r="17" spans="1:4" ht="12.95" customHeight="1" x14ac:dyDescent="0.25">
      <c r="A17" s="2" t="s">
        <v>16</v>
      </c>
      <c r="B17" s="2" t="s">
        <v>1083</v>
      </c>
      <c r="C17" s="5" t="s">
        <v>1094</v>
      </c>
      <c r="D17" s="2" t="s">
        <v>1106</v>
      </c>
    </row>
    <row r="18" spans="1:4" ht="12.95" customHeight="1" x14ac:dyDescent="0.25">
      <c r="A18" s="2" t="s">
        <v>16</v>
      </c>
      <c r="B18" s="2" t="s">
        <v>1083</v>
      </c>
      <c r="C18" s="5" t="s">
        <v>1096</v>
      </c>
      <c r="D18" s="2" t="s">
        <v>1107</v>
      </c>
    </row>
    <row r="19" spans="1:4" ht="12.95" customHeight="1" x14ac:dyDescent="0.25">
      <c r="A19" s="2" t="s">
        <v>16</v>
      </c>
      <c r="B19" s="2" t="s">
        <v>1083</v>
      </c>
      <c r="C19" s="5" t="s">
        <v>1098</v>
      </c>
      <c r="D19" s="2" t="s">
        <v>927</v>
      </c>
    </row>
    <row r="20" spans="1:4" ht="12.95" customHeight="1" x14ac:dyDescent="0.25">
      <c r="A20" s="2" t="s">
        <v>16</v>
      </c>
      <c r="B20" s="2" t="s">
        <v>1083</v>
      </c>
      <c r="C20" s="5" t="s">
        <v>1100</v>
      </c>
      <c r="D20" s="2" t="s">
        <v>1108</v>
      </c>
    </row>
    <row r="21" spans="1:4" ht="12.95" customHeight="1" x14ac:dyDescent="0.25">
      <c r="A21" s="2" t="s">
        <v>16</v>
      </c>
      <c r="B21" s="2" t="s">
        <v>1083</v>
      </c>
      <c r="C21" s="5" t="s">
        <v>1109</v>
      </c>
      <c r="D21" s="2" t="s">
        <v>1110</v>
      </c>
    </row>
    <row r="22" spans="1:4" ht="12.95" customHeight="1" x14ac:dyDescent="0.25">
      <c r="A22" s="2" t="s">
        <v>16</v>
      </c>
      <c r="B22" s="2" t="s">
        <v>1083</v>
      </c>
      <c r="C22" s="5" t="s">
        <v>1111</v>
      </c>
      <c r="D22" s="2" t="s">
        <v>1112</v>
      </c>
    </row>
    <row r="23" spans="1:4" ht="12.95" customHeight="1" x14ac:dyDescent="0.25">
      <c r="A23" s="2" t="s">
        <v>19</v>
      </c>
      <c r="B23" s="2" t="s">
        <v>1083</v>
      </c>
      <c r="C23" s="5" t="s">
        <v>1102</v>
      </c>
      <c r="D23" s="2" t="s">
        <v>1103</v>
      </c>
    </row>
    <row r="24" spans="1:4" ht="12.95" customHeight="1" x14ac:dyDescent="0.25">
      <c r="A24" s="2" t="s">
        <v>19</v>
      </c>
      <c r="B24" s="2" t="s">
        <v>1083</v>
      </c>
      <c r="C24" s="5" t="s">
        <v>1084</v>
      </c>
      <c r="D24" s="2" t="s">
        <v>1085</v>
      </c>
    </row>
    <row r="25" spans="1:4" ht="12.95" customHeight="1" x14ac:dyDescent="0.25">
      <c r="A25" s="2" t="s">
        <v>19</v>
      </c>
      <c r="B25" s="2" t="s">
        <v>1083</v>
      </c>
      <c r="C25" s="5" t="s">
        <v>1086</v>
      </c>
      <c r="D25" s="2" t="s">
        <v>1087</v>
      </c>
    </row>
    <row r="26" spans="1:4" ht="12.95" customHeight="1" x14ac:dyDescent="0.25">
      <c r="A26" s="2" t="s">
        <v>19</v>
      </c>
      <c r="B26" s="2" t="s">
        <v>1083</v>
      </c>
      <c r="C26" s="5" t="s">
        <v>1088</v>
      </c>
      <c r="D26" s="2" t="s">
        <v>1089</v>
      </c>
    </row>
    <row r="27" spans="1:4" ht="12.95" customHeight="1" x14ac:dyDescent="0.25">
      <c r="A27" s="2" t="s">
        <v>19</v>
      </c>
      <c r="B27" s="2" t="s">
        <v>1083</v>
      </c>
      <c r="C27" s="5" t="s">
        <v>1090</v>
      </c>
      <c r="D27" s="2" t="s">
        <v>1104</v>
      </c>
    </row>
    <row r="28" spans="1:4" ht="12.95" customHeight="1" x14ac:dyDescent="0.25">
      <c r="A28" s="2" t="s">
        <v>19</v>
      </c>
      <c r="B28" s="2" t="s">
        <v>1083</v>
      </c>
      <c r="C28" s="5" t="s">
        <v>1092</v>
      </c>
      <c r="D28" s="2" t="s">
        <v>1105</v>
      </c>
    </row>
    <row r="29" spans="1:4" ht="12.95" customHeight="1" x14ac:dyDescent="0.25">
      <c r="A29" s="2" t="s">
        <v>19</v>
      </c>
      <c r="B29" s="2" t="s">
        <v>1083</v>
      </c>
      <c r="C29" s="5" t="s">
        <v>1094</v>
      </c>
      <c r="D29" s="2" t="s">
        <v>1106</v>
      </c>
    </row>
    <row r="30" spans="1:4" ht="12.95" customHeight="1" x14ac:dyDescent="0.25">
      <c r="A30" s="2" t="s">
        <v>19</v>
      </c>
      <c r="B30" s="2" t="s">
        <v>1083</v>
      </c>
      <c r="C30" s="5" t="s">
        <v>1096</v>
      </c>
      <c r="D30" s="2" t="s">
        <v>1107</v>
      </c>
    </row>
    <row r="31" spans="1:4" ht="12.95" customHeight="1" x14ac:dyDescent="0.25">
      <c r="A31" s="2" t="s">
        <v>19</v>
      </c>
      <c r="B31" s="2" t="s">
        <v>1083</v>
      </c>
      <c r="C31" s="5" t="s">
        <v>1098</v>
      </c>
      <c r="D31" s="2" t="s">
        <v>927</v>
      </c>
    </row>
    <row r="32" spans="1:4" ht="12.95" customHeight="1" x14ac:dyDescent="0.25">
      <c r="A32" s="2" t="s">
        <v>19</v>
      </c>
      <c r="B32" s="2" t="s">
        <v>1083</v>
      </c>
      <c r="C32" s="5" t="s">
        <v>1100</v>
      </c>
      <c r="D32" s="2" t="s">
        <v>1108</v>
      </c>
    </row>
    <row r="33" spans="1:4" ht="12.95" customHeight="1" x14ac:dyDescent="0.25">
      <c r="A33" s="2" t="s">
        <v>19</v>
      </c>
      <c r="B33" s="2" t="s">
        <v>1083</v>
      </c>
      <c r="C33" s="5" t="s">
        <v>1109</v>
      </c>
      <c r="D33" s="2" t="s">
        <v>1110</v>
      </c>
    </row>
    <row r="34" spans="1:4" ht="12.95" customHeight="1" x14ac:dyDescent="0.25">
      <c r="A34" s="2" t="s">
        <v>19</v>
      </c>
      <c r="B34" s="2" t="s">
        <v>1083</v>
      </c>
      <c r="C34" s="5" t="s">
        <v>1111</v>
      </c>
      <c r="D34" s="2" t="s">
        <v>1112</v>
      </c>
    </row>
    <row r="35" spans="1:4" ht="12.95" customHeight="1" x14ac:dyDescent="0.25">
      <c r="A35" s="2" t="s">
        <v>21</v>
      </c>
      <c r="B35" s="2" t="s">
        <v>1083</v>
      </c>
      <c r="C35" s="5" t="s">
        <v>1102</v>
      </c>
      <c r="D35" s="2" t="s">
        <v>1103</v>
      </c>
    </row>
    <row r="36" spans="1:4" ht="12.95" customHeight="1" x14ac:dyDescent="0.25">
      <c r="A36" s="2" t="s">
        <v>21</v>
      </c>
      <c r="B36" s="2" t="s">
        <v>1083</v>
      </c>
      <c r="C36" s="5" t="s">
        <v>1084</v>
      </c>
      <c r="D36" s="2" t="s">
        <v>1085</v>
      </c>
    </row>
    <row r="37" spans="1:4" ht="12.95" customHeight="1" x14ac:dyDescent="0.25">
      <c r="A37" s="2" t="s">
        <v>21</v>
      </c>
      <c r="B37" s="2" t="s">
        <v>1083</v>
      </c>
      <c r="C37" s="5" t="s">
        <v>1086</v>
      </c>
      <c r="D37" s="2" t="s">
        <v>1087</v>
      </c>
    </row>
    <row r="38" spans="1:4" ht="12.95" customHeight="1" x14ac:dyDescent="0.25">
      <c r="A38" s="2" t="s">
        <v>21</v>
      </c>
      <c r="B38" s="2" t="s">
        <v>1083</v>
      </c>
      <c r="C38" s="5" t="s">
        <v>1088</v>
      </c>
      <c r="D38" s="2" t="s">
        <v>1089</v>
      </c>
    </row>
    <row r="39" spans="1:4" ht="12.95" customHeight="1" x14ac:dyDescent="0.25">
      <c r="A39" s="2" t="s">
        <v>21</v>
      </c>
      <c r="B39" s="2" t="s">
        <v>1083</v>
      </c>
      <c r="C39" s="5" t="s">
        <v>1090</v>
      </c>
      <c r="D39" s="2" t="s">
        <v>1104</v>
      </c>
    </row>
    <row r="40" spans="1:4" ht="12.95" customHeight="1" x14ac:dyDescent="0.25">
      <c r="A40" s="2" t="s">
        <v>21</v>
      </c>
      <c r="B40" s="2" t="s">
        <v>1083</v>
      </c>
      <c r="C40" s="5" t="s">
        <v>1092</v>
      </c>
      <c r="D40" s="2" t="s">
        <v>1105</v>
      </c>
    </row>
    <row r="41" spans="1:4" ht="12.95" customHeight="1" x14ac:dyDescent="0.25">
      <c r="A41" s="2" t="s">
        <v>21</v>
      </c>
      <c r="B41" s="2" t="s">
        <v>1083</v>
      </c>
      <c r="C41" s="5" t="s">
        <v>1094</v>
      </c>
      <c r="D41" s="2" t="s">
        <v>1106</v>
      </c>
    </row>
    <row r="42" spans="1:4" ht="12.95" customHeight="1" x14ac:dyDescent="0.25">
      <c r="A42" s="2" t="s">
        <v>21</v>
      </c>
      <c r="B42" s="2" t="s">
        <v>1083</v>
      </c>
      <c r="C42" s="5" t="s">
        <v>1096</v>
      </c>
      <c r="D42" s="2" t="s">
        <v>1107</v>
      </c>
    </row>
    <row r="43" spans="1:4" ht="12.95" customHeight="1" x14ac:dyDescent="0.25">
      <c r="A43" s="2" t="s">
        <v>21</v>
      </c>
      <c r="B43" s="2" t="s">
        <v>1083</v>
      </c>
      <c r="C43" s="5" t="s">
        <v>1098</v>
      </c>
      <c r="D43" s="2" t="s">
        <v>927</v>
      </c>
    </row>
    <row r="44" spans="1:4" ht="12.95" customHeight="1" x14ac:dyDescent="0.25">
      <c r="A44" s="2" t="s">
        <v>21</v>
      </c>
      <c r="B44" s="2" t="s">
        <v>1083</v>
      </c>
      <c r="C44" s="5" t="s">
        <v>1100</v>
      </c>
      <c r="D44" s="2" t="s">
        <v>1108</v>
      </c>
    </row>
    <row r="45" spans="1:4" ht="12.95" customHeight="1" x14ac:dyDescent="0.25">
      <c r="A45" s="2" t="s">
        <v>21</v>
      </c>
      <c r="B45" s="2" t="s">
        <v>1083</v>
      </c>
      <c r="C45" s="5" t="s">
        <v>1109</v>
      </c>
      <c r="D45" s="2" t="s">
        <v>1110</v>
      </c>
    </row>
    <row r="46" spans="1:4" ht="12.95" customHeight="1" x14ac:dyDescent="0.25">
      <c r="A46" s="2" t="s">
        <v>21</v>
      </c>
      <c r="B46" s="2" t="s">
        <v>1083</v>
      </c>
      <c r="C46" s="5" t="s">
        <v>1111</v>
      </c>
      <c r="D46" s="2" t="s">
        <v>1112</v>
      </c>
    </row>
    <row r="47" spans="1:4" ht="12.95" customHeight="1" x14ac:dyDescent="0.25">
      <c r="A47" s="2" t="s">
        <v>23</v>
      </c>
      <c r="B47" s="2" t="s">
        <v>1083</v>
      </c>
      <c r="C47" s="5" t="s">
        <v>1102</v>
      </c>
      <c r="D47" s="2" t="s">
        <v>1103</v>
      </c>
    </row>
    <row r="48" spans="1:4" ht="12.95" customHeight="1" x14ac:dyDescent="0.25">
      <c r="A48" s="2" t="s">
        <v>23</v>
      </c>
      <c r="B48" s="2" t="s">
        <v>1083</v>
      </c>
      <c r="C48" s="5" t="s">
        <v>1084</v>
      </c>
      <c r="D48" s="2" t="s">
        <v>1085</v>
      </c>
    </row>
    <row r="49" spans="1:4" ht="12.95" customHeight="1" x14ac:dyDescent="0.25">
      <c r="A49" s="2" t="s">
        <v>23</v>
      </c>
      <c r="B49" s="2" t="s">
        <v>1083</v>
      </c>
      <c r="C49" s="5" t="s">
        <v>1086</v>
      </c>
      <c r="D49" s="2" t="s">
        <v>1087</v>
      </c>
    </row>
    <row r="50" spans="1:4" ht="12.95" customHeight="1" x14ac:dyDescent="0.25">
      <c r="A50" s="2" t="s">
        <v>23</v>
      </c>
      <c r="B50" s="2" t="s">
        <v>1083</v>
      </c>
      <c r="C50" s="5" t="s">
        <v>1088</v>
      </c>
      <c r="D50" s="2" t="s">
        <v>1089</v>
      </c>
    </row>
    <row r="51" spans="1:4" ht="12.95" customHeight="1" x14ac:dyDescent="0.25">
      <c r="A51" s="2" t="s">
        <v>23</v>
      </c>
      <c r="B51" s="2" t="s">
        <v>1083</v>
      </c>
      <c r="C51" s="5" t="s">
        <v>1090</v>
      </c>
      <c r="D51" s="2" t="s">
        <v>1104</v>
      </c>
    </row>
    <row r="52" spans="1:4" ht="12.95" customHeight="1" x14ac:dyDescent="0.25">
      <c r="A52" s="2" t="s">
        <v>23</v>
      </c>
      <c r="B52" s="2" t="s">
        <v>1083</v>
      </c>
      <c r="C52" s="5" t="s">
        <v>1092</v>
      </c>
      <c r="D52" s="2" t="s">
        <v>1105</v>
      </c>
    </row>
    <row r="53" spans="1:4" ht="12.95" customHeight="1" x14ac:dyDescent="0.25">
      <c r="A53" s="2" t="s">
        <v>23</v>
      </c>
      <c r="B53" s="2" t="s">
        <v>1083</v>
      </c>
      <c r="C53" s="5" t="s">
        <v>1094</v>
      </c>
      <c r="D53" s="2" t="s">
        <v>1106</v>
      </c>
    </row>
    <row r="54" spans="1:4" ht="12.95" customHeight="1" x14ac:dyDescent="0.25">
      <c r="A54" s="2" t="s">
        <v>23</v>
      </c>
      <c r="B54" s="2" t="s">
        <v>1083</v>
      </c>
      <c r="C54" s="5" t="s">
        <v>1096</v>
      </c>
      <c r="D54" s="2" t="s">
        <v>1107</v>
      </c>
    </row>
    <row r="55" spans="1:4" ht="12.95" customHeight="1" x14ac:dyDescent="0.25">
      <c r="A55" s="2" t="s">
        <v>23</v>
      </c>
      <c r="B55" s="2" t="s">
        <v>1083</v>
      </c>
      <c r="C55" s="5" t="s">
        <v>1098</v>
      </c>
      <c r="D55" s="2" t="s">
        <v>927</v>
      </c>
    </row>
    <row r="56" spans="1:4" ht="12.95" customHeight="1" x14ac:dyDescent="0.25">
      <c r="A56" s="2" t="s">
        <v>23</v>
      </c>
      <c r="B56" s="2" t="s">
        <v>1083</v>
      </c>
      <c r="C56" s="5" t="s">
        <v>1100</v>
      </c>
      <c r="D56" s="2" t="s">
        <v>1108</v>
      </c>
    </row>
    <row r="57" spans="1:4" ht="12.95" customHeight="1" x14ac:dyDescent="0.25">
      <c r="A57" s="2" t="s">
        <v>23</v>
      </c>
      <c r="B57" s="2" t="s">
        <v>1083</v>
      </c>
      <c r="C57" s="5" t="s">
        <v>1109</v>
      </c>
      <c r="D57" s="2" t="s">
        <v>1110</v>
      </c>
    </row>
    <row r="58" spans="1:4" ht="12.95" customHeight="1" x14ac:dyDescent="0.25">
      <c r="A58" s="2" t="s">
        <v>23</v>
      </c>
      <c r="B58" s="2" t="s">
        <v>1083</v>
      </c>
      <c r="C58" s="5" t="s">
        <v>1111</v>
      </c>
      <c r="D58" s="2" t="s">
        <v>1112</v>
      </c>
    </row>
    <row r="59" spans="1:4" ht="12.95" customHeight="1" x14ac:dyDescent="0.25">
      <c r="A59" s="2" t="s">
        <v>25</v>
      </c>
      <c r="B59" s="2" t="s">
        <v>1083</v>
      </c>
      <c r="C59" s="5" t="s">
        <v>1102</v>
      </c>
      <c r="D59" s="2" t="s">
        <v>1103</v>
      </c>
    </row>
    <row r="60" spans="1:4" ht="12.95" customHeight="1" x14ac:dyDescent="0.25">
      <c r="A60" s="2" t="s">
        <v>25</v>
      </c>
      <c r="B60" s="2" t="s">
        <v>1083</v>
      </c>
      <c r="C60" s="5" t="s">
        <v>1084</v>
      </c>
      <c r="D60" s="2" t="s">
        <v>1085</v>
      </c>
    </row>
    <row r="61" spans="1:4" ht="12.95" customHeight="1" x14ac:dyDescent="0.25">
      <c r="A61" s="2" t="s">
        <v>25</v>
      </c>
      <c r="B61" s="2" t="s">
        <v>1083</v>
      </c>
      <c r="C61" s="5" t="s">
        <v>1086</v>
      </c>
      <c r="D61" s="2" t="s">
        <v>1087</v>
      </c>
    </row>
    <row r="62" spans="1:4" ht="12.95" customHeight="1" x14ac:dyDescent="0.25">
      <c r="A62" s="2" t="s">
        <v>25</v>
      </c>
      <c r="B62" s="2" t="s">
        <v>1083</v>
      </c>
      <c r="C62" s="5" t="s">
        <v>1088</v>
      </c>
      <c r="D62" s="2" t="s">
        <v>1089</v>
      </c>
    </row>
    <row r="63" spans="1:4" ht="12.95" customHeight="1" x14ac:dyDescent="0.25">
      <c r="A63" s="2" t="s">
        <v>25</v>
      </c>
      <c r="B63" s="2" t="s">
        <v>1083</v>
      </c>
      <c r="C63" s="5" t="s">
        <v>1090</v>
      </c>
      <c r="D63" s="2" t="s">
        <v>1104</v>
      </c>
    </row>
    <row r="64" spans="1:4" ht="12.95" customHeight="1" x14ac:dyDescent="0.25">
      <c r="A64" s="2" t="s">
        <v>25</v>
      </c>
      <c r="B64" s="2" t="s">
        <v>1083</v>
      </c>
      <c r="C64" s="5" t="s">
        <v>1092</v>
      </c>
      <c r="D64" s="2" t="s">
        <v>1105</v>
      </c>
    </row>
    <row r="65" spans="1:4" ht="12.95" customHeight="1" x14ac:dyDescent="0.25">
      <c r="A65" s="2" t="s">
        <v>25</v>
      </c>
      <c r="B65" s="2" t="s">
        <v>1083</v>
      </c>
      <c r="C65" s="5" t="s">
        <v>1094</v>
      </c>
      <c r="D65" s="2" t="s">
        <v>1106</v>
      </c>
    </row>
    <row r="66" spans="1:4" ht="12.95" customHeight="1" x14ac:dyDescent="0.25">
      <c r="A66" s="2" t="s">
        <v>25</v>
      </c>
      <c r="B66" s="2" t="s">
        <v>1083</v>
      </c>
      <c r="C66" s="5" t="s">
        <v>1096</v>
      </c>
      <c r="D66" s="2" t="s">
        <v>1107</v>
      </c>
    </row>
    <row r="67" spans="1:4" ht="12.95" customHeight="1" x14ac:dyDescent="0.25">
      <c r="A67" s="2" t="s">
        <v>25</v>
      </c>
      <c r="B67" s="2" t="s">
        <v>1083</v>
      </c>
      <c r="C67" s="5" t="s">
        <v>1098</v>
      </c>
      <c r="D67" s="2" t="s">
        <v>927</v>
      </c>
    </row>
    <row r="68" spans="1:4" ht="12.95" customHeight="1" x14ac:dyDescent="0.25">
      <c r="A68" s="2" t="s">
        <v>25</v>
      </c>
      <c r="B68" s="2" t="s">
        <v>1083</v>
      </c>
      <c r="C68" s="5" t="s">
        <v>1100</v>
      </c>
      <c r="D68" s="2" t="s">
        <v>1108</v>
      </c>
    </row>
    <row r="69" spans="1:4" ht="12.95" customHeight="1" x14ac:dyDescent="0.25">
      <c r="A69" s="2" t="s">
        <v>25</v>
      </c>
      <c r="B69" s="2" t="s">
        <v>1083</v>
      </c>
      <c r="C69" s="5" t="s">
        <v>1109</v>
      </c>
      <c r="D69" s="2" t="s">
        <v>1110</v>
      </c>
    </row>
    <row r="70" spans="1:4" ht="12.95" customHeight="1" x14ac:dyDescent="0.25">
      <c r="A70" s="2" t="s">
        <v>25</v>
      </c>
      <c r="B70" s="2" t="s">
        <v>1083</v>
      </c>
      <c r="C70" s="5" t="s">
        <v>1111</v>
      </c>
      <c r="D70" s="2" t="s">
        <v>1112</v>
      </c>
    </row>
    <row r="71" spans="1:4" ht="12.95" customHeight="1" x14ac:dyDescent="0.25">
      <c r="A71" s="2" t="s">
        <v>27</v>
      </c>
      <c r="B71" s="2" t="s">
        <v>1083</v>
      </c>
      <c r="C71" s="5" t="s">
        <v>1102</v>
      </c>
      <c r="D71" s="2" t="s">
        <v>1103</v>
      </c>
    </row>
    <row r="72" spans="1:4" ht="12.95" customHeight="1" x14ac:dyDescent="0.25">
      <c r="A72" s="2" t="s">
        <v>27</v>
      </c>
      <c r="B72" s="2" t="s">
        <v>1083</v>
      </c>
      <c r="C72" s="5" t="s">
        <v>1084</v>
      </c>
      <c r="D72" s="2" t="s">
        <v>1085</v>
      </c>
    </row>
    <row r="73" spans="1:4" ht="12.95" customHeight="1" x14ac:dyDescent="0.25">
      <c r="A73" s="2" t="s">
        <v>27</v>
      </c>
      <c r="B73" s="2" t="s">
        <v>1083</v>
      </c>
      <c r="C73" s="5" t="s">
        <v>1086</v>
      </c>
      <c r="D73" s="2" t="s">
        <v>1087</v>
      </c>
    </row>
    <row r="74" spans="1:4" ht="12.95" customHeight="1" x14ac:dyDescent="0.25">
      <c r="A74" s="2" t="s">
        <v>27</v>
      </c>
      <c r="B74" s="2" t="s">
        <v>1083</v>
      </c>
      <c r="C74" s="5" t="s">
        <v>1088</v>
      </c>
      <c r="D74" s="2" t="s">
        <v>1089</v>
      </c>
    </row>
    <row r="75" spans="1:4" ht="12.95" customHeight="1" x14ac:dyDescent="0.25">
      <c r="A75" s="2" t="s">
        <v>27</v>
      </c>
      <c r="B75" s="2" t="s">
        <v>1083</v>
      </c>
      <c r="C75" s="5" t="s">
        <v>1090</v>
      </c>
      <c r="D75" s="2" t="s">
        <v>1104</v>
      </c>
    </row>
    <row r="76" spans="1:4" ht="12.95" customHeight="1" x14ac:dyDescent="0.25">
      <c r="A76" s="2" t="s">
        <v>27</v>
      </c>
      <c r="B76" s="2" t="s">
        <v>1083</v>
      </c>
      <c r="C76" s="5" t="s">
        <v>1092</v>
      </c>
      <c r="D76" s="2" t="s">
        <v>1105</v>
      </c>
    </row>
    <row r="77" spans="1:4" ht="12.95" customHeight="1" x14ac:dyDescent="0.25">
      <c r="A77" s="2" t="s">
        <v>27</v>
      </c>
      <c r="B77" s="2" t="s">
        <v>1083</v>
      </c>
      <c r="C77" s="5" t="s">
        <v>1094</v>
      </c>
      <c r="D77" s="2" t="s">
        <v>1106</v>
      </c>
    </row>
    <row r="78" spans="1:4" ht="12.95" customHeight="1" x14ac:dyDescent="0.25">
      <c r="A78" s="2" t="s">
        <v>27</v>
      </c>
      <c r="B78" s="2" t="s">
        <v>1083</v>
      </c>
      <c r="C78" s="5" t="s">
        <v>1096</v>
      </c>
      <c r="D78" s="2" t="s">
        <v>1107</v>
      </c>
    </row>
    <row r="79" spans="1:4" ht="12.95" customHeight="1" x14ac:dyDescent="0.25">
      <c r="A79" s="2" t="s">
        <v>27</v>
      </c>
      <c r="B79" s="2" t="s">
        <v>1083</v>
      </c>
      <c r="C79" s="5" t="s">
        <v>1098</v>
      </c>
      <c r="D79" s="2" t="s">
        <v>927</v>
      </c>
    </row>
    <row r="80" spans="1:4" ht="12.95" customHeight="1" x14ac:dyDescent="0.25">
      <c r="A80" s="2" t="s">
        <v>27</v>
      </c>
      <c r="B80" s="2" t="s">
        <v>1083</v>
      </c>
      <c r="C80" s="5" t="s">
        <v>1100</v>
      </c>
      <c r="D80" s="2" t="s">
        <v>1108</v>
      </c>
    </row>
    <row r="81" spans="1:4" ht="12.95" customHeight="1" x14ac:dyDescent="0.25">
      <c r="A81" s="2" t="s">
        <v>27</v>
      </c>
      <c r="B81" s="2" t="s">
        <v>1083</v>
      </c>
      <c r="C81" s="5" t="s">
        <v>1109</v>
      </c>
      <c r="D81" s="2" t="s">
        <v>1110</v>
      </c>
    </row>
    <row r="82" spans="1:4" ht="12.95" customHeight="1" x14ac:dyDescent="0.25">
      <c r="A82" s="2" t="s">
        <v>27</v>
      </c>
      <c r="B82" s="2" t="s">
        <v>1083</v>
      </c>
      <c r="C82" s="5" t="s">
        <v>1111</v>
      </c>
      <c r="D82" s="2" t="s">
        <v>1112</v>
      </c>
    </row>
    <row r="83" spans="1:4" ht="12.95" customHeight="1" x14ac:dyDescent="0.25">
      <c r="A83" s="2" t="s">
        <v>29</v>
      </c>
      <c r="B83" s="2" t="s">
        <v>1083</v>
      </c>
      <c r="C83" s="5" t="s">
        <v>1102</v>
      </c>
      <c r="D83" s="2" t="s">
        <v>1103</v>
      </c>
    </row>
    <row r="84" spans="1:4" ht="12.95" customHeight="1" x14ac:dyDescent="0.25">
      <c r="A84" s="2" t="s">
        <v>29</v>
      </c>
      <c r="B84" s="2" t="s">
        <v>1083</v>
      </c>
      <c r="C84" s="5" t="s">
        <v>1084</v>
      </c>
      <c r="D84" s="2" t="s">
        <v>1085</v>
      </c>
    </row>
    <row r="85" spans="1:4" ht="12.95" customHeight="1" x14ac:dyDescent="0.25">
      <c r="A85" s="2" t="s">
        <v>29</v>
      </c>
      <c r="B85" s="2" t="s">
        <v>1083</v>
      </c>
      <c r="C85" s="5" t="s">
        <v>1086</v>
      </c>
      <c r="D85" s="2" t="s">
        <v>1087</v>
      </c>
    </row>
    <row r="86" spans="1:4" ht="12.95" customHeight="1" x14ac:dyDescent="0.25">
      <c r="A86" s="2" t="s">
        <v>29</v>
      </c>
      <c r="B86" s="2" t="s">
        <v>1083</v>
      </c>
      <c r="C86" s="5" t="s">
        <v>1088</v>
      </c>
      <c r="D86" s="2" t="s">
        <v>1089</v>
      </c>
    </row>
    <row r="87" spans="1:4" ht="12.95" customHeight="1" x14ac:dyDescent="0.25">
      <c r="A87" s="2" t="s">
        <v>29</v>
      </c>
      <c r="B87" s="2" t="s">
        <v>1083</v>
      </c>
      <c r="C87" s="5" t="s">
        <v>1090</v>
      </c>
      <c r="D87" s="2" t="s">
        <v>1104</v>
      </c>
    </row>
    <row r="88" spans="1:4" ht="12.95" customHeight="1" x14ac:dyDescent="0.25">
      <c r="A88" s="2" t="s">
        <v>29</v>
      </c>
      <c r="B88" s="2" t="s">
        <v>1083</v>
      </c>
      <c r="C88" s="5" t="s">
        <v>1092</v>
      </c>
      <c r="D88" s="2" t="s">
        <v>1105</v>
      </c>
    </row>
    <row r="89" spans="1:4" ht="12.95" customHeight="1" x14ac:dyDescent="0.25">
      <c r="A89" s="2" t="s">
        <v>29</v>
      </c>
      <c r="B89" s="2" t="s">
        <v>1083</v>
      </c>
      <c r="C89" s="5" t="s">
        <v>1094</v>
      </c>
      <c r="D89" s="2" t="s">
        <v>1106</v>
      </c>
    </row>
    <row r="90" spans="1:4" ht="12.95" customHeight="1" x14ac:dyDescent="0.25">
      <c r="A90" s="2" t="s">
        <v>29</v>
      </c>
      <c r="B90" s="2" t="s">
        <v>1083</v>
      </c>
      <c r="C90" s="5" t="s">
        <v>1096</v>
      </c>
      <c r="D90" s="2" t="s">
        <v>1107</v>
      </c>
    </row>
    <row r="91" spans="1:4" ht="12.95" customHeight="1" x14ac:dyDescent="0.25">
      <c r="A91" s="2" t="s">
        <v>29</v>
      </c>
      <c r="B91" s="2" t="s">
        <v>1083</v>
      </c>
      <c r="C91" s="5" t="s">
        <v>1098</v>
      </c>
      <c r="D91" s="2" t="s">
        <v>927</v>
      </c>
    </row>
    <row r="92" spans="1:4" ht="12.95" customHeight="1" x14ac:dyDescent="0.25">
      <c r="A92" s="2" t="s">
        <v>29</v>
      </c>
      <c r="B92" s="2" t="s">
        <v>1083</v>
      </c>
      <c r="C92" s="5" t="s">
        <v>1100</v>
      </c>
      <c r="D92" s="2" t="s">
        <v>1108</v>
      </c>
    </row>
    <row r="93" spans="1:4" ht="12.95" customHeight="1" x14ac:dyDescent="0.25">
      <c r="A93" s="2" t="s">
        <v>29</v>
      </c>
      <c r="B93" s="2" t="s">
        <v>1083</v>
      </c>
      <c r="C93" s="5" t="s">
        <v>1109</v>
      </c>
      <c r="D93" s="2" t="s">
        <v>1110</v>
      </c>
    </row>
    <row r="94" spans="1:4" ht="12.95" customHeight="1" x14ac:dyDescent="0.25">
      <c r="A94" s="2" t="s">
        <v>29</v>
      </c>
      <c r="B94" s="2" t="s">
        <v>1083</v>
      </c>
      <c r="C94" s="5" t="s">
        <v>1111</v>
      </c>
      <c r="D94" s="2" t="s">
        <v>1112</v>
      </c>
    </row>
    <row r="95" spans="1:4" ht="12.95" customHeight="1" x14ac:dyDescent="0.25">
      <c r="A95" s="2" t="s">
        <v>31</v>
      </c>
      <c r="B95" s="2" t="s">
        <v>1083</v>
      </c>
      <c r="C95" s="5" t="s">
        <v>1102</v>
      </c>
      <c r="D95" s="2" t="s">
        <v>1103</v>
      </c>
    </row>
    <row r="96" spans="1:4" ht="12.95" customHeight="1" x14ac:dyDescent="0.25">
      <c r="A96" s="2" t="s">
        <v>31</v>
      </c>
      <c r="B96" s="2" t="s">
        <v>1083</v>
      </c>
      <c r="C96" s="5" t="s">
        <v>1084</v>
      </c>
      <c r="D96" s="2" t="s">
        <v>1085</v>
      </c>
    </row>
    <row r="97" spans="1:4" ht="12.95" customHeight="1" x14ac:dyDescent="0.25">
      <c r="A97" s="2" t="s">
        <v>31</v>
      </c>
      <c r="B97" s="2" t="s">
        <v>1083</v>
      </c>
      <c r="C97" s="5" t="s">
        <v>1086</v>
      </c>
      <c r="D97" s="2" t="s">
        <v>1087</v>
      </c>
    </row>
    <row r="98" spans="1:4" ht="12.95" customHeight="1" x14ac:dyDescent="0.25">
      <c r="A98" s="2" t="s">
        <v>31</v>
      </c>
      <c r="B98" s="2" t="s">
        <v>1083</v>
      </c>
      <c r="C98" s="5" t="s">
        <v>1088</v>
      </c>
      <c r="D98" s="2" t="s">
        <v>1089</v>
      </c>
    </row>
    <row r="99" spans="1:4" ht="12.95" customHeight="1" x14ac:dyDescent="0.25">
      <c r="A99" s="2" t="s">
        <v>31</v>
      </c>
      <c r="B99" s="2" t="s">
        <v>1083</v>
      </c>
      <c r="C99" s="5" t="s">
        <v>1090</v>
      </c>
      <c r="D99" s="2" t="s">
        <v>1104</v>
      </c>
    </row>
    <row r="100" spans="1:4" ht="12.95" customHeight="1" x14ac:dyDescent="0.25">
      <c r="A100" s="2" t="s">
        <v>31</v>
      </c>
      <c r="B100" s="2" t="s">
        <v>1083</v>
      </c>
      <c r="C100" s="5" t="s">
        <v>1092</v>
      </c>
      <c r="D100" s="2" t="s">
        <v>1105</v>
      </c>
    </row>
    <row r="101" spans="1:4" ht="12.95" customHeight="1" x14ac:dyDescent="0.25">
      <c r="A101" s="2" t="s">
        <v>31</v>
      </c>
      <c r="B101" s="2" t="s">
        <v>1083</v>
      </c>
      <c r="C101" s="5" t="s">
        <v>1094</v>
      </c>
      <c r="D101" s="2" t="s">
        <v>1106</v>
      </c>
    </row>
    <row r="102" spans="1:4" ht="12.95" customHeight="1" x14ac:dyDescent="0.25">
      <c r="A102" s="2" t="s">
        <v>31</v>
      </c>
      <c r="B102" s="2" t="s">
        <v>1083</v>
      </c>
      <c r="C102" s="5" t="s">
        <v>1096</v>
      </c>
      <c r="D102" s="2" t="s">
        <v>1107</v>
      </c>
    </row>
    <row r="103" spans="1:4" ht="12.95" customHeight="1" x14ac:dyDescent="0.25">
      <c r="A103" s="2" t="s">
        <v>31</v>
      </c>
      <c r="B103" s="2" t="s">
        <v>1083</v>
      </c>
      <c r="C103" s="5" t="s">
        <v>1098</v>
      </c>
      <c r="D103" s="2" t="s">
        <v>927</v>
      </c>
    </row>
    <row r="104" spans="1:4" ht="12.95" customHeight="1" x14ac:dyDescent="0.25">
      <c r="A104" s="2" t="s">
        <v>31</v>
      </c>
      <c r="B104" s="2" t="s">
        <v>1083</v>
      </c>
      <c r="C104" s="5" t="s">
        <v>1100</v>
      </c>
      <c r="D104" s="2" t="s">
        <v>1108</v>
      </c>
    </row>
    <row r="105" spans="1:4" ht="12.95" customHeight="1" x14ac:dyDescent="0.25">
      <c r="A105" s="2" t="s">
        <v>31</v>
      </c>
      <c r="B105" s="2" t="s">
        <v>1083</v>
      </c>
      <c r="C105" s="5" t="s">
        <v>1109</v>
      </c>
      <c r="D105" s="2" t="s">
        <v>1110</v>
      </c>
    </row>
    <row r="106" spans="1:4" ht="12.95" customHeight="1" x14ac:dyDescent="0.25">
      <c r="A106" s="2" t="s">
        <v>31</v>
      </c>
      <c r="B106" s="2" t="s">
        <v>1083</v>
      </c>
      <c r="C106" s="5" t="s">
        <v>1111</v>
      </c>
      <c r="D106" s="2" t="s">
        <v>1112</v>
      </c>
    </row>
    <row r="107" spans="1:4" ht="12.95" customHeight="1" x14ac:dyDescent="0.25">
      <c r="A107" s="2" t="s">
        <v>33</v>
      </c>
      <c r="B107" s="2" t="s">
        <v>1083</v>
      </c>
      <c r="C107" s="5" t="s">
        <v>1102</v>
      </c>
      <c r="D107" s="2" t="s">
        <v>1103</v>
      </c>
    </row>
    <row r="108" spans="1:4" ht="12.95" customHeight="1" x14ac:dyDescent="0.25">
      <c r="A108" s="2" t="s">
        <v>33</v>
      </c>
      <c r="B108" s="2" t="s">
        <v>1083</v>
      </c>
      <c r="C108" s="5" t="s">
        <v>1088</v>
      </c>
      <c r="D108" s="2" t="s">
        <v>1089</v>
      </c>
    </row>
    <row r="109" spans="1:4" ht="12.95" customHeight="1" x14ac:dyDescent="0.25">
      <c r="A109" s="2" t="s">
        <v>35</v>
      </c>
      <c r="B109" s="2" t="s">
        <v>1083</v>
      </c>
      <c r="C109" s="5" t="s">
        <v>1102</v>
      </c>
      <c r="D109" s="2" t="s">
        <v>1103</v>
      </c>
    </row>
    <row r="110" spans="1:4" ht="12.95" customHeight="1" x14ac:dyDescent="0.25">
      <c r="A110" s="2" t="s">
        <v>35</v>
      </c>
      <c r="B110" s="2" t="s">
        <v>1083</v>
      </c>
      <c r="C110" s="5" t="s">
        <v>1084</v>
      </c>
      <c r="D110" s="2" t="s">
        <v>1085</v>
      </c>
    </row>
    <row r="111" spans="1:4" ht="12.95" customHeight="1" x14ac:dyDescent="0.25">
      <c r="A111" s="2" t="s">
        <v>35</v>
      </c>
      <c r="B111" s="2" t="s">
        <v>1083</v>
      </c>
      <c r="C111" s="5" t="s">
        <v>1086</v>
      </c>
      <c r="D111" s="2" t="s">
        <v>1087</v>
      </c>
    </row>
    <row r="112" spans="1:4" ht="12.95" customHeight="1" x14ac:dyDescent="0.25">
      <c r="A112" s="2" t="s">
        <v>35</v>
      </c>
      <c r="B112" s="2" t="s">
        <v>1083</v>
      </c>
      <c r="C112" s="5" t="s">
        <v>1088</v>
      </c>
      <c r="D112" s="2" t="s">
        <v>1089</v>
      </c>
    </row>
    <row r="113" spans="1:4" ht="12.95" customHeight="1" x14ac:dyDescent="0.25">
      <c r="A113" s="2" t="s">
        <v>35</v>
      </c>
      <c r="B113" s="2" t="s">
        <v>1083</v>
      </c>
      <c r="C113" s="5" t="s">
        <v>1090</v>
      </c>
      <c r="D113" s="2" t="s">
        <v>1104</v>
      </c>
    </row>
    <row r="114" spans="1:4" ht="12.95" customHeight="1" x14ac:dyDescent="0.25">
      <c r="A114" s="2" t="s">
        <v>35</v>
      </c>
      <c r="B114" s="2" t="s">
        <v>1083</v>
      </c>
      <c r="C114" s="5" t="s">
        <v>1092</v>
      </c>
      <c r="D114" s="2" t="s">
        <v>1105</v>
      </c>
    </row>
    <row r="115" spans="1:4" ht="12.95" customHeight="1" x14ac:dyDescent="0.25">
      <c r="A115" s="2" t="s">
        <v>35</v>
      </c>
      <c r="B115" s="2" t="s">
        <v>1083</v>
      </c>
      <c r="C115" s="5" t="s">
        <v>1094</v>
      </c>
      <c r="D115" s="2" t="s">
        <v>1106</v>
      </c>
    </row>
    <row r="116" spans="1:4" ht="12.95" customHeight="1" x14ac:dyDescent="0.25">
      <c r="A116" s="2" t="s">
        <v>35</v>
      </c>
      <c r="B116" s="2" t="s">
        <v>1083</v>
      </c>
      <c r="C116" s="5" t="s">
        <v>1096</v>
      </c>
      <c r="D116" s="2" t="s">
        <v>1107</v>
      </c>
    </row>
    <row r="117" spans="1:4" ht="12.95" customHeight="1" x14ac:dyDescent="0.25">
      <c r="A117" s="2" t="s">
        <v>35</v>
      </c>
      <c r="B117" s="2" t="s">
        <v>1083</v>
      </c>
      <c r="C117" s="5" t="s">
        <v>1098</v>
      </c>
      <c r="D117" s="2" t="s">
        <v>927</v>
      </c>
    </row>
    <row r="118" spans="1:4" ht="12.95" customHeight="1" x14ac:dyDescent="0.25">
      <c r="A118" s="2" t="s">
        <v>35</v>
      </c>
      <c r="B118" s="2" t="s">
        <v>1083</v>
      </c>
      <c r="C118" s="5" t="s">
        <v>1100</v>
      </c>
      <c r="D118" s="2" t="s">
        <v>1108</v>
      </c>
    </row>
    <row r="119" spans="1:4" ht="12.95" customHeight="1" x14ac:dyDescent="0.25">
      <c r="A119" s="2" t="s">
        <v>35</v>
      </c>
      <c r="B119" s="2" t="s">
        <v>1083</v>
      </c>
      <c r="C119" s="5" t="s">
        <v>1109</v>
      </c>
      <c r="D119" s="2" t="s">
        <v>1110</v>
      </c>
    </row>
    <row r="120" spans="1:4" ht="12.95" customHeight="1" x14ac:dyDescent="0.25">
      <c r="A120" s="2" t="s">
        <v>35</v>
      </c>
      <c r="B120" s="2" t="s">
        <v>1083</v>
      </c>
      <c r="C120" s="5" t="s">
        <v>1111</v>
      </c>
      <c r="D120" s="2" t="s">
        <v>1112</v>
      </c>
    </row>
    <row r="121" spans="1:4" ht="12.95" customHeight="1" x14ac:dyDescent="0.25">
      <c r="A121" s="2" t="s">
        <v>37</v>
      </c>
      <c r="B121" s="2" t="s">
        <v>1083</v>
      </c>
      <c r="C121" s="5" t="s">
        <v>1102</v>
      </c>
      <c r="D121" s="2" t="s">
        <v>1103</v>
      </c>
    </row>
    <row r="122" spans="1:4" ht="12.95" customHeight="1" x14ac:dyDescent="0.25">
      <c r="A122" s="2" t="s">
        <v>37</v>
      </c>
      <c r="B122" s="2" t="s">
        <v>1083</v>
      </c>
      <c r="C122" s="5" t="s">
        <v>1084</v>
      </c>
      <c r="D122" s="2" t="s">
        <v>1085</v>
      </c>
    </row>
    <row r="123" spans="1:4" ht="12.95" customHeight="1" x14ac:dyDescent="0.25">
      <c r="A123" s="2" t="s">
        <v>37</v>
      </c>
      <c r="B123" s="2" t="s">
        <v>1083</v>
      </c>
      <c r="C123" s="5" t="s">
        <v>1086</v>
      </c>
      <c r="D123" s="2" t="s">
        <v>1087</v>
      </c>
    </row>
    <row r="124" spans="1:4" ht="12.95" customHeight="1" x14ac:dyDescent="0.25">
      <c r="A124" s="2" t="s">
        <v>37</v>
      </c>
      <c r="B124" s="2" t="s">
        <v>1083</v>
      </c>
      <c r="C124" s="5" t="s">
        <v>1088</v>
      </c>
      <c r="D124" s="2" t="s">
        <v>1089</v>
      </c>
    </row>
    <row r="125" spans="1:4" ht="12.95" customHeight="1" x14ac:dyDescent="0.25">
      <c r="A125" s="2" t="s">
        <v>37</v>
      </c>
      <c r="B125" s="2" t="s">
        <v>1083</v>
      </c>
      <c r="C125" s="5" t="s">
        <v>1090</v>
      </c>
      <c r="D125" s="2" t="s">
        <v>1104</v>
      </c>
    </row>
    <row r="126" spans="1:4" ht="12.95" customHeight="1" x14ac:dyDescent="0.25">
      <c r="A126" s="2" t="s">
        <v>37</v>
      </c>
      <c r="B126" s="2" t="s">
        <v>1083</v>
      </c>
      <c r="C126" s="5" t="s">
        <v>1092</v>
      </c>
      <c r="D126" s="2" t="s">
        <v>1105</v>
      </c>
    </row>
    <row r="127" spans="1:4" ht="12.95" customHeight="1" x14ac:dyDescent="0.25">
      <c r="A127" s="2" t="s">
        <v>37</v>
      </c>
      <c r="B127" s="2" t="s">
        <v>1083</v>
      </c>
      <c r="C127" s="5" t="s">
        <v>1094</v>
      </c>
      <c r="D127" s="2" t="s">
        <v>1106</v>
      </c>
    </row>
    <row r="128" spans="1:4" ht="12.95" customHeight="1" x14ac:dyDescent="0.25">
      <c r="A128" s="2" t="s">
        <v>37</v>
      </c>
      <c r="B128" s="2" t="s">
        <v>1083</v>
      </c>
      <c r="C128" s="5" t="s">
        <v>1096</v>
      </c>
      <c r="D128" s="2" t="s">
        <v>1107</v>
      </c>
    </row>
    <row r="129" spans="1:4" ht="12.95" customHeight="1" x14ac:dyDescent="0.25">
      <c r="A129" s="2" t="s">
        <v>37</v>
      </c>
      <c r="B129" s="2" t="s">
        <v>1083</v>
      </c>
      <c r="C129" s="5" t="s">
        <v>1098</v>
      </c>
      <c r="D129" s="2" t="s">
        <v>927</v>
      </c>
    </row>
    <row r="130" spans="1:4" ht="12.95" customHeight="1" x14ac:dyDescent="0.25">
      <c r="A130" s="2" t="s">
        <v>37</v>
      </c>
      <c r="B130" s="2" t="s">
        <v>1083</v>
      </c>
      <c r="C130" s="5" t="s">
        <v>1100</v>
      </c>
      <c r="D130" s="2" t="s">
        <v>1108</v>
      </c>
    </row>
    <row r="131" spans="1:4" ht="12.95" customHeight="1" x14ac:dyDescent="0.25">
      <c r="A131" s="2" t="s">
        <v>37</v>
      </c>
      <c r="B131" s="2" t="s">
        <v>1083</v>
      </c>
      <c r="C131" s="5" t="s">
        <v>1109</v>
      </c>
      <c r="D131" s="2" t="s">
        <v>1110</v>
      </c>
    </row>
    <row r="132" spans="1:4" ht="12.95" customHeight="1" x14ac:dyDescent="0.25">
      <c r="A132" s="2" t="s">
        <v>37</v>
      </c>
      <c r="B132" s="2" t="s">
        <v>1083</v>
      </c>
      <c r="C132" s="5" t="s">
        <v>1111</v>
      </c>
      <c r="D132" s="2" t="s">
        <v>1112</v>
      </c>
    </row>
    <row r="133" spans="1:4" ht="12.95" customHeight="1" x14ac:dyDescent="0.25">
      <c r="A133" s="2" t="s">
        <v>39</v>
      </c>
      <c r="B133" s="2" t="s">
        <v>1113</v>
      </c>
      <c r="C133" s="5" t="s">
        <v>1102</v>
      </c>
      <c r="D133" s="2" t="s">
        <v>1103</v>
      </c>
    </row>
    <row r="134" spans="1:4" ht="12.95" customHeight="1" x14ac:dyDescent="0.25">
      <c r="A134" s="2" t="s">
        <v>39</v>
      </c>
      <c r="B134" s="2" t="s">
        <v>1113</v>
      </c>
      <c r="C134" s="5" t="s">
        <v>1088</v>
      </c>
      <c r="D134" s="2" t="s">
        <v>1089</v>
      </c>
    </row>
    <row r="135" spans="1:4" ht="12.95" customHeight="1" x14ac:dyDescent="0.25">
      <c r="A135" s="2" t="s">
        <v>42</v>
      </c>
      <c r="B135" s="2" t="s">
        <v>1083</v>
      </c>
      <c r="C135" s="5" t="s">
        <v>1102</v>
      </c>
      <c r="D135" s="2" t="s">
        <v>1103</v>
      </c>
    </row>
    <row r="136" spans="1:4" ht="12.95" customHeight="1" x14ac:dyDescent="0.25">
      <c r="A136" s="2" t="s">
        <v>42</v>
      </c>
      <c r="B136" s="2" t="s">
        <v>1083</v>
      </c>
      <c r="C136" s="5" t="s">
        <v>1084</v>
      </c>
      <c r="D136" s="2" t="s">
        <v>1085</v>
      </c>
    </row>
    <row r="137" spans="1:4" ht="12.95" customHeight="1" x14ac:dyDescent="0.25">
      <c r="A137" s="2" t="s">
        <v>42</v>
      </c>
      <c r="B137" s="2" t="s">
        <v>1083</v>
      </c>
      <c r="C137" s="5" t="s">
        <v>1086</v>
      </c>
      <c r="D137" s="2" t="s">
        <v>1087</v>
      </c>
    </row>
    <row r="138" spans="1:4" ht="12.95" customHeight="1" x14ac:dyDescent="0.25">
      <c r="A138" s="2" t="s">
        <v>42</v>
      </c>
      <c r="B138" s="2" t="s">
        <v>1083</v>
      </c>
      <c r="C138" s="5" t="s">
        <v>1088</v>
      </c>
      <c r="D138" s="2" t="s">
        <v>1089</v>
      </c>
    </row>
    <row r="139" spans="1:4" ht="12.95" customHeight="1" x14ac:dyDescent="0.25">
      <c r="A139" s="2" t="s">
        <v>42</v>
      </c>
      <c r="B139" s="2" t="s">
        <v>1083</v>
      </c>
      <c r="C139" s="5" t="s">
        <v>1094</v>
      </c>
      <c r="D139" s="2" t="s">
        <v>1114</v>
      </c>
    </row>
    <row r="140" spans="1:4" ht="12.95" customHeight="1" x14ac:dyDescent="0.25">
      <c r="A140" s="2" t="s">
        <v>42</v>
      </c>
      <c r="B140" s="2" t="s">
        <v>1083</v>
      </c>
      <c r="C140" s="5" t="s">
        <v>1096</v>
      </c>
      <c r="D140" s="2" t="s">
        <v>1115</v>
      </c>
    </row>
    <row r="141" spans="1:4" ht="12.95" customHeight="1" x14ac:dyDescent="0.25">
      <c r="A141" s="2" t="s">
        <v>42</v>
      </c>
      <c r="B141" s="2" t="s">
        <v>1083</v>
      </c>
      <c r="C141" s="5" t="s">
        <v>1098</v>
      </c>
      <c r="D141" s="2" t="s">
        <v>1116</v>
      </c>
    </row>
    <row r="142" spans="1:4" ht="12.95" customHeight="1" x14ac:dyDescent="0.25">
      <c r="A142" s="2" t="s">
        <v>42</v>
      </c>
      <c r="B142" s="2" t="s">
        <v>1083</v>
      </c>
      <c r="C142" s="5" t="s">
        <v>1100</v>
      </c>
      <c r="D142" s="2" t="s">
        <v>1117</v>
      </c>
    </row>
    <row r="143" spans="1:4" ht="12.95" customHeight="1" x14ac:dyDescent="0.25">
      <c r="A143" s="2" t="s">
        <v>42</v>
      </c>
      <c r="B143" s="2" t="s">
        <v>1083</v>
      </c>
      <c r="C143" s="5" t="s">
        <v>1109</v>
      </c>
      <c r="D143" s="2" t="s">
        <v>1118</v>
      </c>
    </row>
    <row r="144" spans="1:4" ht="12.95" customHeight="1" x14ac:dyDescent="0.25">
      <c r="A144" s="2" t="s">
        <v>42</v>
      </c>
      <c r="B144" s="2" t="s">
        <v>1083</v>
      </c>
      <c r="C144" s="5" t="s">
        <v>1119</v>
      </c>
      <c r="D144" s="2" t="s">
        <v>1120</v>
      </c>
    </row>
    <row r="145" spans="1:4" ht="12.95" customHeight="1" x14ac:dyDescent="0.25">
      <c r="A145" s="2" t="s">
        <v>42</v>
      </c>
      <c r="B145" s="2" t="s">
        <v>1083</v>
      </c>
      <c r="C145" s="5" t="s">
        <v>1121</v>
      </c>
      <c r="D145" s="2" t="s">
        <v>1122</v>
      </c>
    </row>
    <row r="146" spans="1:4" ht="12.95" customHeight="1" x14ac:dyDescent="0.25">
      <c r="A146" s="2" t="s">
        <v>42</v>
      </c>
      <c r="B146" s="2" t="s">
        <v>1083</v>
      </c>
      <c r="C146" s="5" t="s">
        <v>1123</v>
      </c>
      <c r="D146" s="2" t="s">
        <v>1124</v>
      </c>
    </row>
    <row r="147" spans="1:4" ht="12.95" customHeight="1" x14ac:dyDescent="0.25">
      <c r="A147" s="2" t="s">
        <v>42</v>
      </c>
      <c r="B147" s="2" t="s">
        <v>1083</v>
      </c>
      <c r="C147" s="5" t="s">
        <v>1125</v>
      </c>
      <c r="D147" s="2" t="s">
        <v>1126</v>
      </c>
    </row>
    <row r="148" spans="1:4" ht="12.95" customHeight="1" x14ac:dyDescent="0.25">
      <c r="A148" s="2" t="s">
        <v>42</v>
      </c>
      <c r="B148" s="2" t="s">
        <v>1083</v>
      </c>
      <c r="C148" s="5" t="s">
        <v>1127</v>
      </c>
      <c r="D148" s="2" t="s">
        <v>1128</v>
      </c>
    </row>
    <row r="149" spans="1:4" ht="12.95" customHeight="1" x14ac:dyDescent="0.25">
      <c r="A149" s="2" t="s">
        <v>42</v>
      </c>
      <c r="B149" s="2" t="s">
        <v>1083</v>
      </c>
      <c r="C149" s="5" t="s">
        <v>1129</v>
      </c>
      <c r="D149" s="2" t="s">
        <v>1130</v>
      </c>
    </row>
    <row r="150" spans="1:4" ht="12.95" customHeight="1" x14ac:dyDescent="0.25">
      <c r="A150" s="2" t="s">
        <v>42</v>
      </c>
      <c r="B150" s="2" t="s">
        <v>1083</v>
      </c>
      <c r="C150" s="5" t="s">
        <v>1131</v>
      </c>
      <c r="D150" s="2" t="s">
        <v>1132</v>
      </c>
    </row>
    <row r="151" spans="1:4" ht="12.95" customHeight="1" x14ac:dyDescent="0.25">
      <c r="A151" s="2" t="s">
        <v>42</v>
      </c>
      <c r="B151" s="2" t="s">
        <v>1083</v>
      </c>
      <c r="C151" s="5" t="s">
        <v>1133</v>
      </c>
      <c r="D151" s="2" t="s">
        <v>1134</v>
      </c>
    </row>
    <row r="152" spans="1:4" ht="12.95" customHeight="1" x14ac:dyDescent="0.25">
      <c r="A152" s="2" t="s">
        <v>42</v>
      </c>
      <c r="B152" s="2" t="s">
        <v>1083</v>
      </c>
      <c r="C152" s="5" t="s">
        <v>1135</v>
      </c>
      <c r="D152" s="2" t="s">
        <v>1136</v>
      </c>
    </row>
    <row r="153" spans="1:4" ht="12.95" customHeight="1" x14ac:dyDescent="0.25">
      <c r="A153" s="2" t="s">
        <v>42</v>
      </c>
      <c r="B153" s="2" t="s">
        <v>1083</v>
      </c>
      <c r="C153" s="5" t="s">
        <v>1137</v>
      </c>
      <c r="D153" s="2" t="s">
        <v>1138</v>
      </c>
    </row>
    <row r="154" spans="1:4" ht="12.95" customHeight="1" x14ac:dyDescent="0.25">
      <c r="A154" s="2" t="s">
        <v>42</v>
      </c>
      <c r="B154" s="2" t="s">
        <v>1083</v>
      </c>
      <c r="C154" s="5" t="s">
        <v>1139</v>
      </c>
      <c r="D154" s="2" t="s">
        <v>1140</v>
      </c>
    </row>
    <row r="155" spans="1:4" ht="12.95" customHeight="1" x14ac:dyDescent="0.25">
      <c r="A155" s="2" t="s">
        <v>42</v>
      </c>
      <c r="B155" s="2" t="s">
        <v>1083</v>
      </c>
      <c r="C155" s="5" t="s">
        <v>1141</v>
      </c>
      <c r="D155" s="2" t="s">
        <v>1142</v>
      </c>
    </row>
    <row r="156" spans="1:4" ht="12.95" customHeight="1" x14ac:dyDescent="0.25">
      <c r="A156" s="2" t="s">
        <v>42</v>
      </c>
      <c r="B156" s="2" t="s">
        <v>1083</v>
      </c>
      <c r="C156" s="5" t="s">
        <v>1111</v>
      </c>
      <c r="D156" s="2" t="s">
        <v>1143</v>
      </c>
    </row>
    <row r="157" spans="1:4" ht="12.95" customHeight="1" x14ac:dyDescent="0.25">
      <c r="A157" s="2" t="s">
        <v>44</v>
      </c>
      <c r="B157" s="2" t="s">
        <v>1083</v>
      </c>
      <c r="C157" s="5" t="s">
        <v>1102</v>
      </c>
      <c r="D157" s="2" t="s">
        <v>1103</v>
      </c>
    </row>
    <row r="158" spans="1:4" ht="12.95" customHeight="1" x14ac:dyDescent="0.25">
      <c r="A158" s="2" t="s">
        <v>44</v>
      </c>
      <c r="B158" s="2" t="s">
        <v>1083</v>
      </c>
      <c r="C158" s="5" t="s">
        <v>1084</v>
      </c>
      <c r="D158" s="2" t="s">
        <v>1085</v>
      </c>
    </row>
    <row r="159" spans="1:4" ht="12.95" customHeight="1" x14ac:dyDescent="0.25">
      <c r="A159" s="2" t="s">
        <v>44</v>
      </c>
      <c r="B159" s="2" t="s">
        <v>1083</v>
      </c>
      <c r="C159" s="5" t="s">
        <v>1086</v>
      </c>
      <c r="D159" s="2" t="s">
        <v>1087</v>
      </c>
    </row>
    <row r="160" spans="1:4" ht="12.95" customHeight="1" x14ac:dyDescent="0.25">
      <c r="A160" s="2" t="s">
        <v>44</v>
      </c>
      <c r="B160" s="2" t="s">
        <v>1083</v>
      </c>
      <c r="C160" s="5" t="s">
        <v>1088</v>
      </c>
      <c r="D160" s="2" t="s">
        <v>1089</v>
      </c>
    </row>
    <row r="161" spans="1:4" ht="12.95" customHeight="1" x14ac:dyDescent="0.25">
      <c r="A161" s="2" t="s">
        <v>44</v>
      </c>
      <c r="B161" s="2" t="s">
        <v>1083</v>
      </c>
      <c r="C161" s="5" t="s">
        <v>1090</v>
      </c>
      <c r="D161" s="2" t="s">
        <v>1144</v>
      </c>
    </row>
    <row r="162" spans="1:4" ht="12.95" customHeight="1" x14ac:dyDescent="0.25">
      <c r="A162" s="2" t="s">
        <v>44</v>
      </c>
      <c r="B162" s="2" t="s">
        <v>1083</v>
      </c>
      <c r="C162" s="5" t="s">
        <v>1092</v>
      </c>
      <c r="D162" s="2" t="s">
        <v>1145</v>
      </c>
    </row>
    <row r="163" spans="1:4" ht="12.95" customHeight="1" x14ac:dyDescent="0.25">
      <c r="A163" s="2" t="s">
        <v>44</v>
      </c>
      <c r="B163" s="2" t="s">
        <v>1083</v>
      </c>
      <c r="C163" s="5" t="s">
        <v>1094</v>
      </c>
      <c r="D163" s="2" t="s">
        <v>1114</v>
      </c>
    </row>
    <row r="164" spans="1:4" ht="12.95" customHeight="1" x14ac:dyDescent="0.25">
      <c r="A164" s="2" t="s">
        <v>44</v>
      </c>
      <c r="B164" s="2" t="s">
        <v>1083</v>
      </c>
      <c r="C164" s="5" t="s">
        <v>1096</v>
      </c>
      <c r="D164" s="2" t="s">
        <v>1115</v>
      </c>
    </row>
    <row r="165" spans="1:4" ht="12.95" customHeight="1" x14ac:dyDescent="0.25">
      <c r="A165" s="2" t="s">
        <v>44</v>
      </c>
      <c r="B165" s="2" t="s">
        <v>1083</v>
      </c>
      <c r="C165" s="5" t="s">
        <v>1098</v>
      </c>
      <c r="D165" s="2" t="s">
        <v>1116</v>
      </c>
    </row>
    <row r="166" spans="1:4" ht="12.95" customHeight="1" x14ac:dyDescent="0.25">
      <c r="A166" s="2" t="s">
        <v>44</v>
      </c>
      <c r="B166" s="2" t="s">
        <v>1083</v>
      </c>
      <c r="C166" s="5" t="s">
        <v>1100</v>
      </c>
      <c r="D166" s="2" t="s">
        <v>1117</v>
      </c>
    </row>
    <row r="167" spans="1:4" ht="12.95" customHeight="1" x14ac:dyDescent="0.25">
      <c r="A167" s="2" t="s">
        <v>44</v>
      </c>
      <c r="B167" s="2" t="s">
        <v>1083</v>
      </c>
      <c r="C167" s="5" t="s">
        <v>1109</v>
      </c>
      <c r="D167" s="2" t="s">
        <v>1118</v>
      </c>
    </row>
    <row r="168" spans="1:4" ht="12.95" customHeight="1" x14ac:dyDescent="0.25">
      <c r="A168" s="2" t="s">
        <v>44</v>
      </c>
      <c r="B168" s="2" t="s">
        <v>1083</v>
      </c>
      <c r="C168" s="5" t="s">
        <v>1119</v>
      </c>
      <c r="D168" s="2" t="s">
        <v>1120</v>
      </c>
    </row>
    <row r="169" spans="1:4" ht="12.95" customHeight="1" x14ac:dyDescent="0.25">
      <c r="A169" s="2" t="s">
        <v>44</v>
      </c>
      <c r="B169" s="2" t="s">
        <v>1083</v>
      </c>
      <c r="C169" s="5" t="s">
        <v>1121</v>
      </c>
      <c r="D169" s="2" t="s">
        <v>1122</v>
      </c>
    </row>
    <row r="170" spans="1:4" ht="12.95" customHeight="1" x14ac:dyDescent="0.25">
      <c r="A170" s="2" t="s">
        <v>44</v>
      </c>
      <c r="B170" s="2" t="s">
        <v>1083</v>
      </c>
      <c r="C170" s="5" t="s">
        <v>1123</v>
      </c>
      <c r="D170" s="2" t="s">
        <v>1124</v>
      </c>
    </row>
    <row r="171" spans="1:4" ht="12.95" customHeight="1" x14ac:dyDescent="0.25">
      <c r="A171" s="2" t="s">
        <v>44</v>
      </c>
      <c r="B171" s="2" t="s">
        <v>1083</v>
      </c>
      <c r="C171" s="5" t="s">
        <v>1125</v>
      </c>
      <c r="D171" s="2" t="s">
        <v>1126</v>
      </c>
    </row>
    <row r="172" spans="1:4" ht="12.95" customHeight="1" x14ac:dyDescent="0.25">
      <c r="A172" s="2" t="s">
        <v>44</v>
      </c>
      <c r="B172" s="2" t="s">
        <v>1083</v>
      </c>
      <c r="C172" s="5" t="s">
        <v>1127</v>
      </c>
      <c r="D172" s="2" t="s">
        <v>1128</v>
      </c>
    </row>
    <row r="173" spans="1:4" ht="12.95" customHeight="1" x14ac:dyDescent="0.25">
      <c r="A173" s="2" t="s">
        <v>44</v>
      </c>
      <c r="B173" s="2" t="s">
        <v>1083</v>
      </c>
      <c r="C173" s="5" t="s">
        <v>1129</v>
      </c>
      <c r="D173" s="2" t="s">
        <v>1130</v>
      </c>
    </row>
    <row r="174" spans="1:4" ht="12.95" customHeight="1" x14ac:dyDescent="0.25">
      <c r="A174" s="2" t="s">
        <v>44</v>
      </c>
      <c r="B174" s="2" t="s">
        <v>1083</v>
      </c>
      <c r="C174" s="5" t="s">
        <v>1131</v>
      </c>
      <c r="D174" s="2" t="s">
        <v>1132</v>
      </c>
    </row>
    <row r="175" spans="1:4" ht="12.95" customHeight="1" x14ac:dyDescent="0.25">
      <c r="A175" s="2" t="s">
        <v>44</v>
      </c>
      <c r="B175" s="2" t="s">
        <v>1083</v>
      </c>
      <c r="C175" s="5" t="s">
        <v>1133</v>
      </c>
      <c r="D175" s="2" t="s">
        <v>1134</v>
      </c>
    </row>
    <row r="176" spans="1:4" ht="12.95" customHeight="1" x14ac:dyDescent="0.25">
      <c r="A176" s="2" t="s">
        <v>44</v>
      </c>
      <c r="B176" s="2" t="s">
        <v>1083</v>
      </c>
      <c r="C176" s="5" t="s">
        <v>1135</v>
      </c>
      <c r="D176" s="2" t="s">
        <v>1136</v>
      </c>
    </row>
    <row r="177" spans="1:4" ht="12.95" customHeight="1" x14ac:dyDescent="0.25">
      <c r="A177" s="2" t="s">
        <v>44</v>
      </c>
      <c r="B177" s="2" t="s">
        <v>1083</v>
      </c>
      <c r="C177" s="5" t="s">
        <v>1137</v>
      </c>
      <c r="D177" s="2" t="s">
        <v>1138</v>
      </c>
    </row>
    <row r="178" spans="1:4" ht="12.95" customHeight="1" x14ac:dyDescent="0.25">
      <c r="A178" s="2" t="s">
        <v>44</v>
      </c>
      <c r="B178" s="2" t="s">
        <v>1083</v>
      </c>
      <c r="C178" s="5" t="s">
        <v>1139</v>
      </c>
      <c r="D178" s="2" t="s">
        <v>1140</v>
      </c>
    </row>
    <row r="179" spans="1:4" ht="12.95" customHeight="1" x14ac:dyDescent="0.25">
      <c r="A179" s="2" t="s">
        <v>44</v>
      </c>
      <c r="B179" s="2" t="s">
        <v>1083</v>
      </c>
      <c r="C179" s="5" t="s">
        <v>1141</v>
      </c>
      <c r="D179" s="2" t="s">
        <v>1142</v>
      </c>
    </row>
    <row r="180" spans="1:4" ht="12.95" customHeight="1" x14ac:dyDescent="0.25">
      <c r="A180" s="2" t="s">
        <v>44</v>
      </c>
      <c r="B180" s="2" t="s">
        <v>1083</v>
      </c>
      <c r="C180" s="5" t="s">
        <v>1111</v>
      </c>
      <c r="D180" s="2" t="s">
        <v>1143</v>
      </c>
    </row>
    <row r="181" spans="1:4" ht="12.95" customHeight="1" x14ac:dyDescent="0.25">
      <c r="A181" s="2" t="s">
        <v>46</v>
      </c>
      <c r="B181" s="2" t="s">
        <v>1146</v>
      </c>
      <c r="C181" s="5" t="s">
        <v>1084</v>
      </c>
      <c r="D181" s="2" t="s">
        <v>1085</v>
      </c>
    </row>
    <row r="182" spans="1:4" ht="12.95" customHeight="1" x14ac:dyDescent="0.25">
      <c r="A182" s="2" t="s">
        <v>46</v>
      </c>
      <c r="B182" s="2" t="s">
        <v>1146</v>
      </c>
      <c r="C182" s="5" t="s">
        <v>1086</v>
      </c>
      <c r="D182" s="2" t="s">
        <v>1147</v>
      </c>
    </row>
    <row r="183" spans="1:4" ht="12.95" customHeight="1" x14ac:dyDescent="0.25">
      <c r="A183" s="2" t="s">
        <v>46</v>
      </c>
      <c r="B183" s="2" t="s">
        <v>1146</v>
      </c>
      <c r="C183" s="5" t="s">
        <v>1088</v>
      </c>
      <c r="D183" s="2" t="s">
        <v>1089</v>
      </c>
    </row>
    <row r="184" spans="1:4" ht="12.95" customHeight="1" x14ac:dyDescent="0.25">
      <c r="A184" s="2" t="s">
        <v>46</v>
      </c>
      <c r="B184" s="2" t="s">
        <v>1146</v>
      </c>
      <c r="C184" s="5" t="s">
        <v>1090</v>
      </c>
      <c r="D184" s="2" t="s">
        <v>1148</v>
      </c>
    </row>
    <row r="185" spans="1:4" ht="12.95" customHeight="1" x14ac:dyDescent="0.25">
      <c r="A185" s="2" t="s">
        <v>46</v>
      </c>
      <c r="B185" s="2" t="s">
        <v>1146</v>
      </c>
      <c r="C185" s="5" t="s">
        <v>1092</v>
      </c>
      <c r="D185" s="2" t="s">
        <v>1149</v>
      </c>
    </row>
    <row r="186" spans="1:4" ht="12.95" customHeight="1" x14ac:dyDescent="0.25">
      <c r="A186" s="2" t="s">
        <v>46</v>
      </c>
      <c r="B186" s="2" t="s">
        <v>1146</v>
      </c>
      <c r="C186" s="5" t="s">
        <v>1094</v>
      </c>
      <c r="D186" s="2" t="s">
        <v>1150</v>
      </c>
    </row>
    <row r="187" spans="1:4" ht="12.95" customHeight="1" x14ac:dyDescent="0.25">
      <c r="A187" s="2" t="s">
        <v>46</v>
      </c>
      <c r="B187" s="2" t="s">
        <v>1146</v>
      </c>
      <c r="C187" s="5" t="s">
        <v>1096</v>
      </c>
      <c r="D187" s="2" t="s">
        <v>1151</v>
      </c>
    </row>
    <row r="188" spans="1:4" ht="12.95" customHeight="1" x14ac:dyDescent="0.25">
      <c r="A188" s="2" t="s">
        <v>46</v>
      </c>
      <c r="B188" s="2" t="s">
        <v>1146</v>
      </c>
      <c r="C188" s="5" t="s">
        <v>1098</v>
      </c>
      <c r="D188" s="2" t="s">
        <v>1152</v>
      </c>
    </row>
    <row r="189" spans="1:4" ht="12.95" customHeight="1" x14ac:dyDescent="0.25">
      <c r="A189" s="2" t="s">
        <v>49</v>
      </c>
      <c r="B189" s="2" t="s">
        <v>1146</v>
      </c>
      <c r="C189" s="5" t="s">
        <v>1084</v>
      </c>
      <c r="D189" s="2" t="s">
        <v>1153</v>
      </c>
    </row>
    <row r="190" spans="1:4" ht="12.95" customHeight="1" x14ac:dyDescent="0.25">
      <c r="A190" s="2" t="s">
        <v>49</v>
      </c>
      <c r="B190" s="2" t="s">
        <v>1146</v>
      </c>
      <c r="C190" s="5" t="s">
        <v>1086</v>
      </c>
      <c r="D190" s="2" t="s">
        <v>1087</v>
      </c>
    </row>
    <row r="191" spans="1:4" ht="12.95" customHeight="1" x14ac:dyDescent="0.25">
      <c r="A191" s="2" t="s">
        <v>49</v>
      </c>
      <c r="B191" s="2" t="s">
        <v>1146</v>
      </c>
      <c r="C191" s="5" t="s">
        <v>1088</v>
      </c>
      <c r="D191" s="2" t="s">
        <v>1089</v>
      </c>
    </row>
    <row r="192" spans="1:4" ht="12.95" customHeight="1" x14ac:dyDescent="0.25">
      <c r="A192" s="2" t="s">
        <v>49</v>
      </c>
      <c r="B192" s="2" t="s">
        <v>1146</v>
      </c>
      <c r="C192" s="5" t="s">
        <v>1090</v>
      </c>
      <c r="D192" s="2" t="s">
        <v>1154</v>
      </c>
    </row>
    <row r="193" spans="1:4" ht="12.95" customHeight="1" x14ac:dyDescent="0.25">
      <c r="A193" s="2" t="s">
        <v>49</v>
      </c>
      <c r="B193" s="2" t="s">
        <v>1146</v>
      </c>
      <c r="C193" s="5" t="s">
        <v>1092</v>
      </c>
      <c r="D193" s="2" t="s">
        <v>1155</v>
      </c>
    </row>
    <row r="194" spans="1:4" ht="12.95" customHeight="1" x14ac:dyDescent="0.25">
      <c r="A194" s="2" t="s">
        <v>49</v>
      </c>
      <c r="B194" s="2" t="s">
        <v>1146</v>
      </c>
      <c r="C194" s="5" t="s">
        <v>1094</v>
      </c>
      <c r="D194" s="2" t="s">
        <v>1156</v>
      </c>
    </row>
    <row r="195" spans="1:4" ht="12.95" customHeight="1" x14ac:dyDescent="0.25">
      <c r="A195" s="2" t="s">
        <v>49</v>
      </c>
      <c r="B195" s="2" t="s">
        <v>1146</v>
      </c>
      <c r="C195" s="5" t="s">
        <v>1096</v>
      </c>
      <c r="D195" s="2" t="s">
        <v>1157</v>
      </c>
    </row>
    <row r="196" spans="1:4" ht="12.95" customHeight="1" x14ac:dyDescent="0.25">
      <c r="A196" s="2" t="s">
        <v>49</v>
      </c>
      <c r="B196" s="2" t="s">
        <v>1146</v>
      </c>
      <c r="C196" s="5" t="s">
        <v>1098</v>
      </c>
      <c r="D196" s="2" t="s">
        <v>1158</v>
      </c>
    </row>
    <row r="197" spans="1:4" ht="12.95" customHeight="1" x14ac:dyDescent="0.25">
      <c r="A197" s="2" t="s">
        <v>52</v>
      </c>
      <c r="B197" s="2" t="s">
        <v>1083</v>
      </c>
      <c r="C197" s="5" t="s">
        <v>1084</v>
      </c>
      <c r="D197" s="2" t="s">
        <v>1153</v>
      </c>
    </row>
    <row r="198" spans="1:4" ht="12.95" customHeight="1" x14ac:dyDescent="0.25">
      <c r="A198" s="2" t="s">
        <v>52</v>
      </c>
      <c r="B198" s="2" t="s">
        <v>1083</v>
      </c>
      <c r="C198" s="5" t="s">
        <v>1086</v>
      </c>
      <c r="D198" s="2" t="s">
        <v>1147</v>
      </c>
    </row>
    <row r="199" spans="1:4" ht="12.95" customHeight="1" x14ac:dyDescent="0.25">
      <c r="A199" s="2" t="s">
        <v>52</v>
      </c>
      <c r="B199" s="2" t="s">
        <v>1083</v>
      </c>
      <c r="C199" s="5" t="s">
        <v>1088</v>
      </c>
      <c r="D199" s="2" t="s">
        <v>1089</v>
      </c>
    </row>
    <row r="200" spans="1:4" ht="12.95" customHeight="1" x14ac:dyDescent="0.25">
      <c r="A200" s="2" t="s">
        <v>55</v>
      </c>
      <c r="B200" s="2" t="s">
        <v>1083</v>
      </c>
      <c r="C200" s="5" t="s">
        <v>1102</v>
      </c>
      <c r="D200" s="2" t="s">
        <v>1103</v>
      </c>
    </row>
    <row r="201" spans="1:4" ht="12.95" customHeight="1" x14ac:dyDescent="0.25">
      <c r="A201" s="2" t="s">
        <v>55</v>
      </c>
      <c r="B201" s="2" t="s">
        <v>1083</v>
      </c>
      <c r="C201" s="5" t="s">
        <v>1084</v>
      </c>
      <c r="D201" s="2" t="s">
        <v>1085</v>
      </c>
    </row>
    <row r="202" spans="1:4" ht="12.95" customHeight="1" x14ac:dyDescent="0.25">
      <c r="A202" s="2" t="s">
        <v>55</v>
      </c>
      <c r="B202" s="2" t="s">
        <v>1083</v>
      </c>
      <c r="C202" s="5" t="s">
        <v>1086</v>
      </c>
      <c r="D202" s="2" t="s">
        <v>1087</v>
      </c>
    </row>
    <row r="203" spans="1:4" ht="12.95" customHeight="1" x14ac:dyDescent="0.25">
      <c r="A203" s="2" t="s">
        <v>55</v>
      </c>
      <c r="B203" s="2" t="s">
        <v>1083</v>
      </c>
      <c r="C203" s="5" t="s">
        <v>1088</v>
      </c>
      <c r="D203" s="2" t="s">
        <v>1089</v>
      </c>
    </row>
    <row r="204" spans="1:4" ht="12.95" customHeight="1" x14ac:dyDescent="0.25">
      <c r="A204" s="2" t="s">
        <v>55</v>
      </c>
      <c r="B204" s="2" t="s">
        <v>1083</v>
      </c>
      <c r="C204" s="5" t="s">
        <v>1090</v>
      </c>
      <c r="D204" s="2" t="s">
        <v>1159</v>
      </c>
    </row>
    <row r="205" spans="1:4" ht="12.95" customHeight="1" x14ac:dyDescent="0.25">
      <c r="A205" s="2" t="s">
        <v>55</v>
      </c>
      <c r="B205" s="2" t="s">
        <v>1083</v>
      </c>
      <c r="C205" s="5" t="s">
        <v>1092</v>
      </c>
      <c r="D205" s="2" t="s">
        <v>1160</v>
      </c>
    </row>
    <row r="206" spans="1:4" ht="12.95" customHeight="1" x14ac:dyDescent="0.25">
      <c r="A206" s="2" t="s">
        <v>55</v>
      </c>
      <c r="B206" s="2" t="s">
        <v>1083</v>
      </c>
      <c r="C206" s="5" t="s">
        <v>1094</v>
      </c>
      <c r="D206" s="2" t="s">
        <v>1161</v>
      </c>
    </row>
    <row r="207" spans="1:4" ht="12.95" customHeight="1" x14ac:dyDescent="0.25">
      <c r="A207" s="2" t="s">
        <v>55</v>
      </c>
      <c r="B207" s="2" t="s">
        <v>1083</v>
      </c>
      <c r="C207" s="5" t="s">
        <v>1096</v>
      </c>
      <c r="D207" s="2" t="s">
        <v>1162</v>
      </c>
    </row>
    <row r="208" spans="1:4" ht="12.95" customHeight="1" x14ac:dyDescent="0.25">
      <c r="A208" s="2" t="s">
        <v>55</v>
      </c>
      <c r="B208" s="2" t="s">
        <v>1083</v>
      </c>
      <c r="C208" s="5" t="s">
        <v>1098</v>
      </c>
      <c r="D208" s="2" t="s">
        <v>1163</v>
      </c>
    </row>
    <row r="209" spans="1:4" ht="12.95" customHeight="1" x14ac:dyDescent="0.25">
      <c r="A209" s="2" t="s">
        <v>55</v>
      </c>
      <c r="B209" s="2" t="s">
        <v>1083</v>
      </c>
      <c r="C209" s="5" t="s">
        <v>1100</v>
      </c>
      <c r="D209" s="2" t="s">
        <v>1164</v>
      </c>
    </row>
    <row r="210" spans="1:4" ht="12.95" customHeight="1" x14ac:dyDescent="0.25">
      <c r="A210" s="2" t="s">
        <v>55</v>
      </c>
      <c r="B210" s="2" t="s">
        <v>1083</v>
      </c>
      <c r="C210" s="5" t="s">
        <v>1109</v>
      </c>
      <c r="D210" s="2" t="s">
        <v>1165</v>
      </c>
    </row>
    <row r="211" spans="1:4" ht="12.95" customHeight="1" x14ac:dyDescent="0.25">
      <c r="A211" s="2" t="s">
        <v>58</v>
      </c>
      <c r="B211" s="2" t="s">
        <v>1083</v>
      </c>
      <c r="C211" s="5" t="s">
        <v>1102</v>
      </c>
      <c r="D211" s="2" t="s">
        <v>1103</v>
      </c>
    </row>
    <row r="212" spans="1:4" ht="12.95" customHeight="1" x14ac:dyDescent="0.25">
      <c r="A212" s="2" t="s">
        <v>58</v>
      </c>
      <c r="B212" s="2" t="s">
        <v>1083</v>
      </c>
      <c r="C212" s="5" t="s">
        <v>1084</v>
      </c>
      <c r="D212" s="2" t="s">
        <v>1085</v>
      </c>
    </row>
    <row r="213" spans="1:4" ht="12.95" customHeight="1" x14ac:dyDescent="0.25">
      <c r="A213" s="2" t="s">
        <v>58</v>
      </c>
      <c r="B213" s="2" t="s">
        <v>1083</v>
      </c>
      <c r="C213" s="5" t="s">
        <v>1086</v>
      </c>
      <c r="D213" s="2" t="s">
        <v>1087</v>
      </c>
    </row>
    <row r="214" spans="1:4" ht="12.95" customHeight="1" x14ac:dyDescent="0.25">
      <c r="A214" s="2" t="s">
        <v>58</v>
      </c>
      <c r="B214" s="2" t="s">
        <v>1083</v>
      </c>
      <c r="C214" s="5" t="s">
        <v>1088</v>
      </c>
      <c r="D214" s="2" t="s">
        <v>1089</v>
      </c>
    </row>
    <row r="215" spans="1:4" ht="12.95" customHeight="1" x14ac:dyDescent="0.25">
      <c r="A215" s="2" t="s">
        <v>58</v>
      </c>
      <c r="B215" s="2" t="s">
        <v>1083</v>
      </c>
      <c r="C215" s="5" t="s">
        <v>1090</v>
      </c>
      <c r="D215" s="2" t="s">
        <v>1159</v>
      </c>
    </row>
    <row r="216" spans="1:4" ht="12.95" customHeight="1" x14ac:dyDescent="0.25">
      <c r="A216" s="2" t="s">
        <v>58</v>
      </c>
      <c r="B216" s="2" t="s">
        <v>1083</v>
      </c>
      <c r="C216" s="5" t="s">
        <v>1092</v>
      </c>
      <c r="D216" s="2" t="s">
        <v>1160</v>
      </c>
    </row>
    <row r="217" spans="1:4" ht="12.95" customHeight="1" x14ac:dyDescent="0.25">
      <c r="A217" s="2" t="s">
        <v>58</v>
      </c>
      <c r="B217" s="2" t="s">
        <v>1083</v>
      </c>
      <c r="C217" s="5" t="s">
        <v>1094</v>
      </c>
      <c r="D217" s="2" t="s">
        <v>1161</v>
      </c>
    </row>
    <row r="218" spans="1:4" ht="12.95" customHeight="1" x14ac:dyDescent="0.25">
      <c r="A218" s="2" t="s">
        <v>58</v>
      </c>
      <c r="B218" s="2" t="s">
        <v>1083</v>
      </c>
      <c r="C218" s="5" t="s">
        <v>1096</v>
      </c>
      <c r="D218" s="2" t="s">
        <v>1162</v>
      </c>
    </row>
    <row r="219" spans="1:4" ht="12.95" customHeight="1" x14ac:dyDescent="0.25">
      <c r="A219" s="2" t="s">
        <v>58</v>
      </c>
      <c r="B219" s="2" t="s">
        <v>1083</v>
      </c>
      <c r="C219" s="5" t="s">
        <v>1098</v>
      </c>
      <c r="D219" s="2" t="s">
        <v>1163</v>
      </c>
    </row>
    <row r="220" spans="1:4" ht="12.95" customHeight="1" x14ac:dyDescent="0.25">
      <c r="A220" s="2" t="s">
        <v>58</v>
      </c>
      <c r="B220" s="2" t="s">
        <v>1083</v>
      </c>
      <c r="C220" s="5" t="s">
        <v>1100</v>
      </c>
      <c r="D220" s="2" t="s">
        <v>1164</v>
      </c>
    </row>
    <row r="221" spans="1:4" ht="12.95" customHeight="1" x14ac:dyDescent="0.25">
      <c r="A221" s="2" t="s">
        <v>58</v>
      </c>
      <c r="B221" s="2" t="s">
        <v>1083</v>
      </c>
      <c r="C221" s="5" t="s">
        <v>1109</v>
      </c>
      <c r="D221" s="2" t="s">
        <v>1165</v>
      </c>
    </row>
    <row r="222" spans="1:4" ht="12.95" customHeight="1" x14ac:dyDescent="0.25">
      <c r="A222" s="2" t="s">
        <v>60</v>
      </c>
      <c r="B222" s="2" t="s">
        <v>1083</v>
      </c>
      <c r="C222" s="5" t="s">
        <v>1102</v>
      </c>
      <c r="D222" s="2" t="s">
        <v>1103</v>
      </c>
    </row>
    <row r="223" spans="1:4" ht="12.95" customHeight="1" x14ac:dyDescent="0.25">
      <c r="A223" s="2" t="s">
        <v>60</v>
      </c>
      <c r="B223" s="2" t="s">
        <v>1083</v>
      </c>
      <c r="C223" s="5" t="s">
        <v>1084</v>
      </c>
      <c r="D223" s="2" t="s">
        <v>1085</v>
      </c>
    </row>
    <row r="224" spans="1:4" ht="12.95" customHeight="1" x14ac:dyDescent="0.25">
      <c r="A224" s="2" t="s">
        <v>60</v>
      </c>
      <c r="B224" s="2" t="s">
        <v>1083</v>
      </c>
      <c r="C224" s="5" t="s">
        <v>1086</v>
      </c>
      <c r="D224" s="2" t="s">
        <v>1087</v>
      </c>
    </row>
    <row r="225" spans="1:4" ht="12.95" customHeight="1" x14ac:dyDescent="0.25">
      <c r="A225" s="2" t="s">
        <v>60</v>
      </c>
      <c r="B225" s="2" t="s">
        <v>1083</v>
      </c>
      <c r="C225" s="5" t="s">
        <v>1088</v>
      </c>
      <c r="D225" s="2" t="s">
        <v>1089</v>
      </c>
    </row>
    <row r="226" spans="1:4" ht="12.95" customHeight="1" x14ac:dyDescent="0.25">
      <c r="A226" s="2" t="s">
        <v>60</v>
      </c>
      <c r="B226" s="2" t="s">
        <v>1083</v>
      </c>
      <c r="C226" s="5" t="s">
        <v>1090</v>
      </c>
      <c r="D226" s="2" t="s">
        <v>1159</v>
      </c>
    </row>
    <row r="227" spans="1:4" ht="12.95" customHeight="1" x14ac:dyDescent="0.25">
      <c r="A227" s="2" t="s">
        <v>60</v>
      </c>
      <c r="B227" s="2" t="s">
        <v>1083</v>
      </c>
      <c r="C227" s="5" t="s">
        <v>1092</v>
      </c>
      <c r="D227" s="2" t="s">
        <v>1160</v>
      </c>
    </row>
    <row r="228" spans="1:4" ht="12.95" customHeight="1" x14ac:dyDescent="0.25">
      <c r="A228" s="2" t="s">
        <v>60</v>
      </c>
      <c r="B228" s="2" t="s">
        <v>1083</v>
      </c>
      <c r="C228" s="5" t="s">
        <v>1094</v>
      </c>
      <c r="D228" s="2" t="s">
        <v>1161</v>
      </c>
    </row>
    <row r="229" spans="1:4" ht="12.95" customHeight="1" x14ac:dyDescent="0.25">
      <c r="A229" s="2" t="s">
        <v>60</v>
      </c>
      <c r="B229" s="2" t="s">
        <v>1083</v>
      </c>
      <c r="C229" s="5" t="s">
        <v>1096</v>
      </c>
      <c r="D229" s="2" t="s">
        <v>1162</v>
      </c>
    </row>
    <row r="230" spans="1:4" ht="12.95" customHeight="1" x14ac:dyDescent="0.25">
      <c r="A230" s="2" t="s">
        <v>60</v>
      </c>
      <c r="B230" s="2" t="s">
        <v>1083</v>
      </c>
      <c r="C230" s="5" t="s">
        <v>1098</v>
      </c>
      <c r="D230" s="2" t="s">
        <v>1163</v>
      </c>
    </row>
    <row r="231" spans="1:4" ht="12.95" customHeight="1" x14ac:dyDescent="0.25">
      <c r="A231" s="2" t="s">
        <v>60</v>
      </c>
      <c r="B231" s="2" t="s">
        <v>1083</v>
      </c>
      <c r="C231" s="5" t="s">
        <v>1100</v>
      </c>
      <c r="D231" s="2" t="s">
        <v>1164</v>
      </c>
    </row>
    <row r="232" spans="1:4" ht="12.95" customHeight="1" x14ac:dyDescent="0.25">
      <c r="A232" s="2" t="s">
        <v>60</v>
      </c>
      <c r="B232" s="2" t="s">
        <v>1083</v>
      </c>
      <c r="C232" s="5" t="s">
        <v>1109</v>
      </c>
      <c r="D232" s="2" t="s">
        <v>1165</v>
      </c>
    </row>
    <row r="233" spans="1:4" ht="12.95" customHeight="1" x14ac:dyDescent="0.25">
      <c r="A233" s="2" t="s">
        <v>62</v>
      </c>
      <c r="B233" s="2" t="s">
        <v>1083</v>
      </c>
      <c r="C233" s="5" t="s">
        <v>1102</v>
      </c>
      <c r="D233" s="2" t="s">
        <v>1103</v>
      </c>
    </row>
    <row r="234" spans="1:4" ht="12.95" customHeight="1" x14ac:dyDescent="0.25">
      <c r="A234" s="2" t="s">
        <v>62</v>
      </c>
      <c r="B234" s="2" t="s">
        <v>1083</v>
      </c>
      <c r="C234" s="5" t="s">
        <v>1084</v>
      </c>
      <c r="D234" s="2" t="s">
        <v>1085</v>
      </c>
    </row>
    <row r="235" spans="1:4" ht="12.95" customHeight="1" x14ac:dyDescent="0.25">
      <c r="A235" s="2" t="s">
        <v>62</v>
      </c>
      <c r="B235" s="2" t="s">
        <v>1083</v>
      </c>
      <c r="C235" s="5" t="s">
        <v>1086</v>
      </c>
      <c r="D235" s="2" t="s">
        <v>1087</v>
      </c>
    </row>
    <row r="236" spans="1:4" ht="12.95" customHeight="1" x14ac:dyDescent="0.25">
      <c r="A236" s="2" t="s">
        <v>62</v>
      </c>
      <c r="B236" s="2" t="s">
        <v>1083</v>
      </c>
      <c r="C236" s="5" t="s">
        <v>1088</v>
      </c>
      <c r="D236" s="2" t="s">
        <v>1089</v>
      </c>
    </row>
    <row r="237" spans="1:4" ht="12.95" customHeight="1" x14ac:dyDescent="0.25">
      <c r="A237" s="2" t="s">
        <v>62</v>
      </c>
      <c r="B237" s="2" t="s">
        <v>1083</v>
      </c>
      <c r="C237" s="5" t="s">
        <v>1090</v>
      </c>
      <c r="D237" s="2" t="s">
        <v>1159</v>
      </c>
    </row>
    <row r="238" spans="1:4" ht="12.95" customHeight="1" x14ac:dyDescent="0.25">
      <c r="A238" s="2" t="s">
        <v>62</v>
      </c>
      <c r="B238" s="2" t="s">
        <v>1083</v>
      </c>
      <c r="C238" s="5" t="s">
        <v>1092</v>
      </c>
      <c r="D238" s="2" t="s">
        <v>1160</v>
      </c>
    </row>
    <row r="239" spans="1:4" ht="12.95" customHeight="1" x14ac:dyDescent="0.25">
      <c r="A239" s="2" t="s">
        <v>62</v>
      </c>
      <c r="B239" s="2" t="s">
        <v>1083</v>
      </c>
      <c r="C239" s="5" t="s">
        <v>1094</v>
      </c>
      <c r="D239" s="2" t="s">
        <v>1161</v>
      </c>
    </row>
    <row r="240" spans="1:4" ht="12.95" customHeight="1" x14ac:dyDescent="0.25">
      <c r="A240" s="2" t="s">
        <v>62</v>
      </c>
      <c r="B240" s="2" t="s">
        <v>1083</v>
      </c>
      <c r="C240" s="5" t="s">
        <v>1096</v>
      </c>
      <c r="D240" s="2" t="s">
        <v>1162</v>
      </c>
    </row>
    <row r="241" spans="1:4" ht="12.95" customHeight="1" x14ac:dyDescent="0.25">
      <c r="A241" s="2" t="s">
        <v>62</v>
      </c>
      <c r="B241" s="2" t="s">
        <v>1083</v>
      </c>
      <c r="C241" s="5" t="s">
        <v>1098</v>
      </c>
      <c r="D241" s="2" t="s">
        <v>1163</v>
      </c>
    </row>
    <row r="242" spans="1:4" ht="12.95" customHeight="1" x14ac:dyDescent="0.25">
      <c r="A242" s="2" t="s">
        <v>62</v>
      </c>
      <c r="B242" s="2" t="s">
        <v>1083</v>
      </c>
      <c r="C242" s="5" t="s">
        <v>1100</v>
      </c>
      <c r="D242" s="2" t="s">
        <v>1164</v>
      </c>
    </row>
    <row r="243" spans="1:4" ht="12.95" customHeight="1" x14ac:dyDescent="0.25">
      <c r="A243" s="2" t="s">
        <v>62</v>
      </c>
      <c r="B243" s="2" t="s">
        <v>1083</v>
      </c>
      <c r="C243" s="5" t="s">
        <v>1109</v>
      </c>
      <c r="D243" s="2" t="s">
        <v>1165</v>
      </c>
    </row>
    <row r="244" spans="1:4" ht="12.95" customHeight="1" x14ac:dyDescent="0.25">
      <c r="A244" s="2" t="s">
        <v>64</v>
      </c>
      <c r="B244" s="2" t="s">
        <v>1083</v>
      </c>
      <c r="C244" s="5" t="s">
        <v>1102</v>
      </c>
      <c r="D244" s="2" t="s">
        <v>1103</v>
      </c>
    </row>
    <row r="245" spans="1:4" ht="12.95" customHeight="1" x14ac:dyDescent="0.25">
      <c r="A245" s="2" t="s">
        <v>64</v>
      </c>
      <c r="B245" s="2" t="s">
        <v>1083</v>
      </c>
      <c r="C245" s="5" t="s">
        <v>1084</v>
      </c>
      <c r="D245" s="2" t="s">
        <v>1085</v>
      </c>
    </row>
    <row r="246" spans="1:4" ht="12.95" customHeight="1" x14ac:dyDescent="0.25">
      <c r="A246" s="2" t="s">
        <v>64</v>
      </c>
      <c r="B246" s="2" t="s">
        <v>1083</v>
      </c>
      <c r="C246" s="5" t="s">
        <v>1086</v>
      </c>
      <c r="D246" s="2" t="s">
        <v>1087</v>
      </c>
    </row>
    <row r="247" spans="1:4" ht="12.95" customHeight="1" x14ac:dyDescent="0.25">
      <c r="A247" s="2" t="s">
        <v>64</v>
      </c>
      <c r="B247" s="2" t="s">
        <v>1083</v>
      </c>
      <c r="C247" s="5" t="s">
        <v>1088</v>
      </c>
      <c r="D247" s="2" t="s">
        <v>1089</v>
      </c>
    </row>
    <row r="248" spans="1:4" ht="12.95" customHeight="1" x14ac:dyDescent="0.25">
      <c r="A248" s="2" t="s">
        <v>64</v>
      </c>
      <c r="B248" s="2" t="s">
        <v>1083</v>
      </c>
      <c r="C248" s="5" t="s">
        <v>1090</v>
      </c>
      <c r="D248" s="2" t="s">
        <v>1159</v>
      </c>
    </row>
    <row r="249" spans="1:4" ht="12.95" customHeight="1" x14ac:dyDescent="0.25">
      <c r="A249" s="2" t="s">
        <v>64</v>
      </c>
      <c r="B249" s="2" t="s">
        <v>1083</v>
      </c>
      <c r="C249" s="5" t="s">
        <v>1092</v>
      </c>
      <c r="D249" s="2" t="s">
        <v>1160</v>
      </c>
    </row>
    <row r="250" spans="1:4" ht="12.95" customHeight="1" x14ac:dyDescent="0.25">
      <c r="A250" s="2" t="s">
        <v>64</v>
      </c>
      <c r="B250" s="2" t="s">
        <v>1083</v>
      </c>
      <c r="C250" s="5" t="s">
        <v>1094</v>
      </c>
      <c r="D250" s="2" t="s">
        <v>1161</v>
      </c>
    </row>
    <row r="251" spans="1:4" ht="12.95" customHeight="1" x14ac:dyDescent="0.25">
      <c r="A251" s="2" t="s">
        <v>64</v>
      </c>
      <c r="B251" s="2" t="s">
        <v>1083</v>
      </c>
      <c r="C251" s="5" t="s">
        <v>1096</v>
      </c>
      <c r="D251" s="2" t="s">
        <v>1162</v>
      </c>
    </row>
    <row r="252" spans="1:4" ht="12.95" customHeight="1" x14ac:dyDescent="0.25">
      <c r="A252" s="2" t="s">
        <v>64</v>
      </c>
      <c r="B252" s="2" t="s">
        <v>1083</v>
      </c>
      <c r="C252" s="5" t="s">
        <v>1098</v>
      </c>
      <c r="D252" s="2" t="s">
        <v>1163</v>
      </c>
    </row>
    <row r="253" spans="1:4" ht="12.95" customHeight="1" x14ac:dyDescent="0.25">
      <c r="A253" s="2" t="s">
        <v>64</v>
      </c>
      <c r="B253" s="2" t="s">
        <v>1083</v>
      </c>
      <c r="C253" s="5" t="s">
        <v>1100</v>
      </c>
      <c r="D253" s="2" t="s">
        <v>1164</v>
      </c>
    </row>
    <row r="254" spans="1:4" ht="12.95" customHeight="1" x14ac:dyDescent="0.25">
      <c r="A254" s="2" t="s">
        <v>64</v>
      </c>
      <c r="B254" s="2" t="s">
        <v>1083</v>
      </c>
      <c r="C254" s="5" t="s">
        <v>1109</v>
      </c>
      <c r="D254" s="2" t="s">
        <v>1165</v>
      </c>
    </row>
    <row r="255" spans="1:4" ht="12.95" customHeight="1" x14ac:dyDescent="0.25">
      <c r="A255" s="2" t="s">
        <v>66</v>
      </c>
      <c r="B255" s="2" t="s">
        <v>1083</v>
      </c>
      <c r="C255" s="5" t="s">
        <v>1102</v>
      </c>
      <c r="D255" s="2" t="s">
        <v>1103</v>
      </c>
    </row>
    <row r="256" spans="1:4" ht="12.95" customHeight="1" x14ac:dyDescent="0.25">
      <c r="A256" s="2" t="s">
        <v>66</v>
      </c>
      <c r="B256" s="2" t="s">
        <v>1083</v>
      </c>
      <c r="C256" s="5" t="s">
        <v>1084</v>
      </c>
      <c r="D256" s="2" t="s">
        <v>1085</v>
      </c>
    </row>
    <row r="257" spans="1:4" ht="12.95" customHeight="1" x14ac:dyDescent="0.25">
      <c r="A257" s="2" t="s">
        <v>66</v>
      </c>
      <c r="B257" s="2" t="s">
        <v>1083</v>
      </c>
      <c r="C257" s="5" t="s">
        <v>1086</v>
      </c>
      <c r="D257" s="2" t="s">
        <v>1087</v>
      </c>
    </row>
    <row r="258" spans="1:4" ht="12.95" customHeight="1" x14ac:dyDescent="0.25">
      <c r="A258" s="2" t="s">
        <v>66</v>
      </c>
      <c r="B258" s="2" t="s">
        <v>1083</v>
      </c>
      <c r="C258" s="5" t="s">
        <v>1088</v>
      </c>
      <c r="D258" s="2" t="s">
        <v>1089</v>
      </c>
    </row>
    <row r="259" spans="1:4" ht="12.95" customHeight="1" x14ac:dyDescent="0.25">
      <c r="A259" s="2" t="s">
        <v>66</v>
      </c>
      <c r="B259" s="2" t="s">
        <v>1083</v>
      </c>
      <c r="C259" s="5" t="s">
        <v>1090</v>
      </c>
      <c r="D259" s="2" t="s">
        <v>1159</v>
      </c>
    </row>
    <row r="260" spans="1:4" ht="12.95" customHeight="1" x14ac:dyDescent="0.25">
      <c r="A260" s="2" t="s">
        <v>66</v>
      </c>
      <c r="B260" s="2" t="s">
        <v>1083</v>
      </c>
      <c r="C260" s="5" t="s">
        <v>1092</v>
      </c>
      <c r="D260" s="2" t="s">
        <v>1160</v>
      </c>
    </row>
    <row r="261" spans="1:4" ht="12.95" customHeight="1" x14ac:dyDescent="0.25">
      <c r="A261" s="2" t="s">
        <v>66</v>
      </c>
      <c r="B261" s="2" t="s">
        <v>1083</v>
      </c>
      <c r="C261" s="5" t="s">
        <v>1094</v>
      </c>
      <c r="D261" s="2" t="s">
        <v>1161</v>
      </c>
    </row>
    <row r="262" spans="1:4" ht="12.95" customHeight="1" x14ac:dyDescent="0.25">
      <c r="A262" s="2" t="s">
        <v>66</v>
      </c>
      <c r="B262" s="2" t="s">
        <v>1083</v>
      </c>
      <c r="C262" s="5" t="s">
        <v>1096</v>
      </c>
      <c r="D262" s="2" t="s">
        <v>1162</v>
      </c>
    </row>
    <row r="263" spans="1:4" ht="12.95" customHeight="1" x14ac:dyDescent="0.25">
      <c r="A263" s="2" t="s">
        <v>66</v>
      </c>
      <c r="B263" s="2" t="s">
        <v>1083</v>
      </c>
      <c r="C263" s="5" t="s">
        <v>1098</v>
      </c>
      <c r="D263" s="2" t="s">
        <v>1163</v>
      </c>
    </row>
    <row r="264" spans="1:4" ht="12.95" customHeight="1" x14ac:dyDescent="0.25">
      <c r="A264" s="2" t="s">
        <v>66</v>
      </c>
      <c r="B264" s="2" t="s">
        <v>1083</v>
      </c>
      <c r="C264" s="5" t="s">
        <v>1100</v>
      </c>
      <c r="D264" s="2" t="s">
        <v>1164</v>
      </c>
    </row>
    <row r="265" spans="1:4" ht="12.95" customHeight="1" x14ac:dyDescent="0.25">
      <c r="A265" s="2" t="s">
        <v>66</v>
      </c>
      <c r="B265" s="2" t="s">
        <v>1083</v>
      </c>
      <c r="C265" s="5" t="s">
        <v>1109</v>
      </c>
      <c r="D265" s="2" t="s">
        <v>1165</v>
      </c>
    </row>
    <row r="266" spans="1:4" ht="12.95" customHeight="1" x14ac:dyDescent="0.25">
      <c r="A266" s="2" t="s">
        <v>68</v>
      </c>
      <c r="B266" s="2" t="s">
        <v>1083</v>
      </c>
      <c r="C266" s="5" t="s">
        <v>1102</v>
      </c>
      <c r="D266" s="2" t="s">
        <v>1103</v>
      </c>
    </row>
    <row r="267" spans="1:4" ht="12.95" customHeight="1" x14ac:dyDescent="0.25">
      <c r="A267" s="2" t="s">
        <v>68</v>
      </c>
      <c r="B267" s="2" t="s">
        <v>1083</v>
      </c>
      <c r="C267" s="5" t="s">
        <v>1084</v>
      </c>
      <c r="D267" s="2" t="s">
        <v>1085</v>
      </c>
    </row>
    <row r="268" spans="1:4" ht="12.95" customHeight="1" x14ac:dyDescent="0.25">
      <c r="A268" s="2" t="s">
        <v>68</v>
      </c>
      <c r="B268" s="2" t="s">
        <v>1083</v>
      </c>
      <c r="C268" s="5" t="s">
        <v>1086</v>
      </c>
      <c r="D268" s="2" t="s">
        <v>1087</v>
      </c>
    </row>
    <row r="269" spans="1:4" ht="12.95" customHeight="1" x14ac:dyDescent="0.25">
      <c r="A269" s="2" t="s">
        <v>68</v>
      </c>
      <c r="B269" s="2" t="s">
        <v>1083</v>
      </c>
      <c r="C269" s="5" t="s">
        <v>1088</v>
      </c>
      <c r="D269" s="2" t="s">
        <v>1089</v>
      </c>
    </row>
    <row r="270" spans="1:4" ht="12.95" customHeight="1" x14ac:dyDescent="0.25">
      <c r="A270" s="2" t="s">
        <v>68</v>
      </c>
      <c r="B270" s="2" t="s">
        <v>1083</v>
      </c>
      <c r="C270" s="5" t="s">
        <v>1090</v>
      </c>
      <c r="D270" s="2" t="s">
        <v>1159</v>
      </c>
    </row>
    <row r="271" spans="1:4" ht="12.95" customHeight="1" x14ac:dyDescent="0.25">
      <c r="A271" s="2" t="s">
        <v>68</v>
      </c>
      <c r="B271" s="2" t="s">
        <v>1083</v>
      </c>
      <c r="C271" s="5" t="s">
        <v>1092</v>
      </c>
      <c r="D271" s="2" t="s">
        <v>1160</v>
      </c>
    </row>
    <row r="272" spans="1:4" ht="12.95" customHeight="1" x14ac:dyDescent="0.25">
      <c r="A272" s="2" t="s">
        <v>68</v>
      </c>
      <c r="B272" s="2" t="s">
        <v>1083</v>
      </c>
      <c r="C272" s="5" t="s">
        <v>1094</v>
      </c>
      <c r="D272" s="2" t="s">
        <v>1161</v>
      </c>
    </row>
    <row r="273" spans="1:4" ht="12.95" customHeight="1" x14ac:dyDescent="0.25">
      <c r="A273" s="2" t="s">
        <v>68</v>
      </c>
      <c r="B273" s="2" t="s">
        <v>1083</v>
      </c>
      <c r="C273" s="5" t="s">
        <v>1096</v>
      </c>
      <c r="D273" s="2" t="s">
        <v>1162</v>
      </c>
    </row>
    <row r="274" spans="1:4" ht="12.95" customHeight="1" x14ac:dyDescent="0.25">
      <c r="A274" s="2" t="s">
        <v>68</v>
      </c>
      <c r="B274" s="2" t="s">
        <v>1083</v>
      </c>
      <c r="C274" s="5" t="s">
        <v>1098</v>
      </c>
      <c r="D274" s="2" t="s">
        <v>1163</v>
      </c>
    </row>
    <row r="275" spans="1:4" ht="12.95" customHeight="1" x14ac:dyDescent="0.25">
      <c r="A275" s="2" t="s">
        <v>68</v>
      </c>
      <c r="B275" s="2" t="s">
        <v>1083</v>
      </c>
      <c r="C275" s="5" t="s">
        <v>1100</v>
      </c>
      <c r="D275" s="2" t="s">
        <v>1164</v>
      </c>
    </row>
    <row r="276" spans="1:4" ht="12.95" customHeight="1" x14ac:dyDescent="0.25">
      <c r="A276" s="2" t="s">
        <v>68</v>
      </c>
      <c r="B276" s="2" t="s">
        <v>1083</v>
      </c>
      <c r="C276" s="5" t="s">
        <v>1109</v>
      </c>
      <c r="D276" s="2" t="s">
        <v>1165</v>
      </c>
    </row>
    <row r="277" spans="1:4" ht="12.95" customHeight="1" x14ac:dyDescent="0.25">
      <c r="A277" s="2" t="s">
        <v>70</v>
      </c>
      <c r="B277" s="2" t="s">
        <v>1083</v>
      </c>
      <c r="C277" s="5" t="s">
        <v>1102</v>
      </c>
      <c r="D277" s="2" t="s">
        <v>1103</v>
      </c>
    </row>
    <row r="278" spans="1:4" ht="12.95" customHeight="1" x14ac:dyDescent="0.25">
      <c r="A278" s="2" t="s">
        <v>70</v>
      </c>
      <c r="B278" s="2" t="s">
        <v>1083</v>
      </c>
      <c r="C278" s="5" t="s">
        <v>1084</v>
      </c>
      <c r="D278" s="2" t="s">
        <v>1085</v>
      </c>
    </row>
    <row r="279" spans="1:4" ht="12.95" customHeight="1" x14ac:dyDescent="0.25">
      <c r="A279" s="2" t="s">
        <v>70</v>
      </c>
      <c r="B279" s="2" t="s">
        <v>1083</v>
      </c>
      <c r="C279" s="5" t="s">
        <v>1086</v>
      </c>
      <c r="D279" s="2" t="s">
        <v>1087</v>
      </c>
    </row>
    <row r="280" spans="1:4" ht="12.95" customHeight="1" x14ac:dyDescent="0.25">
      <c r="A280" s="2" t="s">
        <v>70</v>
      </c>
      <c r="B280" s="2" t="s">
        <v>1083</v>
      </c>
      <c r="C280" s="5" t="s">
        <v>1088</v>
      </c>
      <c r="D280" s="2" t="s">
        <v>1089</v>
      </c>
    </row>
    <row r="281" spans="1:4" ht="12.95" customHeight="1" x14ac:dyDescent="0.25">
      <c r="A281" s="2" t="s">
        <v>70</v>
      </c>
      <c r="B281" s="2" t="s">
        <v>1083</v>
      </c>
      <c r="C281" s="5" t="s">
        <v>1090</v>
      </c>
      <c r="D281" s="2" t="s">
        <v>1159</v>
      </c>
    </row>
    <row r="282" spans="1:4" ht="12.95" customHeight="1" x14ac:dyDescent="0.25">
      <c r="A282" s="2" t="s">
        <v>70</v>
      </c>
      <c r="B282" s="2" t="s">
        <v>1083</v>
      </c>
      <c r="C282" s="5" t="s">
        <v>1092</v>
      </c>
      <c r="D282" s="2" t="s">
        <v>1160</v>
      </c>
    </row>
    <row r="283" spans="1:4" ht="12.95" customHeight="1" x14ac:dyDescent="0.25">
      <c r="A283" s="2" t="s">
        <v>70</v>
      </c>
      <c r="B283" s="2" t="s">
        <v>1083</v>
      </c>
      <c r="C283" s="5" t="s">
        <v>1094</v>
      </c>
      <c r="D283" s="2" t="s">
        <v>1161</v>
      </c>
    </row>
    <row r="284" spans="1:4" ht="12.95" customHeight="1" x14ac:dyDescent="0.25">
      <c r="A284" s="2" t="s">
        <v>70</v>
      </c>
      <c r="B284" s="2" t="s">
        <v>1083</v>
      </c>
      <c r="C284" s="5" t="s">
        <v>1096</v>
      </c>
      <c r="D284" s="2" t="s">
        <v>1162</v>
      </c>
    </row>
    <row r="285" spans="1:4" ht="12.95" customHeight="1" x14ac:dyDescent="0.25">
      <c r="A285" s="2" t="s">
        <v>70</v>
      </c>
      <c r="B285" s="2" t="s">
        <v>1083</v>
      </c>
      <c r="C285" s="5" t="s">
        <v>1098</v>
      </c>
      <c r="D285" s="2" t="s">
        <v>1163</v>
      </c>
    </row>
    <row r="286" spans="1:4" ht="12.95" customHeight="1" x14ac:dyDescent="0.25">
      <c r="A286" s="2" t="s">
        <v>70</v>
      </c>
      <c r="B286" s="2" t="s">
        <v>1083</v>
      </c>
      <c r="C286" s="5" t="s">
        <v>1100</v>
      </c>
      <c r="D286" s="2" t="s">
        <v>1164</v>
      </c>
    </row>
    <row r="287" spans="1:4" ht="12.95" customHeight="1" x14ac:dyDescent="0.25">
      <c r="A287" s="2" t="s">
        <v>70</v>
      </c>
      <c r="B287" s="2" t="s">
        <v>1083</v>
      </c>
      <c r="C287" s="5" t="s">
        <v>1109</v>
      </c>
      <c r="D287" s="2" t="s">
        <v>1165</v>
      </c>
    </row>
    <row r="288" spans="1:4" ht="12.95" customHeight="1" x14ac:dyDescent="0.25">
      <c r="A288" s="2" t="s">
        <v>72</v>
      </c>
      <c r="B288" s="2" t="s">
        <v>1083</v>
      </c>
      <c r="C288" s="5" t="s">
        <v>1084</v>
      </c>
      <c r="D288" s="2" t="s">
        <v>1153</v>
      </c>
    </row>
    <row r="289" spans="1:4" ht="12.95" customHeight="1" x14ac:dyDescent="0.25">
      <c r="A289" s="2" t="s">
        <v>72</v>
      </c>
      <c r="B289" s="2" t="s">
        <v>1083</v>
      </c>
      <c r="C289" s="5" t="s">
        <v>1086</v>
      </c>
      <c r="D289" s="2" t="s">
        <v>1147</v>
      </c>
    </row>
    <row r="290" spans="1:4" ht="12.95" customHeight="1" x14ac:dyDescent="0.25">
      <c r="A290" s="2" t="s">
        <v>72</v>
      </c>
      <c r="B290" s="2" t="s">
        <v>1083</v>
      </c>
      <c r="C290" s="5" t="s">
        <v>1088</v>
      </c>
      <c r="D290" s="2" t="s">
        <v>1089</v>
      </c>
    </row>
    <row r="291" spans="1:4" ht="12.95" customHeight="1" x14ac:dyDescent="0.25">
      <c r="A291" s="2" t="s">
        <v>75</v>
      </c>
      <c r="B291" s="2" t="s">
        <v>1083</v>
      </c>
      <c r="C291" s="5" t="s">
        <v>1102</v>
      </c>
      <c r="D291" s="2" t="s">
        <v>1103</v>
      </c>
    </row>
    <row r="292" spans="1:4" ht="12.95" customHeight="1" x14ac:dyDescent="0.25">
      <c r="A292" s="2" t="s">
        <v>75</v>
      </c>
      <c r="B292" s="2" t="s">
        <v>1083</v>
      </c>
      <c r="C292" s="5" t="s">
        <v>1084</v>
      </c>
      <c r="D292" s="2" t="s">
        <v>1085</v>
      </c>
    </row>
    <row r="293" spans="1:4" ht="12.95" customHeight="1" x14ac:dyDescent="0.25">
      <c r="A293" s="2" t="s">
        <v>75</v>
      </c>
      <c r="B293" s="2" t="s">
        <v>1083</v>
      </c>
      <c r="C293" s="5" t="s">
        <v>1086</v>
      </c>
      <c r="D293" s="2" t="s">
        <v>1087</v>
      </c>
    </row>
    <row r="294" spans="1:4" ht="12.95" customHeight="1" x14ac:dyDescent="0.25">
      <c r="A294" s="2" t="s">
        <v>75</v>
      </c>
      <c r="B294" s="2" t="s">
        <v>1083</v>
      </c>
      <c r="C294" s="5" t="s">
        <v>1088</v>
      </c>
      <c r="D294" s="2" t="s">
        <v>1089</v>
      </c>
    </row>
    <row r="295" spans="1:4" ht="12.95" customHeight="1" x14ac:dyDescent="0.25">
      <c r="A295" s="2" t="s">
        <v>75</v>
      </c>
      <c r="B295" s="2" t="s">
        <v>1083</v>
      </c>
      <c r="C295" s="5" t="s">
        <v>1090</v>
      </c>
      <c r="D295" s="2" t="s">
        <v>1159</v>
      </c>
    </row>
    <row r="296" spans="1:4" ht="12.95" customHeight="1" x14ac:dyDescent="0.25">
      <c r="A296" s="2" t="s">
        <v>75</v>
      </c>
      <c r="B296" s="2" t="s">
        <v>1083</v>
      </c>
      <c r="C296" s="5" t="s">
        <v>1092</v>
      </c>
      <c r="D296" s="2" t="s">
        <v>1160</v>
      </c>
    </row>
    <row r="297" spans="1:4" ht="12.95" customHeight="1" x14ac:dyDescent="0.25">
      <c r="A297" s="2" t="s">
        <v>75</v>
      </c>
      <c r="B297" s="2" t="s">
        <v>1083</v>
      </c>
      <c r="C297" s="5" t="s">
        <v>1094</v>
      </c>
      <c r="D297" s="2" t="s">
        <v>1161</v>
      </c>
    </row>
    <row r="298" spans="1:4" ht="12.95" customHeight="1" x14ac:dyDescent="0.25">
      <c r="A298" s="2" t="s">
        <v>75</v>
      </c>
      <c r="B298" s="2" t="s">
        <v>1083</v>
      </c>
      <c r="C298" s="5" t="s">
        <v>1096</v>
      </c>
      <c r="D298" s="2" t="s">
        <v>1162</v>
      </c>
    </row>
    <row r="299" spans="1:4" ht="12.95" customHeight="1" x14ac:dyDescent="0.25">
      <c r="A299" s="2" t="s">
        <v>75</v>
      </c>
      <c r="B299" s="2" t="s">
        <v>1083</v>
      </c>
      <c r="C299" s="5" t="s">
        <v>1098</v>
      </c>
      <c r="D299" s="2" t="s">
        <v>1163</v>
      </c>
    </row>
    <row r="300" spans="1:4" ht="12.95" customHeight="1" x14ac:dyDescent="0.25">
      <c r="A300" s="2" t="s">
        <v>75</v>
      </c>
      <c r="B300" s="2" t="s">
        <v>1083</v>
      </c>
      <c r="C300" s="5" t="s">
        <v>1100</v>
      </c>
      <c r="D300" s="2" t="s">
        <v>1164</v>
      </c>
    </row>
    <row r="301" spans="1:4" ht="12.95" customHeight="1" x14ac:dyDescent="0.25">
      <c r="A301" s="2" t="s">
        <v>75</v>
      </c>
      <c r="B301" s="2" t="s">
        <v>1083</v>
      </c>
      <c r="C301" s="5" t="s">
        <v>1109</v>
      </c>
      <c r="D301" s="2" t="s">
        <v>1165</v>
      </c>
    </row>
    <row r="302" spans="1:4" ht="12.95" customHeight="1" x14ac:dyDescent="0.25">
      <c r="A302" s="2" t="s">
        <v>77</v>
      </c>
      <c r="B302" s="2" t="s">
        <v>1083</v>
      </c>
      <c r="C302" s="5" t="s">
        <v>1102</v>
      </c>
      <c r="D302" s="2" t="s">
        <v>1103</v>
      </c>
    </row>
    <row r="303" spans="1:4" ht="12.95" customHeight="1" x14ac:dyDescent="0.25">
      <c r="A303" s="2" t="s">
        <v>77</v>
      </c>
      <c r="B303" s="2" t="s">
        <v>1083</v>
      </c>
      <c r="C303" s="5" t="s">
        <v>1084</v>
      </c>
      <c r="D303" s="2" t="s">
        <v>1085</v>
      </c>
    </row>
    <row r="304" spans="1:4" ht="12.95" customHeight="1" x14ac:dyDescent="0.25">
      <c r="A304" s="2" t="s">
        <v>77</v>
      </c>
      <c r="B304" s="2" t="s">
        <v>1083</v>
      </c>
      <c r="C304" s="5" t="s">
        <v>1086</v>
      </c>
      <c r="D304" s="2" t="s">
        <v>1087</v>
      </c>
    </row>
    <row r="305" spans="1:4" ht="12.95" customHeight="1" x14ac:dyDescent="0.25">
      <c r="A305" s="2" t="s">
        <v>77</v>
      </c>
      <c r="B305" s="2" t="s">
        <v>1083</v>
      </c>
      <c r="C305" s="5" t="s">
        <v>1088</v>
      </c>
      <c r="D305" s="2" t="s">
        <v>1089</v>
      </c>
    </row>
    <row r="306" spans="1:4" ht="12.95" customHeight="1" x14ac:dyDescent="0.25">
      <c r="A306" s="2" t="s">
        <v>77</v>
      </c>
      <c r="B306" s="2" t="s">
        <v>1083</v>
      </c>
      <c r="C306" s="5" t="s">
        <v>1090</v>
      </c>
      <c r="D306" s="2" t="s">
        <v>1166</v>
      </c>
    </row>
    <row r="307" spans="1:4" ht="12.95" customHeight="1" x14ac:dyDescent="0.25">
      <c r="A307" s="2" t="s">
        <v>77</v>
      </c>
      <c r="B307" s="2" t="s">
        <v>1083</v>
      </c>
      <c r="C307" s="5" t="s">
        <v>1092</v>
      </c>
      <c r="D307" s="2" t="s">
        <v>1167</v>
      </c>
    </row>
    <row r="308" spans="1:4" ht="12.95" customHeight="1" x14ac:dyDescent="0.25">
      <c r="A308" s="2" t="s">
        <v>77</v>
      </c>
      <c r="B308" s="2" t="s">
        <v>1083</v>
      </c>
      <c r="C308" s="5" t="s">
        <v>1094</v>
      </c>
      <c r="D308" s="2" t="s">
        <v>1159</v>
      </c>
    </row>
    <row r="309" spans="1:4" ht="12.95" customHeight="1" x14ac:dyDescent="0.25">
      <c r="A309" s="2" t="s">
        <v>77</v>
      </c>
      <c r="B309" s="2" t="s">
        <v>1083</v>
      </c>
      <c r="C309" s="5" t="s">
        <v>1096</v>
      </c>
      <c r="D309" s="2" t="s">
        <v>1168</v>
      </c>
    </row>
    <row r="310" spans="1:4" ht="12.95" customHeight="1" x14ac:dyDescent="0.25">
      <c r="A310" s="2" t="s">
        <v>77</v>
      </c>
      <c r="B310" s="2" t="s">
        <v>1083</v>
      </c>
      <c r="C310" s="5" t="s">
        <v>1098</v>
      </c>
      <c r="D310" s="2" t="s">
        <v>1169</v>
      </c>
    </row>
    <row r="311" spans="1:4" ht="12.95" customHeight="1" x14ac:dyDescent="0.25">
      <c r="A311" s="2" t="s">
        <v>77</v>
      </c>
      <c r="B311" s="2" t="s">
        <v>1083</v>
      </c>
      <c r="C311" s="5" t="s">
        <v>1100</v>
      </c>
      <c r="D311" s="2" t="s">
        <v>1170</v>
      </c>
    </row>
    <row r="312" spans="1:4" ht="12.95" customHeight="1" x14ac:dyDescent="0.25">
      <c r="A312" s="2" t="s">
        <v>77</v>
      </c>
      <c r="B312" s="2" t="s">
        <v>1083</v>
      </c>
      <c r="C312" s="5" t="s">
        <v>1109</v>
      </c>
      <c r="D312" s="2" t="s">
        <v>1171</v>
      </c>
    </row>
    <row r="313" spans="1:4" ht="12.95" customHeight="1" x14ac:dyDescent="0.25">
      <c r="A313" s="2" t="s">
        <v>77</v>
      </c>
      <c r="B313" s="2" t="s">
        <v>1083</v>
      </c>
      <c r="C313" s="5" t="s">
        <v>1119</v>
      </c>
      <c r="D313" s="2" t="s">
        <v>1172</v>
      </c>
    </row>
    <row r="314" spans="1:4" ht="12.95" customHeight="1" x14ac:dyDescent="0.25">
      <c r="A314" s="2" t="s">
        <v>77</v>
      </c>
      <c r="B314" s="2" t="s">
        <v>1083</v>
      </c>
      <c r="C314" s="5" t="s">
        <v>1121</v>
      </c>
      <c r="D314" s="2" t="s">
        <v>1173</v>
      </c>
    </row>
    <row r="315" spans="1:4" ht="12.95" customHeight="1" x14ac:dyDescent="0.25">
      <c r="A315" s="2" t="s">
        <v>77</v>
      </c>
      <c r="B315" s="2" t="s">
        <v>1083</v>
      </c>
      <c r="C315" s="5" t="s">
        <v>1123</v>
      </c>
      <c r="D315" s="2" t="s">
        <v>1174</v>
      </c>
    </row>
    <row r="316" spans="1:4" ht="12.95" customHeight="1" x14ac:dyDescent="0.25">
      <c r="A316" s="2" t="s">
        <v>77</v>
      </c>
      <c r="B316" s="2" t="s">
        <v>1083</v>
      </c>
      <c r="C316" s="5" t="s">
        <v>1125</v>
      </c>
      <c r="D316" s="2" t="s">
        <v>1175</v>
      </c>
    </row>
    <row r="317" spans="1:4" ht="12.95" customHeight="1" x14ac:dyDescent="0.25">
      <c r="A317" s="2" t="s">
        <v>77</v>
      </c>
      <c r="B317" s="2" t="s">
        <v>1083</v>
      </c>
      <c r="C317" s="5" t="s">
        <v>1127</v>
      </c>
      <c r="D317" s="2" t="s">
        <v>1176</v>
      </c>
    </row>
    <row r="318" spans="1:4" ht="12.95" customHeight="1" x14ac:dyDescent="0.25">
      <c r="A318" s="2" t="s">
        <v>77</v>
      </c>
      <c r="B318" s="2" t="s">
        <v>1083</v>
      </c>
      <c r="C318" s="5" t="s">
        <v>1129</v>
      </c>
      <c r="D318" s="2" t="s">
        <v>1177</v>
      </c>
    </row>
    <row r="319" spans="1:4" ht="12.95" customHeight="1" x14ac:dyDescent="0.25">
      <c r="A319" s="2" t="s">
        <v>77</v>
      </c>
      <c r="B319" s="2" t="s">
        <v>1083</v>
      </c>
      <c r="C319" s="5" t="s">
        <v>1111</v>
      </c>
      <c r="D319" s="2" t="s">
        <v>1143</v>
      </c>
    </row>
    <row r="320" spans="1:4" ht="12.95" customHeight="1" x14ac:dyDescent="0.25">
      <c r="A320" s="2" t="s">
        <v>81</v>
      </c>
      <c r="B320" s="2" t="s">
        <v>1083</v>
      </c>
      <c r="C320" s="5" t="s">
        <v>1102</v>
      </c>
      <c r="D320" s="2" t="s">
        <v>1103</v>
      </c>
    </row>
    <row r="321" spans="1:4" ht="12.95" customHeight="1" x14ac:dyDescent="0.25">
      <c r="A321" s="2" t="s">
        <v>81</v>
      </c>
      <c r="B321" s="2" t="s">
        <v>1083</v>
      </c>
      <c r="C321" s="5" t="s">
        <v>1084</v>
      </c>
      <c r="D321" s="2" t="s">
        <v>1085</v>
      </c>
    </row>
    <row r="322" spans="1:4" ht="12.95" customHeight="1" x14ac:dyDescent="0.25">
      <c r="A322" s="2" t="s">
        <v>81</v>
      </c>
      <c r="B322" s="2" t="s">
        <v>1083</v>
      </c>
      <c r="C322" s="5" t="s">
        <v>1086</v>
      </c>
      <c r="D322" s="2" t="s">
        <v>1087</v>
      </c>
    </row>
    <row r="323" spans="1:4" ht="12.95" customHeight="1" x14ac:dyDescent="0.25">
      <c r="A323" s="2" t="s">
        <v>81</v>
      </c>
      <c r="B323" s="2" t="s">
        <v>1083</v>
      </c>
      <c r="C323" s="5" t="s">
        <v>1088</v>
      </c>
      <c r="D323" s="2" t="s">
        <v>1089</v>
      </c>
    </row>
    <row r="324" spans="1:4" ht="12.95" customHeight="1" x14ac:dyDescent="0.25">
      <c r="A324" s="2" t="s">
        <v>81</v>
      </c>
      <c r="B324" s="2" t="s">
        <v>1083</v>
      </c>
      <c r="C324" s="5" t="s">
        <v>1090</v>
      </c>
      <c r="D324" s="2" t="s">
        <v>1166</v>
      </c>
    </row>
    <row r="325" spans="1:4" ht="12.95" customHeight="1" x14ac:dyDescent="0.25">
      <c r="A325" s="2" t="s">
        <v>81</v>
      </c>
      <c r="B325" s="2" t="s">
        <v>1083</v>
      </c>
      <c r="C325" s="5" t="s">
        <v>1092</v>
      </c>
      <c r="D325" s="2" t="s">
        <v>1167</v>
      </c>
    </row>
    <row r="326" spans="1:4" ht="12.95" customHeight="1" x14ac:dyDescent="0.25">
      <c r="A326" s="2" t="s">
        <v>81</v>
      </c>
      <c r="B326" s="2" t="s">
        <v>1083</v>
      </c>
      <c r="C326" s="5" t="s">
        <v>1094</v>
      </c>
      <c r="D326" s="2" t="s">
        <v>1159</v>
      </c>
    </row>
    <row r="327" spans="1:4" ht="12.95" customHeight="1" x14ac:dyDescent="0.25">
      <c r="A327" s="2" t="s">
        <v>81</v>
      </c>
      <c r="B327" s="2" t="s">
        <v>1083</v>
      </c>
      <c r="C327" s="5" t="s">
        <v>1096</v>
      </c>
      <c r="D327" s="2" t="s">
        <v>1168</v>
      </c>
    </row>
    <row r="328" spans="1:4" ht="12.95" customHeight="1" x14ac:dyDescent="0.25">
      <c r="A328" s="2" t="s">
        <v>81</v>
      </c>
      <c r="B328" s="2" t="s">
        <v>1083</v>
      </c>
      <c r="C328" s="5" t="s">
        <v>1098</v>
      </c>
      <c r="D328" s="2" t="s">
        <v>1169</v>
      </c>
    </row>
    <row r="329" spans="1:4" ht="12.95" customHeight="1" x14ac:dyDescent="0.25">
      <c r="A329" s="2" t="s">
        <v>81</v>
      </c>
      <c r="B329" s="2" t="s">
        <v>1083</v>
      </c>
      <c r="C329" s="5" t="s">
        <v>1100</v>
      </c>
      <c r="D329" s="2" t="s">
        <v>1170</v>
      </c>
    </row>
    <row r="330" spans="1:4" ht="12.95" customHeight="1" x14ac:dyDescent="0.25">
      <c r="A330" s="2" t="s">
        <v>81</v>
      </c>
      <c r="B330" s="2" t="s">
        <v>1083</v>
      </c>
      <c r="C330" s="5" t="s">
        <v>1109</v>
      </c>
      <c r="D330" s="2" t="s">
        <v>1171</v>
      </c>
    </row>
    <row r="331" spans="1:4" ht="12.95" customHeight="1" x14ac:dyDescent="0.25">
      <c r="A331" s="2" t="s">
        <v>81</v>
      </c>
      <c r="B331" s="2" t="s">
        <v>1083</v>
      </c>
      <c r="C331" s="5" t="s">
        <v>1119</v>
      </c>
      <c r="D331" s="2" t="s">
        <v>1172</v>
      </c>
    </row>
    <row r="332" spans="1:4" ht="12.95" customHeight="1" x14ac:dyDescent="0.25">
      <c r="A332" s="2" t="s">
        <v>81</v>
      </c>
      <c r="B332" s="2" t="s">
        <v>1083</v>
      </c>
      <c r="C332" s="5" t="s">
        <v>1121</v>
      </c>
      <c r="D332" s="2" t="s">
        <v>1173</v>
      </c>
    </row>
    <row r="333" spans="1:4" ht="12.95" customHeight="1" x14ac:dyDescent="0.25">
      <c r="A333" s="2" t="s">
        <v>81</v>
      </c>
      <c r="B333" s="2" t="s">
        <v>1083</v>
      </c>
      <c r="C333" s="5" t="s">
        <v>1123</v>
      </c>
      <c r="D333" s="2" t="s">
        <v>1174</v>
      </c>
    </row>
    <row r="334" spans="1:4" ht="12.95" customHeight="1" x14ac:dyDescent="0.25">
      <c r="A334" s="2" t="s">
        <v>81</v>
      </c>
      <c r="B334" s="2" t="s">
        <v>1083</v>
      </c>
      <c r="C334" s="5" t="s">
        <v>1125</v>
      </c>
      <c r="D334" s="2" t="s">
        <v>1175</v>
      </c>
    </row>
    <row r="335" spans="1:4" ht="12.95" customHeight="1" x14ac:dyDescent="0.25">
      <c r="A335" s="2" t="s">
        <v>81</v>
      </c>
      <c r="B335" s="2" t="s">
        <v>1083</v>
      </c>
      <c r="C335" s="5" t="s">
        <v>1127</v>
      </c>
      <c r="D335" s="2" t="s">
        <v>1176</v>
      </c>
    </row>
    <row r="336" spans="1:4" ht="12.95" customHeight="1" x14ac:dyDescent="0.25">
      <c r="A336" s="2" t="s">
        <v>81</v>
      </c>
      <c r="B336" s="2" t="s">
        <v>1083</v>
      </c>
      <c r="C336" s="5" t="s">
        <v>1129</v>
      </c>
      <c r="D336" s="2" t="s">
        <v>1177</v>
      </c>
    </row>
    <row r="337" spans="1:4" ht="12.95" customHeight="1" x14ac:dyDescent="0.25">
      <c r="A337" s="2" t="s">
        <v>81</v>
      </c>
      <c r="B337" s="2" t="s">
        <v>1083</v>
      </c>
      <c r="C337" s="5" t="s">
        <v>1111</v>
      </c>
      <c r="D337" s="2" t="s">
        <v>1143</v>
      </c>
    </row>
    <row r="338" spans="1:4" ht="12.95" customHeight="1" x14ac:dyDescent="0.25">
      <c r="A338" s="2" t="s">
        <v>83</v>
      </c>
      <c r="B338" s="2" t="s">
        <v>1083</v>
      </c>
      <c r="C338" s="5" t="s">
        <v>1102</v>
      </c>
      <c r="D338" s="2" t="s">
        <v>1103</v>
      </c>
    </row>
    <row r="339" spans="1:4" ht="12.95" customHeight="1" x14ac:dyDescent="0.25">
      <c r="A339" s="2" t="s">
        <v>83</v>
      </c>
      <c r="B339" s="2" t="s">
        <v>1083</v>
      </c>
      <c r="C339" s="5" t="s">
        <v>1084</v>
      </c>
      <c r="D339" s="2" t="s">
        <v>1085</v>
      </c>
    </row>
    <row r="340" spans="1:4" ht="12.95" customHeight="1" x14ac:dyDescent="0.25">
      <c r="A340" s="2" t="s">
        <v>83</v>
      </c>
      <c r="B340" s="2" t="s">
        <v>1083</v>
      </c>
      <c r="C340" s="5" t="s">
        <v>1086</v>
      </c>
      <c r="D340" s="2" t="s">
        <v>1087</v>
      </c>
    </row>
    <row r="341" spans="1:4" ht="12.95" customHeight="1" x14ac:dyDescent="0.25">
      <c r="A341" s="2" t="s">
        <v>83</v>
      </c>
      <c r="B341" s="2" t="s">
        <v>1083</v>
      </c>
      <c r="C341" s="5" t="s">
        <v>1088</v>
      </c>
      <c r="D341" s="2" t="s">
        <v>1089</v>
      </c>
    </row>
    <row r="342" spans="1:4" ht="12.95" customHeight="1" x14ac:dyDescent="0.25">
      <c r="A342" s="2" t="s">
        <v>83</v>
      </c>
      <c r="B342" s="2" t="s">
        <v>1083</v>
      </c>
      <c r="C342" s="5" t="s">
        <v>1090</v>
      </c>
      <c r="D342" s="2" t="s">
        <v>1166</v>
      </c>
    </row>
    <row r="343" spans="1:4" ht="12.95" customHeight="1" x14ac:dyDescent="0.25">
      <c r="A343" s="2" t="s">
        <v>83</v>
      </c>
      <c r="B343" s="2" t="s">
        <v>1083</v>
      </c>
      <c r="C343" s="5" t="s">
        <v>1092</v>
      </c>
      <c r="D343" s="2" t="s">
        <v>1167</v>
      </c>
    </row>
    <row r="344" spans="1:4" ht="12.95" customHeight="1" x14ac:dyDescent="0.25">
      <c r="A344" s="2" t="s">
        <v>83</v>
      </c>
      <c r="B344" s="2" t="s">
        <v>1083</v>
      </c>
      <c r="C344" s="5" t="s">
        <v>1094</v>
      </c>
      <c r="D344" s="2" t="s">
        <v>1159</v>
      </c>
    </row>
    <row r="345" spans="1:4" ht="12.95" customHeight="1" x14ac:dyDescent="0.25">
      <c r="A345" s="2" t="s">
        <v>83</v>
      </c>
      <c r="B345" s="2" t="s">
        <v>1083</v>
      </c>
      <c r="C345" s="5" t="s">
        <v>1096</v>
      </c>
      <c r="D345" s="2" t="s">
        <v>1168</v>
      </c>
    </row>
    <row r="346" spans="1:4" ht="12.95" customHeight="1" x14ac:dyDescent="0.25">
      <c r="A346" s="2" t="s">
        <v>83</v>
      </c>
      <c r="B346" s="2" t="s">
        <v>1083</v>
      </c>
      <c r="C346" s="5" t="s">
        <v>1098</v>
      </c>
      <c r="D346" s="2" t="s">
        <v>1169</v>
      </c>
    </row>
    <row r="347" spans="1:4" ht="12.95" customHeight="1" x14ac:dyDescent="0.25">
      <c r="A347" s="2" t="s">
        <v>83</v>
      </c>
      <c r="B347" s="2" t="s">
        <v>1083</v>
      </c>
      <c r="C347" s="5" t="s">
        <v>1100</v>
      </c>
      <c r="D347" s="2" t="s">
        <v>1170</v>
      </c>
    </row>
    <row r="348" spans="1:4" ht="12.95" customHeight="1" x14ac:dyDescent="0.25">
      <c r="A348" s="2" t="s">
        <v>83</v>
      </c>
      <c r="B348" s="2" t="s">
        <v>1083</v>
      </c>
      <c r="C348" s="5" t="s">
        <v>1109</v>
      </c>
      <c r="D348" s="2" t="s">
        <v>1171</v>
      </c>
    </row>
    <row r="349" spans="1:4" ht="12.95" customHeight="1" x14ac:dyDescent="0.25">
      <c r="A349" s="2" t="s">
        <v>83</v>
      </c>
      <c r="B349" s="2" t="s">
        <v>1083</v>
      </c>
      <c r="C349" s="5" t="s">
        <v>1119</v>
      </c>
      <c r="D349" s="2" t="s">
        <v>1172</v>
      </c>
    </row>
    <row r="350" spans="1:4" ht="12.95" customHeight="1" x14ac:dyDescent="0.25">
      <c r="A350" s="2" t="s">
        <v>83</v>
      </c>
      <c r="B350" s="2" t="s">
        <v>1083</v>
      </c>
      <c r="C350" s="5" t="s">
        <v>1121</v>
      </c>
      <c r="D350" s="2" t="s">
        <v>1173</v>
      </c>
    </row>
    <row r="351" spans="1:4" ht="12.95" customHeight="1" x14ac:dyDescent="0.25">
      <c r="A351" s="2" t="s">
        <v>83</v>
      </c>
      <c r="B351" s="2" t="s">
        <v>1083</v>
      </c>
      <c r="C351" s="5" t="s">
        <v>1123</v>
      </c>
      <c r="D351" s="2" t="s">
        <v>1174</v>
      </c>
    </row>
    <row r="352" spans="1:4" ht="12.95" customHeight="1" x14ac:dyDescent="0.25">
      <c r="A352" s="2" t="s">
        <v>83</v>
      </c>
      <c r="B352" s="2" t="s">
        <v>1083</v>
      </c>
      <c r="C352" s="5" t="s">
        <v>1125</v>
      </c>
      <c r="D352" s="2" t="s">
        <v>1175</v>
      </c>
    </row>
    <row r="353" spans="1:4" ht="12.95" customHeight="1" x14ac:dyDescent="0.25">
      <c r="A353" s="2" t="s">
        <v>83</v>
      </c>
      <c r="B353" s="2" t="s">
        <v>1083</v>
      </c>
      <c r="C353" s="5" t="s">
        <v>1127</v>
      </c>
      <c r="D353" s="2" t="s">
        <v>1176</v>
      </c>
    </row>
    <row r="354" spans="1:4" ht="12.95" customHeight="1" x14ac:dyDescent="0.25">
      <c r="A354" s="2" t="s">
        <v>83</v>
      </c>
      <c r="B354" s="2" t="s">
        <v>1083</v>
      </c>
      <c r="C354" s="5" t="s">
        <v>1129</v>
      </c>
      <c r="D354" s="2" t="s">
        <v>1177</v>
      </c>
    </row>
    <row r="355" spans="1:4" ht="12.95" customHeight="1" x14ac:dyDescent="0.25">
      <c r="A355" s="2" t="s">
        <v>83</v>
      </c>
      <c r="B355" s="2" t="s">
        <v>1083</v>
      </c>
      <c r="C355" s="5" t="s">
        <v>1111</v>
      </c>
      <c r="D355" s="2" t="s">
        <v>1143</v>
      </c>
    </row>
    <row r="356" spans="1:4" ht="12.95" customHeight="1" x14ac:dyDescent="0.25">
      <c r="A356" s="2" t="s">
        <v>85</v>
      </c>
      <c r="B356" s="2" t="s">
        <v>1083</v>
      </c>
      <c r="C356" s="5" t="s">
        <v>1102</v>
      </c>
      <c r="D356" s="2" t="s">
        <v>1103</v>
      </c>
    </row>
    <row r="357" spans="1:4" ht="12.95" customHeight="1" x14ac:dyDescent="0.25">
      <c r="A357" s="2" t="s">
        <v>85</v>
      </c>
      <c r="B357" s="2" t="s">
        <v>1083</v>
      </c>
      <c r="C357" s="5" t="s">
        <v>1084</v>
      </c>
      <c r="D357" s="2" t="s">
        <v>1085</v>
      </c>
    </row>
    <row r="358" spans="1:4" ht="12.95" customHeight="1" x14ac:dyDescent="0.25">
      <c r="A358" s="2" t="s">
        <v>85</v>
      </c>
      <c r="B358" s="2" t="s">
        <v>1083</v>
      </c>
      <c r="C358" s="5" t="s">
        <v>1086</v>
      </c>
      <c r="D358" s="2" t="s">
        <v>1087</v>
      </c>
    </row>
    <row r="359" spans="1:4" ht="12.95" customHeight="1" x14ac:dyDescent="0.25">
      <c r="A359" s="2" t="s">
        <v>85</v>
      </c>
      <c r="B359" s="2" t="s">
        <v>1083</v>
      </c>
      <c r="C359" s="5" t="s">
        <v>1088</v>
      </c>
      <c r="D359" s="2" t="s">
        <v>1089</v>
      </c>
    </row>
    <row r="360" spans="1:4" ht="12.95" customHeight="1" x14ac:dyDescent="0.25">
      <c r="A360" s="2" t="s">
        <v>85</v>
      </c>
      <c r="B360" s="2" t="s">
        <v>1083</v>
      </c>
      <c r="C360" s="5" t="s">
        <v>1090</v>
      </c>
      <c r="D360" s="2" t="s">
        <v>1166</v>
      </c>
    </row>
    <row r="361" spans="1:4" ht="12.95" customHeight="1" x14ac:dyDescent="0.25">
      <c r="A361" s="2" t="s">
        <v>85</v>
      </c>
      <c r="B361" s="2" t="s">
        <v>1083</v>
      </c>
      <c r="C361" s="5" t="s">
        <v>1092</v>
      </c>
      <c r="D361" s="2" t="s">
        <v>1167</v>
      </c>
    </row>
    <row r="362" spans="1:4" ht="12.95" customHeight="1" x14ac:dyDescent="0.25">
      <c r="A362" s="2" t="s">
        <v>85</v>
      </c>
      <c r="B362" s="2" t="s">
        <v>1083</v>
      </c>
      <c r="C362" s="5" t="s">
        <v>1094</v>
      </c>
      <c r="D362" s="2" t="s">
        <v>1159</v>
      </c>
    </row>
    <row r="363" spans="1:4" ht="12.95" customHeight="1" x14ac:dyDescent="0.25">
      <c r="A363" s="2" t="s">
        <v>85</v>
      </c>
      <c r="B363" s="2" t="s">
        <v>1083</v>
      </c>
      <c r="C363" s="5" t="s">
        <v>1096</v>
      </c>
      <c r="D363" s="2" t="s">
        <v>1168</v>
      </c>
    </row>
    <row r="364" spans="1:4" ht="12.95" customHeight="1" x14ac:dyDescent="0.25">
      <c r="A364" s="2" t="s">
        <v>85</v>
      </c>
      <c r="B364" s="2" t="s">
        <v>1083</v>
      </c>
      <c r="C364" s="5" t="s">
        <v>1098</v>
      </c>
      <c r="D364" s="2" t="s">
        <v>1169</v>
      </c>
    </row>
    <row r="365" spans="1:4" ht="12.95" customHeight="1" x14ac:dyDescent="0.25">
      <c r="A365" s="2" t="s">
        <v>85</v>
      </c>
      <c r="B365" s="2" t="s">
        <v>1083</v>
      </c>
      <c r="C365" s="5" t="s">
        <v>1100</v>
      </c>
      <c r="D365" s="2" t="s">
        <v>1170</v>
      </c>
    </row>
    <row r="366" spans="1:4" ht="12.95" customHeight="1" x14ac:dyDescent="0.25">
      <c r="A366" s="2" t="s">
        <v>85</v>
      </c>
      <c r="B366" s="2" t="s">
        <v>1083</v>
      </c>
      <c r="C366" s="5" t="s">
        <v>1109</v>
      </c>
      <c r="D366" s="2" t="s">
        <v>1171</v>
      </c>
    </row>
    <row r="367" spans="1:4" ht="12.95" customHeight="1" x14ac:dyDescent="0.25">
      <c r="A367" s="2" t="s">
        <v>85</v>
      </c>
      <c r="B367" s="2" t="s">
        <v>1083</v>
      </c>
      <c r="C367" s="5" t="s">
        <v>1119</v>
      </c>
      <c r="D367" s="2" t="s">
        <v>1172</v>
      </c>
    </row>
    <row r="368" spans="1:4" ht="12.95" customHeight="1" x14ac:dyDescent="0.25">
      <c r="A368" s="2" t="s">
        <v>85</v>
      </c>
      <c r="B368" s="2" t="s">
        <v>1083</v>
      </c>
      <c r="C368" s="5" t="s">
        <v>1121</v>
      </c>
      <c r="D368" s="2" t="s">
        <v>1173</v>
      </c>
    </row>
    <row r="369" spans="1:4" ht="12.95" customHeight="1" x14ac:dyDescent="0.25">
      <c r="A369" s="2" t="s">
        <v>85</v>
      </c>
      <c r="B369" s="2" t="s">
        <v>1083</v>
      </c>
      <c r="C369" s="5" t="s">
        <v>1123</v>
      </c>
      <c r="D369" s="2" t="s">
        <v>1174</v>
      </c>
    </row>
    <row r="370" spans="1:4" ht="12.95" customHeight="1" x14ac:dyDescent="0.25">
      <c r="A370" s="2" t="s">
        <v>85</v>
      </c>
      <c r="B370" s="2" t="s">
        <v>1083</v>
      </c>
      <c r="C370" s="5" t="s">
        <v>1125</v>
      </c>
      <c r="D370" s="2" t="s">
        <v>1175</v>
      </c>
    </row>
    <row r="371" spans="1:4" ht="12.95" customHeight="1" x14ac:dyDescent="0.25">
      <c r="A371" s="2" t="s">
        <v>85</v>
      </c>
      <c r="B371" s="2" t="s">
        <v>1083</v>
      </c>
      <c r="C371" s="5" t="s">
        <v>1127</v>
      </c>
      <c r="D371" s="2" t="s">
        <v>1176</v>
      </c>
    </row>
    <row r="372" spans="1:4" ht="12.95" customHeight="1" x14ac:dyDescent="0.25">
      <c r="A372" s="2" t="s">
        <v>85</v>
      </c>
      <c r="B372" s="2" t="s">
        <v>1083</v>
      </c>
      <c r="C372" s="5" t="s">
        <v>1129</v>
      </c>
      <c r="D372" s="2" t="s">
        <v>1177</v>
      </c>
    </row>
    <row r="373" spans="1:4" ht="12.95" customHeight="1" x14ac:dyDescent="0.25">
      <c r="A373" s="2" t="s">
        <v>85</v>
      </c>
      <c r="B373" s="2" t="s">
        <v>1083</v>
      </c>
      <c r="C373" s="5" t="s">
        <v>1111</v>
      </c>
      <c r="D373" s="2" t="s">
        <v>1143</v>
      </c>
    </row>
    <row r="374" spans="1:4" ht="12.95" customHeight="1" x14ac:dyDescent="0.25">
      <c r="A374" s="2" t="s">
        <v>87</v>
      </c>
      <c r="B374" s="2" t="s">
        <v>1083</v>
      </c>
      <c r="C374" s="5" t="s">
        <v>1102</v>
      </c>
      <c r="D374" s="2" t="s">
        <v>1103</v>
      </c>
    </row>
    <row r="375" spans="1:4" ht="12.95" customHeight="1" x14ac:dyDescent="0.25">
      <c r="A375" s="2" t="s">
        <v>87</v>
      </c>
      <c r="B375" s="2" t="s">
        <v>1083</v>
      </c>
      <c r="C375" s="5" t="s">
        <v>1084</v>
      </c>
      <c r="D375" s="2" t="s">
        <v>1085</v>
      </c>
    </row>
    <row r="376" spans="1:4" ht="12.95" customHeight="1" x14ac:dyDescent="0.25">
      <c r="A376" s="2" t="s">
        <v>87</v>
      </c>
      <c r="B376" s="2" t="s">
        <v>1083</v>
      </c>
      <c r="C376" s="5" t="s">
        <v>1086</v>
      </c>
      <c r="D376" s="2" t="s">
        <v>1087</v>
      </c>
    </row>
    <row r="377" spans="1:4" ht="12.95" customHeight="1" x14ac:dyDescent="0.25">
      <c r="A377" s="2" t="s">
        <v>87</v>
      </c>
      <c r="B377" s="2" t="s">
        <v>1083</v>
      </c>
      <c r="C377" s="5" t="s">
        <v>1088</v>
      </c>
      <c r="D377" s="2" t="s">
        <v>1089</v>
      </c>
    </row>
    <row r="378" spans="1:4" ht="12.95" customHeight="1" x14ac:dyDescent="0.25">
      <c r="A378" s="2" t="s">
        <v>87</v>
      </c>
      <c r="B378" s="2" t="s">
        <v>1083</v>
      </c>
      <c r="C378" s="5" t="s">
        <v>1090</v>
      </c>
      <c r="D378" s="2" t="s">
        <v>1166</v>
      </c>
    </row>
    <row r="379" spans="1:4" ht="12.95" customHeight="1" x14ac:dyDescent="0.25">
      <c r="A379" s="2" t="s">
        <v>87</v>
      </c>
      <c r="B379" s="2" t="s">
        <v>1083</v>
      </c>
      <c r="C379" s="5" t="s">
        <v>1092</v>
      </c>
      <c r="D379" s="2" t="s">
        <v>1167</v>
      </c>
    </row>
    <row r="380" spans="1:4" ht="12.95" customHeight="1" x14ac:dyDescent="0.25">
      <c r="A380" s="2" t="s">
        <v>87</v>
      </c>
      <c r="B380" s="2" t="s">
        <v>1083</v>
      </c>
      <c r="C380" s="5" t="s">
        <v>1094</v>
      </c>
      <c r="D380" s="2" t="s">
        <v>1159</v>
      </c>
    </row>
    <row r="381" spans="1:4" ht="12.95" customHeight="1" x14ac:dyDescent="0.25">
      <c r="A381" s="2" t="s">
        <v>87</v>
      </c>
      <c r="B381" s="2" t="s">
        <v>1083</v>
      </c>
      <c r="C381" s="5" t="s">
        <v>1096</v>
      </c>
      <c r="D381" s="2" t="s">
        <v>1168</v>
      </c>
    </row>
    <row r="382" spans="1:4" ht="12.95" customHeight="1" x14ac:dyDescent="0.25">
      <c r="A382" s="2" t="s">
        <v>87</v>
      </c>
      <c r="B382" s="2" t="s">
        <v>1083</v>
      </c>
      <c r="C382" s="5" t="s">
        <v>1098</v>
      </c>
      <c r="D382" s="2" t="s">
        <v>1169</v>
      </c>
    </row>
    <row r="383" spans="1:4" ht="12.95" customHeight="1" x14ac:dyDescent="0.25">
      <c r="A383" s="2" t="s">
        <v>87</v>
      </c>
      <c r="B383" s="2" t="s">
        <v>1083</v>
      </c>
      <c r="C383" s="5" t="s">
        <v>1100</v>
      </c>
      <c r="D383" s="2" t="s">
        <v>1170</v>
      </c>
    </row>
    <row r="384" spans="1:4" ht="12.95" customHeight="1" x14ac:dyDescent="0.25">
      <c r="A384" s="2" t="s">
        <v>87</v>
      </c>
      <c r="B384" s="2" t="s">
        <v>1083</v>
      </c>
      <c r="C384" s="5" t="s">
        <v>1109</v>
      </c>
      <c r="D384" s="2" t="s">
        <v>1171</v>
      </c>
    </row>
    <row r="385" spans="1:4" ht="12.95" customHeight="1" x14ac:dyDescent="0.25">
      <c r="A385" s="2" t="s">
        <v>87</v>
      </c>
      <c r="B385" s="2" t="s">
        <v>1083</v>
      </c>
      <c r="C385" s="5" t="s">
        <v>1119</v>
      </c>
      <c r="D385" s="2" t="s">
        <v>1172</v>
      </c>
    </row>
    <row r="386" spans="1:4" ht="12.95" customHeight="1" x14ac:dyDescent="0.25">
      <c r="A386" s="2" t="s">
        <v>87</v>
      </c>
      <c r="B386" s="2" t="s">
        <v>1083</v>
      </c>
      <c r="C386" s="5" t="s">
        <v>1121</v>
      </c>
      <c r="D386" s="2" t="s">
        <v>1173</v>
      </c>
    </row>
    <row r="387" spans="1:4" ht="12.95" customHeight="1" x14ac:dyDescent="0.25">
      <c r="A387" s="2" t="s">
        <v>87</v>
      </c>
      <c r="B387" s="2" t="s">
        <v>1083</v>
      </c>
      <c r="C387" s="5" t="s">
        <v>1123</v>
      </c>
      <c r="D387" s="2" t="s">
        <v>1174</v>
      </c>
    </row>
    <row r="388" spans="1:4" ht="12.95" customHeight="1" x14ac:dyDescent="0.25">
      <c r="A388" s="2" t="s">
        <v>87</v>
      </c>
      <c r="B388" s="2" t="s">
        <v>1083</v>
      </c>
      <c r="C388" s="5" t="s">
        <v>1125</v>
      </c>
      <c r="D388" s="2" t="s">
        <v>1175</v>
      </c>
    </row>
    <row r="389" spans="1:4" ht="12.95" customHeight="1" x14ac:dyDescent="0.25">
      <c r="A389" s="2" t="s">
        <v>87</v>
      </c>
      <c r="B389" s="2" t="s">
        <v>1083</v>
      </c>
      <c r="C389" s="5" t="s">
        <v>1127</v>
      </c>
      <c r="D389" s="2" t="s">
        <v>1176</v>
      </c>
    </row>
    <row r="390" spans="1:4" ht="12.95" customHeight="1" x14ac:dyDescent="0.25">
      <c r="A390" s="2" t="s">
        <v>87</v>
      </c>
      <c r="B390" s="2" t="s">
        <v>1083</v>
      </c>
      <c r="C390" s="5" t="s">
        <v>1129</v>
      </c>
      <c r="D390" s="2" t="s">
        <v>1177</v>
      </c>
    </row>
    <row r="391" spans="1:4" ht="12.95" customHeight="1" x14ac:dyDescent="0.25">
      <c r="A391" s="2" t="s">
        <v>87</v>
      </c>
      <c r="B391" s="2" t="s">
        <v>1083</v>
      </c>
      <c r="C391" s="5" t="s">
        <v>1111</v>
      </c>
      <c r="D391" s="2" t="s">
        <v>1143</v>
      </c>
    </row>
    <row r="392" spans="1:4" ht="12.95" customHeight="1" x14ac:dyDescent="0.25">
      <c r="A392" s="2" t="s">
        <v>89</v>
      </c>
      <c r="B392" s="2" t="s">
        <v>1083</v>
      </c>
      <c r="C392" s="5" t="s">
        <v>1102</v>
      </c>
      <c r="D392" s="2" t="s">
        <v>1103</v>
      </c>
    </row>
    <row r="393" spans="1:4" ht="12.95" customHeight="1" x14ac:dyDescent="0.25">
      <c r="A393" s="2" t="s">
        <v>89</v>
      </c>
      <c r="B393" s="2" t="s">
        <v>1083</v>
      </c>
      <c r="C393" s="5" t="s">
        <v>1084</v>
      </c>
      <c r="D393" s="2" t="s">
        <v>1085</v>
      </c>
    </row>
    <row r="394" spans="1:4" ht="12.95" customHeight="1" x14ac:dyDescent="0.25">
      <c r="A394" s="2" t="s">
        <v>89</v>
      </c>
      <c r="B394" s="2" t="s">
        <v>1083</v>
      </c>
      <c r="C394" s="5" t="s">
        <v>1086</v>
      </c>
      <c r="D394" s="2" t="s">
        <v>1087</v>
      </c>
    </row>
    <row r="395" spans="1:4" ht="12.95" customHeight="1" x14ac:dyDescent="0.25">
      <c r="A395" s="2" t="s">
        <v>89</v>
      </c>
      <c r="B395" s="2" t="s">
        <v>1083</v>
      </c>
      <c r="C395" s="5" t="s">
        <v>1088</v>
      </c>
      <c r="D395" s="2" t="s">
        <v>1089</v>
      </c>
    </row>
    <row r="396" spans="1:4" ht="12.95" customHeight="1" x14ac:dyDescent="0.25">
      <c r="A396" s="2" t="s">
        <v>89</v>
      </c>
      <c r="B396" s="2" t="s">
        <v>1083</v>
      </c>
      <c r="C396" s="5" t="s">
        <v>1090</v>
      </c>
      <c r="D396" s="2" t="s">
        <v>1166</v>
      </c>
    </row>
    <row r="397" spans="1:4" ht="12.95" customHeight="1" x14ac:dyDescent="0.25">
      <c r="A397" s="2" t="s">
        <v>89</v>
      </c>
      <c r="B397" s="2" t="s">
        <v>1083</v>
      </c>
      <c r="C397" s="5" t="s">
        <v>1092</v>
      </c>
      <c r="D397" s="2" t="s">
        <v>1167</v>
      </c>
    </row>
    <row r="398" spans="1:4" ht="12.95" customHeight="1" x14ac:dyDescent="0.25">
      <c r="A398" s="2" t="s">
        <v>89</v>
      </c>
      <c r="B398" s="2" t="s">
        <v>1083</v>
      </c>
      <c r="C398" s="5" t="s">
        <v>1094</v>
      </c>
      <c r="D398" s="2" t="s">
        <v>1159</v>
      </c>
    </row>
    <row r="399" spans="1:4" ht="12.95" customHeight="1" x14ac:dyDescent="0.25">
      <c r="A399" s="2" t="s">
        <v>89</v>
      </c>
      <c r="B399" s="2" t="s">
        <v>1083</v>
      </c>
      <c r="C399" s="5" t="s">
        <v>1096</v>
      </c>
      <c r="D399" s="2" t="s">
        <v>1168</v>
      </c>
    </row>
    <row r="400" spans="1:4" ht="12.95" customHeight="1" x14ac:dyDescent="0.25">
      <c r="A400" s="2" t="s">
        <v>89</v>
      </c>
      <c r="B400" s="2" t="s">
        <v>1083</v>
      </c>
      <c r="C400" s="5" t="s">
        <v>1098</v>
      </c>
      <c r="D400" s="2" t="s">
        <v>1169</v>
      </c>
    </row>
    <row r="401" spans="1:4" ht="12.95" customHeight="1" x14ac:dyDescent="0.25">
      <c r="A401" s="2" t="s">
        <v>89</v>
      </c>
      <c r="B401" s="2" t="s">
        <v>1083</v>
      </c>
      <c r="C401" s="5" t="s">
        <v>1100</v>
      </c>
      <c r="D401" s="2" t="s">
        <v>1170</v>
      </c>
    </row>
    <row r="402" spans="1:4" ht="12.95" customHeight="1" x14ac:dyDescent="0.25">
      <c r="A402" s="2" t="s">
        <v>89</v>
      </c>
      <c r="B402" s="2" t="s">
        <v>1083</v>
      </c>
      <c r="C402" s="5" t="s">
        <v>1109</v>
      </c>
      <c r="D402" s="2" t="s">
        <v>1171</v>
      </c>
    </row>
    <row r="403" spans="1:4" ht="12.95" customHeight="1" x14ac:dyDescent="0.25">
      <c r="A403" s="2" t="s">
        <v>89</v>
      </c>
      <c r="B403" s="2" t="s">
        <v>1083</v>
      </c>
      <c r="C403" s="5" t="s">
        <v>1119</v>
      </c>
      <c r="D403" s="2" t="s">
        <v>1172</v>
      </c>
    </row>
    <row r="404" spans="1:4" ht="12.95" customHeight="1" x14ac:dyDescent="0.25">
      <c r="A404" s="2" t="s">
        <v>89</v>
      </c>
      <c r="B404" s="2" t="s">
        <v>1083</v>
      </c>
      <c r="C404" s="5" t="s">
        <v>1121</v>
      </c>
      <c r="D404" s="2" t="s">
        <v>1173</v>
      </c>
    </row>
    <row r="405" spans="1:4" ht="12.95" customHeight="1" x14ac:dyDescent="0.25">
      <c r="A405" s="2" t="s">
        <v>89</v>
      </c>
      <c r="B405" s="2" t="s">
        <v>1083</v>
      </c>
      <c r="C405" s="5" t="s">
        <v>1123</v>
      </c>
      <c r="D405" s="2" t="s">
        <v>1174</v>
      </c>
    </row>
    <row r="406" spans="1:4" ht="12.95" customHeight="1" x14ac:dyDescent="0.25">
      <c r="A406" s="2" t="s">
        <v>89</v>
      </c>
      <c r="B406" s="2" t="s">
        <v>1083</v>
      </c>
      <c r="C406" s="5" t="s">
        <v>1125</v>
      </c>
      <c r="D406" s="2" t="s">
        <v>1175</v>
      </c>
    </row>
    <row r="407" spans="1:4" ht="12.95" customHeight="1" x14ac:dyDescent="0.25">
      <c r="A407" s="2" t="s">
        <v>89</v>
      </c>
      <c r="B407" s="2" t="s">
        <v>1083</v>
      </c>
      <c r="C407" s="5" t="s">
        <v>1127</v>
      </c>
      <c r="D407" s="2" t="s">
        <v>1176</v>
      </c>
    </row>
    <row r="408" spans="1:4" ht="12.95" customHeight="1" x14ac:dyDescent="0.25">
      <c r="A408" s="2" t="s">
        <v>89</v>
      </c>
      <c r="B408" s="2" t="s">
        <v>1083</v>
      </c>
      <c r="C408" s="5" t="s">
        <v>1129</v>
      </c>
      <c r="D408" s="2" t="s">
        <v>1177</v>
      </c>
    </row>
    <row r="409" spans="1:4" ht="12.95" customHeight="1" x14ac:dyDescent="0.25">
      <c r="A409" s="2" t="s">
        <v>89</v>
      </c>
      <c r="B409" s="2" t="s">
        <v>1083</v>
      </c>
      <c r="C409" s="5" t="s">
        <v>1111</v>
      </c>
      <c r="D409" s="2" t="s">
        <v>1143</v>
      </c>
    </row>
    <row r="410" spans="1:4" ht="12.95" customHeight="1" x14ac:dyDescent="0.25">
      <c r="A410" s="2" t="s">
        <v>91</v>
      </c>
      <c r="B410" s="2" t="s">
        <v>1083</v>
      </c>
      <c r="C410" s="5" t="s">
        <v>1102</v>
      </c>
      <c r="D410" s="2" t="s">
        <v>1103</v>
      </c>
    </row>
    <row r="411" spans="1:4" ht="12.95" customHeight="1" x14ac:dyDescent="0.25">
      <c r="A411" s="2" t="s">
        <v>91</v>
      </c>
      <c r="B411" s="2" t="s">
        <v>1083</v>
      </c>
      <c r="C411" s="5" t="s">
        <v>1084</v>
      </c>
      <c r="D411" s="2" t="s">
        <v>1085</v>
      </c>
    </row>
    <row r="412" spans="1:4" ht="12.95" customHeight="1" x14ac:dyDescent="0.25">
      <c r="A412" s="2" t="s">
        <v>91</v>
      </c>
      <c r="B412" s="2" t="s">
        <v>1083</v>
      </c>
      <c r="C412" s="5" t="s">
        <v>1086</v>
      </c>
      <c r="D412" s="2" t="s">
        <v>1087</v>
      </c>
    </row>
    <row r="413" spans="1:4" ht="12.95" customHeight="1" x14ac:dyDescent="0.25">
      <c r="A413" s="2" t="s">
        <v>91</v>
      </c>
      <c r="B413" s="2" t="s">
        <v>1083</v>
      </c>
      <c r="C413" s="5" t="s">
        <v>1088</v>
      </c>
      <c r="D413" s="2" t="s">
        <v>1089</v>
      </c>
    </row>
    <row r="414" spans="1:4" ht="12.95" customHeight="1" x14ac:dyDescent="0.25">
      <c r="A414" s="2" t="s">
        <v>91</v>
      </c>
      <c r="B414" s="2" t="s">
        <v>1083</v>
      </c>
      <c r="C414" s="5" t="s">
        <v>1090</v>
      </c>
      <c r="D414" s="2" t="s">
        <v>1166</v>
      </c>
    </row>
    <row r="415" spans="1:4" ht="12.95" customHeight="1" x14ac:dyDescent="0.25">
      <c r="A415" s="2" t="s">
        <v>91</v>
      </c>
      <c r="B415" s="2" t="s">
        <v>1083</v>
      </c>
      <c r="C415" s="5" t="s">
        <v>1092</v>
      </c>
      <c r="D415" s="2" t="s">
        <v>1167</v>
      </c>
    </row>
    <row r="416" spans="1:4" ht="12.95" customHeight="1" x14ac:dyDescent="0.25">
      <c r="A416" s="2" t="s">
        <v>91</v>
      </c>
      <c r="B416" s="2" t="s">
        <v>1083</v>
      </c>
      <c r="C416" s="5" t="s">
        <v>1094</v>
      </c>
      <c r="D416" s="2" t="s">
        <v>1159</v>
      </c>
    </row>
    <row r="417" spans="1:4" ht="12.95" customHeight="1" x14ac:dyDescent="0.25">
      <c r="A417" s="2" t="s">
        <v>91</v>
      </c>
      <c r="B417" s="2" t="s">
        <v>1083</v>
      </c>
      <c r="C417" s="5" t="s">
        <v>1096</v>
      </c>
      <c r="D417" s="2" t="s">
        <v>1168</v>
      </c>
    </row>
    <row r="418" spans="1:4" ht="12.95" customHeight="1" x14ac:dyDescent="0.25">
      <c r="A418" s="2" t="s">
        <v>91</v>
      </c>
      <c r="B418" s="2" t="s">
        <v>1083</v>
      </c>
      <c r="C418" s="5" t="s">
        <v>1098</v>
      </c>
      <c r="D418" s="2" t="s">
        <v>1169</v>
      </c>
    </row>
    <row r="419" spans="1:4" ht="12.95" customHeight="1" x14ac:dyDescent="0.25">
      <c r="A419" s="2" t="s">
        <v>91</v>
      </c>
      <c r="B419" s="2" t="s">
        <v>1083</v>
      </c>
      <c r="C419" s="5" t="s">
        <v>1100</v>
      </c>
      <c r="D419" s="2" t="s">
        <v>1170</v>
      </c>
    </row>
    <row r="420" spans="1:4" ht="12.95" customHeight="1" x14ac:dyDescent="0.25">
      <c r="A420" s="2" t="s">
        <v>91</v>
      </c>
      <c r="B420" s="2" t="s">
        <v>1083</v>
      </c>
      <c r="C420" s="5" t="s">
        <v>1109</v>
      </c>
      <c r="D420" s="2" t="s">
        <v>1171</v>
      </c>
    </row>
    <row r="421" spans="1:4" ht="12.95" customHeight="1" x14ac:dyDescent="0.25">
      <c r="A421" s="2" t="s">
        <v>91</v>
      </c>
      <c r="B421" s="2" t="s">
        <v>1083</v>
      </c>
      <c r="C421" s="5" t="s">
        <v>1119</v>
      </c>
      <c r="D421" s="2" t="s">
        <v>1172</v>
      </c>
    </row>
    <row r="422" spans="1:4" ht="12.95" customHeight="1" x14ac:dyDescent="0.25">
      <c r="A422" s="2" t="s">
        <v>91</v>
      </c>
      <c r="B422" s="2" t="s">
        <v>1083</v>
      </c>
      <c r="C422" s="5" t="s">
        <v>1121</v>
      </c>
      <c r="D422" s="2" t="s">
        <v>1173</v>
      </c>
    </row>
    <row r="423" spans="1:4" ht="12.95" customHeight="1" x14ac:dyDescent="0.25">
      <c r="A423" s="2" t="s">
        <v>91</v>
      </c>
      <c r="B423" s="2" t="s">
        <v>1083</v>
      </c>
      <c r="C423" s="5" t="s">
        <v>1123</v>
      </c>
      <c r="D423" s="2" t="s">
        <v>1174</v>
      </c>
    </row>
    <row r="424" spans="1:4" ht="12.95" customHeight="1" x14ac:dyDescent="0.25">
      <c r="A424" s="2" t="s">
        <v>91</v>
      </c>
      <c r="B424" s="2" t="s">
        <v>1083</v>
      </c>
      <c r="C424" s="5" t="s">
        <v>1125</v>
      </c>
      <c r="D424" s="2" t="s">
        <v>1175</v>
      </c>
    </row>
    <row r="425" spans="1:4" ht="12.95" customHeight="1" x14ac:dyDescent="0.25">
      <c r="A425" s="2" t="s">
        <v>91</v>
      </c>
      <c r="B425" s="2" t="s">
        <v>1083</v>
      </c>
      <c r="C425" s="5" t="s">
        <v>1127</v>
      </c>
      <c r="D425" s="2" t="s">
        <v>1176</v>
      </c>
    </row>
    <row r="426" spans="1:4" ht="12.95" customHeight="1" x14ac:dyDescent="0.25">
      <c r="A426" s="2" t="s">
        <v>91</v>
      </c>
      <c r="B426" s="2" t="s">
        <v>1083</v>
      </c>
      <c r="C426" s="5" t="s">
        <v>1129</v>
      </c>
      <c r="D426" s="2" t="s">
        <v>1177</v>
      </c>
    </row>
    <row r="427" spans="1:4" ht="12.95" customHeight="1" x14ac:dyDescent="0.25">
      <c r="A427" s="2" t="s">
        <v>91</v>
      </c>
      <c r="B427" s="2" t="s">
        <v>1083</v>
      </c>
      <c r="C427" s="5" t="s">
        <v>1111</v>
      </c>
      <c r="D427" s="2" t="s">
        <v>1143</v>
      </c>
    </row>
    <row r="428" spans="1:4" ht="12.95" customHeight="1" x14ac:dyDescent="0.25">
      <c r="A428" s="2" t="s">
        <v>93</v>
      </c>
      <c r="B428" s="2" t="s">
        <v>1083</v>
      </c>
      <c r="C428" s="5" t="s">
        <v>1102</v>
      </c>
      <c r="D428" s="2" t="s">
        <v>1103</v>
      </c>
    </row>
    <row r="429" spans="1:4" ht="12.95" customHeight="1" x14ac:dyDescent="0.25">
      <c r="A429" s="2" t="s">
        <v>93</v>
      </c>
      <c r="B429" s="2" t="s">
        <v>1083</v>
      </c>
      <c r="C429" s="5" t="s">
        <v>1084</v>
      </c>
      <c r="D429" s="2" t="s">
        <v>1085</v>
      </c>
    </row>
    <row r="430" spans="1:4" ht="12.95" customHeight="1" x14ac:dyDescent="0.25">
      <c r="A430" s="2" t="s">
        <v>93</v>
      </c>
      <c r="B430" s="2" t="s">
        <v>1083</v>
      </c>
      <c r="C430" s="5" t="s">
        <v>1086</v>
      </c>
      <c r="D430" s="2" t="s">
        <v>1087</v>
      </c>
    </row>
    <row r="431" spans="1:4" ht="12.95" customHeight="1" x14ac:dyDescent="0.25">
      <c r="A431" s="2" t="s">
        <v>93</v>
      </c>
      <c r="B431" s="2" t="s">
        <v>1083</v>
      </c>
      <c r="C431" s="5" t="s">
        <v>1088</v>
      </c>
      <c r="D431" s="2" t="s">
        <v>1089</v>
      </c>
    </row>
    <row r="432" spans="1:4" ht="12.95" customHeight="1" x14ac:dyDescent="0.25">
      <c r="A432" s="2" t="s">
        <v>93</v>
      </c>
      <c r="B432" s="2" t="s">
        <v>1083</v>
      </c>
      <c r="C432" s="5" t="s">
        <v>1090</v>
      </c>
      <c r="D432" s="2" t="s">
        <v>1166</v>
      </c>
    </row>
    <row r="433" spans="1:4" ht="12.95" customHeight="1" x14ac:dyDescent="0.25">
      <c r="A433" s="2" t="s">
        <v>93</v>
      </c>
      <c r="B433" s="2" t="s">
        <v>1083</v>
      </c>
      <c r="C433" s="5" t="s">
        <v>1092</v>
      </c>
      <c r="D433" s="2" t="s">
        <v>1167</v>
      </c>
    </row>
    <row r="434" spans="1:4" ht="12.95" customHeight="1" x14ac:dyDescent="0.25">
      <c r="A434" s="2" t="s">
        <v>93</v>
      </c>
      <c r="B434" s="2" t="s">
        <v>1083</v>
      </c>
      <c r="C434" s="5" t="s">
        <v>1094</v>
      </c>
      <c r="D434" s="2" t="s">
        <v>1159</v>
      </c>
    </row>
    <row r="435" spans="1:4" ht="12.95" customHeight="1" x14ac:dyDescent="0.25">
      <c r="A435" s="2" t="s">
        <v>93</v>
      </c>
      <c r="B435" s="2" t="s">
        <v>1083</v>
      </c>
      <c r="C435" s="5" t="s">
        <v>1096</v>
      </c>
      <c r="D435" s="2" t="s">
        <v>1168</v>
      </c>
    </row>
    <row r="436" spans="1:4" ht="12.95" customHeight="1" x14ac:dyDescent="0.25">
      <c r="A436" s="2" t="s">
        <v>93</v>
      </c>
      <c r="B436" s="2" t="s">
        <v>1083</v>
      </c>
      <c r="C436" s="5" t="s">
        <v>1098</v>
      </c>
      <c r="D436" s="2" t="s">
        <v>1169</v>
      </c>
    </row>
    <row r="437" spans="1:4" ht="12.95" customHeight="1" x14ac:dyDescent="0.25">
      <c r="A437" s="2" t="s">
        <v>93</v>
      </c>
      <c r="B437" s="2" t="s">
        <v>1083</v>
      </c>
      <c r="C437" s="5" t="s">
        <v>1100</v>
      </c>
      <c r="D437" s="2" t="s">
        <v>1170</v>
      </c>
    </row>
    <row r="438" spans="1:4" ht="12.95" customHeight="1" x14ac:dyDescent="0.25">
      <c r="A438" s="2" t="s">
        <v>93</v>
      </c>
      <c r="B438" s="2" t="s">
        <v>1083</v>
      </c>
      <c r="C438" s="5" t="s">
        <v>1109</v>
      </c>
      <c r="D438" s="2" t="s">
        <v>1171</v>
      </c>
    </row>
    <row r="439" spans="1:4" ht="12.95" customHeight="1" x14ac:dyDescent="0.25">
      <c r="A439" s="2" t="s">
        <v>93</v>
      </c>
      <c r="B439" s="2" t="s">
        <v>1083</v>
      </c>
      <c r="C439" s="5" t="s">
        <v>1119</v>
      </c>
      <c r="D439" s="2" t="s">
        <v>1172</v>
      </c>
    </row>
    <row r="440" spans="1:4" ht="12.95" customHeight="1" x14ac:dyDescent="0.25">
      <c r="A440" s="2" t="s">
        <v>93</v>
      </c>
      <c r="B440" s="2" t="s">
        <v>1083</v>
      </c>
      <c r="C440" s="5" t="s">
        <v>1121</v>
      </c>
      <c r="D440" s="2" t="s">
        <v>1173</v>
      </c>
    </row>
    <row r="441" spans="1:4" ht="12.95" customHeight="1" x14ac:dyDescent="0.25">
      <c r="A441" s="2" t="s">
        <v>93</v>
      </c>
      <c r="B441" s="2" t="s">
        <v>1083</v>
      </c>
      <c r="C441" s="5" t="s">
        <v>1123</v>
      </c>
      <c r="D441" s="2" t="s">
        <v>1174</v>
      </c>
    </row>
    <row r="442" spans="1:4" ht="12.95" customHeight="1" x14ac:dyDescent="0.25">
      <c r="A442" s="2" t="s">
        <v>93</v>
      </c>
      <c r="B442" s="2" t="s">
        <v>1083</v>
      </c>
      <c r="C442" s="5" t="s">
        <v>1125</v>
      </c>
      <c r="D442" s="2" t="s">
        <v>1175</v>
      </c>
    </row>
    <row r="443" spans="1:4" ht="12.95" customHeight="1" x14ac:dyDescent="0.25">
      <c r="A443" s="2" t="s">
        <v>93</v>
      </c>
      <c r="B443" s="2" t="s">
        <v>1083</v>
      </c>
      <c r="C443" s="5" t="s">
        <v>1127</v>
      </c>
      <c r="D443" s="2" t="s">
        <v>1176</v>
      </c>
    </row>
    <row r="444" spans="1:4" ht="12.95" customHeight="1" x14ac:dyDescent="0.25">
      <c r="A444" s="2" t="s">
        <v>93</v>
      </c>
      <c r="B444" s="2" t="s">
        <v>1083</v>
      </c>
      <c r="C444" s="5" t="s">
        <v>1129</v>
      </c>
      <c r="D444" s="2" t="s">
        <v>1177</v>
      </c>
    </row>
    <row r="445" spans="1:4" ht="12.95" customHeight="1" x14ac:dyDescent="0.25">
      <c r="A445" s="2" t="s">
        <v>93</v>
      </c>
      <c r="B445" s="2" t="s">
        <v>1083</v>
      </c>
      <c r="C445" s="5" t="s">
        <v>1111</v>
      </c>
      <c r="D445" s="2" t="s">
        <v>1143</v>
      </c>
    </row>
    <row r="446" spans="1:4" ht="12.95" customHeight="1" x14ac:dyDescent="0.25">
      <c r="A446" s="2" t="s">
        <v>95</v>
      </c>
      <c r="B446" s="2" t="s">
        <v>1083</v>
      </c>
      <c r="C446" s="5" t="s">
        <v>1102</v>
      </c>
      <c r="D446" s="2" t="s">
        <v>1103</v>
      </c>
    </row>
    <row r="447" spans="1:4" ht="12.95" customHeight="1" x14ac:dyDescent="0.25">
      <c r="A447" s="2" t="s">
        <v>95</v>
      </c>
      <c r="B447" s="2" t="s">
        <v>1083</v>
      </c>
      <c r="C447" s="5" t="s">
        <v>1084</v>
      </c>
      <c r="D447" s="2" t="s">
        <v>1085</v>
      </c>
    </row>
    <row r="448" spans="1:4" ht="12.95" customHeight="1" x14ac:dyDescent="0.25">
      <c r="A448" s="2" t="s">
        <v>95</v>
      </c>
      <c r="B448" s="2" t="s">
        <v>1083</v>
      </c>
      <c r="C448" s="5" t="s">
        <v>1086</v>
      </c>
      <c r="D448" s="2" t="s">
        <v>1087</v>
      </c>
    </row>
    <row r="449" spans="1:4" ht="12.95" customHeight="1" x14ac:dyDescent="0.25">
      <c r="A449" s="2" t="s">
        <v>95</v>
      </c>
      <c r="B449" s="2" t="s">
        <v>1083</v>
      </c>
      <c r="C449" s="5" t="s">
        <v>1088</v>
      </c>
      <c r="D449" s="2" t="s">
        <v>1089</v>
      </c>
    </row>
    <row r="450" spans="1:4" ht="12.95" customHeight="1" x14ac:dyDescent="0.25">
      <c r="A450" s="2" t="s">
        <v>95</v>
      </c>
      <c r="B450" s="2" t="s">
        <v>1083</v>
      </c>
      <c r="C450" s="5" t="s">
        <v>1090</v>
      </c>
      <c r="D450" s="2" t="s">
        <v>1166</v>
      </c>
    </row>
    <row r="451" spans="1:4" ht="12.95" customHeight="1" x14ac:dyDescent="0.25">
      <c r="A451" s="2" t="s">
        <v>95</v>
      </c>
      <c r="B451" s="2" t="s">
        <v>1083</v>
      </c>
      <c r="C451" s="5" t="s">
        <v>1092</v>
      </c>
      <c r="D451" s="2" t="s">
        <v>1167</v>
      </c>
    </row>
    <row r="452" spans="1:4" ht="12.95" customHeight="1" x14ac:dyDescent="0.25">
      <c r="A452" s="2" t="s">
        <v>95</v>
      </c>
      <c r="B452" s="2" t="s">
        <v>1083</v>
      </c>
      <c r="C452" s="5" t="s">
        <v>1094</v>
      </c>
      <c r="D452" s="2" t="s">
        <v>1159</v>
      </c>
    </row>
    <row r="453" spans="1:4" ht="12.95" customHeight="1" x14ac:dyDescent="0.25">
      <c r="A453" s="2" t="s">
        <v>95</v>
      </c>
      <c r="B453" s="2" t="s">
        <v>1083</v>
      </c>
      <c r="C453" s="5" t="s">
        <v>1096</v>
      </c>
      <c r="D453" s="2" t="s">
        <v>1168</v>
      </c>
    </row>
    <row r="454" spans="1:4" ht="12.95" customHeight="1" x14ac:dyDescent="0.25">
      <c r="A454" s="2" t="s">
        <v>95</v>
      </c>
      <c r="B454" s="2" t="s">
        <v>1083</v>
      </c>
      <c r="C454" s="5" t="s">
        <v>1098</v>
      </c>
      <c r="D454" s="2" t="s">
        <v>1169</v>
      </c>
    </row>
    <row r="455" spans="1:4" ht="12.95" customHeight="1" x14ac:dyDescent="0.25">
      <c r="A455" s="2" t="s">
        <v>95</v>
      </c>
      <c r="B455" s="2" t="s">
        <v>1083</v>
      </c>
      <c r="C455" s="5" t="s">
        <v>1100</v>
      </c>
      <c r="D455" s="2" t="s">
        <v>1170</v>
      </c>
    </row>
    <row r="456" spans="1:4" ht="12.95" customHeight="1" x14ac:dyDescent="0.25">
      <c r="A456" s="2" t="s">
        <v>95</v>
      </c>
      <c r="B456" s="2" t="s">
        <v>1083</v>
      </c>
      <c r="C456" s="5" t="s">
        <v>1109</v>
      </c>
      <c r="D456" s="2" t="s">
        <v>1171</v>
      </c>
    </row>
    <row r="457" spans="1:4" ht="12.95" customHeight="1" x14ac:dyDescent="0.25">
      <c r="A457" s="2" t="s">
        <v>95</v>
      </c>
      <c r="B457" s="2" t="s">
        <v>1083</v>
      </c>
      <c r="C457" s="5" t="s">
        <v>1119</v>
      </c>
      <c r="D457" s="2" t="s">
        <v>1172</v>
      </c>
    </row>
    <row r="458" spans="1:4" ht="12.95" customHeight="1" x14ac:dyDescent="0.25">
      <c r="A458" s="2" t="s">
        <v>95</v>
      </c>
      <c r="B458" s="2" t="s">
        <v>1083</v>
      </c>
      <c r="C458" s="5" t="s">
        <v>1121</v>
      </c>
      <c r="D458" s="2" t="s">
        <v>1173</v>
      </c>
    </row>
    <row r="459" spans="1:4" ht="12.95" customHeight="1" x14ac:dyDescent="0.25">
      <c r="A459" s="2" t="s">
        <v>95</v>
      </c>
      <c r="B459" s="2" t="s">
        <v>1083</v>
      </c>
      <c r="C459" s="5" t="s">
        <v>1123</v>
      </c>
      <c r="D459" s="2" t="s">
        <v>1174</v>
      </c>
    </row>
    <row r="460" spans="1:4" ht="12.95" customHeight="1" x14ac:dyDescent="0.25">
      <c r="A460" s="2" t="s">
        <v>95</v>
      </c>
      <c r="B460" s="2" t="s">
        <v>1083</v>
      </c>
      <c r="C460" s="5" t="s">
        <v>1125</v>
      </c>
      <c r="D460" s="2" t="s">
        <v>1175</v>
      </c>
    </row>
    <row r="461" spans="1:4" ht="12.95" customHeight="1" x14ac:dyDescent="0.25">
      <c r="A461" s="2" t="s">
        <v>95</v>
      </c>
      <c r="B461" s="2" t="s">
        <v>1083</v>
      </c>
      <c r="C461" s="5" t="s">
        <v>1127</v>
      </c>
      <c r="D461" s="2" t="s">
        <v>1176</v>
      </c>
    </row>
    <row r="462" spans="1:4" ht="12.95" customHeight="1" x14ac:dyDescent="0.25">
      <c r="A462" s="2" t="s">
        <v>95</v>
      </c>
      <c r="B462" s="2" t="s">
        <v>1083</v>
      </c>
      <c r="C462" s="5" t="s">
        <v>1129</v>
      </c>
      <c r="D462" s="2" t="s">
        <v>1177</v>
      </c>
    </row>
    <row r="463" spans="1:4" ht="12.95" customHeight="1" x14ac:dyDescent="0.25">
      <c r="A463" s="2" t="s">
        <v>95</v>
      </c>
      <c r="B463" s="2" t="s">
        <v>1083</v>
      </c>
      <c r="C463" s="5" t="s">
        <v>1111</v>
      </c>
      <c r="D463" s="2" t="s">
        <v>1143</v>
      </c>
    </row>
    <row r="464" spans="1:4" ht="12.95" customHeight="1" x14ac:dyDescent="0.25">
      <c r="A464" s="2" t="s">
        <v>97</v>
      </c>
      <c r="B464" s="2" t="s">
        <v>1083</v>
      </c>
      <c r="C464" s="5" t="s">
        <v>1102</v>
      </c>
      <c r="D464" s="2" t="s">
        <v>1103</v>
      </c>
    </row>
    <row r="465" spans="1:4" ht="12.95" customHeight="1" x14ac:dyDescent="0.25">
      <c r="A465" s="2" t="s">
        <v>97</v>
      </c>
      <c r="B465" s="2" t="s">
        <v>1083</v>
      </c>
      <c r="C465" s="5" t="s">
        <v>1084</v>
      </c>
      <c r="D465" s="2" t="s">
        <v>1085</v>
      </c>
    </row>
    <row r="466" spans="1:4" ht="12.95" customHeight="1" x14ac:dyDescent="0.25">
      <c r="A466" s="2" t="s">
        <v>97</v>
      </c>
      <c r="B466" s="2" t="s">
        <v>1083</v>
      </c>
      <c r="C466" s="5" t="s">
        <v>1086</v>
      </c>
      <c r="D466" s="2" t="s">
        <v>1087</v>
      </c>
    </row>
    <row r="467" spans="1:4" ht="12.95" customHeight="1" x14ac:dyDescent="0.25">
      <c r="A467" s="2" t="s">
        <v>97</v>
      </c>
      <c r="B467" s="2" t="s">
        <v>1083</v>
      </c>
      <c r="C467" s="5" t="s">
        <v>1088</v>
      </c>
      <c r="D467" s="2" t="s">
        <v>1089</v>
      </c>
    </row>
    <row r="468" spans="1:4" ht="12.95" customHeight="1" x14ac:dyDescent="0.25">
      <c r="A468" s="2" t="s">
        <v>97</v>
      </c>
      <c r="B468" s="2" t="s">
        <v>1083</v>
      </c>
      <c r="C468" s="5" t="s">
        <v>1090</v>
      </c>
      <c r="D468" s="2" t="s">
        <v>1166</v>
      </c>
    </row>
    <row r="469" spans="1:4" ht="12.95" customHeight="1" x14ac:dyDescent="0.25">
      <c r="A469" s="2" t="s">
        <v>97</v>
      </c>
      <c r="B469" s="2" t="s">
        <v>1083</v>
      </c>
      <c r="C469" s="5" t="s">
        <v>1092</v>
      </c>
      <c r="D469" s="2" t="s">
        <v>1167</v>
      </c>
    </row>
    <row r="470" spans="1:4" ht="12.95" customHeight="1" x14ac:dyDescent="0.25">
      <c r="A470" s="2" t="s">
        <v>97</v>
      </c>
      <c r="B470" s="2" t="s">
        <v>1083</v>
      </c>
      <c r="C470" s="5" t="s">
        <v>1094</v>
      </c>
      <c r="D470" s="2" t="s">
        <v>1159</v>
      </c>
    </row>
    <row r="471" spans="1:4" ht="12.95" customHeight="1" x14ac:dyDescent="0.25">
      <c r="A471" s="2" t="s">
        <v>97</v>
      </c>
      <c r="B471" s="2" t="s">
        <v>1083</v>
      </c>
      <c r="C471" s="5" t="s">
        <v>1096</v>
      </c>
      <c r="D471" s="2" t="s">
        <v>1168</v>
      </c>
    </row>
    <row r="472" spans="1:4" ht="12.95" customHeight="1" x14ac:dyDescent="0.25">
      <c r="A472" s="2" t="s">
        <v>97</v>
      </c>
      <c r="B472" s="2" t="s">
        <v>1083</v>
      </c>
      <c r="C472" s="5" t="s">
        <v>1098</v>
      </c>
      <c r="D472" s="2" t="s">
        <v>1169</v>
      </c>
    </row>
    <row r="473" spans="1:4" ht="12.95" customHeight="1" x14ac:dyDescent="0.25">
      <c r="A473" s="2" t="s">
        <v>97</v>
      </c>
      <c r="B473" s="2" t="s">
        <v>1083</v>
      </c>
      <c r="C473" s="5" t="s">
        <v>1100</v>
      </c>
      <c r="D473" s="2" t="s">
        <v>1170</v>
      </c>
    </row>
    <row r="474" spans="1:4" ht="12.95" customHeight="1" x14ac:dyDescent="0.25">
      <c r="A474" s="2" t="s">
        <v>97</v>
      </c>
      <c r="B474" s="2" t="s">
        <v>1083</v>
      </c>
      <c r="C474" s="5" t="s">
        <v>1109</v>
      </c>
      <c r="D474" s="2" t="s">
        <v>1171</v>
      </c>
    </row>
    <row r="475" spans="1:4" ht="12.95" customHeight="1" x14ac:dyDescent="0.25">
      <c r="A475" s="2" t="s">
        <v>97</v>
      </c>
      <c r="B475" s="2" t="s">
        <v>1083</v>
      </c>
      <c r="C475" s="5" t="s">
        <v>1119</v>
      </c>
      <c r="D475" s="2" t="s">
        <v>1172</v>
      </c>
    </row>
    <row r="476" spans="1:4" ht="12.95" customHeight="1" x14ac:dyDescent="0.25">
      <c r="A476" s="2" t="s">
        <v>97</v>
      </c>
      <c r="B476" s="2" t="s">
        <v>1083</v>
      </c>
      <c r="C476" s="5" t="s">
        <v>1121</v>
      </c>
      <c r="D476" s="2" t="s">
        <v>1173</v>
      </c>
    </row>
    <row r="477" spans="1:4" ht="12.95" customHeight="1" x14ac:dyDescent="0.25">
      <c r="A477" s="2" t="s">
        <v>97</v>
      </c>
      <c r="B477" s="2" t="s">
        <v>1083</v>
      </c>
      <c r="C477" s="5" t="s">
        <v>1123</v>
      </c>
      <c r="D477" s="2" t="s">
        <v>1174</v>
      </c>
    </row>
    <row r="478" spans="1:4" ht="12.95" customHeight="1" x14ac:dyDescent="0.25">
      <c r="A478" s="2" t="s">
        <v>97</v>
      </c>
      <c r="B478" s="2" t="s">
        <v>1083</v>
      </c>
      <c r="C478" s="5" t="s">
        <v>1125</v>
      </c>
      <c r="D478" s="2" t="s">
        <v>1175</v>
      </c>
    </row>
    <row r="479" spans="1:4" ht="12.95" customHeight="1" x14ac:dyDescent="0.25">
      <c r="A479" s="2" t="s">
        <v>97</v>
      </c>
      <c r="B479" s="2" t="s">
        <v>1083</v>
      </c>
      <c r="C479" s="5" t="s">
        <v>1127</v>
      </c>
      <c r="D479" s="2" t="s">
        <v>1176</v>
      </c>
    </row>
    <row r="480" spans="1:4" ht="12.95" customHeight="1" x14ac:dyDescent="0.25">
      <c r="A480" s="2" t="s">
        <v>97</v>
      </c>
      <c r="B480" s="2" t="s">
        <v>1083</v>
      </c>
      <c r="C480" s="5" t="s">
        <v>1129</v>
      </c>
      <c r="D480" s="2" t="s">
        <v>1177</v>
      </c>
    </row>
    <row r="481" spans="1:4" ht="12.95" customHeight="1" x14ac:dyDescent="0.25">
      <c r="A481" s="2" t="s">
        <v>97</v>
      </c>
      <c r="B481" s="2" t="s">
        <v>1083</v>
      </c>
      <c r="C481" s="5" t="s">
        <v>1111</v>
      </c>
      <c r="D481" s="2" t="s">
        <v>1143</v>
      </c>
    </row>
    <row r="482" spans="1:4" ht="12.95" customHeight="1" x14ac:dyDescent="0.25">
      <c r="A482" s="2" t="s">
        <v>99</v>
      </c>
      <c r="B482" s="2" t="s">
        <v>1083</v>
      </c>
      <c r="C482" s="5" t="s">
        <v>1102</v>
      </c>
      <c r="D482" s="2" t="s">
        <v>1103</v>
      </c>
    </row>
    <row r="483" spans="1:4" ht="12.95" customHeight="1" x14ac:dyDescent="0.25">
      <c r="A483" s="2" t="s">
        <v>99</v>
      </c>
      <c r="B483" s="2" t="s">
        <v>1083</v>
      </c>
      <c r="C483" s="5" t="s">
        <v>1084</v>
      </c>
      <c r="D483" s="2" t="s">
        <v>1085</v>
      </c>
    </row>
    <row r="484" spans="1:4" ht="12.95" customHeight="1" x14ac:dyDescent="0.25">
      <c r="A484" s="2" t="s">
        <v>99</v>
      </c>
      <c r="B484" s="2" t="s">
        <v>1083</v>
      </c>
      <c r="C484" s="5" t="s">
        <v>1086</v>
      </c>
      <c r="D484" s="2" t="s">
        <v>1087</v>
      </c>
    </row>
    <row r="485" spans="1:4" ht="12.95" customHeight="1" x14ac:dyDescent="0.25">
      <c r="A485" s="2" t="s">
        <v>99</v>
      </c>
      <c r="B485" s="2" t="s">
        <v>1083</v>
      </c>
      <c r="C485" s="5" t="s">
        <v>1088</v>
      </c>
      <c r="D485" s="2" t="s">
        <v>1089</v>
      </c>
    </row>
    <row r="486" spans="1:4" ht="12.95" customHeight="1" x14ac:dyDescent="0.25">
      <c r="A486" s="2" t="s">
        <v>99</v>
      </c>
      <c r="B486" s="2" t="s">
        <v>1083</v>
      </c>
      <c r="C486" s="5" t="s">
        <v>1090</v>
      </c>
      <c r="D486" s="2" t="s">
        <v>1166</v>
      </c>
    </row>
    <row r="487" spans="1:4" ht="12.95" customHeight="1" x14ac:dyDescent="0.25">
      <c r="A487" s="2" t="s">
        <v>99</v>
      </c>
      <c r="B487" s="2" t="s">
        <v>1083</v>
      </c>
      <c r="C487" s="5" t="s">
        <v>1092</v>
      </c>
      <c r="D487" s="2" t="s">
        <v>1167</v>
      </c>
    </row>
    <row r="488" spans="1:4" ht="12.95" customHeight="1" x14ac:dyDescent="0.25">
      <c r="A488" s="2" t="s">
        <v>99</v>
      </c>
      <c r="B488" s="2" t="s">
        <v>1083</v>
      </c>
      <c r="C488" s="5" t="s">
        <v>1094</v>
      </c>
      <c r="D488" s="2" t="s">
        <v>1159</v>
      </c>
    </row>
    <row r="489" spans="1:4" ht="12.95" customHeight="1" x14ac:dyDescent="0.25">
      <c r="A489" s="2" t="s">
        <v>99</v>
      </c>
      <c r="B489" s="2" t="s">
        <v>1083</v>
      </c>
      <c r="C489" s="5" t="s">
        <v>1096</v>
      </c>
      <c r="D489" s="2" t="s">
        <v>1168</v>
      </c>
    </row>
    <row r="490" spans="1:4" ht="12.95" customHeight="1" x14ac:dyDescent="0.25">
      <c r="A490" s="2" t="s">
        <v>99</v>
      </c>
      <c r="B490" s="2" t="s">
        <v>1083</v>
      </c>
      <c r="C490" s="5" t="s">
        <v>1098</v>
      </c>
      <c r="D490" s="2" t="s">
        <v>1169</v>
      </c>
    </row>
    <row r="491" spans="1:4" ht="12.95" customHeight="1" x14ac:dyDescent="0.25">
      <c r="A491" s="2" t="s">
        <v>99</v>
      </c>
      <c r="B491" s="2" t="s">
        <v>1083</v>
      </c>
      <c r="C491" s="5" t="s">
        <v>1100</v>
      </c>
      <c r="D491" s="2" t="s">
        <v>1170</v>
      </c>
    </row>
    <row r="492" spans="1:4" ht="12.95" customHeight="1" x14ac:dyDescent="0.25">
      <c r="A492" s="2" t="s">
        <v>99</v>
      </c>
      <c r="B492" s="2" t="s">
        <v>1083</v>
      </c>
      <c r="C492" s="5" t="s">
        <v>1109</v>
      </c>
      <c r="D492" s="2" t="s">
        <v>1171</v>
      </c>
    </row>
    <row r="493" spans="1:4" ht="12.95" customHeight="1" x14ac:dyDescent="0.25">
      <c r="A493" s="2" t="s">
        <v>99</v>
      </c>
      <c r="B493" s="2" t="s">
        <v>1083</v>
      </c>
      <c r="C493" s="5" t="s">
        <v>1119</v>
      </c>
      <c r="D493" s="2" t="s">
        <v>1172</v>
      </c>
    </row>
    <row r="494" spans="1:4" ht="12.95" customHeight="1" x14ac:dyDescent="0.25">
      <c r="A494" s="2" t="s">
        <v>99</v>
      </c>
      <c r="B494" s="2" t="s">
        <v>1083</v>
      </c>
      <c r="C494" s="5" t="s">
        <v>1121</v>
      </c>
      <c r="D494" s="2" t="s">
        <v>1173</v>
      </c>
    </row>
    <row r="495" spans="1:4" ht="12.95" customHeight="1" x14ac:dyDescent="0.25">
      <c r="A495" s="2" t="s">
        <v>99</v>
      </c>
      <c r="B495" s="2" t="s">
        <v>1083</v>
      </c>
      <c r="C495" s="5" t="s">
        <v>1123</v>
      </c>
      <c r="D495" s="2" t="s">
        <v>1174</v>
      </c>
    </row>
    <row r="496" spans="1:4" ht="12.95" customHeight="1" x14ac:dyDescent="0.25">
      <c r="A496" s="2" t="s">
        <v>99</v>
      </c>
      <c r="B496" s="2" t="s">
        <v>1083</v>
      </c>
      <c r="C496" s="5" t="s">
        <v>1125</v>
      </c>
      <c r="D496" s="2" t="s">
        <v>1175</v>
      </c>
    </row>
    <row r="497" spans="1:4" ht="12.95" customHeight="1" x14ac:dyDescent="0.25">
      <c r="A497" s="2" t="s">
        <v>99</v>
      </c>
      <c r="B497" s="2" t="s">
        <v>1083</v>
      </c>
      <c r="C497" s="5" t="s">
        <v>1127</v>
      </c>
      <c r="D497" s="2" t="s">
        <v>1176</v>
      </c>
    </row>
    <row r="498" spans="1:4" ht="12.95" customHeight="1" x14ac:dyDescent="0.25">
      <c r="A498" s="2" t="s">
        <v>99</v>
      </c>
      <c r="B498" s="2" t="s">
        <v>1083</v>
      </c>
      <c r="C498" s="5" t="s">
        <v>1129</v>
      </c>
      <c r="D498" s="2" t="s">
        <v>1177</v>
      </c>
    </row>
    <row r="499" spans="1:4" ht="12.95" customHeight="1" x14ac:dyDescent="0.25">
      <c r="A499" s="2" t="s">
        <v>99</v>
      </c>
      <c r="B499" s="2" t="s">
        <v>1083</v>
      </c>
      <c r="C499" s="5" t="s">
        <v>1111</v>
      </c>
      <c r="D499" s="2" t="s">
        <v>1143</v>
      </c>
    </row>
    <row r="500" spans="1:4" ht="12.95" customHeight="1" x14ac:dyDescent="0.25">
      <c r="A500" s="2" t="s">
        <v>101</v>
      </c>
      <c r="B500" s="2" t="s">
        <v>1083</v>
      </c>
      <c r="C500" s="5" t="s">
        <v>1102</v>
      </c>
      <c r="D500" s="2" t="s">
        <v>1103</v>
      </c>
    </row>
    <row r="501" spans="1:4" ht="12.95" customHeight="1" x14ac:dyDescent="0.25">
      <c r="A501" s="2" t="s">
        <v>101</v>
      </c>
      <c r="B501" s="2" t="s">
        <v>1083</v>
      </c>
      <c r="C501" s="5" t="s">
        <v>1084</v>
      </c>
      <c r="D501" s="2" t="s">
        <v>1085</v>
      </c>
    </row>
    <row r="502" spans="1:4" ht="12.95" customHeight="1" x14ac:dyDescent="0.25">
      <c r="A502" s="2" t="s">
        <v>101</v>
      </c>
      <c r="B502" s="2" t="s">
        <v>1083</v>
      </c>
      <c r="C502" s="5" t="s">
        <v>1086</v>
      </c>
      <c r="D502" s="2" t="s">
        <v>1087</v>
      </c>
    </row>
    <row r="503" spans="1:4" ht="12.95" customHeight="1" x14ac:dyDescent="0.25">
      <c r="A503" s="2" t="s">
        <v>101</v>
      </c>
      <c r="B503" s="2" t="s">
        <v>1083</v>
      </c>
      <c r="C503" s="5" t="s">
        <v>1088</v>
      </c>
      <c r="D503" s="2" t="s">
        <v>1089</v>
      </c>
    </row>
    <row r="504" spans="1:4" ht="12.95" customHeight="1" x14ac:dyDescent="0.25">
      <c r="A504" s="2" t="s">
        <v>101</v>
      </c>
      <c r="B504" s="2" t="s">
        <v>1083</v>
      </c>
      <c r="C504" s="5" t="s">
        <v>1090</v>
      </c>
      <c r="D504" s="2" t="s">
        <v>1166</v>
      </c>
    </row>
    <row r="505" spans="1:4" ht="12.95" customHeight="1" x14ac:dyDescent="0.25">
      <c r="A505" s="2" t="s">
        <v>101</v>
      </c>
      <c r="B505" s="2" t="s">
        <v>1083</v>
      </c>
      <c r="C505" s="5" t="s">
        <v>1092</v>
      </c>
      <c r="D505" s="2" t="s">
        <v>1167</v>
      </c>
    </row>
    <row r="506" spans="1:4" ht="12.95" customHeight="1" x14ac:dyDescent="0.25">
      <c r="A506" s="2" t="s">
        <v>101</v>
      </c>
      <c r="B506" s="2" t="s">
        <v>1083</v>
      </c>
      <c r="C506" s="5" t="s">
        <v>1094</v>
      </c>
      <c r="D506" s="2" t="s">
        <v>1159</v>
      </c>
    </row>
    <row r="507" spans="1:4" ht="12.95" customHeight="1" x14ac:dyDescent="0.25">
      <c r="A507" s="2" t="s">
        <v>101</v>
      </c>
      <c r="B507" s="2" t="s">
        <v>1083</v>
      </c>
      <c r="C507" s="5" t="s">
        <v>1096</v>
      </c>
      <c r="D507" s="2" t="s">
        <v>1168</v>
      </c>
    </row>
    <row r="508" spans="1:4" ht="12.95" customHeight="1" x14ac:dyDescent="0.25">
      <c r="A508" s="2" t="s">
        <v>101</v>
      </c>
      <c r="B508" s="2" t="s">
        <v>1083</v>
      </c>
      <c r="C508" s="5" t="s">
        <v>1098</v>
      </c>
      <c r="D508" s="2" t="s">
        <v>1169</v>
      </c>
    </row>
    <row r="509" spans="1:4" ht="12.95" customHeight="1" x14ac:dyDescent="0.25">
      <c r="A509" s="2" t="s">
        <v>101</v>
      </c>
      <c r="B509" s="2" t="s">
        <v>1083</v>
      </c>
      <c r="C509" s="5" t="s">
        <v>1100</v>
      </c>
      <c r="D509" s="2" t="s">
        <v>1170</v>
      </c>
    </row>
    <row r="510" spans="1:4" ht="12.95" customHeight="1" x14ac:dyDescent="0.25">
      <c r="A510" s="2" t="s">
        <v>101</v>
      </c>
      <c r="B510" s="2" t="s">
        <v>1083</v>
      </c>
      <c r="C510" s="5" t="s">
        <v>1109</v>
      </c>
      <c r="D510" s="2" t="s">
        <v>1171</v>
      </c>
    </row>
    <row r="511" spans="1:4" ht="12.95" customHeight="1" x14ac:dyDescent="0.25">
      <c r="A511" s="2" t="s">
        <v>101</v>
      </c>
      <c r="B511" s="2" t="s">
        <v>1083</v>
      </c>
      <c r="C511" s="5" t="s">
        <v>1119</v>
      </c>
      <c r="D511" s="2" t="s">
        <v>1172</v>
      </c>
    </row>
    <row r="512" spans="1:4" ht="12.95" customHeight="1" x14ac:dyDescent="0.25">
      <c r="A512" s="2" t="s">
        <v>101</v>
      </c>
      <c r="B512" s="2" t="s">
        <v>1083</v>
      </c>
      <c r="C512" s="5" t="s">
        <v>1121</v>
      </c>
      <c r="D512" s="2" t="s">
        <v>1173</v>
      </c>
    </row>
    <row r="513" spans="1:4" ht="12.95" customHeight="1" x14ac:dyDescent="0.25">
      <c r="A513" s="2" t="s">
        <v>101</v>
      </c>
      <c r="B513" s="2" t="s">
        <v>1083</v>
      </c>
      <c r="C513" s="5" t="s">
        <v>1123</v>
      </c>
      <c r="D513" s="2" t="s">
        <v>1174</v>
      </c>
    </row>
    <row r="514" spans="1:4" ht="12.95" customHeight="1" x14ac:dyDescent="0.25">
      <c r="A514" s="2" t="s">
        <v>101</v>
      </c>
      <c r="B514" s="2" t="s">
        <v>1083</v>
      </c>
      <c r="C514" s="5" t="s">
        <v>1125</v>
      </c>
      <c r="D514" s="2" t="s">
        <v>1175</v>
      </c>
    </row>
    <row r="515" spans="1:4" ht="12.95" customHeight="1" x14ac:dyDescent="0.25">
      <c r="A515" s="2" t="s">
        <v>101</v>
      </c>
      <c r="B515" s="2" t="s">
        <v>1083</v>
      </c>
      <c r="C515" s="5" t="s">
        <v>1127</v>
      </c>
      <c r="D515" s="2" t="s">
        <v>1176</v>
      </c>
    </row>
    <row r="516" spans="1:4" ht="12.95" customHeight="1" x14ac:dyDescent="0.25">
      <c r="A516" s="2" t="s">
        <v>101</v>
      </c>
      <c r="B516" s="2" t="s">
        <v>1083</v>
      </c>
      <c r="C516" s="5" t="s">
        <v>1129</v>
      </c>
      <c r="D516" s="2" t="s">
        <v>1177</v>
      </c>
    </row>
    <row r="517" spans="1:4" ht="12.95" customHeight="1" x14ac:dyDescent="0.25">
      <c r="A517" s="2" t="s">
        <v>101</v>
      </c>
      <c r="B517" s="2" t="s">
        <v>1083</v>
      </c>
      <c r="C517" s="5" t="s">
        <v>1111</v>
      </c>
      <c r="D517" s="2" t="s">
        <v>1143</v>
      </c>
    </row>
    <row r="518" spans="1:4" ht="12.95" customHeight="1" x14ac:dyDescent="0.25">
      <c r="A518" s="2" t="s">
        <v>103</v>
      </c>
      <c r="B518" s="2" t="s">
        <v>1083</v>
      </c>
      <c r="C518" s="5" t="s">
        <v>1102</v>
      </c>
      <c r="D518" s="2" t="s">
        <v>1103</v>
      </c>
    </row>
    <row r="519" spans="1:4" ht="12.95" customHeight="1" x14ac:dyDescent="0.25">
      <c r="A519" s="2" t="s">
        <v>103</v>
      </c>
      <c r="B519" s="2" t="s">
        <v>1083</v>
      </c>
      <c r="C519" s="5" t="s">
        <v>1084</v>
      </c>
      <c r="D519" s="2" t="s">
        <v>1085</v>
      </c>
    </row>
    <row r="520" spans="1:4" ht="12.95" customHeight="1" x14ac:dyDescent="0.25">
      <c r="A520" s="2" t="s">
        <v>103</v>
      </c>
      <c r="B520" s="2" t="s">
        <v>1083</v>
      </c>
      <c r="C520" s="5" t="s">
        <v>1086</v>
      </c>
      <c r="D520" s="2" t="s">
        <v>1087</v>
      </c>
    </row>
    <row r="521" spans="1:4" ht="12.95" customHeight="1" x14ac:dyDescent="0.25">
      <c r="A521" s="2" t="s">
        <v>103</v>
      </c>
      <c r="B521" s="2" t="s">
        <v>1083</v>
      </c>
      <c r="C521" s="5" t="s">
        <v>1088</v>
      </c>
      <c r="D521" s="2" t="s">
        <v>1089</v>
      </c>
    </row>
    <row r="522" spans="1:4" ht="12.95" customHeight="1" x14ac:dyDescent="0.25">
      <c r="A522" s="2" t="s">
        <v>103</v>
      </c>
      <c r="B522" s="2" t="s">
        <v>1083</v>
      </c>
      <c r="C522" s="5" t="s">
        <v>1090</v>
      </c>
      <c r="D522" s="2" t="s">
        <v>1166</v>
      </c>
    </row>
    <row r="523" spans="1:4" ht="12.95" customHeight="1" x14ac:dyDescent="0.25">
      <c r="A523" s="2" t="s">
        <v>103</v>
      </c>
      <c r="B523" s="2" t="s">
        <v>1083</v>
      </c>
      <c r="C523" s="5" t="s">
        <v>1092</v>
      </c>
      <c r="D523" s="2" t="s">
        <v>1167</v>
      </c>
    </row>
    <row r="524" spans="1:4" ht="12.95" customHeight="1" x14ac:dyDescent="0.25">
      <c r="A524" s="2" t="s">
        <v>103</v>
      </c>
      <c r="B524" s="2" t="s">
        <v>1083</v>
      </c>
      <c r="C524" s="5" t="s">
        <v>1094</v>
      </c>
      <c r="D524" s="2" t="s">
        <v>1159</v>
      </c>
    </row>
    <row r="525" spans="1:4" ht="12.95" customHeight="1" x14ac:dyDescent="0.25">
      <c r="A525" s="2" t="s">
        <v>103</v>
      </c>
      <c r="B525" s="2" t="s">
        <v>1083</v>
      </c>
      <c r="C525" s="5" t="s">
        <v>1096</v>
      </c>
      <c r="D525" s="2" t="s">
        <v>1168</v>
      </c>
    </row>
    <row r="526" spans="1:4" ht="12.95" customHeight="1" x14ac:dyDescent="0.25">
      <c r="A526" s="2" t="s">
        <v>103</v>
      </c>
      <c r="B526" s="2" t="s">
        <v>1083</v>
      </c>
      <c r="C526" s="5" t="s">
        <v>1098</v>
      </c>
      <c r="D526" s="2" t="s">
        <v>1169</v>
      </c>
    </row>
    <row r="527" spans="1:4" ht="12.95" customHeight="1" x14ac:dyDescent="0.25">
      <c r="A527" s="2" t="s">
        <v>103</v>
      </c>
      <c r="B527" s="2" t="s">
        <v>1083</v>
      </c>
      <c r="C527" s="5" t="s">
        <v>1100</v>
      </c>
      <c r="D527" s="2" t="s">
        <v>1170</v>
      </c>
    </row>
    <row r="528" spans="1:4" ht="12.95" customHeight="1" x14ac:dyDescent="0.25">
      <c r="A528" s="2" t="s">
        <v>103</v>
      </c>
      <c r="B528" s="2" t="s">
        <v>1083</v>
      </c>
      <c r="C528" s="5" t="s">
        <v>1109</v>
      </c>
      <c r="D528" s="2" t="s">
        <v>1171</v>
      </c>
    </row>
    <row r="529" spans="1:4" ht="12.95" customHeight="1" x14ac:dyDescent="0.25">
      <c r="A529" s="2" t="s">
        <v>103</v>
      </c>
      <c r="B529" s="2" t="s">
        <v>1083</v>
      </c>
      <c r="C529" s="5" t="s">
        <v>1119</v>
      </c>
      <c r="D529" s="2" t="s">
        <v>1172</v>
      </c>
    </row>
    <row r="530" spans="1:4" ht="12.95" customHeight="1" x14ac:dyDescent="0.25">
      <c r="A530" s="2" t="s">
        <v>103</v>
      </c>
      <c r="B530" s="2" t="s">
        <v>1083</v>
      </c>
      <c r="C530" s="5" t="s">
        <v>1121</v>
      </c>
      <c r="D530" s="2" t="s">
        <v>1173</v>
      </c>
    </row>
    <row r="531" spans="1:4" ht="12.95" customHeight="1" x14ac:dyDescent="0.25">
      <c r="A531" s="2" t="s">
        <v>103</v>
      </c>
      <c r="B531" s="2" t="s">
        <v>1083</v>
      </c>
      <c r="C531" s="5" t="s">
        <v>1123</v>
      </c>
      <c r="D531" s="2" t="s">
        <v>1174</v>
      </c>
    </row>
    <row r="532" spans="1:4" ht="12.95" customHeight="1" x14ac:dyDescent="0.25">
      <c r="A532" s="2" t="s">
        <v>103</v>
      </c>
      <c r="B532" s="2" t="s">
        <v>1083</v>
      </c>
      <c r="C532" s="5" t="s">
        <v>1125</v>
      </c>
      <c r="D532" s="2" t="s">
        <v>1175</v>
      </c>
    </row>
    <row r="533" spans="1:4" ht="12.95" customHeight="1" x14ac:dyDescent="0.25">
      <c r="A533" s="2" t="s">
        <v>103</v>
      </c>
      <c r="B533" s="2" t="s">
        <v>1083</v>
      </c>
      <c r="C533" s="5" t="s">
        <v>1127</v>
      </c>
      <c r="D533" s="2" t="s">
        <v>1176</v>
      </c>
    </row>
    <row r="534" spans="1:4" ht="12.95" customHeight="1" x14ac:dyDescent="0.25">
      <c r="A534" s="2" t="s">
        <v>103</v>
      </c>
      <c r="B534" s="2" t="s">
        <v>1083</v>
      </c>
      <c r="C534" s="5" t="s">
        <v>1129</v>
      </c>
      <c r="D534" s="2" t="s">
        <v>1177</v>
      </c>
    </row>
    <row r="535" spans="1:4" ht="12.95" customHeight="1" x14ac:dyDescent="0.25">
      <c r="A535" s="2" t="s">
        <v>103</v>
      </c>
      <c r="B535" s="2" t="s">
        <v>1083</v>
      </c>
      <c r="C535" s="5" t="s">
        <v>1111</v>
      </c>
      <c r="D535" s="2" t="s">
        <v>1143</v>
      </c>
    </row>
    <row r="536" spans="1:4" ht="12.95" customHeight="1" x14ac:dyDescent="0.25">
      <c r="A536" s="2" t="s">
        <v>105</v>
      </c>
      <c r="B536" s="2" t="s">
        <v>1083</v>
      </c>
      <c r="C536" s="5" t="s">
        <v>1102</v>
      </c>
      <c r="D536" s="2" t="s">
        <v>1103</v>
      </c>
    </row>
    <row r="537" spans="1:4" ht="12.95" customHeight="1" x14ac:dyDescent="0.25">
      <c r="A537" s="2" t="s">
        <v>105</v>
      </c>
      <c r="B537" s="2" t="s">
        <v>1083</v>
      </c>
      <c r="C537" s="5" t="s">
        <v>1084</v>
      </c>
      <c r="D537" s="2" t="s">
        <v>1085</v>
      </c>
    </row>
    <row r="538" spans="1:4" ht="12.95" customHeight="1" x14ac:dyDescent="0.25">
      <c r="A538" s="2" t="s">
        <v>105</v>
      </c>
      <c r="B538" s="2" t="s">
        <v>1083</v>
      </c>
      <c r="C538" s="5" t="s">
        <v>1086</v>
      </c>
      <c r="D538" s="2" t="s">
        <v>1087</v>
      </c>
    </row>
    <row r="539" spans="1:4" ht="12.95" customHeight="1" x14ac:dyDescent="0.25">
      <c r="A539" s="2" t="s">
        <v>105</v>
      </c>
      <c r="B539" s="2" t="s">
        <v>1083</v>
      </c>
      <c r="C539" s="5" t="s">
        <v>1088</v>
      </c>
      <c r="D539" s="2" t="s">
        <v>1089</v>
      </c>
    </row>
    <row r="540" spans="1:4" ht="12.95" customHeight="1" x14ac:dyDescent="0.25">
      <c r="A540" s="2" t="s">
        <v>105</v>
      </c>
      <c r="B540" s="2" t="s">
        <v>1083</v>
      </c>
      <c r="C540" s="5" t="s">
        <v>1090</v>
      </c>
      <c r="D540" s="2" t="s">
        <v>1166</v>
      </c>
    </row>
    <row r="541" spans="1:4" ht="12.95" customHeight="1" x14ac:dyDescent="0.25">
      <c r="A541" s="2" t="s">
        <v>105</v>
      </c>
      <c r="B541" s="2" t="s">
        <v>1083</v>
      </c>
      <c r="C541" s="5" t="s">
        <v>1092</v>
      </c>
      <c r="D541" s="2" t="s">
        <v>1167</v>
      </c>
    </row>
    <row r="542" spans="1:4" ht="12.95" customHeight="1" x14ac:dyDescent="0.25">
      <c r="A542" s="2" t="s">
        <v>105</v>
      </c>
      <c r="B542" s="2" t="s">
        <v>1083</v>
      </c>
      <c r="C542" s="5" t="s">
        <v>1094</v>
      </c>
      <c r="D542" s="2" t="s">
        <v>1159</v>
      </c>
    </row>
    <row r="543" spans="1:4" ht="12.95" customHeight="1" x14ac:dyDescent="0.25">
      <c r="A543" s="2" t="s">
        <v>105</v>
      </c>
      <c r="B543" s="2" t="s">
        <v>1083</v>
      </c>
      <c r="C543" s="5" t="s">
        <v>1096</v>
      </c>
      <c r="D543" s="2" t="s">
        <v>1168</v>
      </c>
    </row>
    <row r="544" spans="1:4" ht="12.95" customHeight="1" x14ac:dyDescent="0.25">
      <c r="A544" s="2" t="s">
        <v>105</v>
      </c>
      <c r="B544" s="2" t="s">
        <v>1083</v>
      </c>
      <c r="C544" s="5" t="s">
        <v>1098</v>
      </c>
      <c r="D544" s="2" t="s">
        <v>1169</v>
      </c>
    </row>
    <row r="545" spans="1:4" ht="12.95" customHeight="1" x14ac:dyDescent="0.25">
      <c r="A545" s="2" t="s">
        <v>105</v>
      </c>
      <c r="B545" s="2" t="s">
        <v>1083</v>
      </c>
      <c r="C545" s="5" t="s">
        <v>1100</v>
      </c>
      <c r="D545" s="2" t="s">
        <v>1170</v>
      </c>
    </row>
    <row r="546" spans="1:4" ht="12.95" customHeight="1" x14ac:dyDescent="0.25">
      <c r="A546" s="2" t="s">
        <v>105</v>
      </c>
      <c r="B546" s="2" t="s">
        <v>1083</v>
      </c>
      <c r="C546" s="5" t="s">
        <v>1109</v>
      </c>
      <c r="D546" s="2" t="s">
        <v>1171</v>
      </c>
    </row>
    <row r="547" spans="1:4" ht="12.95" customHeight="1" x14ac:dyDescent="0.25">
      <c r="A547" s="2" t="s">
        <v>105</v>
      </c>
      <c r="B547" s="2" t="s">
        <v>1083</v>
      </c>
      <c r="C547" s="5" t="s">
        <v>1119</v>
      </c>
      <c r="D547" s="2" t="s">
        <v>1172</v>
      </c>
    </row>
    <row r="548" spans="1:4" ht="12.95" customHeight="1" x14ac:dyDescent="0.25">
      <c r="A548" s="2" t="s">
        <v>105</v>
      </c>
      <c r="B548" s="2" t="s">
        <v>1083</v>
      </c>
      <c r="C548" s="5" t="s">
        <v>1121</v>
      </c>
      <c r="D548" s="2" t="s">
        <v>1173</v>
      </c>
    </row>
    <row r="549" spans="1:4" ht="12.95" customHeight="1" x14ac:dyDescent="0.25">
      <c r="A549" s="2" t="s">
        <v>105</v>
      </c>
      <c r="B549" s="2" t="s">
        <v>1083</v>
      </c>
      <c r="C549" s="5" t="s">
        <v>1123</v>
      </c>
      <c r="D549" s="2" t="s">
        <v>1174</v>
      </c>
    </row>
    <row r="550" spans="1:4" ht="12.95" customHeight="1" x14ac:dyDescent="0.25">
      <c r="A550" s="2" t="s">
        <v>105</v>
      </c>
      <c r="B550" s="2" t="s">
        <v>1083</v>
      </c>
      <c r="C550" s="5" t="s">
        <v>1125</v>
      </c>
      <c r="D550" s="2" t="s">
        <v>1175</v>
      </c>
    </row>
    <row r="551" spans="1:4" ht="12.95" customHeight="1" x14ac:dyDescent="0.25">
      <c r="A551" s="2" t="s">
        <v>105</v>
      </c>
      <c r="B551" s="2" t="s">
        <v>1083</v>
      </c>
      <c r="C551" s="5" t="s">
        <v>1127</v>
      </c>
      <c r="D551" s="2" t="s">
        <v>1176</v>
      </c>
    </row>
    <row r="552" spans="1:4" ht="12.95" customHeight="1" x14ac:dyDescent="0.25">
      <c r="A552" s="2" t="s">
        <v>105</v>
      </c>
      <c r="B552" s="2" t="s">
        <v>1083</v>
      </c>
      <c r="C552" s="5" t="s">
        <v>1129</v>
      </c>
      <c r="D552" s="2" t="s">
        <v>1177</v>
      </c>
    </row>
    <row r="553" spans="1:4" ht="12.95" customHeight="1" x14ac:dyDescent="0.25">
      <c r="A553" s="2" t="s">
        <v>105</v>
      </c>
      <c r="B553" s="2" t="s">
        <v>1083</v>
      </c>
      <c r="C553" s="5" t="s">
        <v>1111</v>
      </c>
      <c r="D553" s="2" t="s">
        <v>1143</v>
      </c>
    </row>
    <row r="554" spans="1:4" ht="12.95" customHeight="1" x14ac:dyDescent="0.25">
      <c r="A554" s="2" t="s">
        <v>107</v>
      </c>
      <c r="B554" s="2" t="s">
        <v>1083</v>
      </c>
      <c r="C554" s="5" t="s">
        <v>1088</v>
      </c>
      <c r="D554" s="2" t="s">
        <v>1089</v>
      </c>
    </row>
    <row r="555" spans="1:4" ht="12.95" customHeight="1" x14ac:dyDescent="0.25">
      <c r="A555" s="2" t="s">
        <v>110</v>
      </c>
      <c r="B555" s="2" t="s">
        <v>1083</v>
      </c>
      <c r="C555" s="5" t="s">
        <v>1102</v>
      </c>
      <c r="D555" s="2" t="s">
        <v>1103</v>
      </c>
    </row>
    <row r="556" spans="1:4" ht="12.95" customHeight="1" x14ac:dyDescent="0.25">
      <c r="A556" s="2" t="s">
        <v>110</v>
      </c>
      <c r="B556" s="2" t="s">
        <v>1083</v>
      </c>
      <c r="C556" s="5" t="s">
        <v>1084</v>
      </c>
      <c r="D556" s="2" t="s">
        <v>1085</v>
      </c>
    </row>
    <row r="557" spans="1:4" ht="12.95" customHeight="1" x14ac:dyDescent="0.25">
      <c r="A557" s="2" t="s">
        <v>110</v>
      </c>
      <c r="B557" s="2" t="s">
        <v>1083</v>
      </c>
      <c r="C557" s="5" t="s">
        <v>1086</v>
      </c>
      <c r="D557" s="2" t="s">
        <v>1087</v>
      </c>
    </row>
    <row r="558" spans="1:4" ht="12.95" customHeight="1" x14ac:dyDescent="0.25">
      <c r="A558" s="2" t="s">
        <v>110</v>
      </c>
      <c r="B558" s="2" t="s">
        <v>1083</v>
      </c>
      <c r="C558" s="5" t="s">
        <v>1088</v>
      </c>
      <c r="D558" s="2" t="s">
        <v>1089</v>
      </c>
    </row>
    <row r="559" spans="1:4" ht="12.95" customHeight="1" x14ac:dyDescent="0.25">
      <c r="A559" s="2" t="s">
        <v>110</v>
      </c>
      <c r="B559" s="2" t="s">
        <v>1083</v>
      </c>
      <c r="C559" s="5" t="s">
        <v>1090</v>
      </c>
      <c r="D559" s="2" t="s">
        <v>1166</v>
      </c>
    </row>
    <row r="560" spans="1:4" ht="12.95" customHeight="1" x14ac:dyDescent="0.25">
      <c r="A560" s="2" t="s">
        <v>110</v>
      </c>
      <c r="B560" s="2" t="s">
        <v>1083</v>
      </c>
      <c r="C560" s="5" t="s">
        <v>1092</v>
      </c>
      <c r="D560" s="2" t="s">
        <v>1167</v>
      </c>
    </row>
    <row r="561" spans="1:4" ht="12.95" customHeight="1" x14ac:dyDescent="0.25">
      <c r="A561" s="2" t="s">
        <v>110</v>
      </c>
      <c r="B561" s="2" t="s">
        <v>1083</v>
      </c>
      <c r="C561" s="5" t="s">
        <v>1094</v>
      </c>
      <c r="D561" s="2" t="s">
        <v>1159</v>
      </c>
    </row>
    <row r="562" spans="1:4" ht="12.95" customHeight="1" x14ac:dyDescent="0.25">
      <c r="A562" s="2" t="s">
        <v>110</v>
      </c>
      <c r="B562" s="2" t="s">
        <v>1083</v>
      </c>
      <c r="C562" s="5" t="s">
        <v>1096</v>
      </c>
      <c r="D562" s="2" t="s">
        <v>1168</v>
      </c>
    </row>
    <row r="563" spans="1:4" ht="12.95" customHeight="1" x14ac:dyDescent="0.25">
      <c r="A563" s="2" t="s">
        <v>110</v>
      </c>
      <c r="B563" s="2" t="s">
        <v>1083</v>
      </c>
      <c r="C563" s="5" t="s">
        <v>1098</v>
      </c>
      <c r="D563" s="2" t="s">
        <v>1169</v>
      </c>
    </row>
    <row r="564" spans="1:4" ht="12.95" customHeight="1" x14ac:dyDescent="0.25">
      <c r="A564" s="2" t="s">
        <v>110</v>
      </c>
      <c r="B564" s="2" t="s">
        <v>1083</v>
      </c>
      <c r="C564" s="5" t="s">
        <v>1100</v>
      </c>
      <c r="D564" s="2" t="s">
        <v>1170</v>
      </c>
    </row>
    <row r="565" spans="1:4" ht="12.95" customHeight="1" x14ac:dyDescent="0.25">
      <c r="A565" s="2" t="s">
        <v>110</v>
      </c>
      <c r="B565" s="2" t="s">
        <v>1083</v>
      </c>
      <c r="C565" s="5" t="s">
        <v>1109</v>
      </c>
      <c r="D565" s="2" t="s">
        <v>1171</v>
      </c>
    </row>
    <row r="566" spans="1:4" ht="12.95" customHeight="1" x14ac:dyDescent="0.25">
      <c r="A566" s="2" t="s">
        <v>110</v>
      </c>
      <c r="B566" s="2" t="s">
        <v>1083</v>
      </c>
      <c r="C566" s="5" t="s">
        <v>1119</v>
      </c>
      <c r="D566" s="2" t="s">
        <v>1172</v>
      </c>
    </row>
    <row r="567" spans="1:4" ht="12.95" customHeight="1" x14ac:dyDescent="0.25">
      <c r="A567" s="2" t="s">
        <v>110</v>
      </c>
      <c r="B567" s="2" t="s">
        <v>1083</v>
      </c>
      <c r="C567" s="5" t="s">
        <v>1121</v>
      </c>
      <c r="D567" s="2" t="s">
        <v>1173</v>
      </c>
    </row>
    <row r="568" spans="1:4" ht="12.95" customHeight="1" x14ac:dyDescent="0.25">
      <c r="A568" s="2" t="s">
        <v>110</v>
      </c>
      <c r="B568" s="2" t="s">
        <v>1083</v>
      </c>
      <c r="C568" s="5" t="s">
        <v>1123</v>
      </c>
      <c r="D568" s="2" t="s">
        <v>1174</v>
      </c>
    </row>
    <row r="569" spans="1:4" ht="12.95" customHeight="1" x14ac:dyDescent="0.25">
      <c r="A569" s="2" t="s">
        <v>110</v>
      </c>
      <c r="B569" s="2" t="s">
        <v>1083</v>
      </c>
      <c r="C569" s="5" t="s">
        <v>1125</v>
      </c>
      <c r="D569" s="2" t="s">
        <v>1175</v>
      </c>
    </row>
    <row r="570" spans="1:4" ht="12.95" customHeight="1" x14ac:dyDescent="0.25">
      <c r="A570" s="2" t="s">
        <v>110</v>
      </c>
      <c r="B570" s="2" t="s">
        <v>1083</v>
      </c>
      <c r="C570" s="5" t="s">
        <v>1127</v>
      </c>
      <c r="D570" s="2" t="s">
        <v>1176</v>
      </c>
    </row>
    <row r="571" spans="1:4" ht="12.95" customHeight="1" x14ac:dyDescent="0.25">
      <c r="A571" s="2" t="s">
        <v>110</v>
      </c>
      <c r="B571" s="2" t="s">
        <v>1083</v>
      </c>
      <c r="C571" s="5" t="s">
        <v>1129</v>
      </c>
      <c r="D571" s="2" t="s">
        <v>1177</v>
      </c>
    </row>
    <row r="572" spans="1:4" ht="12.95" customHeight="1" x14ac:dyDescent="0.25">
      <c r="A572" s="2" t="s">
        <v>110</v>
      </c>
      <c r="B572" s="2" t="s">
        <v>1083</v>
      </c>
      <c r="C572" s="5" t="s">
        <v>1111</v>
      </c>
      <c r="D572" s="2" t="s">
        <v>1143</v>
      </c>
    </row>
    <row r="573" spans="1:4" ht="12.95" customHeight="1" x14ac:dyDescent="0.25">
      <c r="A573" s="2" t="s">
        <v>112</v>
      </c>
      <c r="B573" s="2" t="s">
        <v>1083</v>
      </c>
      <c r="C573" s="5" t="s">
        <v>1102</v>
      </c>
      <c r="D573" s="2" t="s">
        <v>1103</v>
      </c>
    </row>
    <row r="574" spans="1:4" ht="12.95" customHeight="1" x14ac:dyDescent="0.25">
      <c r="A574" s="2" t="s">
        <v>112</v>
      </c>
      <c r="B574" s="2" t="s">
        <v>1083</v>
      </c>
      <c r="C574" s="5" t="s">
        <v>1084</v>
      </c>
      <c r="D574" s="2" t="s">
        <v>1085</v>
      </c>
    </row>
    <row r="575" spans="1:4" ht="12.95" customHeight="1" x14ac:dyDescent="0.25">
      <c r="A575" s="2" t="s">
        <v>112</v>
      </c>
      <c r="B575" s="2" t="s">
        <v>1083</v>
      </c>
      <c r="C575" s="5" t="s">
        <v>1086</v>
      </c>
      <c r="D575" s="2" t="s">
        <v>1087</v>
      </c>
    </row>
    <row r="576" spans="1:4" ht="12.95" customHeight="1" x14ac:dyDescent="0.25">
      <c r="A576" s="2" t="s">
        <v>112</v>
      </c>
      <c r="B576" s="2" t="s">
        <v>1083</v>
      </c>
      <c r="C576" s="5" t="s">
        <v>1088</v>
      </c>
      <c r="D576" s="2" t="s">
        <v>1089</v>
      </c>
    </row>
    <row r="577" spans="1:4" ht="12.95" customHeight="1" x14ac:dyDescent="0.25">
      <c r="A577" s="2" t="s">
        <v>112</v>
      </c>
      <c r="B577" s="2" t="s">
        <v>1083</v>
      </c>
      <c r="C577" s="5" t="s">
        <v>1090</v>
      </c>
      <c r="D577" s="2" t="s">
        <v>1166</v>
      </c>
    </row>
    <row r="578" spans="1:4" ht="12.95" customHeight="1" x14ac:dyDescent="0.25">
      <c r="A578" s="2" t="s">
        <v>112</v>
      </c>
      <c r="B578" s="2" t="s">
        <v>1083</v>
      </c>
      <c r="C578" s="5" t="s">
        <v>1092</v>
      </c>
      <c r="D578" s="2" t="s">
        <v>1167</v>
      </c>
    </row>
    <row r="579" spans="1:4" ht="12.95" customHeight="1" x14ac:dyDescent="0.25">
      <c r="A579" s="2" t="s">
        <v>112</v>
      </c>
      <c r="B579" s="2" t="s">
        <v>1083</v>
      </c>
      <c r="C579" s="5" t="s">
        <v>1094</v>
      </c>
      <c r="D579" s="2" t="s">
        <v>1159</v>
      </c>
    </row>
    <row r="580" spans="1:4" ht="12.95" customHeight="1" x14ac:dyDescent="0.25">
      <c r="A580" s="2" t="s">
        <v>112</v>
      </c>
      <c r="B580" s="2" t="s">
        <v>1083</v>
      </c>
      <c r="C580" s="5" t="s">
        <v>1096</v>
      </c>
      <c r="D580" s="2" t="s">
        <v>1168</v>
      </c>
    </row>
    <row r="581" spans="1:4" ht="12.95" customHeight="1" x14ac:dyDescent="0.25">
      <c r="A581" s="2" t="s">
        <v>112</v>
      </c>
      <c r="B581" s="2" t="s">
        <v>1083</v>
      </c>
      <c r="C581" s="5" t="s">
        <v>1098</v>
      </c>
      <c r="D581" s="2" t="s">
        <v>1169</v>
      </c>
    </row>
    <row r="582" spans="1:4" ht="12.95" customHeight="1" x14ac:dyDescent="0.25">
      <c r="A582" s="2" t="s">
        <v>112</v>
      </c>
      <c r="B582" s="2" t="s">
        <v>1083</v>
      </c>
      <c r="C582" s="5" t="s">
        <v>1100</v>
      </c>
      <c r="D582" s="2" t="s">
        <v>1170</v>
      </c>
    </row>
    <row r="583" spans="1:4" ht="12.95" customHeight="1" x14ac:dyDescent="0.25">
      <c r="A583" s="2" t="s">
        <v>112</v>
      </c>
      <c r="B583" s="2" t="s">
        <v>1083</v>
      </c>
      <c r="C583" s="5" t="s">
        <v>1109</v>
      </c>
      <c r="D583" s="2" t="s">
        <v>1171</v>
      </c>
    </row>
    <row r="584" spans="1:4" ht="12.95" customHeight="1" x14ac:dyDescent="0.25">
      <c r="A584" s="2" t="s">
        <v>112</v>
      </c>
      <c r="B584" s="2" t="s">
        <v>1083</v>
      </c>
      <c r="C584" s="5" t="s">
        <v>1119</v>
      </c>
      <c r="D584" s="2" t="s">
        <v>1172</v>
      </c>
    </row>
    <row r="585" spans="1:4" ht="12.95" customHeight="1" x14ac:dyDescent="0.25">
      <c r="A585" s="2" t="s">
        <v>112</v>
      </c>
      <c r="B585" s="2" t="s">
        <v>1083</v>
      </c>
      <c r="C585" s="5" t="s">
        <v>1121</v>
      </c>
      <c r="D585" s="2" t="s">
        <v>1173</v>
      </c>
    </row>
    <row r="586" spans="1:4" ht="12.95" customHeight="1" x14ac:dyDescent="0.25">
      <c r="A586" s="2" t="s">
        <v>112</v>
      </c>
      <c r="B586" s="2" t="s">
        <v>1083</v>
      </c>
      <c r="C586" s="5" t="s">
        <v>1123</v>
      </c>
      <c r="D586" s="2" t="s">
        <v>1174</v>
      </c>
    </row>
    <row r="587" spans="1:4" ht="12.95" customHeight="1" x14ac:dyDescent="0.25">
      <c r="A587" s="2" t="s">
        <v>112</v>
      </c>
      <c r="B587" s="2" t="s">
        <v>1083</v>
      </c>
      <c r="C587" s="5" t="s">
        <v>1125</v>
      </c>
      <c r="D587" s="2" t="s">
        <v>1175</v>
      </c>
    </row>
    <row r="588" spans="1:4" ht="12.95" customHeight="1" x14ac:dyDescent="0.25">
      <c r="A588" s="2" t="s">
        <v>112</v>
      </c>
      <c r="B588" s="2" t="s">
        <v>1083</v>
      </c>
      <c r="C588" s="5" t="s">
        <v>1127</v>
      </c>
      <c r="D588" s="2" t="s">
        <v>1176</v>
      </c>
    </row>
    <row r="589" spans="1:4" ht="12.95" customHeight="1" x14ac:dyDescent="0.25">
      <c r="A589" s="2" t="s">
        <v>112</v>
      </c>
      <c r="B589" s="2" t="s">
        <v>1083</v>
      </c>
      <c r="C589" s="5" t="s">
        <v>1129</v>
      </c>
      <c r="D589" s="2" t="s">
        <v>1177</v>
      </c>
    </row>
    <row r="590" spans="1:4" ht="12.95" customHeight="1" x14ac:dyDescent="0.25">
      <c r="A590" s="2" t="s">
        <v>112</v>
      </c>
      <c r="B590" s="2" t="s">
        <v>1083</v>
      </c>
      <c r="C590" s="5" t="s">
        <v>1111</v>
      </c>
      <c r="D590" s="2" t="s">
        <v>1143</v>
      </c>
    </row>
    <row r="591" spans="1:4" ht="12.95" customHeight="1" x14ac:dyDescent="0.25">
      <c r="A591" s="2" t="s">
        <v>114</v>
      </c>
      <c r="B591" s="2" t="s">
        <v>1178</v>
      </c>
      <c r="C591" s="5" t="s">
        <v>1102</v>
      </c>
      <c r="D591" s="2" t="s">
        <v>1103</v>
      </c>
    </row>
    <row r="592" spans="1:4" ht="12.95" customHeight="1" x14ac:dyDescent="0.25">
      <c r="A592" s="2" t="s">
        <v>114</v>
      </c>
      <c r="B592" s="2" t="s">
        <v>1178</v>
      </c>
      <c r="C592" s="5" t="s">
        <v>1088</v>
      </c>
      <c r="D592" s="2" t="s">
        <v>1089</v>
      </c>
    </row>
    <row r="593" spans="1:4" ht="12.95" customHeight="1" x14ac:dyDescent="0.25">
      <c r="A593" s="2" t="s">
        <v>116</v>
      </c>
      <c r="B593" s="2" t="s">
        <v>1083</v>
      </c>
      <c r="C593" s="5" t="s">
        <v>1102</v>
      </c>
      <c r="D593" s="2" t="s">
        <v>1103</v>
      </c>
    </row>
    <row r="594" spans="1:4" ht="12.95" customHeight="1" x14ac:dyDescent="0.25">
      <c r="A594" s="2" t="s">
        <v>116</v>
      </c>
      <c r="B594" s="2" t="s">
        <v>1083</v>
      </c>
      <c r="C594" s="5" t="s">
        <v>1084</v>
      </c>
      <c r="D594" s="2" t="s">
        <v>1153</v>
      </c>
    </row>
    <row r="595" spans="1:4" ht="12.95" customHeight="1" x14ac:dyDescent="0.25">
      <c r="A595" s="2" t="s">
        <v>116</v>
      </c>
      <c r="B595" s="2" t="s">
        <v>1083</v>
      </c>
      <c r="C595" s="5" t="s">
        <v>1086</v>
      </c>
      <c r="D595" s="2" t="s">
        <v>1147</v>
      </c>
    </row>
    <row r="596" spans="1:4" ht="12.95" customHeight="1" x14ac:dyDescent="0.25">
      <c r="A596" s="2" t="s">
        <v>116</v>
      </c>
      <c r="B596" s="2" t="s">
        <v>1083</v>
      </c>
      <c r="C596" s="5" t="s">
        <v>1090</v>
      </c>
      <c r="D596" s="2" t="s">
        <v>1179</v>
      </c>
    </row>
    <row r="597" spans="1:4" ht="12.95" customHeight="1" x14ac:dyDescent="0.25">
      <c r="A597" s="2" t="s">
        <v>116</v>
      </c>
      <c r="B597" s="2" t="s">
        <v>1083</v>
      </c>
      <c r="C597" s="5" t="s">
        <v>1092</v>
      </c>
      <c r="D597" s="2" t="s">
        <v>1180</v>
      </c>
    </row>
    <row r="598" spans="1:4" ht="12.95" customHeight="1" x14ac:dyDescent="0.25">
      <c r="A598" s="2" t="s">
        <v>119</v>
      </c>
      <c r="B598" s="2" t="s">
        <v>1146</v>
      </c>
      <c r="C598" s="5" t="s">
        <v>1084</v>
      </c>
      <c r="D598" s="2" t="s">
        <v>1153</v>
      </c>
    </row>
    <row r="599" spans="1:4" ht="12.95" customHeight="1" x14ac:dyDescent="0.25">
      <c r="A599" s="2" t="s">
        <v>119</v>
      </c>
      <c r="B599" s="2" t="s">
        <v>1146</v>
      </c>
      <c r="C599" s="5" t="s">
        <v>1086</v>
      </c>
      <c r="D599" s="2" t="s">
        <v>1087</v>
      </c>
    </row>
    <row r="600" spans="1:4" ht="12.95" customHeight="1" x14ac:dyDescent="0.25">
      <c r="A600" s="2" t="s">
        <v>119</v>
      </c>
      <c r="B600" s="2" t="s">
        <v>1146</v>
      </c>
      <c r="C600" s="5" t="s">
        <v>1088</v>
      </c>
      <c r="D600" s="2" t="s">
        <v>1089</v>
      </c>
    </row>
    <row r="601" spans="1:4" ht="12.95" customHeight="1" x14ac:dyDescent="0.25">
      <c r="A601" s="2" t="s">
        <v>119</v>
      </c>
      <c r="B601" s="2" t="s">
        <v>1146</v>
      </c>
      <c r="C601" s="5" t="s">
        <v>1090</v>
      </c>
      <c r="D601" s="2" t="s">
        <v>1181</v>
      </c>
    </row>
    <row r="602" spans="1:4" ht="12.95" customHeight="1" x14ac:dyDescent="0.25">
      <c r="A602" s="2" t="s">
        <v>119</v>
      </c>
      <c r="B602" s="2" t="s">
        <v>1146</v>
      </c>
      <c r="C602" s="5" t="s">
        <v>1092</v>
      </c>
      <c r="D602" s="2" t="s">
        <v>1149</v>
      </c>
    </row>
    <row r="603" spans="1:4" ht="12.95" customHeight="1" x14ac:dyDescent="0.25">
      <c r="A603" s="2" t="s">
        <v>119</v>
      </c>
      <c r="B603" s="2" t="s">
        <v>1146</v>
      </c>
      <c r="C603" s="5" t="s">
        <v>1094</v>
      </c>
      <c r="D603" s="2" t="s">
        <v>1150</v>
      </c>
    </row>
    <row r="604" spans="1:4" ht="12.95" customHeight="1" x14ac:dyDescent="0.25">
      <c r="A604" s="2" t="s">
        <v>119</v>
      </c>
      <c r="B604" s="2" t="s">
        <v>1146</v>
      </c>
      <c r="C604" s="5" t="s">
        <v>1096</v>
      </c>
      <c r="D604" s="2" t="s">
        <v>1151</v>
      </c>
    </row>
    <row r="605" spans="1:4" ht="12.95" customHeight="1" x14ac:dyDescent="0.25">
      <c r="A605" s="2" t="s">
        <v>119</v>
      </c>
      <c r="B605" s="2" t="s">
        <v>1146</v>
      </c>
      <c r="C605" s="5" t="s">
        <v>1098</v>
      </c>
      <c r="D605" s="2" t="s">
        <v>1152</v>
      </c>
    </row>
    <row r="606" spans="1:4" ht="12.95" customHeight="1" x14ac:dyDescent="0.25">
      <c r="A606" s="2" t="s">
        <v>122</v>
      </c>
      <c r="B606" s="2" t="s">
        <v>1146</v>
      </c>
      <c r="C606" s="5" t="s">
        <v>1084</v>
      </c>
      <c r="D606" s="2" t="s">
        <v>1153</v>
      </c>
    </row>
    <row r="607" spans="1:4" ht="12.95" customHeight="1" x14ac:dyDescent="0.25">
      <c r="A607" s="2" t="s">
        <v>122</v>
      </c>
      <c r="B607" s="2" t="s">
        <v>1146</v>
      </c>
      <c r="C607" s="5" t="s">
        <v>1086</v>
      </c>
      <c r="D607" s="2" t="s">
        <v>1087</v>
      </c>
    </row>
    <row r="608" spans="1:4" ht="12.95" customHeight="1" x14ac:dyDescent="0.25">
      <c r="A608" s="2" t="s">
        <v>122</v>
      </c>
      <c r="B608" s="2" t="s">
        <v>1146</v>
      </c>
      <c r="C608" s="5" t="s">
        <v>1088</v>
      </c>
      <c r="D608" s="2" t="s">
        <v>1089</v>
      </c>
    </row>
    <row r="609" spans="1:4" ht="12.95" customHeight="1" x14ac:dyDescent="0.25">
      <c r="A609" s="2" t="s">
        <v>122</v>
      </c>
      <c r="B609" s="2" t="s">
        <v>1146</v>
      </c>
      <c r="C609" s="5" t="s">
        <v>1090</v>
      </c>
      <c r="D609" s="2" t="s">
        <v>1148</v>
      </c>
    </row>
    <row r="610" spans="1:4" ht="12.95" customHeight="1" x14ac:dyDescent="0.25">
      <c r="A610" s="2" t="s">
        <v>122</v>
      </c>
      <c r="B610" s="2" t="s">
        <v>1146</v>
      </c>
      <c r="C610" s="5" t="s">
        <v>1092</v>
      </c>
      <c r="D610" s="2" t="s">
        <v>1182</v>
      </c>
    </row>
    <row r="611" spans="1:4" ht="12.95" customHeight="1" x14ac:dyDescent="0.25">
      <c r="A611" s="2" t="s">
        <v>122</v>
      </c>
      <c r="B611" s="2" t="s">
        <v>1146</v>
      </c>
      <c r="C611" s="5" t="s">
        <v>1094</v>
      </c>
      <c r="D611" s="2" t="s">
        <v>1150</v>
      </c>
    </row>
    <row r="612" spans="1:4" ht="12.95" customHeight="1" x14ac:dyDescent="0.25">
      <c r="A612" s="2" t="s">
        <v>122</v>
      </c>
      <c r="B612" s="2" t="s">
        <v>1146</v>
      </c>
      <c r="C612" s="5" t="s">
        <v>1096</v>
      </c>
      <c r="D612" s="2" t="s">
        <v>1151</v>
      </c>
    </row>
    <row r="613" spans="1:4" ht="12.95" customHeight="1" x14ac:dyDescent="0.25">
      <c r="A613" s="2" t="s">
        <v>122</v>
      </c>
      <c r="B613" s="2" t="s">
        <v>1146</v>
      </c>
      <c r="C613" s="5" t="s">
        <v>1098</v>
      </c>
      <c r="D613" s="2" t="s">
        <v>1152</v>
      </c>
    </row>
    <row r="614" spans="1:4" ht="12.95" customHeight="1" x14ac:dyDescent="0.25">
      <c r="A614" s="2" t="s">
        <v>125</v>
      </c>
      <c r="B614" s="2" t="s">
        <v>1083</v>
      </c>
      <c r="C614" s="5" t="s">
        <v>1102</v>
      </c>
      <c r="D614" s="2" t="s">
        <v>1103</v>
      </c>
    </row>
    <row r="615" spans="1:4" ht="12.95" customHeight="1" x14ac:dyDescent="0.25">
      <c r="A615" s="2" t="s">
        <v>125</v>
      </c>
      <c r="B615" s="2" t="s">
        <v>1083</v>
      </c>
      <c r="C615" s="5" t="s">
        <v>1084</v>
      </c>
      <c r="D615" s="2" t="s">
        <v>1153</v>
      </c>
    </row>
    <row r="616" spans="1:4" ht="12.95" customHeight="1" x14ac:dyDescent="0.25">
      <c r="A616" s="2" t="s">
        <v>125</v>
      </c>
      <c r="B616" s="2" t="s">
        <v>1083</v>
      </c>
      <c r="C616" s="5" t="s">
        <v>1086</v>
      </c>
      <c r="D616" s="2" t="s">
        <v>1147</v>
      </c>
    </row>
    <row r="617" spans="1:4" ht="12.95" customHeight="1" x14ac:dyDescent="0.25">
      <c r="A617" s="2" t="s">
        <v>128</v>
      </c>
      <c r="B617" s="2" t="s">
        <v>1083</v>
      </c>
      <c r="C617" s="5" t="s">
        <v>1102</v>
      </c>
      <c r="D617" s="2" t="s">
        <v>1103</v>
      </c>
    </row>
    <row r="618" spans="1:4" ht="12.95" customHeight="1" x14ac:dyDescent="0.25">
      <c r="A618" s="2" t="s">
        <v>128</v>
      </c>
      <c r="B618" s="2" t="s">
        <v>1083</v>
      </c>
      <c r="C618" s="5" t="s">
        <v>1084</v>
      </c>
      <c r="D618" s="2" t="s">
        <v>1153</v>
      </c>
    </row>
    <row r="619" spans="1:4" ht="12.95" customHeight="1" x14ac:dyDescent="0.25">
      <c r="A619" s="2" t="s">
        <v>128</v>
      </c>
      <c r="B619" s="2" t="s">
        <v>1083</v>
      </c>
      <c r="C619" s="5" t="s">
        <v>1086</v>
      </c>
      <c r="D619" s="2" t="s">
        <v>1147</v>
      </c>
    </row>
    <row r="620" spans="1:4" ht="12.95" customHeight="1" x14ac:dyDescent="0.25">
      <c r="A620" s="2" t="s">
        <v>128</v>
      </c>
      <c r="B620" s="2" t="s">
        <v>1083</v>
      </c>
      <c r="C620" s="5" t="s">
        <v>1088</v>
      </c>
      <c r="D620" s="2" t="s">
        <v>1089</v>
      </c>
    </row>
    <row r="621" spans="1:4" ht="12.95" customHeight="1" x14ac:dyDescent="0.25">
      <c r="A621" s="2" t="s">
        <v>131</v>
      </c>
      <c r="B621" s="2" t="s">
        <v>1178</v>
      </c>
      <c r="C621" s="5" t="s">
        <v>1088</v>
      </c>
      <c r="D621" s="2" t="s">
        <v>1089</v>
      </c>
    </row>
    <row r="622" spans="1:4" ht="12.95" customHeight="1" x14ac:dyDescent="0.25">
      <c r="A622" s="2" t="s">
        <v>133</v>
      </c>
      <c r="B622" s="2" t="s">
        <v>1146</v>
      </c>
      <c r="C622" s="5" t="s">
        <v>1102</v>
      </c>
      <c r="D622" s="2" t="s">
        <v>1103</v>
      </c>
    </row>
    <row r="623" spans="1:4" ht="12.95" customHeight="1" x14ac:dyDescent="0.25">
      <c r="A623" s="2" t="s">
        <v>133</v>
      </c>
      <c r="B623" s="2" t="s">
        <v>1146</v>
      </c>
      <c r="C623" s="5" t="s">
        <v>1125</v>
      </c>
      <c r="D623" s="2" t="s">
        <v>1183</v>
      </c>
    </row>
    <row r="624" spans="1:4" ht="12.95" customHeight="1" x14ac:dyDescent="0.25">
      <c r="A624" s="2" t="s">
        <v>133</v>
      </c>
      <c r="B624" s="2" t="s">
        <v>1146</v>
      </c>
      <c r="C624" s="5" t="s">
        <v>1127</v>
      </c>
      <c r="D624" s="2" t="s">
        <v>1184</v>
      </c>
    </row>
    <row r="625" spans="1:4" ht="12.95" customHeight="1" x14ac:dyDescent="0.25">
      <c r="A625" s="2" t="s">
        <v>133</v>
      </c>
      <c r="B625" s="2" t="s">
        <v>1146</v>
      </c>
      <c r="C625" s="5" t="s">
        <v>1129</v>
      </c>
      <c r="D625" s="2" t="s">
        <v>1185</v>
      </c>
    </row>
    <row r="626" spans="1:4" ht="12.95" customHeight="1" x14ac:dyDescent="0.25">
      <c r="A626" s="2" t="s">
        <v>133</v>
      </c>
      <c r="B626" s="2" t="s">
        <v>1146</v>
      </c>
      <c r="C626" s="5" t="s">
        <v>1131</v>
      </c>
      <c r="D626" s="2" t="s">
        <v>1186</v>
      </c>
    </row>
    <row r="627" spans="1:4" ht="12.95" customHeight="1" x14ac:dyDescent="0.25">
      <c r="A627" s="2" t="s">
        <v>133</v>
      </c>
      <c r="B627" s="2" t="s">
        <v>1146</v>
      </c>
      <c r="C627" s="5" t="s">
        <v>1187</v>
      </c>
      <c r="D627" s="2" t="s">
        <v>1188</v>
      </c>
    </row>
    <row r="628" spans="1:4" ht="12.95" customHeight="1" x14ac:dyDescent="0.25">
      <c r="A628" s="2" t="s">
        <v>133</v>
      </c>
      <c r="B628" s="2" t="s">
        <v>1146</v>
      </c>
      <c r="C628" s="5" t="s">
        <v>1189</v>
      </c>
      <c r="D628" s="2" t="s">
        <v>1190</v>
      </c>
    </row>
    <row r="629" spans="1:4" ht="12.95" customHeight="1" x14ac:dyDescent="0.25">
      <c r="A629" s="2" t="s">
        <v>133</v>
      </c>
      <c r="B629" s="2" t="s">
        <v>1146</v>
      </c>
      <c r="C629" s="5" t="s">
        <v>1191</v>
      </c>
      <c r="D629" s="2" t="s">
        <v>1192</v>
      </c>
    </row>
    <row r="630" spans="1:4" ht="12.95" customHeight="1" x14ac:dyDescent="0.25">
      <c r="A630" s="2" t="s">
        <v>133</v>
      </c>
      <c r="B630" s="2" t="s">
        <v>1146</v>
      </c>
      <c r="C630" s="5" t="s">
        <v>1193</v>
      </c>
      <c r="D630" s="2" t="s">
        <v>1194</v>
      </c>
    </row>
    <row r="631" spans="1:4" ht="12.95" customHeight="1" x14ac:dyDescent="0.25">
      <c r="A631" s="2" t="s">
        <v>133</v>
      </c>
      <c r="B631" s="2" t="s">
        <v>1146</v>
      </c>
      <c r="C631" s="5" t="s">
        <v>1195</v>
      </c>
      <c r="D631" s="2" t="s">
        <v>1196</v>
      </c>
    </row>
    <row r="632" spans="1:4" ht="12.95" customHeight="1" x14ac:dyDescent="0.25">
      <c r="A632" s="2" t="s">
        <v>133</v>
      </c>
      <c r="B632" s="2" t="s">
        <v>1146</v>
      </c>
      <c r="C632" s="5" t="s">
        <v>1197</v>
      </c>
      <c r="D632" s="2" t="s">
        <v>1198</v>
      </c>
    </row>
    <row r="633" spans="1:4" ht="12.95" customHeight="1" x14ac:dyDescent="0.25">
      <c r="A633" s="2" t="s">
        <v>133</v>
      </c>
      <c r="B633" s="2" t="s">
        <v>1146</v>
      </c>
      <c r="C633" s="5" t="s">
        <v>1199</v>
      </c>
      <c r="D633" s="2" t="s">
        <v>1200</v>
      </c>
    </row>
    <row r="634" spans="1:4" ht="12.95" customHeight="1" x14ac:dyDescent="0.25">
      <c r="A634" s="2" t="s">
        <v>133</v>
      </c>
      <c r="B634" s="2" t="s">
        <v>1146</v>
      </c>
      <c r="C634" s="5" t="s">
        <v>1201</v>
      </c>
      <c r="D634" s="2" t="s">
        <v>1202</v>
      </c>
    </row>
    <row r="635" spans="1:4" ht="12.95" customHeight="1" x14ac:dyDescent="0.25">
      <c r="A635" s="2" t="s">
        <v>133</v>
      </c>
      <c r="B635" s="2" t="s">
        <v>1146</v>
      </c>
      <c r="C635" s="5" t="s">
        <v>1203</v>
      </c>
      <c r="D635" s="2" t="s">
        <v>1204</v>
      </c>
    </row>
    <row r="636" spans="1:4" ht="12.95" customHeight="1" x14ac:dyDescent="0.25">
      <c r="A636" s="2" t="s">
        <v>133</v>
      </c>
      <c r="B636" s="2" t="s">
        <v>1146</v>
      </c>
      <c r="C636" s="5" t="s">
        <v>1205</v>
      </c>
      <c r="D636" s="2" t="s">
        <v>1206</v>
      </c>
    </row>
    <row r="637" spans="1:4" ht="12.95" customHeight="1" x14ac:dyDescent="0.25">
      <c r="A637" s="2" t="s">
        <v>133</v>
      </c>
      <c r="B637" s="2" t="s">
        <v>1146</v>
      </c>
      <c r="C637" s="5" t="s">
        <v>1207</v>
      </c>
      <c r="D637" s="2" t="s">
        <v>1208</v>
      </c>
    </row>
    <row r="638" spans="1:4" ht="12.95" customHeight="1" x14ac:dyDescent="0.25">
      <c r="A638" s="2" t="s">
        <v>133</v>
      </c>
      <c r="B638" s="2" t="s">
        <v>1146</v>
      </c>
      <c r="C638" s="5" t="s">
        <v>1209</v>
      </c>
      <c r="D638" s="2" t="s">
        <v>1210</v>
      </c>
    </row>
    <row r="639" spans="1:4" ht="12.95" customHeight="1" x14ac:dyDescent="0.25">
      <c r="A639" s="2" t="s">
        <v>133</v>
      </c>
      <c r="B639" s="2" t="s">
        <v>1146</v>
      </c>
      <c r="C639" s="5" t="s">
        <v>1211</v>
      </c>
      <c r="D639" s="2" t="s">
        <v>1212</v>
      </c>
    </row>
    <row r="640" spans="1:4" ht="12.95" customHeight="1" x14ac:dyDescent="0.25">
      <c r="A640" s="2" t="s">
        <v>133</v>
      </c>
      <c r="B640" s="2" t="s">
        <v>1146</v>
      </c>
      <c r="C640" s="5" t="s">
        <v>1213</v>
      </c>
      <c r="D640" s="2" t="s">
        <v>1214</v>
      </c>
    </row>
    <row r="641" spans="1:4" ht="12.95" customHeight="1" x14ac:dyDescent="0.25">
      <c r="A641" s="2" t="s">
        <v>133</v>
      </c>
      <c r="B641" s="2" t="s">
        <v>1146</v>
      </c>
      <c r="C641" s="5" t="s">
        <v>1215</v>
      </c>
      <c r="D641" s="2" t="s">
        <v>1216</v>
      </c>
    </row>
    <row r="642" spans="1:4" ht="12.95" customHeight="1" x14ac:dyDescent="0.25">
      <c r="A642" s="2" t="s">
        <v>133</v>
      </c>
      <c r="B642" s="2" t="s">
        <v>1146</v>
      </c>
      <c r="C642" s="5" t="s">
        <v>1217</v>
      </c>
      <c r="D642" s="2" t="s">
        <v>1218</v>
      </c>
    </row>
    <row r="643" spans="1:4" ht="12.95" customHeight="1" x14ac:dyDescent="0.25">
      <c r="A643" s="2" t="s">
        <v>133</v>
      </c>
      <c r="B643" s="2" t="s">
        <v>1146</v>
      </c>
      <c r="C643" s="5" t="s">
        <v>1219</v>
      </c>
      <c r="D643" s="2" t="s">
        <v>1220</v>
      </c>
    </row>
    <row r="644" spans="1:4" ht="12.95" customHeight="1" x14ac:dyDescent="0.25">
      <c r="A644" s="2" t="s">
        <v>133</v>
      </c>
      <c r="B644" s="2" t="s">
        <v>1146</v>
      </c>
      <c r="C644" s="5" t="s">
        <v>1221</v>
      </c>
      <c r="D644" s="2" t="s">
        <v>1222</v>
      </c>
    </row>
    <row r="645" spans="1:4" ht="12.95" customHeight="1" x14ac:dyDescent="0.25">
      <c r="A645" s="2" t="s">
        <v>133</v>
      </c>
      <c r="B645" s="2" t="s">
        <v>1146</v>
      </c>
      <c r="C645" s="5" t="s">
        <v>1223</v>
      </c>
      <c r="D645" s="2" t="s">
        <v>1224</v>
      </c>
    </row>
    <row r="646" spans="1:4" ht="12.95" customHeight="1" x14ac:dyDescent="0.25">
      <c r="A646" s="2" t="s">
        <v>133</v>
      </c>
      <c r="B646" s="2" t="s">
        <v>1146</v>
      </c>
      <c r="C646" s="5" t="s">
        <v>1225</v>
      </c>
      <c r="D646" s="2" t="s">
        <v>1226</v>
      </c>
    </row>
    <row r="647" spans="1:4" ht="12.95" customHeight="1" x14ac:dyDescent="0.25">
      <c r="A647" s="2" t="s">
        <v>133</v>
      </c>
      <c r="B647" s="2" t="s">
        <v>1146</v>
      </c>
      <c r="C647" s="5" t="s">
        <v>1227</v>
      </c>
      <c r="D647" s="2" t="s">
        <v>1228</v>
      </c>
    </row>
    <row r="648" spans="1:4" ht="12.95" customHeight="1" x14ac:dyDescent="0.25">
      <c r="A648" s="2" t="s">
        <v>133</v>
      </c>
      <c r="B648" s="2" t="s">
        <v>1146</v>
      </c>
      <c r="C648" s="5" t="s">
        <v>1229</v>
      </c>
      <c r="D648" s="2" t="s">
        <v>1230</v>
      </c>
    </row>
    <row r="649" spans="1:4" ht="12.95" customHeight="1" x14ac:dyDescent="0.25">
      <c r="A649" s="2" t="s">
        <v>133</v>
      </c>
      <c r="B649" s="2" t="s">
        <v>1146</v>
      </c>
      <c r="C649" s="5" t="s">
        <v>1231</v>
      </c>
      <c r="D649" s="2" t="s">
        <v>1232</v>
      </c>
    </row>
    <row r="650" spans="1:4" ht="12.95" customHeight="1" x14ac:dyDescent="0.25">
      <c r="A650" s="2" t="s">
        <v>133</v>
      </c>
      <c r="B650" s="2" t="s">
        <v>1146</v>
      </c>
      <c r="C650" s="5" t="s">
        <v>1233</v>
      </c>
      <c r="D650" s="2" t="s">
        <v>1234</v>
      </c>
    </row>
    <row r="651" spans="1:4" ht="12.95" customHeight="1" x14ac:dyDescent="0.25">
      <c r="A651" s="2" t="s">
        <v>133</v>
      </c>
      <c r="B651" s="2" t="s">
        <v>1146</v>
      </c>
      <c r="C651" s="5" t="s">
        <v>1235</v>
      </c>
      <c r="D651" s="2" t="s">
        <v>1236</v>
      </c>
    </row>
    <row r="652" spans="1:4" ht="12.95" customHeight="1" x14ac:dyDescent="0.25">
      <c r="A652" s="2" t="s">
        <v>133</v>
      </c>
      <c r="B652" s="2" t="s">
        <v>1146</v>
      </c>
      <c r="C652" s="5" t="s">
        <v>1237</v>
      </c>
      <c r="D652" s="2" t="s">
        <v>1238</v>
      </c>
    </row>
    <row r="653" spans="1:4" ht="12.95" customHeight="1" x14ac:dyDescent="0.25">
      <c r="A653" s="2" t="s">
        <v>133</v>
      </c>
      <c r="B653" s="2" t="s">
        <v>1146</v>
      </c>
      <c r="C653" s="5" t="s">
        <v>1239</v>
      </c>
      <c r="D653" s="2" t="s">
        <v>1240</v>
      </c>
    </row>
    <row r="654" spans="1:4" ht="12.95" customHeight="1" x14ac:dyDescent="0.25">
      <c r="A654" s="2" t="s">
        <v>133</v>
      </c>
      <c r="B654" s="2" t="s">
        <v>1146</v>
      </c>
      <c r="C654" s="5" t="s">
        <v>1241</v>
      </c>
      <c r="D654" s="2" t="s">
        <v>1242</v>
      </c>
    </row>
    <row r="655" spans="1:4" ht="12.95" customHeight="1" x14ac:dyDescent="0.25">
      <c r="A655" s="2" t="s">
        <v>133</v>
      </c>
      <c r="B655" s="2" t="s">
        <v>1146</v>
      </c>
      <c r="C655" s="5" t="s">
        <v>1243</v>
      </c>
      <c r="D655" s="2" t="s">
        <v>1244</v>
      </c>
    </row>
    <row r="656" spans="1:4" ht="12.95" customHeight="1" x14ac:dyDescent="0.25">
      <c r="A656" s="2" t="s">
        <v>133</v>
      </c>
      <c r="B656" s="2" t="s">
        <v>1146</v>
      </c>
      <c r="C656" s="5" t="s">
        <v>1245</v>
      </c>
      <c r="D656" s="2" t="s">
        <v>1246</v>
      </c>
    </row>
    <row r="657" spans="1:4" ht="12.95" customHeight="1" x14ac:dyDescent="0.25">
      <c r="A657" s="2" t="s">
        <v>133</v>
      </c>
      <c r="B657" s="2" t="s">
        <v>1146</v>
      </c>
      <c r="C657" s="5" t="s">
        <v>1247</v>
      </c>
      <c r="D657" s="2" t="s">
        <v>1248</v>
      </c>
    </row>
    <row r="658" spans="1:4" ht="12.95" customHeight="1" x14ac:dyDescent="0.25">
      <c r="A658" s="2" t="s">
        <v>133</v>
      </c>
      <c r="B658" s="2" t="s">
        <v>1146</v>
      </c>
      <c r="C658" s="5" t="s">
        <v>1249</v>
      </c>
      <c r="D658" s="2" t="s">
        <v>1250</v>
      </c>
    </row>
    <row r="659" spans="1:4" ht="12.95" customHeight="1" x14ac:dyDescent="0.25">
      <c r="A659" s="2" t="s">
        <v>135</v>
      </c>
      <c r="B659" s="2" t="s">
        <v>1146</v>
      </c>
      <c r="C659" s="5" t="s">
        <v>1090</v>
      </c>
      <c r="D659" s="2" t="s">
        <v>1251</v>
      </c>
    </row>
    <row r="660" spans="1:4" ht="12.95" customHeight="1" x14ac:dyDescent="0.25">
      <c r="A660" s="2" t="s">
        <v>135</v>
      </c>
      <c r="B660" s="2" t="s">
        <v>1146</v>
      </c>
      <c r="C660" s="5" t="s">
        <v>1092</v>
      </c>
      <c r="D660" s="2" t="s">
        <v>1252</v>
      </c>
    </row>
    <row r="661" spans="1:4" ht="12.95" customHeight="1" x14ac:dyDescent="0.25">
      <c r="A661" s="2" t="s">
        <v>135</v>
      </c>
      <c r="B661" s="2" t="s">
        <v>1146</v>
      </c>
      <c r="C661" s="5" t="s">
        <v>1094</v>
      </c>
      <c r="D661" s="2" t="s">
        <v>1253</v>
      </c>
    </row>
    <row r="662" spans="1:4" ht="12.95" customHeight="1" x14ac:dyDescent="0.25">
      <c r="A662" s="2" t="s">
        <v>135</v>
      </c>
      <c r="B662" s="2" t="s">
        <v>1146</v>
      </c>
      <c r="C662" s="5" t="s">
        <v>1096</v>
      </c>
      <c r="D662" s="2" t="s">
        <v>1254</v>
      </c>
    </row>
    <row r="663" spans="1:4" ht="12.95" customHeight="1" x14ac:dyDescent="0.25">
      <c r="A663" s="2" t="s">
        <v>135</v>
      </c>
      <c r="B663" s="2" t="s">
        <v>1146</v>
      </c>
      <c r="C663" s="5" t="s">
        <v>1098</v>
      </c>
      <c r="D663" s="2" t="s">
        <v>1255</v>
      </c>
    </row>
    <row r="664" spans="1:4" ht="12.95" customHeight="1" x14ac:dyDescent="0.25">
      <c r="A664" s="2" t="s">
        <v>135</v>
      </c>
      <c r="B664" s="2" t="s">
        <v>1146</v>
      </c>
      <c r="C664" s="5" t="s">
        <v>1100</v>
      </c>
      <c r="D664" s="2" t="s">
        <v>1256</v>
      </c>
    </row>
    <row r="665" spans="1:4" ht="12.95" customHeight="1" x14ac:dyDescent="0.25">
      <c r="A665" s="2" t="s">
        <v>135</v>
      </c>
      <c r="B665" s="2" t="s">
        <v>1146</v>
      </c>
      <c r="C665" s="5" t="s">
        <v>1109</v>
      </c>
      <c r="D665" s="2" t="s">
        <v>1257</v>
      </c>
    </row>
    <row r="666" spans="1:4" ht="12.95" customHeight="1" x14ac:dyDescent="0.25">
      <c r="A666" s="2" t="s">
        <v>135</v>
      </c>
      <c r="B666" s="2" t="s">
        <v>1146</v>
      </c>
      <c r="C666" s="5" t="s">
        <v>1119</v>
      </c>
      <c r="D666" s="2" t="s">
        <v>1258</v>
      </c>
    </row>
    <row r="667" spans="1:4" ht="12.95" customHeight="1" x14ac:dyDescent="0.25">
      <c r="A667" s="2" t="s">
        <v>135</v>
      </c>
      <c r="B667" s="2" t="s">
        <v>1146</v>
      </c>
      <c r="C667" s="5" t="s">
        <v>1121</v>
      </c>
      <c r="D667" s="2" t="s">
        <v>1259</v>
      </c>
    </row>
    <row r="668" spans="1:4" ht="12.95" customHeight="1" x14ac:dyDescent="0.25">
      <c r="A668" s="2" t="s">
        <v>137</v>
      </c>
      <c r="B668" s="2" t="s">
        <v>1146</v>
      </c>
      <c r="C668" s="5" t="s">
        <v>1090</v>
      </c>
      <c r="D668" s="2" t="s">
        <v>1260</v>
      </c>
    </row>
    <row r="669" spans="1:4" ht="12.95" customHeight="1" x14ac:dyDescent="0.25">
      <c r="A669" s="2" t="s">
        <v>137</v>
      </c>
      <c r="B669" s="2" t="s">
        <v>1146</v>
      </c>
      <c r="C669" s="5" t="s">
        <v>1092</v>
      </c>
      <c r="D669" s="2" t="s">
        <v>1261</v>
      </c>
    </row>
    <row r="670" spans="1:4" ht="12.95" customHeight="1" x14ac:dyDescent="0.25">
      <c r="A670" s="2" t="s">
        <v>137</v>
      </c>
      <c r="B670" s="2" t="s">
        <v>1146</v>
      </c>
      <c r="C670" s="5" t="s">
        <v>1094</v>
      </c>
      <c r="D670" s="2" t="s">
        <v>1262</v>
      </c>
    </row>
    <row r="671" spans="1:4" ht="12.95" customHeight="1" x14ac:dyDescent="0.25">
      <c r="A671" s="2" t="s">
        <v>137</v>
      </c>
      <c r="B671" s="2" t="s">
        <v>1146</v>
      </c>
      <c r="C671" s="5" t="s">
        <v>1096</v>
      </c>
      <c r="D671" s="2" t="s">
        <v>1263</v>
      </c>
    </row>
    <row r="672" spans="1:4" ht="12.95" customHeight="1" x14ac:dyDescent="0.25">
      <c r="A672" s="2" t="s">
        <v>139</v>
      </c>
      <c r="B672" s="2" t="s">
        <v>1178</v>
      </c>
      <c r="C672" s="5" t="s">
        <v>1102</v>
      </c>
      <c r="D672" s="2" t="s">
        <v>1103</v>
      </c>
    </row>
    <row r="673" spans="1:4" ht="12.95" customHeight="1" x14ac:dyDescent="0.25">
      <c r="A673" s="2" t="s">
        <v>145</v>
      </c>
      <c r="B673" s="2" t="s">
        <v>1178</v>
      </c>
      <c r="C673" s="5" t="s">
        <v>1102</v>
      </c>
      <c r="D673" s="2" t="s">
        <v>1103</v>
      </c>
    </row>
    <row r="674" spans="1:4" ht="12.95" customHeight="1" x14ac:dyDescent="0.25">
      <c r="A674" s="2" t="s">
        <v>145</v>
      </c>
      <c r="B674" s="2" t="s">
        <v>1178</v>
      </c>
      <c r="C674" s="5" t="s">
        <v>1088</v>
      </c>
      <c r="D674" s="2" t="s">
        <v>1089</v>
      </c>
    </row>
    <row r="675" spans="1:4" ht="12.95" customHeight="1" x14ac:dyDescent="0.25">
      <c r="A675" s="2" t="s">
        <v>147</v>
      </c>
      <c r="B675" s="2" t="s">
        <v>1083</v>
      </c>
      <c r="C675" s="5" t="s">
        <v>1102</v>
      </c>
      <c r="D675" s="2" t="s">
        <v>1103</v>
      </c>
    </row>
    <row r="676" spans="1:4" ht="12.95" customHeight="1" x14ac:dyDescent="0.25">
      <c r="A676" s="2" t="s">
        <v>147</v>
      </c>
      <c r="B676" s="2" t="s">
        <v>1083</v>
      </c>
      <c r="C676" s="5" t="s">
        <v>1084</v>
      </c>
      <c r="D676" s="2" t="s">
        <v>1085</v>
      </c>
    </row>
    <row r="677" spans="1:4" ht="12.95" customHeight="1" x14ac:dyDescent="0.25">
      <c r="A677" s="2" t="s">
        <v>147</v>
      </c>
      <c r="B677" s="2" t="s">
        <v>1083</v>
      </c>
      <c r="C677" s="5" t="s">
        <v>1086</v>
      </c>
      <c r="D677" s="2" t="s">
        <v>1087</v>
      </c>
    </row>
    <row r="678" spans="1:4" ht="12.95" customHeight="1" x14ac:dyDescent="0.25">
      <c r="A678" s="2" t="s">
        <v>147</v>
      </c>
      <c r="B678" s="2" t="s">
        <v>1083</v>
      </c>
      <c r="C678" s="5" t="s">
        <v>1088</v>
      </c>
      <c r="D678" s="2" t="s">
        <v>1089</v>
      </c>
    </row>
    <row r="679" spans="1:4" ht="12.95" customHeight="1" x14ac:dyDescent="0.25">
      <c r="A679" s="2" t="s">
        <v>147</v>
      </c>
      <c r="B679" s="2" t="s">
        <v>1083</v>
      </c>
      <c r="C679" s="5" t="s">
        <v>1090</v>
      </c>
      <c r="D679" s="2" t="s">
        <v>1264</v>
      </c>
    </row>
    <row r="680" spans="1:4" ht="12.95" customHeight="1" x14ac:dyDescent="0.25">
      <c r="A680" s="2" t="s">
        <v>147</v>
      </c>
      <c r="B680" s="2" t="s">
        <v>1083</v>
      </c>
      <c r="C680" s="5" t="s">
        <v>1092</v>
      </c>
      <c r="D680" s="2" t="s">
        <v>1265</v>
      </c>
    </row>
    <row r="681" spans="1:4" ht="12.95" customHeight="1" x14ac:dyDescent="0.25">
      <c r="A681" s="2" t="s">
        <v>147</v>
      </c>
      <c r="B681" s="2" t="s">
        <v>1083</v>
      </c>
      <c r="C681" s="5" t="s">
        <v>1094</v>
      </c>
      <c r="D681" s="2" t="s">
        <v>1266</v>
      </c>
    </row>
    <row r="682" spans="1:4" ht="12.95" customHeight="1" x14ac:dyDescent="0.25">
      <c r="A682" s="2" t="s">
        <v>147</v>
      </c>
      <c r="B682" s="2" t="s">
        <v>1083</v>
      </c>
      <c r="C682" s="5" t="s">
        <v>1096</v>
      </c>
      <c r="D682" s="2" t="s">
        <v>1267</v>
      </c>
    </row>
    <row r="683" spans="1:4" ht="12.95" customHeight="1" x14ac:dyDescent="0.25">
      <c r="A683" s="2" t="s">
        <v>147</v>
      </c>
      <c r="B683" s="2" t="s">
        <v>1083</v>
      </c>
      <c r="C683" s="5" t="s">
        <v>1098</v>
      </c>
      <c r="D683" s="2" t="s">
        <v>1268</v>
      </c>
    </row>
    <row r="684" spans="1:4" ht="12.95" customHeight="1" x14ac:dyDescent="0.25">
      <c r="A684" s="2" t="s">
        <v>147</v>
      </c>
      <c r="B684" s="2" t="s">
        <v>1083</v>
      </c>
      <c r="C684" s="5" t="s">
        <v>1100</v>
      </c>
      <c r="D684" s="2" t="s">
        <v>1269</v>
      </c>
    </row>
    <row r="685" spans="1:4" ht="12.95" customHeight="1" x14ac:dyDescent="0.25">
      <c r="A685" s="2" t="s">
        <v>147</v>
      </c>
      <c r="B685" s="2" t="s">
        <v>1083</v>
      </c>
      <c r="C685" s="5" t="s">
        <v>1109</v>
      </c>
      <c r="D685" s="2" t="s">
        <v>1270</v>
      </c>
    </row>
    <row r="686" spans="1:4" ht="12.95" customHeight="1" x14ac:dyDescent="0.25">
      <c r="A686" s="2" t="s">
        <v>147</v>
      </c>
      <c r="B686" s="2" t="s">
        <v>1083</v>
      </c>
      <c r="C686" s="5" t="s">
        <v>1121</v>
      </c>
      <c r="D686" s="2" t="s">
        <v>1165</v>
      </c>
    </row>
    <row r="687" spans="1:4" ht="12.95" customHeight="1" x14ac:dyDescent="0.25">
      <c r="A687" s="2" t="s">
        <v>150</v>
      </c>
      <c r="B687" s="2" t="s">
        <v>1083</v>
      </c>
      <c r="C687" s="5" t="s">
        <v>1102</v>
      </c>
      <c r="D687" s="2" t="s">
        <v>1103</v>
      </c>
    </row>
    <row r="688" spans="1:4" ht="12.95" customHeight="1" x14ac:dyDescent="0.25">
      <c r="A688" s="2" t="s">
        <v>150</v>
      </c>
      <c r="B688" s="2" t="s">
        <v>1083</v>
      </c>
      <c r="C688" s="5" t="s">
        <v>1084</v>
      </c>
      <c r="D688" s="2" t="s">
        <v>1085</v>
      </c>
    </row>
    <row r="689" spans="1:4" ht="12.95" customHeight="1" x14ac:dyDescent="0.25">
      <c r="A689" s="2" t="s">
        <v>150</v>
      </c>
      <c r="B689" s="2" t="s">
        <v>1083</v>
      </c>
      <c r="C689" s="5" t="s">
        <v>1086</v>
      </c>
      <c r="D689" s="2" t="s">
        <v>1087</v>
      </c>
    </row>
    <row r="690" spans="1:4" ht="12.95" customHeight="1" x14ac:dyDescent="0.25">
      <c r="A690" s="2" t="s">
        <v>150</v>
      </c>
      <c r="B690" s="2" t="s">
        <v>1083</v>
      </c>
      <c r="C690" s="5" t="s">
        <v>1088</v>
      </c>
      <c r="D690" s="2" t="s">
        <v>1089</v>
      </c>
    </row>
    <row r="691" spans="1:4" ht="12.95" customHeight="1" x14ac:dyDescent="0.25">
      <c r="A691" s="2" t="s">
        <v>150</v>
      </c>
      <c r="B691" s="2" t="s">
        <v>1083</v>
      </c>
      <c r="C691" s="5" t="s">
        <v>1090</v>
      </c>
      <c r="D691" s="2" t="s">
        <v>1264</v>
      </c>
    </row>
    <row r="692" spans="1:4" ht="12.95" customHeight="1" x14ac:dyDescent="0.25">
      <c r="A692" s="2" t="s">
        <v>150</v>
      </c>
      <c r="B692" s="2" t="s">
        <v>1083</v>
      </c>
      <c r="C692" s="5" t="s">
        <v>1092</v>
      </c>
      <c r="D692" s="2" t="s">
        <v>1265</v>
      </c>
    </row>
    <row r="693" spans="1:4" ht="12.95" customHeight="1" x14ac:dyDescent="0.25">
      <c r="A693" s="2" t="s">
        <v>150</v>
      </c>
      <c r="B693" s="2" t="s">
        <v>1083</v>
      </c>
      <c r="C693" s="5" t="s">
        <v>1094</v>
      </c>
      <c r="D693" s="2" t="s">
        <v>1266</v>
      </c>
    </row>
    <row r="694" spans="1:4" ht="12.95" customHeight="1" x14ac:dyDescent="0.25">
      <c r="A694" s="2" t="s">
        <v>150</v>
      </c>
      <c r="B694" s="2" t="s">
        <v>1083</v>
      </c>
      <c r="C694" s="5" t="s">
        <v>1096</v>
      </c>
      <c r="D694" s="2" t="s">
        <v>1267</v>
      </c>
    </row>
    <row r="695" spans="1:4" ht="12.95" customHeight="1" x14ac:dyDescent="0.25">
      <c r="A695" s="2" t="s">
        <v>150</v>
      </c>
      <c r="B695" s="2" t="s">
        <v>1083</v>
      </c>
      <c r="C695" s="5" t="s">
        <v>1098</v>
      </c>
      <c r="D695" s="2" t="s">
        <v>1268</v>
      </c>
    </row>
    <row r="696" spans="1:4" ht="12.95" customHeight="1" x14ac:dyDescent="0.25">
      <c r="A696" s="2" t="s">
        <v>150</v>
      </c>
      <c r="B696" s="2" t="s">
        <v>1083</v>
      </c>
      <c r="C696" s="5" t="s">
        <v>1100</v>
      </c>
      <c r="D696" s="2" t="s">
        <v>1269</v>
      </c>
    </row>
    <row r="697" spans="1:4" ht="12.95" customHeight="1" x14ac:dyDescent="0.25">
      <c r="A697" s="2" t="s">
        <v>150</v>
      </c>
      <c r="B697" s="2" t="s">
        <v>1083</v>
      </c>
      <c r="C697" s="5" t="s">
        <v>1109</v>
      </c>
      <c r="D697" s="2" t="s">
        <v>1270</v>
      </c>
    </row>
    <row r="698" spans="1:4" ht="12.95" customHeight="1" x14ac:dyDescent="0.25">
      <c r="A698" s="2" t="s">
        <v>150</v>
      </c>
      <c r="B698" s="2" t="s">
        <v>1083</v>
      </c>
      <c r="C698" s="5" t="s">
        <v>1121</v>
      </c>
      <c r="D698" s="2" t="s">
        <v>1165</v>
      </c>
    </row>
    <row r="699" spans="1:4" ht="12.95" customHeight="1" x14ac:dyDescent="0.25">
      <c r="A699" s="2" t="s">
        <v>152</v>
      </c>
      <c r="B699" s="2" t="s">
        <v>1083</v>
      </c>
      <c r="C699" s="5" t="s">
        <v>1102</v>
      </c>
      <c r="D699" s="2" t="s">
        <v>1103</v>
      </c>
    </row>
    <row r="700" spans="1:4" ht="12.95" customHeight="1" x14ac:dyDescent="0.25">
      <c r="A700" s="2" t="s">
        <v>152</v>
      </c>
      <c r="B700" s="2" t="s">
        <v>1083</v>
      </c>
      <c r="C700" s="5" t="s">
        <v>1084</v>
      </c>
      <c r="D700" s="2" t="s">
        <v>1085</v>
      </c>
    </row>
    <row r="701" spans="1:4" ht="12.95" customHeight="1" x14ac:dyDescent="0.25">
      <c r="A701" s="2" t="s">
        <v>152</v>
      </c>
      <c r="B701" s="2" t="s">
        <v>1083</v>
      </c>
      <c r="C701" s="5" t="s">
        <v>1086</v>
      </c>
      <c r="D701" s="2" t="s">
        <v>1087</v>
      </c>
    </row>
    <row r="702" spans="1:4" ht="12.95" customHeight="1" x14ac:dyDescent="0.25">
      <c r="A702" s="2" t="s">
        <v>152</v>
      </c>
      <c r="B702" s="2" t="s">
        <v>1083</v>
      </c>
      <c r="C702" s="5" t="s">
        <v>1088</v>
      </c>
      <c r="D702" s="2" t="s">
        <v>1089</v>
      </c>
    </row>
    <row r="703" spans="1:4" ht="12.95" customHeight="1" x14ac:dyDescent="0.25">
      <c r="A703" s="2" t="s">
        <v>152</v>
      </c>
      <c r="B703" s="2" t="s">
        <v>1083</v>
      </c>
      <c r="C703" s="5" t="s">
        <v>1090</v>
      </c>
      <c r="D703" s="2" t="s">
        <v>1264</v>
      </c>
    </row>
    <row r="704" spans="1:4" ht="12.95" customHeight="1" x14ac:dyDescent="0.25">
      <c r="A704" s="2" t="s">
        <v>152</v>
      </c>
      <c r="B704" s="2" t="s">
        <v>1083</v>
      </c>
      <c r="C704" s="5" t="s">
        <v>1092</v>
      </c>
      <c r="D704" s="2" t="s">
        <v>1265</v>
      </c>
    </row>
    <row r="705" spans="1:4" ht="12.95" customHeight="1" x14ac:dyDescent="0.25">
      <c r="A705" s="2" t="s">
        <v>152</v>
      </c>
      <c r="B705" s="2" t="s">
        <v>1083</v>
      </c>
      <c r="C705" s="5" t="s">
        <v>1094</v>
      </c>
      <c r="D705" s="2" t="s">
        <v>1266</v>
      </c>
    </row>
    <row r="706" spans="1:4" ht="12.95" customHeight="1" x14ac:dyDescent="0.25">
      <c r="A706" s="2" t="s">
        <v>152</v>
      </c>
      <c r="B706" s="2" t="s">
        <v>1083</v>
      </c>
      <c r="C706" s="5" t="s">
        <v>1096</v>
      </c>
      <c r="D706" s="2" t="s">
        <v>1267</v>
      </c>
    </row>
    <row r="707" spans="1:4" ht="12.95" customHeight="1" x14ac:dyDescent="0.25">
      <c r="A707" s="2" t="s">
        <v>152</v>
      </c>
      <c r="B707" s="2" t="s">
        <v>1083</v>
      </c>
      <c r="C707" s="5" t="s">
        <v>1098</v>
      </c>
      <c r="D707" s="2" t="s">
        <v>1268</v>
      </c>
    </row>
    <row r="708" spans="1:4" ht="12.95" customHeight="1" x14ac:dyDescent="0.25">
      <c r="A708" s="2" t="s">
        <v>152</v>
      </c>
      <c r="B708" s="2" t="s">
        <v>1083</v>
      </c>
      <c r="C708" s="5" t="s">
        <v>1100</v>
      </c>
      <c r="D708" s="2" t="s">
        <v>1269</v>
      </c>
    </row>
    <row r="709" spans="1:4" ht="12.95" customHeight="1" x14ac:dyDescent="0.25">
      <c r="A709" s="2" t="s">
        <v>152</v>
      </c>
      <c r="B709" s="2" t="s">
        <v>1083</v>
      </c>
      <c r="C709" s="5" t="s">
        <v>1109</v>
      </c>
      <c r="D709" s="2" t="s">
        <v>1270</v>
      </c>
    </row>
    <row r="710" spans="1:4" ht="12.95" customHeight="1" x14ac:dyDescent="0.25">
      <c r="A710" s="2" t="s">
        <v>152</v>
      </c>
      <c r="B710" s="2" t="s">
        <v>1083</v>
      </c>
      <c r="C710" s="5" t="s">
        <v>1121</v>
      </c>
      <c r="D710" s="2" t="s">
        <v>1165</v>
      </c>
    </row>
    <row r="711" spans="1:4" ht="12.95" customHeight="1" x14ac:dyDescent="0.25">
      <c r="A711" s="2" t="s">
        <v>154</v>
      </c>
      <c r="B711" s="2" t="s">
        <v>1083</v>
      </c>
      <c r="C711" s="5" t="s">
        <v>1102</v>
      </c>
      <c r="D711" s="2" t="s">
        <v>1103</v>
      </c>
    </row>
    <row r="712" spans="1:4" ht="12.95" customHeight="1" x14ac:dyDescent="0.25">
      <c r="A712" s="2" t="s">
        <v>154</v>
      </c>
      <c r="B712" s="2" t="s">
        <v>1083</v>
      </c>
      <c r="C712" s="5" t="s">
        <v>1084</v>
      </c>
      <c r="D712" s="2" t="s">
        <v>1085</v>
      </c>
    </row>
    <row r="713" spans="1:4" ht="12.95" customHeight="1" x14ac:dyDescent="0.25">
      <c r="A713" s="2" t="s">
        <v>154</v>
      </c>
      <c r="B713" s="2" t="s">
        <v>1083</v>
      </c>
      <c r="C713" s="5" t="s">
        <v>1086</v>
      </c>
      <c r="D713" s="2" t="s">
        <v>1087</v>
      </c>
    </row>
    <row r="714" spans="1:4" ht="12.95" customHeight="1" x14ac:dyDescent="0.25">
      <c r="A714" s="2" t="s">
        <v>154</v>
      </c>
      <c r="B714" s="2" t="s">
        <v>1083</v>
      </c>
      <c r="C714" s="5" t="s">
        <v>1088</v>
      </c>
      <c r="D714" s="2" t="s">
        <v>1089</v>
      </c>
    </row>
    <row r="715" spans="1:4" ht="12.95" customHeight="1" x14ac:dyDescent="0.25">
      <c r="A715" s="2" t="s">
        <v>154</v>
      </c>
      <c r="B715" s="2" t="s">
        <v>1083</v>
      </c>
      <c r="C715" s="5" t="s">
        <v>1090</v>
      </c>
      <c r="D715" s="2" t="s">
        <v>1264</v>
      </c>
    </row>
    <row r="716" spans="1:4" ht="12.95" customHeight="1" x14ac:dyDescent="0.25">
      <c r="A716" s="2" t="s">
        <v>154</v>
      </c>
      <c r="B716" s="2" t="s">
        <v>1083</v>
      </c>
      <c r="C716" s="5" t="s">
        <v>1092</v>
      </c>
      <c r="D716" s="2" t="s">
        <v>1265</v>
      </c>
    </row>
    <row r="717" spans="1:4" ht="12.95" customHeight="1" x14ac:dyDescent="0.25">
      <c r="A717" s="2" t="s">
        <v>154</v>
      </c>
      <c r="B717" s="2" t="s">
        <v>1083</v>
      </c>
      <c r="C717" s="5" t="s">
        <v>1094</v>
      </c>
      <c r="D717" s="2" t="s">
        <v>1266</v>
      </c>
    </row>
    <row r="718" spans="1:4" ht="12.95" customHeight="1" x14ac:dyDescent="0.25">
      <c r="A718" s="2" t="s">
        <v>154</v>
      </c>
      <c r="B718" s="2" t="s">
        <v>1083</v>
      </c>
      <c r="C718" s="5" t="s">
        <v>1096</v>
      </c>
      <c r="D718" s="2" t="s">
        <v>1267</v>
      </c>
    </row>
    <row r="719" spans="1:4" ht="12.95" customHeight="1" x14ac:dyDescent="0.25">
      <c r="A719" s="2" t="s">
        <v>154</v>
      </c>
      <c r="B719" s="2" t="s">
        <v>1083</v>
      </c>
      <c r="C719" s="5" t="s">
        <v>1098</v>
      </c>
      <c r="D719" s="2" t="s">
        <v>1268</v>
      </c>
    </row>
    <row r="720" spans="1:4" ht="12.95" customHeight="1" x14ac:dyDescent="0.25">
      <c r="A720" s="2" t="s">
        <v>154</v>
      </c>
      <c r="B720" s="2" t="s">
        <v>1083</v>
      </c>
      <c r="C720" s="5" t="s">
        <v>1100</v>
      </c>
      <c r="D720" s="2" t="s">
        <v>1269</v>
      </c>
    </row>
    <row r="721" spans="1:4" ht="12.95" customHeight="1" x14ac:dyDescent="0.25">
      <c r="A721" s="2" t="s">
        <v>154</v>
      </c>
      <c r="B721" s="2" t="s">
        <v>1083</v>
      </c>
      <c r="C721" s="5" t="s">
        <v>1109</v>
      </c>
      <c r="D721" s="2" t="s">
        <v>1270</v>
      </c>
    </row>
    <row r="722" spans="1:4" ht="12.95" customHeight="1" x14ac:dyDescent="0.25">
      <c r="A722" s="2" t="s">
        <v>154</v>
      </c>
      <c r="B722" s="2" t="s">
        <v>1083</v>
      </c>
      <c r="C722" s="5" t="s">
        <v>1121</v>
      </c>
      <c r="D722" s="2" t="s">
        <v>1165</v>
      </c>
    </row>
    <row r="723" spans="1:4" ht="12.95" customHeight="1" x14ac:dyDescent="0.25">
      <c r="A723" s="2" t="s">
        <v>156</v>
      </c>
      <c r="B723" s="2" t="s">
        <v>1083</v>
      </c>
      <c r="C723" s="5" t="s">
        <v>1102</v>
      </c>
      <c r="D723" s="2" t="s">
        <v>1103</v>
      </c>
    </row>
    <row r="724" spans="1:4" ht="12.95" customHeight="1" x14ac:dyDescent="0.25">
      <c r="A724" s="2" t="s">
        <v>156</v>
      </c>
      <c r="B724" s="2" t="s">
        <v>1083</v>
      </c>
      <c r="C724" s="5" t="s">
        <v>1084</v>
      </c>
      <c r="D724" s="2" t="s">
        <v>1085</v>
      </c>
    </row>
    <row r="725" spans="1:4" ht="12.95" customHeight="1" x14ac:dyDescent="0.25">
      <c r="A725" s="2" t="s">
        <v>156</v>
      </c>
      <c r="B725" s="2" t="s">
        <v>1083</v>
      </c>
      <c r="C725" s="5" t="s">
        <v>1086</v>
      </c>
      <c r="D725" s="2" t="s">
        <v>1087</v>
      </c>
    </row>
    <row r="726" spans="1:4" ht="12.95" customHeight="1" x14ac:dyDescent="0.25">
      <c r="A726" s="2" t="s">
        <v>156</v>
      </c>
      <c r="B726" s="2" t="s">
        <v>1083</v>
      </c>
      <c r="C726" s="5" t="s">
        <v>1088</v>
      </c>
      <c r="D726" s="2" t="s">
        <v>1089</v>
      </c>
    </row>
    <row r="727" spans="1:4" ht="12.95" customHeight="1" x14ac:dyDescent="0.25">
      <c r="A727" s="2" t="s">
        <v>156</v>
      </c>
      <c r="B727" s="2" t="s">
        <v>1083</v>
      </c>
      <c r="C727" s="5" t="s">
        <v>1090</v>
      </c>
      <c r="D727" s="2" t="s">
        <v>1264</v>
      </c>
    </row>
    <row r="728" spans="1:4" ht="12.95" customHeight="1" x14ac:dyDescent="0.25">
      <c r="A728" s="2" t="s">
        <v>156</v>
      </c>
      <c r="B728" s="2" t="s">
        <v>1083</v>
      </c>
      <c r="C728" s="5" t="s">
        <v>1092</v>
      </c>
      <c r="D728" s="2" t="s">
        <v>1265</v>
      </c>
    </row>
    <row r="729" spans="1:4" ht="12.95" customHeight="1" x14ac:dyDescent="0.25">
      <c r="A729" s="2" t="s">
        <v>156</v>
      </c>
      <c r="B729" s="2" t="s">
        <v>1083</v>
      </c>
      <c r="C729" s="5" t="s">
        <v>1094</v>
      </c>
      <c r="D729" s="2" t="s">
        <v>1266</v>
      </c>
    </row>
    <row r="730" spans="1:4" ht="12.95" customHeight="1" x14ac:dyDescent="0.25">
      <c r="A730" s="2" t="s">
        <v>156</v>
      </c>
      <c r="B730" s="2" t="s">
        <v>1083</v>
      </c>
      <c r="C730" s="5" t="s">
        <v>1096</v>
      </c>
      <c r="D730" s="2" t="s">
        <v>1267</v>
      </c>
    </row>
    <row r="731" spans="1:4" ht="12.95" customHeight="1" x14ac:dyDescent="0.25">
      <c r="A731" s="2" t="s">
        <v>156</v>
      </c>
      <c r="B731" s="2" t="s">
        <v>1083</v>
      </c>
      <c r="C731" s="5" t="s">
        <v>1098</v>
      </c>
      <c r="D731" s="2" t="s">
        <v>1268</v>
      </c>
    </row>
    <row r="732" spans="1:4" ht="12.95" customHeight="1" x14ac:dyDescent="0.25">
      <c r="A732" s="2" t="s">
        <v>156</v>
      </c>
      <c r="B732" s="2" t="s">
        <v>1083</v>
      </c>
      <c r="C732" s="5" t="s">
        <v>1100</v>
      </c>
      <c r="D732" s="2" t="s">
        <v>1269</v>
      </c>
    </row>
    <row r="733" spans="1:4" ht="12.95" customHeight="1" x14ac:dyDescent="0.25">
      <c r="A733" s="2" t="s">
        <v>156</v>
      </c>
      <c r="B733" s="2" t="s">
        <v>1083</v>
      </c>
      <c r="C733" s="5" t="s">
        <v>1109</v>
      </c>
      <c r="D733" s="2" t="s">
        <v>1270</v>
      </c>
    </row>
    <row r="734" spans="1:4" ht="12.95" customHeight="1" x14ac:dyDescent="0.25">
      <c r="A734" s="2" t="s">
        <v>156</v>
      </c>
      <c r="B734" s="2" t="s">
        <v>1083</v>
      </c>
      <c r="C734" s="5" t="s">
        <v>1121</v>
      </c>
      <c r="D734" s="2" t="s">
        <v>1165</v>
      </c>
    </row>
    <row r="735" spans="1:4" ht="12.95" customHeight="1" x14ac:dyDescent="0.25">
      <c r="A735" s="2" t="s">
        <v>158</v>
      </c>
      <c r="B735" s="2" t="s">
        <v>1083</v>
      </c>
      <c r="C735" s="5" t="s">
        <v>1102</v>
      </c>
      <c r="D735" s="2" t="s">
        <v>1103</v>
      </c>
    </row>
    <row r="736" spans="1:4" ht="12.95" customHeight="1" x14ac:dyDescent="0.25">
      <c r="A736" s="2" t="s">
        <v>158</v>
      </c>
      <c r="B736" s="2" t="s">
        <v>1083</v>
      </c>
      <c r="C736" s="5" t="s">
        <v>1084</v>
      </c>
      <c r="D736" s="2" t="s">
        <v>1085</v>
      </c>
    </row>
    <row r="737" spans="1:4" ht="12.95" customHeight="1" x14ac:dyDescent="0.25">
      <c r="A737" s="2" t="s">
        <v>158</v>
      </c>
      <c r="B737" s="2" t="s">
        <v>1083</v>
      </c>
      <c r="C737" s="5" t="s">
        <v>1086</v>
      </c>
      <c r="D737" s="2" t="s">
        <v>1087</v>
      </c>
    </row>
    <row r="738" spans="1:4" ht="12.95" customHeight="1" x14ac:dyDescent="0.25">
      <c r="A738" s="2" t="s">
        <v>158</v>
      </c>
      <c r="B738" s="2" t="s">
        <v>1083</v>
      </c>
      <c r="C738" s="5" t="s">
        <v>1088</v>
      </c>
      <c r="D738" s="2" t="s">
        <v>1089</v>
      </c>
    </row>
    <row r="739" spans="1:4" ht="12.95" customHeight="1" x14ac:dyDescent="0.25">
      <c r="A739" s="2" t="s">
        <v>158</v>
      </c>
      <c r="B739" s="2" t="s">
        <v>1083</v>
      </c>
      <c r="C739" s="5" t="s">
        <v>1090</v>
      </c>
      <c r="D739" s="2" t="s">
        <v>1264</v>
      </c>
    </row>
    <row r="740" spans="1:4" ht="12.95" customHeight="1" x14ac:dyDescent="0.25">
      <c r="A740" s="2" t="s">
        <v>158</v>
      </c>
      <c r="B740" s="2" t="s">
        <v>1083</v>
      </c>
      <c r="C740" s="5" t="s">
        <v>1092</v>
      </c>
      <c r="D740" s="2" t="s">
        <v>1265</v>
      </c>
    </row>
    <row r="741" spans="1:4" ht="12.95" customHeight="1" x14ac:dyDescent="0.25">
      <c r="A741" s="2" t="s">
        <v>158</v>
      </c>
      <c r="B741" s="2" t="s">
        <v>1083</v>
      </c>
      <c r="C741" s="5" t="s">
        <v>1094</v>
      </c>
      <c r="D741" s="2" t="s">
        <v>1266</v>
      </c>
    </row>
    <row r="742" spans="1:4" ht="12.95" customHeight="1" x14ac:dyDescent="0.25">
      <c r="A742" s="2" t="s">
        <v>158</v>
      </c>
      <c r="B742" s="2" t="s">
        <v>1083</v>
      </c>
      <c r="C742" s="5" t="s">
        <v>1096</v>
      </c>
      <c r="D742" s="2" t="s">
        <v>1267</v>
      </c>
    </row>
    <row r="743" spans="1:4" ht="12.95" customHeight="1" x14ac:dyDescent="0.25">
      <c r="A743" s="2" t="s">
        <v>158</v>
      </c>
      <c r="B743" s="2" t="s">
        <v>1083</v>
      </c>
      <c r="C743" s="5" t="s">
        <v>1098</v>
      </c>
      <c r="D743" s="2" t="s">
        <v>1268</v>
      </c>
    </row>
    <row r="744" spans="1:4" ht="12.95" customHeight="1" x14ac:dyDescent="0.25">
      <c r="A744" s="2" t="s">
        <v>158</v>
      </c>
      <c r="B744" s="2" t="s">
        <v>1083</v>
      </c>
      <c r="C744" s="5" t="s">
        <v>1100</v>
      </c>
      <c r="D744" s="2" t="s">
        <v>1269</v>
      </c>
    </row>
    <row r="745" spans="1:4" ht="12.95" customHeight="1" x14ac:dyDescent="0.25">
      <c r="A745" s="2" t="s">
        <v>158</v>
      </c>
      <c r="B745" s="2" t="s">
        <v>1083</v>
      </c>
      <c r="C745" s="5" t="s">
        <v>1109</v>
      </c>
      <c r="D745" s="2" t="s">
        <v>1270</v>
      </c>
    </row>
    <row r="746" spans="1:4" ht="12.95" customHeight="1" x14ac:dyDescent="0.25">
      <c r="A746" s="2" t="s">
        <v>158</v>
      </c>
      <c r="B746" s="2" t="s">
        <v>1083</v>
      </c>
      <c r="C746" s="5" t="s">
        <v>1121</v>
      </c>
      <c r="D746" s="2" t="s">
        <v>1165</v>
      </c>
    </row>
    <row r="747" spans="1:4" ht="12.95" customHeight="1" x14ac:dyDescent="0.25">
      <c r="A747" s="2" t="s">
        <v>160</v>
      </c>
      <c r="B747" s="2" t="s">
        <v>1083</v>
      </c>
      <c r="C747" s="5" t="s">
        <v>1102</v>
      </c>
      <c r="D747" s="2" t="s">
        <v>1103</v>
      </c>
    </row>
    <row r="748" spans="1:4" ht="12.95" customHeight="1" x14ac:dyDescent="0.25">
      <c r="A748" s="2" t="s">
        <v>160</v>
      </c>
      <c r="B748" s="2" t="s">
        <v>1083</v>
      </c>
      <c r="C748" s="5" t="s">
        <v>1084</v>
      </c>
      <c r="D748" s="2" t="s">
        <v>1085</v>
      </c>
    </row>
    <row r="749" spans="1:4" ht="12.95" customHeight="1" x14ac:dyDescent="0.25">
      <c r="A749" s="2" t="s">
        <v>160</v>
      </c>
      <c r="B749" s="2" t="s">
        <v>1083</v>
      </c>
      <c r="C749" s="5" t="s">
        <v>1086</v>
      </c>
      <c r="D749" s="2" t="s">
        <v>1087</v>
      </c>
    </row>
    <row r="750" spans="1:4" ht="12.95" customHeight="1" x14ac:dyDescent="0.25">
      <c r="A750" s="2" t="s">
        <v>160</v>
      </c>
      <c r="B750" s="2" t="s">
        <v>1083</v>
      </c>
      <c r="C750" s="5" t="s">
        <v>1088</v>
      </c>
      <c r="D750" s="2" t="s">
        <v>1089</v>
      </c>
    </row>
    <row r="751" spans="1:4" ht="12.95" customHeight="1" x14ac:dyDescent="0.25">
      <c r="A751" s="2" t="s">
        <v>160</v>
      </c>
      <c r="B751" s="2" t="s">
        <v>1083</v>
      </c>
      <c r="C751" s="5" t="s">
        <v>1090</v>
      </c>
      <c r="D751" s="2" t="s">
        <v>1264</v>
      </c>
    </row>
    <row r="752" spans="1:4" ht="12.95" customHeight="1" x14ac:dyDescent="0.25">
      <c r="A752" s="2" t="s">
        <v>160</v>
      </c>
      <c r="B752" s="2" t="s">
        <v>1083</v>
      </c>
      <c r="C752" s="5" t="s">
        <v>1092</v>
      </c>
      <c r="D752" s="2" t="s">
        <v>1265</v>
      </c>
    </row>
    <row r="753" spans="1:4" ht="12.95" customHeight="1" x14ac:dyDescent="0.25">
      <c r="A753" s="2" t="s">
        <v>160</v>
      </c>
      <c r="B753" s="2" t="s">
        <v>1083</v>
      </c>
      <c r="C753" s="5" t="s">
        <v>1094</v>
      </c>
      <c r="D753" s="2" t="s">
        <v>1266</v>
      </c>
    </row>
    <row r="754" spans="1:4" ht="12.95" customHeight="1" x14ac:dyDescent="0.25">
      <c r="A754" s="2" t="s">
        <v>160</v>
      </c>
      <c r="B754" s="2" t="s">
        <v>1083</v>
      </c>
      <c r="C754" s="5" t="s">
        <v>1096</v>
      </c>
      <c r="D754" s="2" t="s">
        <v>1267</v>
      </c>
    </row>
    <row r="755" spans="1:4" ht="12.95" customHeight="1" x14ac:dyDescent="0.25">
      <c r="A755" s="2" t="s">
        <v>160</v>
      </c>
      <c r="B755" s="2" t="s">
        <v>1083</v>
      </c>
      <c r="C755" s="5" t="s">
        <v>1098</v>
      </c>
      <c r="D755" s="2" t="s">
        <v>1268</v>
      </c>
    </row>
    <row r="756" spans="1:4" ht="12.95" customHeight="1" x14ac:dyDescent="0.25">
      <c r="A756" s="2" t="s">
        <v>160</v>
      </c>
      <c r="B756" s="2" t="s">
        <v>1083</v>
      </c>
      <c r="C756" s="5" t="s">
        <v>1100</v>
      </c>
      <c r="D756" s="2" t="s">
        <v>1269</v>
      </c>
    </row>
    <row r="757" spans="1:4" ht="12.95" customHeight="1" x14ac:dyDescent="0.25">
      <c r="A757" s="2" t="s">
        <v>160</v>
      </c>
      <c r="B757" s="2" t="s">
        <v>1083</v>
      </c>
      <c r="C757" s="5" t="s">
        <v>1109</v>
      </c>
      <c r="D757" s="2" t="s">
        <v>1270</v>
      </c>
    </row>
    <row r="758" spans="1:4" ht="12.95" customHeight="1" x14ac:dyDescent="0.25">
      <c r="A758" s="2" t="s">
        <v>160</v>
      </c>
      <c r="B758" s="2" t="s">
        <v>1083</v>
      </c>
      <c r="C758" s="5" t="s">
        <v>1121</v>
      </c>
      <c r="D758" s="2" t="s">
        <v>1165</v>
      </c>
    </row>
    <row r="759" spans="1:4" ht="12.95" customHeight="1" x14ac:dyDescent="0.25">
      <c r="A759" s="2" t="s">
        <v>162</v>
      </c>
      <c r="B759" s="2" t="s">
        <v>1083</v>
      </c>
      <c r="C759" s="5" t="s">
        <v>1102</v>
      </c>
      <c r="D759" s="2" t="s">
        <v>1103</v>
      </c>
    </row>
    <row r="760" spans="1:4" ht="12.95" customHeight="1" x14ac:dyDescent="0.25">
      <c r="A760" s="2" t="s">
        <v>162</v>
      </c>
      <c r="B760" s="2" t="s">
        <v>1083</v>
      </c>
      <c r="C760" s="5" t="s">
        <v>1084</v>
      </c>
      <c r="D760" s="2" t="s">
        <v>1085</v>
      </c>
    </row>
    <row r="761" spans="1:4" ht="12.95" customHeight="1" x14ac:dyDescent="0.25">
      <c r="A761" s="2" t="s">
        <v>162</v>
      </c>
      <c r="B761" s="2" t="s">
        <v>1083</v>
      </c>
      <c r="C761" s="5" t="s">
        <v>1086</v>
      </c>
      <c r="D761" s="2" t="s">
        <v>1087</v>
      </c>
    </row>
    <row r="762" spans="1:4" ht="12.95" customHeight="1" x14ac:dyDescent="0.25">
      <c r="A762" s="2" t="s">
        <v>162</v>
      </c>
      <c r="B762" s="2" t="s">
        <v>1083</v>
      </c>
      <c r="C762" s="5" t="s">
        <v>1088</v>
      </c>
      <c r="D762" s="2" t="s">
        <v>1089</v>
      </c>
    </row>
    <row r="763" spans="1:4" ht="12.95" customHeight="1" x14ac:dyDescent="0.25">
      <c r="A763" s="2" t="s">
        <v>162</v>
      </c>
      <c r="B763" s="2" t="s">
        <v>1083</v>
      </c>
      <c r="C763" s="5" t="s">
        <v>1090</v>
      </c>
      <c r="D763" s="2" t="s">
        <v>1264</v>
      </c>
    </row>
    <row r="764" spans="1:4" ht="12.95" customHeight="1" x14ac:dyDescent="0.25">
      <c r="A764" s="2" t="s">
        <v>162</v>
      </c>
      <c r="B764" s="2" t="s">
        <v>1083</v>
      </c>
      <c r="C764" s="5" t="s">
        <v>1092</v>
      </c>
      <c r="D764" s="2" t="s">
        <v>1265</v>
      </c>
    </row>
    <row r="765" spans="1:4" ht="12.95" customHeight="1" x14ac:dyDescent="0.25">
      <c r="A765" s="2" t="s">
        <v>162</v>
      </c>
      <c r="B765" s="2" t="s">
        <v>1083</v>
      </c>
      <c r="C765" s="5" t="s">
        <v>1094</v>
      </c>
      <c r="D765" s="2" t="s">
        <v>1266</v>
      </c>
    </row>
    <row r="766" spans="1:4" ht="12.95" customHeight="1" x14ac:dyDescent="0.25">
      <c r="A766" s="2" t="s">
        <v>162</v>
      </c>
      <c r="B766" s="2" t="s">
        <v>1083</v>
      </c>
      <c r="C766" s="5" t="s">
        <v>1096</v>
      </c>
      <c r="D766" s="2" t="s">
        <v>1267</v>
      </c>
    </row>
    <row r="767" spans="1:4" ht="12.95" customHeight="1" x14ac:dyDescent="0.25">
      <c r="A767" s="2" t="s">
        <v>162</v>
      </c>
      <c r="B767" s="2" t="s">
        <v>1083</v>
      </c>
      <c r="C767" s="5" t="s">
        <v>1098</v>
      </c>
      <c r="D767" s="2" t="s">
        <v>1268</v>
      </c>
    </row>
    <row r="768" spans="1:4" ht="12.95" customHeight="1" x14ac:dyDescent="0.25">
      <c r="A768" s="2" t="s">
        <v>162</v>
      </c>
      <c r="B768" s="2" t="s">
        <v>1083</v>
      </c>
      <c r="C768" s="5" t="s">
        <v>1100</v>
      </c>
      <c r="D768" s="2" t="s">
        <v>1269</v>
      </c>
    </row>
    <row r="769" spans="1:4" ht="12.95" customHeight="1" x14ac:dyDescent="0.25">
      <c r="A769" s="2" t="s">
        <v>162</v>
      </c>
      <c r="B769" s="2" t="s">
        <v>1083</v>
      </c>
      <c r="C769" s="5" t="s">
        <v>1109</v>
      </c>
      <c r="D769" s="2" t="s">
        <v>1270</v>
      </c>
    </row>
    <row r="770" spans="1:4" ht="12.95" customHeight="1" x14ac:dyDescent="0.25">
      <c r="A770" s="2" t="s">
        <v>162</v>
      </c>
      <c r="B770" s="2" t="s">
        <v>1083</v>
      </c>
      <c r="C770" s="5" t="s">
        <v>1121</v>
      </c>
      <c r="D770" s="2" t="s">
        <v>1165</v>
      </c>
    </row>
    <row r="771" spans="1:4" ht="12.95" customHeight="1" x14ac:dyDescent="0.25">
      <c r="A771" s="2" t="s">
        <v>164</v>
      </c>
      <c r="B771" s="2" t="s">
        <v>1083</v>
      </c>
      <c r="C771" s="5" t="s">
        <v>1102</v>
      </c>
      <c r="D771" s="2" t="s">
        <v>1103</v>
      </c>
    </row>
    <row r="772" spans="1:4" ht="12.95" customHeight="1" x14ac:dyDescent="0.25">
      <c r="A772" s="2" t="s">
        <v>164</v>
      </c>
      <c r="B772" s="2" t="s">
        <v>1083</v>
      </c>
      <c r="C772" s="5" t="s">
        <v>1084</v>
      </c>
      <c r="D772" s="2" t="s">
        <v>1085</v>
      </c>
    </row>
    <row r="773" spans="1:4" ht="12.95" customHeight="1" x14ac:dyDescent="0.25">
      <c r="A773" s="2" t="s">
        <v>164</v>
      </c>
      <c r="B773" s="2" t="s">
        <v>1083</v>
      </c>
      <c r="C773" s="5" t="s">
        <v>1086</v>
      </c>
      <c r="D773" s="2" t="s">
        <v>1087</v>
      </c>
    </row>
    <row r="774" spans="1:4" ht="12.95" customHeight="1" x14ac:dyDescent="0.25">
      <c r="A774" s="2" t="s">
        <v>164</v>
      </c>
      <c r="B774" s="2" t="s">
        <v>1083</v>
      </c>
      <c r="C774" s="5" t="s">
        <v>1088</v>
      </c>
      <c r="D774" s="2" t="s">
        <v>1089</v>
      </c>
    </row>
    <row r="775" spans="1:4" ht="12.95" customHeight="1" x14ac:dyDescent="0.25">
      <c r="A775" s="2" t="s">
        <v>164</v>
      </c>
      <c r="B775" s="2" t="s">
        <v>1083</v>
      </c>
      <c r="C775" s="5" t="s">
        <v>1090</v>
      </c>
      <c r="D775" s="2" t="s">
        <v>1264</v>
      </c>
    </row>
    <row r="776" spans="1:4" ht="12.95" customHeight="1" x14ac:dyDescent="0.25">
      <c r="A776" s="2" t="s">
        <v>164</v>
      </c>
      <c r="B776" s="2" t="s">
        <v>1083</v>
      </c>
      <c r="C776" s="5" t="s">
        <v>1092</v>
      </c>
      <c r="D776" s="2" t="s">
        <v>1265</v>
      </c>
    </row>
    <row r="777" spans="1:4" ht="12.95" customHeight="1" x14ac:dyDescent="0.25">
      <c r="A777" s="2" t="s">
        <v>164</v>
      </c>
      <c r="B777" s="2" t="s">
        <v>1083</v>
      </c>
      <c r="C777" s="5" t="s">
        <v>1094</v>
      </c>
      <c r="D777" s="2" t="s">
        <v>1266</v>
      </c>
    </row>
    <row r="778" spans="1:4" ht="12.95" customHeight="1" x14ac:dyDescent="0.25">
      <c r="A778" s="2" t="s">
        <v>164</v>
      </c>
      <c r="B778" s="2" t="s">
        <v>1083</v>
      </c>
      <c r="C778" s="5" t="s">
        <v>1096</v>
      </c>
      <c r="D778" s="2" t="s">
        <v>1267</v>
      </c>
    </row>
    <row r="779" spans="1:4" ht="12.95" customHeight="1" x14ac:dyDescent="0.25">
      <c r="A779" s="2" t="s">
        <v>164</v>
      </c>
      <c r="B779" s="2" t="s">
        <v>1083</v>
      </c>
      <c r="C779" s="5" t="s">
        <v>1098</v>
      </c>
      <c r="D779" s="2" t="s">
        <v>1268</v>
      </c>
    </row>
    <row r="780" spans="1:4" ht="12.95" customHeight="1" x14ac:dyDescent="0.25">
      <c r="A780" s="2" t="s">
        <v>164</v>
      </c>
      <c r="B780" s="2" t="s">
        <v>1083</v>
      </c>
      <c r="C780" s="5" t="s">
        <v>1100</v>
      </c>
      <c r="D780" s="2" t="s">
        <v>1269</v>
      </c>
    </row>
    <row r="781" spans="1:4" ht="12.95" customHeight="1" x14ac:dyDescent="0.25">
      <c r="A781" s="2" t="s">
        <v>164</v>
      </c>
      <c r="B781" s="2" t="s">
        <v>1083</v>
      </c>
      <c r="C781" s="5" t="s">
        <v>1109</v>
      </c>
      <c r="D781" s="2" t="s">
        <v>1270</v>
      </c>
    </row>
    <row r="782" spans="1:4" ht="12.95" customHeight="1" x14ac:dyDescent="0.25">
      <c r="A782" s="2" t="s">
        <v>164</v>
      </c>
      <c r="B782" s="2" t="s">
        <v>1083</v>
      </c>
      <c r="C782" s="5" t="s">
        <v>1121</v>
      </c>
      <c r="D782" s="2" t="s">
        <v>1165</v>
      </c>
    </row>
    <row r="783" spans="1:4" ht="12.95" customHeight="1" x14ac:dyDescent="0.25">
      <c r="A783" s="2" t="s">
        <v>166</v>
      </c>
      <c r="B783" s="2" t="s">
        <v>1083</v>
      </c>
      <c r="C783" s="5" t="s">
        <v>1102</v>
      </c>
      <c r="D783" s="2" t="s">
        <v>1103</v>
      </c>
    </row>
    <row r="784" spans="1:4" ht="12.95" customHeight="1" x14ac:dyDescent="0.25">
      <c r="A784" s="2" t="s">
        <v>166</v>
      </c>
      <c r="B784" s="2" t="s">
        <v>1083</v>
      </c>
      <c r="C784" s="5" t="s">
        <v>1084</v>
      </c>
      <c r="D784" s="2" t="s">
        <v>1085</v>
      </c>
    </row>
    <row r="785" spans="1:4" ht="12.95" customHeight="1" x14ac:dyDescent="0.25">
      <c r="A785" s="2" t="s">
        <v>166</v>
      </c>
      <c r="B785" s="2" t="s">
        <v>1083</v>
      </c>
      <c r="C785" s="5" t="s">
        <v>1086</v>
      </c>
      <c r="D785" s="2" t="s">
        <v>1087</v>
      </c>
    </row>
    <row r="786" spans="1:4" ht="12.95" customHeight="1" x14ac:dyDescent="0.25">
      <c r="A786" s="2" t="s">
        <v>166</v>
      </c>
      <c r="B786" s="2" t="s">
        <v>1083</v>
      </c>
      <c r="C786" s="5" t="s">
        <v>1088</v>
      </c>
      <c r="D786" s="2" t="s">
        <v>1089</v>
      </c>
    </row>
    <row r="787" spans="1:4" ht="12.95" customHeight="1" x14ac:dyDescent="0.25">
      <c r="A787" s="2" t="s">
        <v>166</v>
      </c>
      <c r="B787" s="2" t="s">
        <v>1083</v>
      </c>
      <c r="C787" s="5" t="s">
        <v>1090</v>
      </c>
      <c r="D787" s="2" t="s">
        <v>1264</v>
      </c>
    </row>
    <row r="788" spans="1:4" ht="12.95" customHeight="1" x14ac:dyDescent="0.25">
      <c r="A788" s="2" t="s">
        <v>166</v>
      </c>
      <c r="B788" s="2" t="s">
        <v>1083</v>
      </c>
      <c r="C788" s="5" t="s">
        <v>1092</v>
      </c>
      <c r="D788" s="2" t="s">
        <v>1265</v>
      </c>
    </row>
    <row r="789" spans="1:4" ht="12.95" customHeight="1" x14ac:dyDescent="0.25">
      <c r="A789" s="2" t="s">
        <v>166</v>
      </c>
      <c r="B789" s="2" t="s">
        <v>1083</v>
      </c>
      <c r="C789" s="5" t="s">
        <v>1094</v>
      </c>
      <c r="D789" s="2" t="s">
        <v>1266</v>
      </c>
    </row>
    <row r="790" spans="1:4" ht="12.95" customHeight="1" x14ac:dyDescent="0.25">
      <c r="A790" s="2" t="s">
        <v>166</v>
      </c>
      <c r="B790" s="2" t="s">
        <v>1083</v>
      </c>
      <c r="C790" s="5" t="s">
        <v>1096</v>
      </c>
      <c r="D790" s="2" t="s">
        <v>1267</v>
      </c>
    </row>
    <row r="791" spans="1:4" ht="12.95" customHeight="1" x14ac:dyDescent="0.25">
      <c r="A791" s="2" t="s">
        <v>166</v>
      </c>
      <c r="B791" s="2" t="s">
        <v>1083</v>
      </c>
      <c r="C791" s="5" t="s">
        <v>1098</v>
      </c>
      <c r="D791" s="2" t="s">
        <v>1268</v>
      </c>
    </row>
    <row r="792" spans="1:4" ht="12.95" customHeight="1" x14ac:dyDescent="0.25">
      <c r="A792" s="2" t="s">
        <v>166</v>
      </c>
      <c r="B792" s="2" t="s">
        <v>1083</v>
      </c>
      <c r="C792" s="5" t="s">
        <v>1100</v>
      </c>
      <c r="D792" s="2" t="s">
        <v>1269</v>
      </c>
    </row>
    <row r="793" spans="1:4" ht="12.95" customHeight="1" x14ac:dyDescent="0.25">
      <c r="A793" s="2" t="s">
        <v>166</v>
      </c>
      <c r="B793" s="2" t="s">
        <v>1083</v>
      </c>
      <c r="C793" s="5" t="s">
        <v>1109</v>
      </c>
      <c r="D793" s="2" t="s">
        <v>1270</v>
      </c>
    </row>
    <row r="794" spans="1:4" ht="12.95" customHeight="1" x14ac:dyDescent="0.25">
      <c r="A794" s="2" t="s">
        <v>166</v>
      </c>
      <c r="B794" s="2" t="s">
        <v>1083</v>
      </c>
      <c r="C794" s="5" t="s">
        <v>1121</v>
      </c>
      <c r="D794" s="2" t="s">
        <v>1165</v>
      </c>
    </row>
    <row r="795" spans="1:4" ht="12.95" customHeight="1" x14ac:dyDescent="0.25">
      <c r="A795" s="2" t="s">
        <v>170</v>
      </c>
      <c r="B795" s="2" t="s">
        <v>1178</v>
      </c>
      <c r="C795" s="5" t="s">
        <v>1088</v>
      </c>
      <c r="D795" s="2" t="s">
        <v>1089</v>
      </c>
    </row>
    <row r="796" spans="1:4" ht="12.95" customHeight="1" x14ac:dyDescent="0.25">
      <c r="A796" s="2" t="s">
        <v>172</v>
      </c>
      <c r="B796" s="2" t="s">
        <v>1083</v>
      </c>
      <c r="C796" s="5" t="s">
        <v>1102</v>
      </c>
      <c r="D796" s="2" t="s">
        <v>1103</v>
      </c>
    </row>
    <row r="797" spans="1:4" ht="12.95" customHeight="1" x14ac:dyDescent="0.25">
      <c r="A797" s="2" t="s">
        <v>172</v>
      </c>
      <c r="B797" s="2" t="s">
        <v>1083</v>
      </c>
      <c r="C797" s="5" t="s">
        <v>1084</v>
      </c>
      <c r="D797" s="2" t="s">
        <v>1153</v>
      </c>
    </row>
    <row r="798" spans="1:4" ht="12.95" customHeight="1" x14ac:dyDescent="0.25">
      <c r="A798" s="2" t="s">
        <v>172</v>
      </c>
      <c r="B798" s="2" t="s">
        <v>1083</v>
      </c>
      <c r="C798" s="5" t="s">
        <v>1086</v>
      </c>
      <c r="D798" s="2" t="s">
        <v>1147</v>
      </c>
    </row>
    <row r="799" spans="1:4" ht="12.95" customHeight="1" x14ac:dyDescent="0.25">
      <c r="A799" s="2" t="s">
        <v>172</v>
      </c>
      <c r="B799" s="2" t="s">
        <v>1083</v>
      </c>
      <c r="C799" s="5" t="s">
        <v>1088</v>
      </c>
      <c r="D799" s="2" t="s">
        <v>1089</v>
      </c>
    </row>
    <row r="800" spans="1:4" ht="12.95" customHeight="1" x14ac:dyDescent="0.25">
      <c r="A800" s="2" t="s">
        <v>175</v>
      </c>
      <c r="B800" s="2" t="s">
        <v>1083</v>
      </c>
      <c r="C800" s="5" t="s">
        <v>1090</v>
      </c>
      <c r="D800" s="2" t="s">
        <v>1179</v>
      </c>
    </row>
    <row r="801" spans="1:4" ht="12.95" customHeight="1" x14ac:dyDescent="0.25">
      <c r="A801" s="2" t="s">
        <v>175</v>
      </c>
      <c r="B801" s="2" t="s">
        <v>1083</v>
      </c>
      <c r="C801" s="5" t="s">
        <v>1092</v>
      </c>
      <c r="D801" s="2" t="s">
        <v>1180</v>
      </c>
    </row>
    <row r="802" spans="1:4" ht="12.95" customHeight="1" x14ac:dyDescent="0.25">
      <c r="A802" s="2" t="s">
        <v>177</v>
      </c>
      <c r="B802" s="2" t="s">
        <v>1083</v>
      </c>
      <c r="C802" s="5" t="s">
        <v>1102</v>
      </c>
      <c r="D802" s="2" t="s">
        <v>1103</v>
      </c>
    </row>
    <row r="803" spans="1:4" ht="12.95" customHeight="1" x14ac:dyDescent="0.25">
      <c r="A803" s="2" t="s">
        <v>177</v>
      </c>
      <c r="B803" s="2" t="s">
        <v>1083</v>
      </c>
      <c r="C803" s="5" t="s">
        <v>1084</v>
      </c>
      <c r="D803" s="2" t="s">
        <v>1153</v>
      </c>
    </row>
    <row r="804" spans="1:4" ht="12.95" customHeight="1" x14ac:dyDescent="0.25">
      <c r="A804" s="2" t="s">
        <v>177</v>
      </c>
      <c r="B804" s="2" t="s">
        <v>1083</v>
      </c>
      <c r="C804" s="5" t="s">
        <v>1086</v>
      </c>
      <c r="D804" s="2" t="s">
        <v>1147</v>
      </c>
    </row>
    <row r="805" spans="1:4" ht="12.95" customHeight="1" x14ac:dyDescent="0.25">
      <c r="A805" s="2" t="s">
        <v>177</v>
      </c>
      <c r="B805" s="2" t="s">
        <v>1083</v>
      </c>
      <c r="C805" s="5" t="s">
        <v>1090</v>
      </c>
      <c r="D805" s="2" t="s">
        <v>1179</v>
      </c>
    </row>
    <row r="806" spans="1:4" ht="12.95" customHeight="1" x14ac:dyDescent="0.25">
      <c r="A806" s="2" t="s">
        <v>177</v>
      </c>
      <c r="B806" s="2" t="s">
        <v>1083</v>
      </c>
      <c r="C806" s="5" t="s">
        <v>1092</v>
      </c>
      <c r="D806" s="2" t="s">
        <v>1271</v>
      </c>
    </row>
    <row r="807" spans="1:4" ht="12.95" customHeight="1" x14ac:dyDescent="0.25">
      <c r="A807" s="2" t="s">
        <v>180</v>
      </c>
      <c r="B807" s="2" t="s">
        <v>1083</v>
      </c>
      <c r="C807" s="5" t="s">
        <v>1084</v>
      </c>
      <c r="D807" s="2" t="s">
        <v>1153</v>
      </c>
    </row>
    <row r="808" spans="1:4" ht="12.95" customHeight="1" x14ac:dyDescent="0.25">
      <c r="A808" s="2" t="s">
        <v>180</v>
      </c>
      <c r="B808" s="2" t="s">
        <v>1083</v>
      </c>
      <c r="C808" s="5" t="s">
        <v>1086</v>
      </c>
      <c r="D808" s="2" t="s">
        <v>1147</v>
      </c>
    </row>
    <row r="809" spans="1:4" ht="12.95" customHeight="1" x14ac:dyDescent="0.25">
      <c r="A809" s="2" t="s">
        <v>180</v>
      </c>
      <c r="B809" s="2" t="s">
        <v>1083</v>
      </c>
      <c r="C809" s="5" t="s">
        <v>1088</v>
      </c>
      <c r="D809" s="2" t="s">
        <v>1089</v>
      </c>
    </row>
    <row r="810" spans="1:4" ht="12.95" customHeight="1" x14ac:dyDescent="0.25">
      <c r="A810" s="2" t="s">
        <v>180</v>
      </c>
      <c r="B810" s="2" t="s">
        <v>1083</v>
      </c>
      <c r="C810" s="5" t="s">
        <v>1090</v>
      </c>
      <c r="D810" s="2" t="s">
        <v>1179</v>
      </c>
    </row>
    <row r="811" spans="1:4" ht="12.95" customHeight="1" x14ac:dyDescent="0.25">
      <c r="A811" s="2" t="s">
        <v>180</v>
      </c>
      <c r="B811" s="2" t="s">
        <v>1083</v>
      </c>
      <c r="C811" s="5" t="s">
        <v>1092</v>
      </c>
      <c r="D811" s="2" t="s">
        <v>1180</v>
      </c>
    </row>
    <row r="812" spans="1:4" ht="12.95" customHeight="1" x14ac:dyDescent="0.25">
      <c r="A812" s="2" t="s">
        <v>185</v>
      </c>
      <c r="B812" s="2" t="s">
        <v>1083</v>
      </c>
      <c r="C812" s="5" t="s">
        <v>1102</v>
      </c>
      <c r="D812" s="2" t="s">
        <v>1103</v>
      </c>
    </row>
    <row r="813" spans="1:4" ht="12.95" customHeight="1" x14ac:dyDescent="0.25">
      <c r="A813" s="2" t="s">
        <v>185</v>
      </c>
      <c r="B813" s="2" t="s">
        <v>1083</v>
      </c>
      <c r="C813" s="5" t="s">
        <v>1088</v>
      </c>
      <c r="D813" s="2" t="s">
        <v>1089</v>
      </c>
    </row>
    <row r="814" spans="1:4" ht="12.95" customHeight="1" x14ac:dyDescent="0.25">
      <c r="A814" s="2" t="s">
        <v>187</v>
      </c>
      <c r="B814" s="2" t="s">
        <v>1083</v>
      </c>
      <c r="C814" s="5" t="s">
        <v>1102</v>
      </c>
      <c r="D814" s="2" t="s">
        <v>1103</v>
      </c>
    </row>
    <row r="815" spans="1:4" ht="12.95" customHeight="1" x14ac:dyDescent="0.25">
      <c r="A815" s="2" t="s">
        <v>187</v>
      </c>
      <c r="B815" s="2" t="s">
        <v>1083</v>
      </c>
      <c r="C815" s="5" t="s">
        <v>1088</v>
      </c>
      <c r="D815" s="2" t="s">
        <v>1089</v>
      </c>
    </row>
    <row r="816" spans="1:4" ht="12.95" customHeight="1" x14ac:dyDescent="0.25">
      <c r="A816" s="2" t="s">
        <v>189</v>
      </c>
      <c r="B816" s="2" t="s">
        <v>1083</v>
      </c>
      <c r="C816" s="5" t="s">
        <v>1090</v>
      </c>
      <c r="D816" s="2" t="s">
        <v>1179</v>
      </c>
    </row>
    <row r="817" spans="1:4" ht="12.95" customHeight="1" x14ac:dyDescent="0.25">
      <c r="A817" s="2" t="s">
        <v>189</v>
      </c>
      <c r="B817" s="2" t="s">
        <v>1083</v>
      </c>
      <c r="C817" s="5" t="s">
        <v>1092</v>
      </c>
      <c r="D817" s="2" t="s">
        <v>1180</v>
      </c>
    </row>
    <row r="818" spans="1:4" ht="12.95" customHeight="1" x14ac:dyDescent="0.25">
      <c r="A818" s="2" t="s">
        <v>191</v>
      </c>
      <c r="B818" s="2" t="s">
        <v>1272</v>
      </c>
      <c r="C818" s="5" t="s">
        <v>1102</v>
      </c>
      <c r="D818" s="2" t="s">
        <v>1103</v>
      </c>
    </row>
    <row r="819" spans="1:4" ht="12.95" customHeight="1" x14ac:dyDescent="0.25">
      <c r="A819" s="2" t="s">
        <v>191</v>
      </c>
      <c r="B819" s="2" t="s">
        <v>1272</v>
      </c>
      <c r="C819" s="5" t="s">
        <v>1084</v>
      </c>
      <c r="D819" s="2" t="s">
        <v>1085</v>
      </c>
    </row>
    <row r="820" spans="1:4" ht="12.95" customHeight="1" x14ac:dyDescent="0.25">
      <c r="A820" s="2" t="s">
        <v>191</v>
      </c>
      <c r="B820" s="2" t="s">
        <v>1272</v>
      </c>
      <c r="C820" s="5" t="s">
        <v>1086</v>
      </c>
      <c r="D820" s="2" t="s">
        <v>1147</v>
      </c>
    </row>
    <row r="821" spans="1:4" ht="12.95" customHeight="1" x14ac:dyDescent="0.25">
      <c r="A821" s="2" t="s">
        <v>191</v>
      </c>
      <c r="B821" s="2" t="s">
        <v>1272</v>
      </c>
      <c r="C821" s="5" t="s">
        <v>1088</v>
      </c>
      <c r="D821" s="2" t="s">
        <v>1089</v>
      </c>
    </row>
    <row r="822" spans="1:4" ht="12.95" customHeight="1" x14ac:dyDescent="0.25">
      <c r="A822" s="2" t="s">
        <v>191</v>
      </c>
      <c r="B822" s="2" t="s">
        <v>1272</v>
      </c>
      <c r="C822" s="5" t="s">
        <v>1090</v>
      </c>
      <c r="D822" s="2" t="s">
        <v>1273</v>
      </c>
    </row>
    <row r="823" spans="1:4" ht="12.95" customHeight="1" x14ac:dyDescent="0.25">
      <c r="A823" s="2" t="s">
        <v>191</v>
      </c>
      <c r="B823" s="2" t="s">
        <v>1272</v>
      </c>
      <c r="C823" s="5" t="s">
        <v>1092</v>
      </c>
      <c r="D823" s="2" t="s">
        <v>1274</v>
      </c>
    </row>
    <row r="824" spans="1:4" ht="12.95" customHeight="1" x14ac:dyDescent="0.25">
      <c r="A824" s="2" t="s">
        <v>191</v>
      </c>
      <c r="B824" s="2" t="s">
        <v>1272</v>
      </c>
      <c r="C824" s="5" t="s">
        <v>1094</v>
      </c>
      <c r="D824" s="2" t="s">
        <v>1275</v>
      </c>
    </row>
    <row r="825" spans="1:4" ht="12.95" customHeight="1" x14ac:dyDescent="0.25">
      <c r="A825" s="2" t="s">
        <v>194</v>
      </c>
      <c r="B825" s="2" t="s">
        <v>1083</v>
      </c>
      <c r="C825" s="5" t="s">
        <v>1102</v>
      </c>
      <c r="D825" s="2" t="s">
        <v>1103</v>
      </c>
    </row>
    <row r="826" spans="1:4" ht="12.95" customHeight="1" x14ac:dyDescent="0.25">
      <c r="A826" s="2" t="s">
        <v>194</v>
      </c>
      <c r="B826" s="2" t="s">
        <v>1083</v>
      </c>
      <c r="C826" s="5" t="s">
        <v>1084</v>
      </c>
      <c r="D826" s="2" t="s">
        <v>1085</v>
      </c>
    </row>
    <row r="827" spans="1:4" ht="12.95" customHeight="1" x14ac:dyDescent="0.25">
      <c r="A827" s="2" t="s">
        <v>194</v>
      </c>
      <c r="B827" s="2" t="s">
        <v>1083</v>
      </c>
      <c r="C827" s="5" t="s">
        <v>1086</v>
      </c>
      <c r="D827" s="2" t="s">
        <v>1087</v>
      </c>
    </row>
    <row r="828" spans="1:4" ht="12.95" customHeight="1" x14ac:dyDescent="0.25">
      <c r="A828" s="2" t="s">
        <v>194</v>
      </c>
      <c r="B828" s="2" t="s">
        <v>1083</v>
      </c>
      <c r="C828" s="5" t="s">
        <v>1090</v>
      </c>
      <c r="D828" s="2" t="s">
        <v>1179</v>
      </c>
    </row>
    <row r="829" spans="1:4" ht="12.95" customHeight="1" x14ac:dyDescent="0.25">
      <c r="A829" s="2" t="s">
        <v>194</v>
      </c>
      <c r="B829" s="2" t="s">
        <v>1083</v>
      </c>
      <c r="C829" s="5" t="s">
        <v>1092</v>
      </c>
      <c r="D829" s="2" t="s">
        <v>1180</v>
      </c>
    </row>
    <row r="830" spans="1:4" ht="12.95" customHeight="1" x14ac:dyDescent="0.25">
      <c r="A830" s="2" t="s">
        <v>199</v>
      </c>
      <c r="B830" s="2" t="s">
        <v>1272</v>
      </c>
      <c r="C830" s="5" t="s">
        <v>1088</v>
      </c>
      <c r="D830" s="2" t="s">
        <v>1089</v>
      </c>
    </row>
    <row r="831" spans="1:4" ht="12.95" customHeight="1" x14ac:dyDescent="0.25">
      <c r="A831" s="2" t="s">
        <v>199</v>
      </c>
      <c r="B831" s="2" t="s">
        <v>1272</v>
      </c>
      <c r="C831" s="5" t="s">
        <v>1090</v>
      </c>
      <c r="D831" s="2" t="s">
        <v>1179</v>
      </c>
    </row>
    <row r="832" spans="1:4" ht="12.95" customHeight="1" x14ac:dyDescent="0.25">
      <c r="A832" s="2" t="s">
        <v>199</v>
      </c>
      <c r="B832" s="2" t="s">
        <v>1272</v>
      </c>
      <c r="C832" s="5" t="s">
        <v>1092</v>
      </c>
      <c r="D832" s="2" t="s">
        <v>1180</v>
      </c>
    </row>
    <row r="833" spans="1:4" ht="12.95" customHeight="1" x14ac:dyDescent="0.25">
      <c r="A833" s="2" t="s">
        <v>201</v>
      </c>
      <c r="B833" s="2" t="s">
        <v>1272</v>
      </c>
      <c r="C833" s="5" t="s">
        <v>1102</v>
      </c>
      <c r="D833" s="2" t="s">
        <v>1103</v>
      </c>
    </row>
    <row r="834" spans="1:4" ht="12.95" customHeight="1" x14ac:dyDescent="0.25">
      <c r="A834" s="2" t="s">
        <v>203</v>
      </c>
      <c r="B834" s="2" t="s">
        <v>1083</v>
      </c>
      <c r="C834" s="5" t="s">
        <v>1084</v>
      </c>
      <c r="D834" s="2" t="s">
        <v>1085</v>
      </c>
    </row>
    <row r="835" spans="1:4" ht="12.95" customHeight="1" x14ac:dyDescent="0.25">
      <c r="A835" s="2" t="s">
        <v>203</v>
      </c>
      <c r="B835" s="2" t="s">
        <v>1083</v>
      </c>
      <c r="C835" s="5" t="s">
        <v>1086</v>
      </c>
      <c r="D835" s="2" t="s">
        <v>1087</v>
      </c>
    </row>
    <row r="836" spans="1:4" ht="12.95" customHeight="1" x14ac:dyDescent="0.25">
      <c r="A836" s="2" t="s">
        <v>203</v>
      </c>
      <c r="B836" s="2" t="s">
        <v>1083</v>
      </c>
      <c r="C836" s="5" t="s">
        <v>1088</v>
      </c>
      <c r="D836" s="2" t="s">
        <v>1089</v>
      </c>
    </row>
    <row r="837" spans="1:4" ht="12.95" customHeight="1" x14ac:dyDescent="0.25">
      <c r="A837" s="2" t="s">
        <v>203</v>
      </c>
      <c r="B837" s="2" t="s">
        <v>1083</v>
      </c>
      <c r="C837" s="5" t="s">
        <v>1090</v>
      </c>
      <c r="D837" s="2" t="s">
        <v>1276</v>
      </c>
    </row>
    <row r="838" spans="1:4" ht="12.95" customHeight="1" x14ac:dyDescent="0.25">
      <c r="A838" s="2" t="s">
        <v>203</v>
      </c>
      <c r="B838" s="2" t="s">
        <v>1083</v>
      </c>
      <c r="C838" s="5" t="s">
        <v>1092</v>
      </c>
      <c r="D838" s="2" t="s">
        <v>1277</v>
      </c>
    </row>
    <row r="839" spans="1:4" ht="12.95" customHeight="1" x14ac:dyDescent="0.25">
      <c r="A839" s="2" t="s">
        <v>203</v>
      </c>
      <c r="B839" s="2" t="s">
        <v>1083</v>
      </c>
      <c r="C839" s="5" t="s">
        <v>1094</v>
      </c>
      <c r="D839" s="2" t="s">
        <v>1278</v>
      </c>
    </row>
    <row r="840" spans="1:4" ht="12.95" customHeight="1" x14ac:dyDescent="0.25">
      <c r="A840" s="2" t="s">
        <v>203</v>
      </c>
      <c r="B840" s="2" t="s">
        <v>1083</v>
      </c>
      <c r="C840" s="5" t="s">
        <v>1096</v>
      </c>
      <c r="D840" s="2" t="s">
        <v>1279</v>
      </c>
    </row>
    <row r="841" spans="1:4" ht="12.95" customHeight="1" x14ac:dyDescent="0.25">
      <c r="A841" s="2" t="s">
        <v>203</v>
      </c>
      <c r="B841" s="2" t="s">
        <v>1083</v>
      </c>
      <c r="C841" s="5" t="s">
        <v>1098</v>
      </c>
      <c r="D841" s="2" t="s">
        <v>1280</v>
      </c>
    </row>
    <row r="842" spans="1:4" ht="12.95" customHeight="1" x14ac:dyDescent="0.25">
      <c r="A842" s="2" t="s">
        <v>217</v>
      </c>
      <c r="B842" s="2" t="s">
        <v>1113</v>
      </c>
      <c r="C842" s="5" t="s">
        <v>1102</v>
      </c>
      <c r="D842" s="2" t="s">
        <v>1103</v>
      </c>
    </row>
    <row r="843" spans="1:4" ht="12.95" customHeight="1" x14ac:dyDescent="0.25">
      <c r="A843" s="2" t="s">
        <v>217</v>
      </c>
      <c r="B843" s="2" t="s">
        <v>1113</v>
      </c>
      <c r="C843" s="5" t="s">
        <v>1084</v>
      </c>
      <c r="D843" s="2" t="s">
        <v>1085</v>
      </c>
    </row>
    <row r="844" spans="1:4" ht="12.95" customHeight="1" x14ac:dyDescent="0.25">
      <c r="A844" s="2" t="s">
        <v>217</v>
      </c>
      <c r="B844" s="2" t="s">
        <v>1113</v>
      </c>
      <c r="C844" s="5" t="s">
        <v>1086</v>
      </c>
      <c r="D844" s="2" t="s">
        <v>1087</v>
      </c>
    </row>
    <row r="845" spans="1:4" ht="12.95" customHeight="1" x14ac:dyDescent="0.25">
      <c r="A845" s="2" t="s">
        <v>217</v>
      </c>
      <c r="B845" s="2" t="s">
        <v>1113</v>
      </c>
      <c r="C845" s="5" t="s">
        <v>1088</v>
      </c>
      <c r="D845" s="2" t="s">
        <v>1089</v>
      </c>
    </row>
    <row r="846" spans="1:4" ht="12.95" customHeight="1" x14ac:dyDescent="0.25">
      <c r="A846" s="2" t="s">
        <v>217</v>
      </c>
      <c r="B846" s="2" t="s">
        <v>1113</v>
      </c>
      <c r="C846" s="5" t="s">
        <v>1090</v>
      </c>
      <c r="D846" s="2" t="s">
        <v>1281</v>
      </c>
    </row>
    <row r="847" spans="1:4" ht="12.95" customHeight="1" x14ac:dyDescent="0.25">
      <c r="A847" s="2" t="s">
        <v>217</v>
      </c>
      <c r="B847" s="2" t="s">
        <v>1113</v>
      </c>
      <c r="C847" s="5" t="s">
        <v>1092</v>
      </c>
      <c r="D847" s="2" t="s">
        <v>1282</v>
      </c>
    </row>
    <row r="848" spans="1:4" ht="12.95" customHeight="1" x14ac:dyDescent="0.25">
      <c r="A848" s="2" t="s">
        <v>217</v>
      </c>
      <c r="B848" s="2" t="s">
        <v>1113</v>
      </c>
      <c r="C848" s="5" t="s">
        <v>1094</v>
      </c>
      <c r="D848" s="2" t="s">
        <v>1283</v>
      </c>
    </row>
    <row r="849" spans="1:4" ht="12.95" customHeight="1" x14ac:dyDescent="0.25">
      <c r="A849" s="2" t="s">
        <v>217</v>
      </c>
      <c r="B849" s="2" t="s">
        <v>1113</v>
      </c>
      <c r="C849" s="5" t="s">
        <v>1096</v>
      </c>
      <c r="D849" s="2" t="s">
        <v>1284</v>
      </c>
    </row>
    <row r="850" spans="1:4" ht="12.95" customHeight="1" x14ac:dyDescent="0.25">
      <c r="A850" s="2" t="s">
        <v>217</v>
      </c>
      <c r="B850" s="2" t="s">
        <v>1113</v>
      </c>
      <c r="C850" s="5" t="s">
        <v>1098</v>
      </c>
      <c r="D850" s="2" t="s">
        <v>1285</v>
      </c>
    </row>
    <row r="851" spans="1:4" ht="12.95" customHeight="1" x14ac:dyDescent="0.25">
      <c r="A851" s="2" t="s">
        <v>220</v>
      </c>
      <c r="B851" s="2" t="s">
        <v>1113</v>
      </c>
      <c r="C851" s="5" t="s">
        <v>1286</v>
      </c>
      <c r="D851" s="2" t="s">
        <v>1153</v>
      </c>
    </row>
    <row r="852" spans="1:4" ht="12.95" customHeight="1" x14ac:dyDescent="0.25">
      <c r="A852" s="2" t="s">
        <v>220</v>
      </c>
      <c r="B852" s="2" t="s">
        <v>1113</v>
      </c>
      <c r="C852" s="5" t="s">
        <v>1287</v>
      </c>
      <c r="D852" s="2" t="s">
        <v>1087</v>
      </c>
    </row>
    <row r="853" spans="1:4" ht="12.95" customHeight="1" x14ac:dyDescent="0.25">
      <c r="A853" s="2" t="s">
        <v>220</v>
      </c>
      <c r="B853" s="2" t="s">
        <v>1113</v>
      </c>
      <c r="C853" s="5" t="s">
        <v>1102</v>
      </c>
      <c r="D853" s="2" t="s">
        <v>1103</v>
      </c>
    </row>
    <row r="854" spans="1:4" ht="12.95" customHeight="1" x14ac:dyDescent="0.25">
      <c r="A854" s="2" t="s">
        <v>220</v>
      </c>
      <c r="B854" s="2" t="s">
        <v>1113</v>
      </c>
      <c r="C854" s="5" t="s">
        <v>1084</v>
      </c>
      <c r="D854" s="2" t="s">
        <v>1153</v>
      </c>
    </row>
    <row r="855" spans="1:4" ht="12.95" customHeight="1" x14ac:dyDescent="0.25">
      <c r="A855" s="2" t="s">
        <v>220</v>
      </c>
      <c r="B855" s="2" t="s">
        <v>1113</v>
      </c>
      <c r="C855" s="5" t="s">
        <v>1086</v>
      </c>
      <c r="D855" s="2" t="s">
        <v>1147</v>
      </c>
    </row>
    <row r="856" spans="1:4" ht="12.95" customHeight="1" x14ac:dyDescent="0.25">
      <c r="A856" s="2" t="s">
        <v>220</v>
      </c>
      <c r="B856" s="2" t="s">
        <v>1113</v>
      </c>
      <c r="C856" s="5" t="s">
        <v>1088</v>
      </c>
      <c r="D856" s="2" t="s">
        <v>1089</v>
      </c>
    </row>
    <row r="857" spans="1:4" ht="12.95" customHeight="1" x14ac:dyDescent="0.25">
      <c r="A857" s="2" t="s">
        <v>223</v>
      </c>
      <c r="B857" s="2" t="s">
        <v>1146</v>
      </c>
      <c r="C857" s="5" t="s">
        <v>1090</v>
      </c>
      <c r="D857" s="2" t="s">
        <v>1179</v>
      </c>
    </row>
    <row r="858" spans="1:4" ht="12.95" customHeight="1" x14ac:dyDescent="0.25">
      <c r="A858" s="2" t="s">
        <v>223</v>
      </c>
      <c r="B858" s="2" t="s">
        <v>1146</v>
      </c>
      <c r="C858" s="5" t="s">
        <v>1092</v>
      </c>
      <c r="D858" s="2" t="s">
        <v>1180</v>
      </c>
    </row>
    <row r="859" spans="1:4" ht="12.95" customHeight="1" x14ac:dyDescent="0.25">
      <c r="A859" s="2" t="s">
        <v>225</v>
      </c>
      <c r="B859" s="2" t="s">
        <v>1083</v>
      </c>
      <c r="C859" s="5" t="s">
        <v>1102</v>
      </c>
      <c r="D859" s="2" t="s">
        <v>1103</v>
      </c>
    </row>
    <row r="860" spans="1:4" ht="12.95" customHeight="1" x14ac:dyDescent="0.25">
      <c r="A860" s="2" t="s">
        <v>225</v>
      </c>
      <c r="B860" s="2" t="s">
        <v>1083</v>
      </c>
      <c r="C860" s="5" t="s">
        <v>1084</v>
      </c>
      <c r="D860" s="2" t="s">
        <v>1153</v>
      </c>
    </row>
    <row r="861" spans="1:4" ht="12.95" customHeight="1" x14ac:dyDescent="0.25">
      <c r="A861" s="2" t="s">
        <v>225</v>
      </c>
      <c r="B861" s="2" t="s">
        <v>1083</v>
      </c>
      <c r="C861" s="5" t="s">
        <v>1086</v>
      </c>
      <c r="D861" s="2" t="s">
        <v>1147</v>
      </c>
    </row>
    <row r="862" spans="1:4" ht="12.95" customHeight="1" x14ac:dyDescent="0.25">
      <c r="A862" s="2" t="s">
        <v>225</v>
      </c>
      <c r="B862" s="2" t="s">
        <v>1083</v>
      </c>
      <c r="C862" s="5" t="s">
        <v>1088</v>
      </c>
      <c r="D862" s="2" t="s">
        <v>1089</v>
      </c>
    </row>
    <row r="863" spans="1:4" ht="12.95" customHeight="1" x14ac:dyDescent="0.25">
      <c r="A863" s="2" t="s">
        <v>225</v>
      </c>
      <c r="B863" s="2" t="s">
        <v>1083</v>
      </c>
      <c r="C863" s="5" t="s">
        <v>1090</v>
      </c>
      <c r="D863" s="2" t="s">
        <v>1179</v>
      </c>
    </row>
    <row r="864" spans="1:4" ht="12.95" customHeight="1" x14ac:dyDescent="0.25">
      <c r="A864" s="2" t="s">
        <v>225</v>
      </c>
      <c r="B864" s="2" t="s">
        <v>1083</v>
      </c>
      <c r="C864" s="5" t="s">
        <v>1092</v>
      </c>
      <c r="D864" s="2" t="s">
        <v>1271</v>
      </c>
    </row>
    <row r="865" spans="1:4" ht="12.95" customHeight="1" x14ac:dyDescent="0.25">
      <c r="A865" s="2" t="s">
        <v>228</v>
      </c>
      <c r="B865" s="2" t="s">
        <v>1083</v>
      </c>
      <c r="C865" s="5" t="s">
        <v>1102</v>
      </c>
      <c r="D865" s="2" t="s">
        <v>1103</v>
      </c>
    </row>
    <row r="866" spans="1:4" ht="12.95" customHeight="1" x14ac:dyDescent="0.25">
      <c r="A866" s="2" t="s">
        <v>228</v>
      </c>
      <c r="B866" s="2" t="s">
        <v>1083</v>
      </c>
      <c r="C866" s="5" t="s">
        <v>1090</v>
      </c>
      <c r="D866" s="2" t="s">
        <v>1179</v>
      </c>
    </row>
    <row r="867" spans="1:4" ht="12.95" customHeight="1" x14ac:dyDescent="0.25">
      <c r="A867" s="2" t="s">
        <v>228</v>
      </c>
      <c r="B867" s="2" t="s">
        <v>1083</v>
      </c>
      <c r="C867" s="5" t="s">
        <v>1092</v>
      </c>
      <c r="D867" s="2" t="s">
        <v>1180</v>
      </c>
    </row>
    <row r="868" spans="1:4" ht="12.95" customHeight="1" x14ac:dyDescent="0.25">
      <c r="A868" s="2" t="s">
        <v>230</v>
      </c>
      <c r="B868" s="2" t="s">
        <v>1083</v>
      </c>
      <c r="C868" s="5" t="s">
        <v>1090</v>
      </c>
      <c r="D868" s="2" t="s">
        <v>1179</v>
      </c>
    </row>
    <row r="869" spans="1:4" ht="12.95" customHeight="1" x14ac:dyDescent="0.25">
      <c r="A869" s="2" t="s">
        <v>230</v>
      </c>
      <c r="B869" s="2" t="s">
        <v>1083</v>
      </c>
      <c r="C869" s="5" t="s">
        <v>1092</v>
      </c>
      <c r="D869" s="2" t="s">
        <v>1180</v>
      </c>
    </row>
    <row r="870" spans="1:4" ht="12.95" customHeight="1" x14ac:dyDescent="0.25">
      <c r="A870" s="2" t="s">
        <v>232</v>
      </c>
      <c r="B870" s="2" t="s">
        <v>1113</v>
      </c>
      <c r="C870" s="5" t="s">
        <v>1084</v>
      </c>
      <c r="D870" s="2" t="s">
        <v>1153</v>
      </c>
    </row>
    <row r="871" spans="1:4" ht="12.95" customHeight="1" x14ac:dyDescent="0.25">
      <c r="A871" s="2" t="s">
        <v>232</v>
      </c>
      <c r="B871" s="2" t="s">
        <v>1113</v>
      </c>
      <c r="C871" s="5" t="s">
        <v>1086</v>
      </c>
      <c r="D871" s="2" t="s">
        <v>1087</v>
      </c>
    </row>
    <row r="872" spans="1:4" ht="12.95" customHeight="1" x14ac:dyDescent="0.25">
      <c r="A872" s="2" t="s">
        <v>232</v>
      </c>
      <c r="B872" s="2" t="s">
        <v>1113</v>
      </c>
      <c r="C872" s="5" t="s">
        <v>1090</v>
      </c>
      <c r="D872" s="2" t="s">
        <v>1288</v>
      </c>
    </row>
    <row r="873" spans="1:4" ht="12.95" customHeight="1" x14ac:dyDescent="0.25">
      <c r="A873" s="2" t="s">
        <v>232</v>
      </c>
      <c r="B873" s="2" t="s">
        <v>1113</v>
      </c>
      <c r="C873" s="5" t="s">
        <v>1092</v>
      </c>
      <c r="D873" s="2" t="s">
        <v>1289</v>
      </c>
    </row>
    <row r="874" spans="1:4" ht="12.95" customHeight="1" x14ac:dyDescent="0.25">
      <c r="A874" s="2" t="s">
        <v>232</v>
      </c>
      <c r="B874" s="2" t="s">
        <v>1113</v>
      </c>
      <c r="C874" s="5" t="s">
        <v>1094</v>
      </c>
      <c r="D874" s="2" t="s">
        <v>1290</v>
      </c>
    </row>
    <row r="875" spans="1:4" ht="12.95" customHeight="1" x14ac:dyDescent="0.25">
      <c r="A875" s="2" t="s">
        <v>232</v>
      </c>
      <c r="B875" s="2" t="s">
        <v>1113</v>
      </c>
      <c r="C875" s="5" t="s">
        <v>1111</v>
      </c>
      <c r="D875" s="2" t="s">
        <v>1291</v>
      </c>
    </row>
    <row r="876" spans="1:4" ht="12.95" customHeight="1" x14ac:dyDescent="0.25">
      <c r="A876" s="2" t="s">
        <v>235</v>
      </c>
      <c r="B876" s="2" t="s">
        <v>1113</v>
      </c>
      <c r="C876" s="5" t="s">
        <v>1088</v>
      </c>
      <c r="D876" s="2" t="s">
        <v>1089</v>
      </c>
    </row>
    <row r="877" spans="1:4" ht="12.95" customHeight="1" x14ac:dyDescent="0.25">
      <c r="A877" s="2" t="s">
        <v>240</v>
      </c>
      <c r="B877" s="2" t="s">
        <v>1178</v>
      </c>
      <c r="C877" s="5" t="s">
        <v>1102</v>
      </c>
      <c r="D877" s="2" t="s">
        <v>1103</v>
      </c>
    </row>
    <row r="878" spans="1:4" ht="12.95" customHeight="1" x14ac:dyDescent="0.25">
      <c r="A878" s="2" t="s">
        <v>240</v>
      </c>
      <c r="B878" s="2" t="s">
        <v>1178</v>
      </c>
      <c r="C878" s="5" t="s">
        <v>1088</v>
      </c>
      <c r="D878" s="2" t="s">
        <v>1089</v>
      </c>
    </row>
    <row r="879" spans="1:4" ht="12.95" customHeight="1" x14ac:dyDescent="0.25">
      <c r="A879" s="2" t="s">
        <v>244</v>
      </c>
      <c r="B879" s="2" t="s">
        <v>1083</v>
      </c>
      <c r="C879" s="5" t="s">
        <v>1102</v>
      </c>
      <c r="D879" s="2" t="s">
        <v>1103</v>
      </c>
    </row>
    <row r="880" spans="1:4" ht="12.95" customHeight="1" x14ac:dyDescent="0.25">
      <c r="A880" s="2" t="s">
        <v>246</v>
      </c>
      <c r="B880" s="2" t="s">
        <v>1083</v>
      </c>
      <c r="C880" s="5" t="s">
        <v>1084</v>
      </c>
      <c r="D880" s="2" t="s">
        <v>1153</v>
      </c>
    </row>
    <row r="881" spans="1:4" ht="12.95" customHeight="1" x14ac:dyDescent="0.25">
      <c r="A881" s="2" t="s">
        <v>246</v>
      </c>
      <c r="B881" s="2" t="s">
        <v>1083</v>
      </c>
      <c r="C881" s="5" t="s">
        <v>1086</v>
      </c>
      <c r="D881" s="2" t="s">
        <v>1147</v>
      </c>
    </row>
    <row r="882" spans="1:4" ht="12.95" customHeight="1" x14ac:dyDescent="0.25">
      <c r="A882" s="2" t="s">
        <v>246</v>
      </c>
      <c r="B882" s="2" t="s">
        <v>1083</v>
      </c>
      <c r="C882" s="5" t="s">
        <v>1088</v>
      </c>
      <c r="D882" s="2" t="s">
        <v>1089</v>
      </c>
    </row>
    <row r="883" spans="1:4" ht="12.95" customHeight="1" x14ac:dyDescent="0.25">
      <c r="A883" s="2" t="s">
        <v>246</v>
      </c>
      <c r="B883" s="2" t="s">
        <v>1083</v>
      </c>
      <c r="C883" s="5" t="s">
        <v>1090</v>
      </c>
      <c r="D883" s="2" t="s">
        <v>1179</v>
      </c>
    </row>
    <row r="884" spans="1:4" ht="12.95" customHeight="1" x14ac:dyDescent="0.25">
      <c r="A884" s="2" t="s">
        <v>246</v>
      </c>
      <c r="B884" s="2" t="s">
        <v>1083</v>
      </c>
      <c r="C884" s="5" t="s">
        <v>1092</v>
      </c>
      <c r="D884" s="2" t="s">
        <v>1271</v>
      </c>
    </row>
    <row r="885" spans="1:4" ht="12.95" customHeight="1" x14ac:dyDescent="0.25">
      <c r="A885" s="2" t="s">
        <v>249</v>
      </c>
      <c r="B885" s="2" t="s">
        <v>1146</v>
      </c>
      <c r="C885" s="5" t="s">
        <v>1102</v>
      </c>
      <c r="D885" s="2" t="s">
        <v>1103</v>
      </c>
    </row>
    <row r="886" spans="1:4" ht="12.95" customHeight="1" x14ac:dyDescent="0.25">
      <c r="A886" s="2" t="s">
        <v>249</v>
      </c>
      <c r="B886" s="2" t="s">
        <v>1146</v>
      </c>
      <c r="C886" s="5" t="s">
        <v>1292</v>
      </c>
      <c r="D886" s="2" t="s">
        <v>1293</v>
      </c>
    </row>
    <row r="887" spans="1:4" ht="12.95" customHeight="1" x14ac:dyDescent="0.25">
      <c r="A887" s="2" t="s">
        <v>249</v>
      </c>
      <c r="B887" s="2" t="s">
        <v>1146</v>
      </c>
      <c r="C887" s="5" t="s">
        <v>1098</v>
      </c>
      <c r="D887" s="2" t="s">
        <v>1294</v>
      </c>
    </row>
    <row r="888" spans="1:4" ht="12.95" customHeight="1" x14ac:dyDescent="0.25">
      <c r="A888" s="2" t="s">
        <v>249</v>
      </c>
      <c r="B888" s="2" t="s">
        <v>1146</v>
      </c>
      <c r="C888" s="5" t="s">
        <v>1295</v>
      </c>
      <c r="D888" s="2" t="s">
        <v>1296</v>
      </c>
    </row>
    <row r="889" spans="1:4" ht="12.95" customHeight="1" x14ac:dyDescent="0.25">
      <c r="A889" s="2" t="s">
        <v>249</v>
      </c>
      <c r="B889" s="2" t="s">
        <v>1146</v>
      </c>
      <c r="C889" s="5" t="s">
        <v>1297</v>
      </c>
      <c r="D889" s="2" t="s">
        <v>1298</v>
      </c>
    </row>
    <row r="890" spans="1:4" ht="12.95" customHeight="1" x14ac:dyDescent="0.25">
      <c r="A890" s="2" t="s">
        <v>249</v>
      </c>
      <c r="B890" s="2" t="s">
        <v>1146</v>
      </c>
      <c r="C890" s="5" t="s">
        <v>1299</v>
      </c>
      <c r="D890" s="2" t="s">
        <v>1300</v>
      </c>
    </row>
    <row r="891" spans="1:4" ht="12.95" customHeight="1" x14ac:dyDescent="0.25">
      <c r="A891" s="2" t="s">
        <v>249</v>
      </c>
      <c r="B891" s="2" t="s">
        <v>1146</v>
      </c>
      <c r="C891" s="5" t="s">
        <v>1301</v>
      </c>
      <c r="D891" s="2" t="s">
        <v>1302</v>
      </c>
    </row>
    <row r="892" spans="1:4" ht="12.95" customHeight="1" x14ac:dyDescent="0.25">
      <c r="A892" s="2" t="s">
        <v>249</v>
      </c>
      <c r="B892" s="2" t="s">
        <v>1146</v>
      </c>
      <c r="C892" s="5" t="s">
        <v>1303</v>
      </c>
      <c r="D892" s="2" t="s">
        <v>1304</v>
      </c>
    </row>
    <row r="893" spans="1:4" ht="12.95" customHeight="1" x14ac:dyDescent="0.25">
      <c r="A893" s="2" t="s">
        <v>249</v>
      </c>
      <c r="B893" s="2" t="s">
        <v>1146</v>
      </c>
      <c r="C893" s="5" t="s">
        <v>1305</v>
      </c>
      <c r="D893" s="2" t="s">
        <v>1306</v>
      </c>
    </row>
    <row r="894" spans="1:4" ht="12.95" customHeight="1" x14ac:dyDescent="0.25">
      <c r="A894" s="2" t="s">
        <v>249</v>
      </c>
      <c r="B894" s="2" t="s">
        <v>1146</v>
      </c>
      <c r="C894" s="5" t="s">
        <v>1307</v>
      </c>
      <c r="D894" s="2" t="s">
        <v>1308</v>
      </c>
    </row>
    <row r="895" spans="1:4" ht="12.95" customHeight="1" x14ac:dyDescent="0.25">
      <c r="A895" s="2" t="s">
        <v>249</v>
      </c>
      <c r="B895" s="2" t="s">
        <v>1146</v>
      </c>
      <c r="C895" s="5" t="s">
        <v>1309</v>
      </c>
      <c r="D895" s="2" t="s">
        <v>1310</v>
      </c>
    </row>
    <row r="896" spans="1:4" ht="12.95" customHeight="1" x14ac:dyDescent="0.25">
      <c r="A896" s="2" t="s">
        <v>249</v>
      </c>
      <c r="B896" s="2" t="s">
        <v>1146</v>
      </c>
      <c r="C896" s="5" t="s">
        <v>1311</v>
      </c>
      <c r="D896" s="2" t="s">
        <v>1312</v>
      </c>
    </row>
    <row r="897" spans="1:4" ht="12.95" customHeight="1" x14ac:dyDescent="0.25">
      <c r="A897" s="2" t="s">
        <v>251</v>
      </c>
      <c r="B897" s="2" t="s">
        <v>1146</v>
      </c>
      <c r="C897" s="5" t="s">
        <v>1102</v>
      </c>
      <c r="D897" s="2" t="s">
        <v>1103</v>
      </c>
    </row>
    <row r="898" spans="1:4" ht="12.95" customHeight="1" x14ac:dyDescent="0.25">
      <c r="A898" s="2" t="s">
        <v>253</v>
      </c>
      <c r="B898" s="2" t="s">
        <v>1146</v>
      </c>
      <c r="C898" s="5" t="s">
        <v>1301</v>
      </c>
      <c r="D898" s="2" t="s">
        <v>1313</v>
      </c>
    </row>
    <row r="899" spans="1:4" ht="12.95" customHeight="1" x14ac:dyDescent="0.25">
      <c r="A899" s="2" t="s">
        <v>253</v>
      </c>
      <c r="B899" s="2" t="s">
        <v>1146</v>
      </c>
      <c r="C899" s="5" t="s">
        <v>1314</v>
      </c>
      <c r="D899" s="2" t="s">
        <v>1315</v>
      </c>
    </row>
    <row r="900" spans="1:4" ht="12.95" customHeight="1" x14ac:dyDescent="0.25">
      <c r="A900" s="2" t="s">
        <v>253</v>
      </c>
      <c r="B900" s="2" t="s">
        <v>1146</v>
      </c>
      <c r="C900" s="5" t="s">
        <v>1316</v>
      </c>
      <c r="D900" s="2" t="s">
        <v>1317</v>
      </c>
    </row>
    <row r="901" spans="1:4" ht="12.95" customHeight="1" x14ac:dyDescent="0.25">
      <c r="A901" s="2" t="s">
        <v>253</v>
      </c>
      <c r="B901" s="2" t="s">
        <v>1146</v>
      </c>
      <c r="C901" s="5" t="s">
        <v>1318</v>
      </c>
      <c r="D901" s="2" t="s">
        <v>1319</v>
      </c>
    </row>
    <row r="902" spans="1:4" ht="12.95" customHeight="1" x14ac:dyDescent="0.25">
      <c r="A902" s="2" t="s">
        <v>253</v>
      </c>
      <c r="B902" s="2" t="s">
        <v>1146</v>
      </c>
      <c r="C902" s="5" t="s">
        <v>1320</v>
      </c>
      <c r="D902" s="2" t="s">
        <v>1321</v>
      </c>
    </row>
    <row r="903" spans="1:4" ht="12.95" customHeight="1" x14ac:dyDescent="0.25">
      <c r="A903" s="2" t="s">
        <v>253</v>
      </c>
      <c r="B903" s="2" t="s">
        <v>1146</v>
      </c>
      <c r="C903" s="5" t="s">
        <v>1322</v>
      </c>
      <c r="D903" s="2" t="s">
        <v>1323</v>
      </c>
    </row>
    <row r="904" spans="1:4" ht="12.95" customHeight="1" x14ac:dyDescent="0.25">
      <c r="A904" s="2" t="s">
        <v>253</v>
      </c>
      <c r="B904" s="2" t="s">
        <v>1146</v>
      </c>
      <c r="C904" s="5" t="s">
        <v>1324</v>
      </c>
      <c r="D904" s="2" t="s">
        <v>1325</v>
      </c>
    </row>
    <row r="905" spans="1:4" ht="12.95" customHeight="1" x14ac:dyDescent="0.25">
      <c r="A905" s="2" t="s">
        <v>253</v>
      </c>
      <c r="B905" s="2" t="s">
        <v>1146</v>
      </c>
      <c r="C905" s="5" t="s">
        <v>1326</v>
      </c>
      <c r="D905" s="2" t="s">
        <v>1327</v>
      </c>
    </row>
    <row r="906" spans="1:4" ht="12.95" customHeight="1" x14ac:dyDescent="0.25">
      <c r="A906" s="2" t="s">
        <v>257</v>
      </c>
      <c r="B906" s="2" t="s">
        <v>1146</v>
      </c>
      <c r="C906" s="5" t="s">
        <v>1301</v>
      </c>
      <c r="D906" s="2" t="s">
        <v>1313</v>
      </c>
    </row>
    <row r="907" spans="1:4" ht="12.95" customHeight="1" x14ac:dyDescent="0.25">
      <c r="A907" s="2" t="s">
        <v>257</v>
      </c>
      <c r="B907" s="2" t="s">
        <v>1146</v>
      </c>
      <c r="C907" s="5" t="s">
        <v>1314</v>
      </c>
      <c r="D907" s="2" t="s">
        <v>1315</v>
      </c>
    </row>
    <row r="908" spans="1:4" ht="12.95" customHeight="1" x14ac:dyDescent="0.25">
      <c r="A908" s="2" t="s">
        <v>257</v>
      </c>
      <c r="B908" s="2" t="s">
        <v>1146</v>
      </c>
      <c r="C908" s="5" t="s">
        <v>1316</v>
      </c>
      <c r="D908" s="2" t="s">
        <v>1317</v>
      </c>
    </row>
    <row r="909" spans="1:4" ht="12.95" customHeight="1" x14ac:dyDescent="0.25">
      <c r="A909" s="2" t="s">
        <v>257</v>
      </c>
      <c r="B909" s="2" t="s">
        <v>1146</v>
      </c>
      <c r="C909" s="5" t="s">
        <v>1318</v>
      </c>
      <c r="D909" s="2" t="s">
        <v>1319</v>
      </c>
    </row>
    <row r="910" spans="1:4" ht="12.95" customHeight="1" x14ac:dyDescent="0.25">
      <c r="A910" s="2" t="s">
        <v>257</v>
      </c>
      <c r="B910" s="2" t="s">
        <v>1146</v>
      </c>
      <c r="C910" s="5" t="s">
        <v>1320</v>
      </c>
      <c r="D910" s="2" t="s">
        <v>1321</v>
      </c>
    </row>
    <row r="911" spans="1:4" ht="12.95" customHeight="1" x14ac:dyDescent="0.25">
      <c r="A911" s="2" t="s">
        <v>257</v>
      </c>
      <c r="B911" s="2" t="s">
        <v>1146</v>
      </c>
      <c r="C911" s="5" t="s">
        <v>1322</v>
      </c>
      <c r="D911" s="2" t="s">
        <v>1323</v>
      </c>
    </row>
    <row r="912" spans="1:4" ht="12.95" customHeight="1" x14ac:dyDescent="0.25">
      <c r="A912" s="2" t="s">
        <v>257</v>
      </c>
      <c r="B912" s="2" t="s">
        <v>1146</v>
      </c>
      <c r="C912" s="5" t="s">
        <v>1324</v>
      </c>
      <c r="D912" s="2" t="s">
        <v>1325</v>
      </c>
    </row>
    <row r="913" spans="1:4" ht="12.95" customHeight="1" x14ac:dyDescent="0.25">
      <c r="A913" s="2" t="s">
        <v>257</v>
      </c>
      <c r="B913" s="2" t="s">
        <v>1146</v>
      </c>
      <c r="C913" s="5" t="s">
        <v>1326</v>
      </c>
      <c r="D913" s="2" t="s">
        <v>1327</v>
      </c>
    </row>
    <row r="914" spans="1:4" ht="12.95" customHeight="1" x14ac:dyDescent="0.25">
      <c r="A914" s="2" t="s">
        <v>261</v>
      </c>
      <c r="B914" s="2" t="s">
        <v>1083</v>
      </c>
      <c r="C914" s="5" t="s">
        <v>1102</v>
      </c>
      <c r="D914" s="2" t="s">
        <v>1103</v>
      </c>
    </row>
    <row r="915" spans="1:4" ht="12.95" customHeight="1" x14ac:dyDescent="0.25">
      <c r="A915" s="2" t="s">
        <v>261</v>
      </c>
      <c r="B915" s="2" t="s">
        <v>1083</v>
      </c>
      <c r="C915" s="5" t="s">
        <v>1084</v>
      </c>
      <c r="D915" s="2" t="s">
        <v>1085</v>
      </c>
    </row>
    <row r="916" spans="1:4" ht="12.95" customHeight="1" x14ac:dyDescent="0.25">
      <c r="A916" s="2" t="s">
        <v>261</v>
      </c>
      <c r="B916" s="2" t="s">
        <v>1083</v>
      </c>
      <c r="C916" s="5" t="s">
        <v>1086</v>
      </c>
      <c r="D916" s="2" t="s">
        <v>1147</v>
      </c>
    </row>
    <row r="917" spans="1:4" ht="12.95" customHeight="1" x14ac:dyDescent="0.25">
      <c r="A917" s="2" t="s">
        <v>261</v>
      </c>
      <c r="B917" s="2" t="s">
        <v>1083</v>
      </c>
      <c r="C917" s="5" t="s">
        <v>1090</v>
      </c>
      <c r="D917" s="2" t="s">
        <v>1328</v>
      </c>
    </row>
    <row r="918" spans="1:4" ht="12.95" customHeight="1" x14ac:dyDescent="0.25">
      <c r="A918" s="2" t="s">
        <v>261</v>
      </c>
      <c r="B918" s="2" t="s">
        <v>1083</v>
      </c>
      <c r="C918" s="5" t="s">
        <v>1092</v>
      </c>
      <c r="D918" s="2" t="s">
        <v>1329</v>
      </c>
    </row>
    <row r="919" spans="1:4" ht="12.95" customHeight="1" x14ac:dyDescent="0.25">
      <c r="A919" s="2" t="s">
        <v>261</v>
      </c>
      <c r="B919" s="2" t="s">
        <v>1083</v>
      </c>
      <c r="C919" s="5" t="s">
        <v>1094</v>
      </c>
      <c r="D919" s="2" t="s">
        <v>1330</v>
      </c>
    </row>
    <row r="920" spans="1:4" ht="12.95" customHeight="1" x14ac:dyDescent="0.25">
      <c r="A920" s="2" t="s">
        <v>261</v>
      </c>
      <c r="B920" s="2" t="s">
        <v>1083</v>
      </c>
      <c r="C920" s="5" t="s">
        <v>1096</v>
      </c>
      <c r="D920" s="2" t="s">
        <v>1331</v>
      </c>
    </row>
    <row r="921" spans="1:4" ht="12.95" customHeight="1" x14ac:dyDescent="0.25">
      <c r="A921" s="2" t="s">
        <v>261</v>
      </c>
      <c r="B921" s="2" t="s">
        <v>1083</v>
      </c>
      <c r="C921" s="5" t="s">
        <v>1098</v>
      </c>
      <c r="D921" s="2" t="s">
        <v>1332</v>
      </c>
    </row>
    <row r="922" spans="1:4" ht="12.95" customHeight="1" x14ac:dyDescent="0.25">
      <c r="A922" s="2" t="s">
        <v>264</v>
      </c>
      <c r="B922" s="2" t="s">
        <v>1113</v>
      </c>
      <c r="C922" s="5" t="s">
        <v>1102</v>
      </c>
      <c r="D922" s="2" t="s">
        <v>1103</v>
      </c>
    </row>
    <row r="923" spans="1:4" ht="12.95" customHeight="1" x14ac:dyDescent="0.25">
      <c r="A923" s="2" t="s">
        <v>264</v>
      </c>
      <c r="B923" s="2" t="s">
        <v>1113</v>
      </c>
      <c r="C923" s="5" t="s">
        <v>1084</v>
      </c>
      <c r="D923" s="2" t="s">
        <v>1153</v>
      </c>
    </row>
    <row r="924" spans="1:4" ht="12.95" customHeight="1" x14ac:dyDescent="0.25">
      <c r="A924" s="2" t="s">
        <v>264</v>
      </c>
      <c r="B924" s="2" t="s">
        <v>1113</v>
      </c>
      <c r="C924" s="5" t="s">
        <v>1086</v>
      </c>
      <c r="D924" s="2" t="s">
        <v>1147</v>
      </c>
    </row>
    <row r="925" spans="1:4" ht="12.95" customHeight="1" x14ac:dyDescent="0.25">
      <c r="A925" s="2" t="s">
        <v>264</v>
      </c>
      <c r="B925" s="2" t="s">
        <v>1113</v>
      </c>
      <c r="C925" s="5" t="s">
        <v>1088</v>
      </c>
      <c r="D925" s="2" t="s">
        <v>1089</v>
      </c>
    </row>
    <row r="926" spans="1:4" ht="12.95" customHeight="1" x14ac:dyDescent="0.25">
      <c r="A926" s="2" t="s">
        <v>264</v>
      </c>
      <c r="B926" s="2" t="s">
        <v>1113</v>
      </c>
      <c r="C926" s="5" t="s">
        <v>1090</v>
      </c>
      <c r="D926" s="2" t="s">
        <v>1333</v>
      </c>
    </row>
    <row r="927" spans="1:4" ht="12.95" customHeight="1" x14ac:dyDescent="0.25">
      <c r="A927" s="2" t="s">
        <v>264</v>
      </c>
      <c r="B927" s="2" t="s">
        <v>1113</v>
      </c>
      <c r="C927" s="5" t="s">
        <v>1092</v>
      </c>
      <c r="D927" s="2" t="s">
        <v>1334</v>
      </c>
    </row>
    <row r="928" spans="1:4" ht="12.95" customHeight="1" x14ac:dyDescent="0.25">
      <c r="A928" s="2" t="s">
        <v>264</v>
      </c>
      <c r="B928" s="2" t="s">
        <v>1113</v>
      </c>
      <c r="C928" s="5" t="s">
        <v>1094</v>
      </c>
      <c r="D928" s="2" t="s">
        <v>1335</v>
      </c>
    </row>
    <row r="929" spans="1:4" ht="12.95" customHeight="1" x14ac:dyDescent="0.25">
      <c r="A929" s="2" t="s">
        <v>264</v>
      </c>
      <c r="B929" s="2" t="s">
        <v>1113</v>
      </c>
      <c r="C929" s="5" t="s">
        <v>1096</v>
      </c>
      <c r="D929" s="2" t="s">
        <v>1336</v>
      </c>
    </row>
    <row r="930" spans="1:4" ht="12.95" customHeight="1" x14ac:dyDescent="0.25">
      <c r="A930" s="2" t="s">
        <v>264</v>
      </c>
      <c r="B930" s="2" t="s">
        <v>1113</v>
      </c>
      <c r="C930" s="5" t="s">
        <v>1111</v>
      </c>
      <c r="D930" s="2" t="s">
        <v>1291</v>
      </c>
    </row>
    <row r="931" spans="1:4" ht="12.95" customHeight="1" x14ac:dyDescent="0.25">
      <c r="A931" s="2" t="s">
        <v>267</v>
      </c>
      <c r="B931" s="2" t="s">
        <v>1113</v>
      </c>
      <c r="C931" s="5" t="s">
        <v>1088</v>
      </c>
      <c r="D931" s="2" t="s">
        <v>1089</v>
      </c>
    </row>
    <row r="932" spans="1:4" ht="12.95" customHeight="1" x14ac:dyDescent="0.25">
      <c r="A932" s="2" t="s">
        <v>270</v>
      </c>
      <c r="B932" s="2" t="s">
        <v>1146</v>
      </c>
      <c r="C932" s="5" t="s">
        <v>1337</v>
      </c>
      <c r="D932" s="2" t="s">
        <v>1338</v>
      </c>
    </row>
    <row r="933" spans="1:4" ht="12.95" customHeight="1" x14ac:dyDescent="0.25">
      <c r="A933" s="2" t="s">
        <v>270</v>
      </c>
      <c r="B933" s="2" t="s">
        <v>1146</v>
      </c>
      <c r="C933" s="5" t="s">
        <v>1339</v>
      </c>
      <c r="D933" s="2" t="s">
        <v>1340</v>
      </c>
    </row>
    <row r="934" spans="1:4" ht="12.95" customHeight="1" x14ac:dyDescent="0.25">
      <c r="A934" s="2" t="s">
        <v>270</v>
      </c>
      <c r="B934" s="2" t="s">
        <v>1146</v>
      </c>
      <c r="C934" s="5" t="s">
        <v>1341</v>
      </c>
      <c r="D934" s="2" t="s">
        <v>1342</v>
      </c>
    </row>
    <row r="935" spans="1:4" ht="12.95" customHeight="1" x14ac:dyDescent="0.25">
      <c r="A935" s="2" t="s">
        <v>270</v>
      </c>
      <c r="B935" s="2" t="s">
        <v>1146</v>
      </c>
      <c r="C935" s="5" t="s">
        <v>1343</v>
      </c>
      <c r="D935" s="2" t="s">
        <v>1344</v>
      </c>
    </row>
    <row r="936" spans="1:4" ht="12.95" customHeight="1" x14ac:dyDescent="0.25">
      <c r="A936" s="2" t="s">
        <v>270</v>
      </c>
      <c r="B936" s="2" t="s">
        <v>1146</v>
      </c>
      <c r="C936" s="5" t="s">
        <v>1345</v>
      </c>
      <c r="D936" s="2" t="s">
        <v>1346</v>
      </c>
    </row>
    <row r="937" spans="1:4" ht="12.95" customHeight="1" x14ac:dyDescent="0.25">
      <c r="A937" s="2" t="s">
        <v>270</v>
      </c>
      <c r="B937" s="2" t="s">
        <v>1146</v>
      </c>
      <c r="C937" s="5" t="s">
        <v>1347</v>
      </c>
      <c r="D937" s="2" t="s">
        <v>1348</v>
      </c>
    </row>
    <row r="938" spans="1:4" ht="12.95" customHeight="1" x14ac:dyDescent="0.25">
      <c r="A938" s="2" t="s">
        <v>270</v>
      </c>
      <c r="B938" s="2" t="s">
        <v>1146</v>
      </c>
      <c r="C938" s="5" t="s">
        <v>1349</v>
      </c>
      <c r="D938" s="2" t="s">
        <v>1350</v>
      </c>
    </row>
    <row r="939" spans="1:4" ht="12.95" customHeight="1" x14ac:dyDescent="0.25">
      <c r="A939" s="2" t="s">
        <v>270</v>
      </c>
      <c r="B939" s="2" t="s">
        <v>1146</v>
      </c>
      <c r="C939" s="5" t="s">
        <v>1351</v>
      </c>
      <c r="D939" s="2" t="s">
        <v>1352</v>
      </c>
    </row>
    <row r="940" spans="1:4" ht="12.95" customHeight="1" x14ac:dyDescent="0.25">
      <c r="A940" s="2" t="s">
        <v>270</v>
      </c>
      <c r="B940" s="2" t="s">
        <v>1146</v>
      </c>
      <c r="C940" s="5" t="s">
        <v>1353</v>
      </c>
      <c r="D940" s="2" t="s">
        <v>1354</v>
      </c>
    </row>
    <row r="941" spans="1:4" ht="12.95" customHeight="1" x14ac:dyDescent="0.25">
      <c r="A941" s="2" t="s">
        <v>270</v>
      </c>
      <c r="B941" s="2" t="s">
        <v>1146</v>
      </c>
      <c r="C941" s="5" t="s">
        <v>1355</v>
      </c>
      <c r="D941" s="2" t="s">
        <v>1356</v>
      </c>
    </row>
    <row r="942" spans="1:4" ht="12.95" customHeight="1" x14ac:dyDescent="0.25">
      <c r="A942" s="2" t="s">
        <v>270</v>
      </c>
      <c r="B942" s="2" t="s">
        <v>1146</v>
      </c>
      <c r="C942" s="5" t="s">
        <v>1357</v>
      </c>
      <c r="D942" s="2" t="s">
        <v>1358</v>
      </c>
    </row>
    <row r="943" spans="1:4" ht="12.95" customHeight="1" x14ac:dyDescent="0.25">
      <c r="A943" s="2" t="s">
        <v>270</v>
      </c>
      <c r="B943" s="2" t="s">
        <v>1146</v>
      </c>
      <c r="C943" s="5" t="s">
        <v>1359</v>
      </c>
      <c r="D943" s="2" t="s">
        <v>1360</v>
      </c>
    </row>
    <row r="944" spans="1:4" ht="12.95" customHeight="1" x14ac:dyDescent="0.25">
      <c r="A944" s="2" t="s">
        <v>270</v>
      </c>
      <c r="B944" s="2" t="s">
        <v>1146</v>
      </c>
      <c r="C944" s="5" t="s">
        <v>1361</v>
      </c>
      <c r="D944" s="2" t="s">
        <v>1362</v>
      </c>
    </row>
    <row r="945" spans="1:4" ht="12.95" customHeight="1" x14ac:dyDescent="0.25">
      <c r="A945" s="2" t="s">
        <v>270</v>
      </c>
      <c r="B945" s="2" t="s">
        <v>1146</v>
      </c>
      <c r="C945" s="5" t="s">
        <v>1363</v>
      </c>
      <c r="D945" s="2" t="s">
        <v>1364</v>
      </c>
    </row>
    <row r="946" spans="1:4" ht="12.95" customHeight="1" x14ac:dyDescent="0.25">
      <c r="A946" s="2" t="s">
        <v>270</v>
      </c>
      <c r="B946" s="2" t="s">
        <v>1146</v>
      </c>
      <c r="C946" s="5" t="s">
        <v>1365</v>
      </c>
      <c r="D946" s="2" t="s">
        <v>1366</v>
      </c>
    </row>
    <row r="947" spans="1:4" ht="12.95" customHeight="1" x14ac:dyDescent="0.25">
      <c r="A947" s="2" t="s">
        <v>270</v>
      </c>
      <c r="B947" s="2" t="s">
        <v>1146</v>
      </c>
      <c r="C947" s="5" t="s">
        <v>1367</v>
      </c>
      <c r="D947" s="2" t="s">
        <v>1368</v>
      </c>
    </row>
    <row r="948" spans="1:4" ht="12.95" customHeight="1" x14ac:dyDescent="0.25">
      <c r="A948" s="2" t="s">
        <v>270</v>
      </c>
      <c r="B948" s="2" t="s">
        <v>1146</v>
      </c>
      <c r="C948" s="5" t="s">
        <v>1369</v>
      </c>
      <c r="D948" s="2" t="s">
        <v>1370</v>
      </c>
    </row>
    <row r="949" spans="1:4" ht="12.95" customHeight="1" x14ac:dyDescent="0.25">
      <c r="A949" s="2" t="s">
        <v>270</v>
      </c>
      <c r="B949" s="2" t="s">
        <v>1146</v>
      </c>
      <c r="C949" s="5" t="s">
        <v>1371</v>
      </c>
      <c r="D949" s="2" t="s">
        <v>1372</v>
      </c>
    </row>
    <row r="950" spans="1:4" ht="12.95" customHeight="1" x14ac:dyDescent="0.25">
      <c r="A950" s="2" t="s">
        <v>270</v>
      </c>
      <c r="B950" s="2" t="s">
        <v>1146</v>
      </c>
      <c r="C950" s="5" t="s">
        <v>1373</v>
      </c>
      <c r="D950" s="2" t="s">
        <v>1374</v>
      </c>
    </row>
    <row r="951" spans="1:4" ht="12.95" customHeight="1" x14ac:dyDescent="0.25">
      <c r="A951" s="2" t="s">
        <v>270</v>
      </c>
      <c r="B951" s="2" t="s">
        <v>1146</v>
      </c>
      <c r="C951" s="5" t="s">
        <v>1375</v>
      </c>
      <c r="D951" s="2" t="s">
        <v>1376</v>
      </c>
    </row>
    <row r="952" spans="1:4" ht="12.95" customHeight="1" x14ac:dyDescent="0.25">
      <c r="A952" s="2" t="s">
        <v>270</v>
      </c>
      <c r="B952" s="2" t="s">
        <v>1146</v>
      </c>
      <c r="C952" s="5" t="s">
        <v>1377</v>
      </c>
      <c r="D952" s="2" t="s">
        <v>1378</v>
      </c>
    </row>
    <row r="953" spans="1:4" ht="12.95" customHeight="1" x14ac:dyDescent="0.25">
      <c r="A953" s="2" t="s">
        <v>270</v>
      </c>
      <c r="B953" s="2" t="s">
        <v>1146</v>
      </c>
      <c r="C953" s="5" t="s">
        <v>1379</v>
      </c>
      <c r="D953" s="2" t="s">
        <v>1380</v>
      </c>
    </row>
    <row r="954" spans="1:4" ht="12.95" customHeight="1" x14ac:dyDescent="0.25">
      <c r="A954" s="2" t="s">
        <v>270</v>
      </c>
      <c r="B954" s="2" t="s">
        <v>1146</v>
      </c>
      <c r="C954" s="5" t="s">
        <v>1381</v>
      </c>
      <c r="D954" s="2" t="s">
        <v>1382</v>
      </c>
    </row>
    <row r="955" spans="1:4" ht="12.95" customHeight="1" x14ac:dyDescent="0.25">
      <c r="A955" s="2" t="s">
        <v>270</v>
      </c>
      <c r="B955" s="2" t="s">
        <v>1146</v>
      </c>
      <c r="C955" s="5" t="s">
        <v>1383</v>
      </c>
      <c r="D955" s="2" t="s">
        <v>1384</v>
      </c>
    </row>
    <row r="956" spans="1:4" ht="12.95" customHeight="1" x14ac:dyDescent="0.25">
      <c r="A956" s="2" t="s">
        <v>270</v>
      </c>
      <c r="B956" s="2" t="s">
        <v>1146</v>
      </c>
      <c r="C956" s="5" t="s">
        <v>1385</v>
      </c>
      <c r="D956" s="2" t="s">
        <v>1386</v>
      </c>
    </row>
    <row r="957" spans="1:4" ht="12.95" customHeight="1" x14ac:dyDescent="0.25">
      <c r="A957" s="2" t="s">
        <v>270</v>
      </c>
      <c r="B957" s="2" t="s">
        <v>1146</v>
      </c>
      <c r="C957" s="5" t="s">
        <v>1387</v>
      </c>
      <c r="D957" s="2" t="s">
        <v>1388</v>
      </c>
    </row>
    <row r="958" spans="1:4" ht="12.95" customHeight="1" x14ac:dyDescent="0.25">
      <c r="A958" s="2" t="s">
        <v>270</v>
      </c>
      <c r="B958" s="2" t="s">
        <v>1146</v>
      </c>
      <c r="C958" s="5" t="s">
        <v>1389</v>
      </c>
      <c r="D958" s="2" t="s">
        <v>1390</v>
      </c>
    </row>
    <row r="959" spans="1:4" ht="12.95" customHeight="1" x14ac:dyDescent="0.25">
      <c r="A959" s="2" t="s">
        <v>270</v>
      </c>
      <c r="B959" s="2" t="s">
        <v>1146</v>
      </c>
      <c r="C959" s="5" t="s">
        <v>1391</v>
      </c>
      <c r="D959" s="2" t="s">
        <v>1392</v>
      </c>
    </row>
    <row r="960" spans="1:4" ht="12.95" customHeight="1" x14ac:dyDescent="0.25">
      <c r="A960" s="2" t="s">
        <v>270</v>
      </c>
      <c r="B960" s="2" t="s">
        <v>1146</v>
      </c>
      <c r="C960" s="5" t="s">
        <v>1393</v>
      </c>
      <c r="D960" s="2" t="s">
        <v>1394</v>
      </c>
    </row>
    <row r="961" spans="1:4" ht="12.95" customHeight="1" x14ac:dyDescent="0.25">
      <c r="A961" s="2" t="s">
        <v>270</v>
      </c>
      <c r="B961" s="2" t="s">
        <v>1146</v>
      </c>
      <c r="C961" s="5" t="s">
        <v>1395</v>
      </c>
      <c r="D961" s="2" t="s">
        <v>1396</v>
      </c>
    </row>
    <row r="962" spans="1:4" ht="12.95" customHeight="1" x14ac:dyDescent="0.25">
      <c r="A962" s="2" t="s">
        <v>270</v>
      </c>
      <c r="B962" s="2" t="s">
        <v>1146</v>
      </c>
      <c r="C962" s="5" t="s">
        <v>1397</v>
      </c>
      <c r="D962" s="2" t="s">
        <v>1398</v>
      </c>
    </row>
    <row r="963" spans="1:4" ht="12.95" customHeight="1" x14ac:dyDescent="0.25">
      <c r="A963" s="2" t="s">
        <v>270</v>
      </c>
      <c r="B963" s="2" t="s">
        <v>1146</v>
      </c>
      <c r="C963" s="5" t="s">
        <v>1399</v>
      </c>
      <c r="D963" s="2" t="s">
        <v>1400</v>
      </c>
    </row>
    <row r="964" spans="1:4" ht="12.95" customHeight="1" x14ac:dyDescent="0.25">
      <c r="A964" s="2" t="s">
        <v>270</v>
      </c>
      <c r="B964" s="2" t="s">
        <v>1146</v>
      </c>
      <c r="C964" s="5" t="s">
        <v>1401</v>
      </c>
      <c r="D964" s="2" t="s">
        <v>1402</v>
      </c>
    </row>
    <row r="965" spans="1:4" ht="12.95" customHeight="1" x14ac:dyDescent="0.25">
      <c r="A965" s="2" t="s">
        <v>270</v>
      </c>
      <c r="B965" s="2" t="s">
        <v>1146</v>
      </c>
      <c r="C965" s="5" t="s">
        <v>1403</v>
      </c>
      <c r="D965" s="2" t="s">
        <v>1404</v>
      </c>
    </row>
    <row r="966" spans="1:4" ht="12.95" customHeight="1" x14ac:dyDescent="0.25">
      <c r="A966" s="2" t="s">
        <v>270</v>
      </c>
      <c r="B966" s="2" t="s">
        <v>1146</v>
      </c>
      <c r="C966" s="5" t="s">
        <v>1405</v>
      </c>
      <c r="D966" s="2" t="s">
        <v>1406</v>
      </c>
    </row>
    <row r="967" spans="1:4" ht="12.95" customHeight="1" x14ac:dyDescent="0.25">
      <c r="A967" s="2" t="s">
        <v>270</v>
      </c>
      <c r="B967" s="2" t="s">
        <v>1146</v>
      </c>
      <c r="C967" s="5" t="s">
        <v>1407</v>
      </c>
      <c r="D967" s="2" t="s">
        <v>1408</v>
      </c>
    </row>
    <row r="968" spans="1:4" ht="12.95" customHeight="1" x14ac:dyDescent="0.25">
      <c r="A968" s="2" t="s">
        <v>270</v>
      </c>
      <c r="B968" s="2" t="s">
        <v>1146</v>
      </c>
      <c r="C968" s="5" t="s">
        <v>1409</v>
      </c>
      <c r="D968" s="2" t="s">
        <v>1410</v>
      </c>
    </row>
    <row r="969" spans="1:4" ht="12.95" customHeight="1" x14ac:dyDescent="0.25">
      <c r="A969" s="2" t="s">
        <v>270</v>
      </c>
      <c r="B969" s="2" t="s">
        <v>1146</v>
      </c>
      <c r="C969" s="5" t="s">
        <v>1411</v>
      </c>
      <c r="D969" s="2" t="s">
        <v>1412</v>
      </c>
    </row>
    <row r="970" spans="1:4" ht="12.95" customHeight="1" x14ac:dyDescent="0.25">
      <c r="A970" s="2" t="s">
        <v>270</v>
      </c>
      <c r="B970" s="2" t="s">
        <v>1146</v>
      </c>
      <c r="C970" s="5" t="s">
        <v>1413</v>
      </c>
      <c r="D970" s="2" t="s">
        <v>1414</v>
      </c>
    </row>
    <row r="971" spans="1:4" ht="12.95" customHeight="1" x14ac:dyDescent="0.25">
      <c r="A971" s="2" t="s">
        <v>270</v>
      </c>
      <c r="B971" s="2" t="s">
        <v>1146</v>
      </c>
      <c r="C971" s="5" t="s">
        <v>1415</v>
      </c>
      <c r="D971" s="2" t="s">
        <v>1416</v>
      </c>
    </row>
    <row r="972" spans="1:4" ht="12.95" customHeight="1" x14ac:dyDescent="0.25">
      <c r="A972" s="2" t="s">
        <v>270</v>
      </c>
      <c r="B972" s="2" t="s">
        <v>1146</v>
      </c>
      <c r="C972" s="5" t="s">
        <v>1417</v>
      </c>
      <c r="D972" s="2" t="s">
        <v>1418</v>
      </c>
    </row>
    <row r="973" spans="1:4" ht="12.95" customHeight="1" x14ac:dyDescent="0.25">
      <c r="A973" s="2" t="s">
        <v>270</v>
      </c>
      <c r="B973" s="2" t="s">
        <v>1146</v>
      </c>
      <c r="C973" s="5" t="s">
        <v>1419</v>
      </c>
      <c r="D973" s="2" t="s">
        <v>1420</v>
      </c>
    </row>
    <row r="974" spans="1:4" ht="12.95" customHeight="1" x14ac:dyDescent="0.25">
      <c r="A974" s="2" t="s">
        <v>270</v>
      </c>
      <c r="B974" s="2" t="s">
        <v>1146</v>
      </c>
      <c r="C974" s="5" t="s">
        <v>1421</v>
      </c>
      <c r="D974" s="2" t="s">
        <v>1422</v>
      </c>
    </row>
    <row r="975" spans="1:4" ht="12.95" customHeight="1" x14ac:dyDescent="0.25">
      <c r="A975" s="2" t="s">
        <v>270</v>
      </c>
      <c r="B975" s="2" t="s">
        <v>1146</v>
      </c>
      <c r="C975" s="5" t="s">
        <v>1423</v>
      </c>
      <c r="D975" s="2" t="s">
        <v>1424</v>
      </c>
    </row>
    <row r="976" spans="1:4" ht="12.95" customHeight="1" x14ac:dyDescent="0.25">
      <c r="A976" s="2" t="s">
        <v>270</v>
      </c>
      <c r="B976" s="2" t="s">
        <v>1146</v>
      </c>
      <c r="C976" s="5" t="s">
        <v>1425</v>
      </c>
      <c r="D976" s="2" t="s">
        <v>1426</v>
      </c>
    </row>
    <row r="977" spans="1:4" ht="12.95" customHeight="1" x14ac:dyDescent="0.25">
      <c r="A977" s="2" t="s">
        <v>270</v>
      </c>
      <c r="B977" s="2" t="s">
        <v>1146</v>
      </c>
      <c r="C977" s="5" t="s">
        <v>1427</v>
      </c>
      <c r="D977" s="2" t="s">
        <v>1428</v>
      </c>
    </row>
    <row r="978" spans="1:4" ht="12.95" customHeight="1" x14ac:dyDescent="0.25">
      <c r="A978" s="2" t="s">
        <v>270</v>
      </c>
      <c r="B978" s="2" t="s">
        <v>1146</v>
      </c>
      <c r="C978" s="5" t="s">
        <v>1429</v>
      </c>
      <c r="D978" s="2" t="s">
        <v>1430</v>
      </c>
    </row>
    <row r="979" spans="1:4" ht="12.95" customHeight="1" x14ac:dyDescent="0.25">
      <c r="A979" s="2" t="s">
        <v>270</v>
      </c>
      <c r="B979" s="2" t="s">
        <v>1146</v>
      </c>
      <c r="C979" s="5" t="s">
        <v>1431</v>
      </c>
      <c r="D979" s="2" t="s">
        <v>1432</v>
      </c>
    </row>
    <row r="980" spans="1:4" ht="12.95" customHeight="1" x14ac:dyDescent="0.25">
      <c r="A980" s="2" t="s">
        <v>270</v>
      </c>
      <c r="B980" s="2" t="s">
        <v>1146</v>
      </c>
      <c r="C980" s="5" t="s">
        <v>1433</v>
      </c>
      <c r="D980" s="2" t="s">
        <v>1434</v>
      </c>
    </row>
    <row r="981" spans="1:4" ht="12.95" customHeight="1" x14ac:dyDescent="0.25">
      <c r="A981" s="2" t="s">
        <v>270</v>
      </c>
      <c r="B981" s="2" t="s">
        <v>1146</v>
      </c>
      <c r="C981" s="5" t="s">
        <v>1435</v>
      </c>
      <c r="D981" s="2" t="s">
        <v>1436</v>
      </c>
    </row>
    <row r="982" spans="1:4" ht="12.95" customHeight="1" x14ac:dyDescent="0.25">
      <c r="A982" s="2" t="s">
        <v>270</v>
      </c>
      <c r="B982" s="2" t="s">
        <v>1146</v>
      </c>
      <c r="C982" s="5" t="s">
        <v>1437</v>
      </c>
      <c r="D982" s="2" t="s">
        <v>1438</v>
      </c>
    </row>
    <row r="983" spans="1:4" ht="12.95" customHeight="1" x14ac:dyDescent="0.25">
      <c r="A983" s="2" t="s">
        <v>270</v>
      </c>
      <c r="B983" s="2" t="s">
        <v>1146</v>
      </c>
      <c r="C983" s="5" t="s">
        <v>1439</v>
      </c>
      <c r="D983" s="2" t="s">
        <v>1440</v>
      </c>
    </row>
    <row r="984" spans="1:4" ht="12.95" customHeight="1" x14ac:dyDescent="0.25">
      <c r="A984" s="2" t="s">
        <v>270</v>
      </c>
      <c r="B984" s="2" t="s">
        <v>1146</v>
      </c>
      <c r="C984" s="5" t="s">
        <v>1441</v>
      </c>
      <c r="D984" s="2" t="s">
        <v>1442</v>
      </c>
    </row>
    <row r="985" spans="1:4" ht="12.95" customHeight="1" x14ac:dyDescent="0.25">
      <c r="A985" s="2" t="s">
        <v>270</v>
      </c>
      <c r="B985" s="2" t="s">
        <v>1146</v>
      </c>
      <c r="C985" s="5" t="s">
        <v>1443</v>
      </c>
      <c r="D985" s="2" t="s">
        <v>1444</v>
      </c>
    </row>
    <row r="986" spans="1:4" ht="12.95" customHeight="1" x14ac:dyDescent="0.25">
      <c r="A986" s="2" t="s">
        <v>270</v>
      </c>
      <c r="B986" s="2" t="s">
        <v>1146</v>
      </c>
      <c r="C986" s="5" t="s">
        <v>1445</v>
      </c>
      <c r="D986" s="2" t="s">
        <v>1446</v>
      </c>
    </row>
    <row r="987" spans="1:4" ht="12.95" customHeight="1" x14ac:dyDescent="0.25">
      <c r="A987" s="2" t="s">
        <v>270</v>
      </c>
      <c r="B987" s="2" t="s">
        <v>1146</v>
      </c>
      <c r="C987" s="5" t="s">
        <v>1447</v>
      </c>
      <c r="D987" s="2" t="s">
        <v>1448</v>
      </c>
    </row>
    <row r="988" spans="1:4" ht="12.95" customHeight="1" x14ac:dyDescent="0.25">
      <c r="A988" s="2" t="s">
        <v>270</v>
      </c>
      <c r="B988" s="2" t="s">
        <v>1146</v>
      </c>
      <c r="C988" s="5" t="s">
        <v>1449</v>
      </c>
      <c r="D988" s="2" t="s">
        <v>1450</v>
      </c>
    </row>
    <row r="989" spans="1:4" ht="12.95" customHeight="1" x14ac:dyDescent="0.25">
      <c r="A989" s="2" t="s">
        <v>270</v>
      </c>
      <c r="B989" s="2" t="s">
        <v>1146</v>
      </c>
      <c r="C989" s="5" t="s">
        <v>1451</v>
      </c>
      <c r="D989" s="2" t="s">
        <v>1452</v>
      </c>
    </row>
    <row r="990" spans="1:4" ht="12.95" customHeight="1" x14ac:dyDescent="0.25">
      <c r="A990" s="2" t="s">
        <v>270</v>
      </c>
      <c r="B990" s="2" t="s">
        <v>1146</v>
      </c>
      <c r="C990" s="5" t="s">
        <v>1453</v>
      </c>
      <c r="D990" s="2" t="s">
        <v>1454</v>
      </c>
    </row>
    <row r="991" spans="1:4" ht="12.95" customHeight="1" x14ac:dyDescent="0.25">
      <c r="A991" s="2" t="s">
        <v>270</v>
      </c>
      <c r="B991" s="2" t="s">
        <v>1146</v>
      </c>
      <c r="C991" s="5" t="s">
        <v>1455</v>
      </c>
      <c r="D991" s="2" t="s">
        <v>1456</v>
      </c>
    </row>
    <row r="992" spans="1:4" ht="12.95" customHeight="1" x14ac:dyDescent="0.25">
      <c r="A992" s="2" t="s">
        <v>270</v>
      </c>
      <c r="B992" s="2" t="s">
        <v>1146</v>
      </c>
      <c r="C992" s="5" t="s">
        <v>1457</v>
      </c>
      <c r="D992" s="2" t="s">
        <v>1458</v>
      </c>
    </row>
    <row r="993" spans="1:4" ht="12.95" customHeight="1" x14ac:dyDescent="0.25">
      <c r="A993" s="2" t="s">
        <v>270</v>
      </c>
      <c r="B993" s="2" t="s">
        <v>1146</v>
      </c>
      <c r="C993" s="5" t="s">
        <v>1459</v>
      </c>
      <c r="D993" s="2" t="s">
        <v>1460</v>
      </c>
    </row>
    <row r="994" spans="1:4" ht="12.95" customHeight="1" x14ac:dyDescent="0.25">
      <c r="A994" s="2" t="s">
        <v>270</v>
      </c>
      <c r="B994" s="2" t="s">
        <v>1146</v>
      </c>
      <c r="C994" s="5" t="s">
        <v>1461</v>
      </c>
      <c r="D994" s="2" t="s">
        <v>1462</v>
      </c>
    </row>
    <row r="995" spans="1:4" ht="12.95" customHeight="1" x14ac:dyDescent="0.25">
      <c r="A995" s="2" t="s">
        <v>270</v>
      </c>
      <c r="B995" s="2" t="s">
        <v>1146</v>
      </c>
      <c r="C995" s="5" t="s">
        <v>1463</v>
      </c>
      <c r="D995" s="2" t="s">
        <v>1464</v>
      </c>
    </row>
    <row r="996" spans="1:4" ht="12.95" customHeight="1" x14ac:dyDescent="0.25">
      <c r="A996" s="2" t="s">
        <v>270</v>
      </c>
      <c r="B996" s="2" t="s">
        <v>1146</v>
      </c>
      <c r="C996" s="5" t="s">
        <v>1465</v>
      </c>
      <c r="D996" s="2" t="s">
        <v>1466</v>
      </c>
    </row>
    <row r="997" spans="1:4" ht="12.95" customHeight="1" x14ac:dyDescent="0.25">
      <c r="A997" s="2" t="s">
        <v>270</v>
      </c>
      <c r="B997" s="2" t="s">
        <v>1146</v>
      </c>
      <c r="C997" s="5" t="s">
        <v>1467</v>
      </c>
      <c r="D997" s="2" t="s">
        <v>1468</v>
      </c>
    </row>
    <row r="998" spans="1:4" ht="12.95" customHeight="1" x14ac:dyDescent="0.25">
      <c r="A998" s="2" t="s">
        <v>270</v>
      </c>
      <c r="B998" s="2" t="s">
        <v>1146</v>
      </c>
      <c r="C998" s="5" t="s">
        <v>1469</v>
      </c>
      <c r="D998" s="2" t="s">
        <v>1470</v>
      </c>
    </row>
    <row r="999" spans="1:4" ht="12.95" customHeight="1" x14ac:dyDescent="0.25">
      <c r="A999" s="2" t="s">
        <v>270</v>
      </c>
      <c r="B999" s="2" t="s">
        <v>1146</v>
      </c>
      <c r="C999" s="5" t="s">
        <v>1471</v>
      </c>
      <c r="D999" s="2" t="s">
        <v>1472</v>
      </c>
    </row>
    <row r="1000" spans="1:4" ht="12.95" customHeight="1" x14ac:dyDescent="0.25">
      <c r="A1000" s="2" t="s">
        <v>270</v>
      </c>
      <c r="B1000" s="2" t="s">
        <v>1146</v>
      </c>
      <c r="C1000" s="5" t="s">
        <v>1473</v>
      </c>
      <c r="D1000" s="2" t="s">
        <v>1474</v>
      </c>
    </row>
    <row r="1001" spans="1:4" ht="12.95" customHeight="1" x14ac:dyDescent="0.25">
      <c r="A1001" s="2" t="s">
        <v>270</v>
      </c>
      <c r="B1001" s="2" t="s">
        <v>1146</v>
      </c>
      <c r="C1001" s="5" t="s">
        <v>1475</v>
      </c>
      <c r="D1001" s="2" t="s">
        <v>1476</v>
      </c>
    </row>
    <row r="1002" spans="1:4" ht="12.95" customHeight="1" x14ac:dyDescent="0.25">
      <c r="A1002" s="2" t="s">
        <v>270</v>
      </c>
      <c r="B1002" s="2" t="s">
        <v>1146</v>
      </c>
      <c r="C1002" s="5" t="s">
        <v>1477</v>
      </c>
      <c r="D1002" s="2" t="s">
        <v>1478</v>
      </c>
    </row>
    <row r="1003" spans="1:4" ht="12.95" customHeight="1" x14ac:dyDescent="0.25">
      <c r="A1003" s="2" t="s">
        <v>270</v>
      </c>
      <c r="B1003" s="2" t="s">
        <v>1146</v>
      </c>
      <c r="C1003" s="5" t="s">
        <v>1479</v>
      </c>
      <c r="D1003" s="2" t="s">
        <v>1480</v>
      </c>
    </row>
    <row r="1004" spans="1:4" ht="12.95" customHeight="1" x14ac:dyDescent="0.25">
      <c r="A1004" s="2" t="s">
        <v>270</v>
      </c>
      <c r="B1004" s="2" t="s">
        <v>1146</v>
      </c>
      <c r="C1004" s="5" t="s">
        <v>1481</v>
      </c>
      <c r="D1004" s="2" t="s">
        <v>1482</v>
      </c>
    </row>
    <row r="1005" spans="1:4" ht="12.95" customHeight="1" x14ac:dyDescent="0.25">
      <c r="A1005" s="2" t="s">
        <v>270</v>
      </c>
      <c r="B1005" s="2" t="s">
        <v>1146</v>
      </c>
      <c r="C1005" s="5" t="s">
        <v>1483</v>
      </c>
      <c r="D1005" s="2" t="s">
        <v>1484</v>
      </c>
    </row>
    <row r="1006" spans="1:4" ht="12.95" customHeight="1" x14ac:dyDescent="0.25">
      <c r="A1006" s="2" t="s">
        <v>270</v>
      </c>
      <c r="B1006" s="2" t="s">
        <v>1146</v>
      </c>
      <c r="C1006" s="5" t="s">
        <v>1485</v>
      </c>
      <c r="D1006" s="2" t="s">
        <v>1486</v>
      </c>
    </row>
    <row r="1007" spans="1:4" ht="12.95" customHeight="1" x14ac:dyDescent="0.25">
      <c r="A1007" s="2" t="s">
        <v>270</v>
      </c>
      <c r="B1007" s="2" t="s">
        <v>1146</v>
      </c>
      <c r="C1007" s="5" t="s">
        <v>1487</v>
      </c>
      <c r="D1007" s="2" t="s">
        <v>1488</v>
      </c>
    </row>
    <row r="1008" spans="1:4" ht="12.95" customHeight="1" x14ac:dyDescent="0.25">
      <c r="A1008" s="2" t="s">
        <v>270</v>
      </c>
      <c r="B1008" s="2" t="s">
        <v>1146</v>
      </c>
      <c r="C1008" s="5" t="s">
        <v>1489</v>
      </c>
      <c r="D1008" s="2" t="s">
        <v>1490</v>
      </c>
    </row>
    <row r="1009" spans="1:4" ht="12.95" customHeight="1" x14ac:dyDescent="0.25">
      <c r="A1009" s="2" t="s">
        <v>270</v>
      </c>
      <c r="B1009" s="2" t="s">
        <v>1146</v>
      </c>
      <c r="C1009" s="5" t="s">
        <v>1491</v>
      </c>
      <c r="D1009" s="2" t="s">
        <v>1492</v>
      </c>
    </row>
    <row r="1010" spans="1:4" ht="12.95" customHeight="1" x14ac:dyDescent="0.25">
      <c r="A1010" s="2" t="s">
        <v>270</v>
      </c>
      <c r="B1010" s="2" t="s">
        <v>1146</v>
      </c>
      <c r="C1010" s="5" t="s">
        <v>1493</v>
      </c>
      <c r="D1010" s="2" t="s">
        <v>1494</v>
      </c>
    </row>
    <row r="1011" spans="1:4" ht="12.95" customHeight="1" x14ac:dyDescent="0.25">
      <c r="A1011" s="2" t="s">
        <v>270</v>
      </c>
      <c r="B1011" s="2" t="s">
        <v>1146</v>
      </c>
      <c r="C1011" s="5" t="s">
        <v>1495</v>
      </c>
      <c r="D1011" s="2" t="s">
        <v>1496</v>
      </c>
    </row>
    <row r="1012" spans="1:4" ht="12.95" customHeight="1" x14ac:dyDescent="0.25">
      <c r="A1012" s="2" t="s">
        <v>270</v>
      </c>
      <c r="B1012" s="2" t="s">
        <v>1146</v>
      </c>
      <c r="C1012" s="5" t="s">
        <v>1497</v>
      </c>
      <c r="D1012" s="2" t="s">
        <v>1498</v>
      </c>
    </row>
    <row r="1013" spans="1:4" ht="12.95" customHeight="1" x14ac:dyDescent="0.25">
      <c r="A1013" s="2" t="s">
        <v>270</v>
      </c>
      <c r="B1013" s="2" t="s">
        <v>1146</v>
      </c>
      <c r="C1013" s="5" t="s">
        <v>1499</v>
      </c>
      <c r="D1013" s="2" t="s">
        <v>1500</v>
      </c>
    </row>
    <row r="1014" spans="1:4" ht="12.95" customHeight="1" x14ac:dyDescent="0.25">
      <c r="A1014" s="2" t="s">
        <v>270</v>
      </c>
      <c r="B1014" s="2" t="s">
        <v>1146</v>
      </c>
      <c r="C1014" s="5" t="s">
        <v>1501</v>
      </c>
      <c r="D1014" s="2" t="s">
        <v>1502</v>
      </c>
    </row>
    <row r="1015" spans="1:4" ht="12.95" customHeight="1" x14ac:dyDescent="0.25">
      <c r="A1015" s="2" t="s">
        <v>270</v>
      </c>
      <c r="B1015" s="2" t="s">
        <v>1146</v>
      </c>
      <c r="C1015" s="5" t="s">
        <v>1503</v>
      </c>
      <c r="D1015" s="2" t="s">
        <v>1504</v>
      </c>
    </row>
    <row r="1016" spans="1:4" ht="12.95" customHeight="1" x14ac:dyDescent="0.25">
      <c r="A1016" s="2" t="s">
        <v>270</v>
      </c>
      <c r="B1016" s="2" t="s">
        <v>1146</v>
      </c>
      <c r="C1016" s="5" t="s">
        <v>1505</v>
      </c>
      <c r="D1016" s="2" t="s">
        <v>1506</v>
      </c>
    </row>
    <row r="1017" spans="1:4" ht="12.95" customHeight="1" x14ac:dyDescent="0.25">
      <c r="A1017" s="2" t="s">
        <v>270</v>
      </c>
      <c r="B1017" s="2" t="s">
        <v>1146</v>
      </c>
      <c r="C1017" s="5" t="s">
        <v>1507</v>
      </c>
      <c r="D1017" s="2" t="s">
        <v>1508</v>
      </c>
    </row>
    <row r="1018" spans="1:4" ht="12.95" customHeight="1" x14ac:dyDescent="0.25">
      <c r="A1018" s="2" t="s">
        <v>270</v>
      </c>
      <c r="B1018" s="2" t="s">
        <v>1146</v>
      </c>
      <c r="C1018" s="5" t="s">
        <v>1509</v>
      </c>
      <c r="D1018" s="2" t="s">
        <v>1510</v>
      </c>
    </row>
    <row r="1019" spans="1:4" ht="12.95" customHeight="1" x14ac:dyDescent="0.25">
      <c r="A1019" s="2" t="s">
        <v>270</v>
      </c>
      <c r="B1019" s="2" t="s">
        <v>1146</v>
      </c>
      <c r="C1019" s="5" t="s">
        <v>1511</v>
      </c>
      <c r="D1019" s="2" t="s">
        <v>1512</v>
      </c>
    </row>
    <row r="1020" spans="1:4" ht="12.95" customHeight="1" x14ac:dyDescent="0.25">
      <c r="A1020" s="2" t="s">
        <v>270</v>
      </c>
      <c r="B1020" s="2" t="s">
        <v>1146</v>
      </c>
      <c r="C1020" s="5" t="s">
        <v>1513</v>
      </c>
      <c r="D1020" s="2" t="s">
        <v>1514</v>
      </c>
    </row>
    <row r="1021" spans="1:4" ht="12.95" customHeight="1" x14ac:dyDescent="0.25">
      <c r="A1021" s="2" t="s">
        <v>270</v>
      </c>
      <c r="B1021" s="2" t="s">
        <v>1146</v>
      </c>
      <c r="C1021" s="5" t="s">
        <v>1515</v>
      </c>
      <c r="D1021" s="2" t="s">
        <v>1516</v>
      </c>
    </row>
    <row r="1022" spans="1:4" ht="12.95" customHeight="1" x14ac:dyDescent="0.25">
      <c r="A1022" s="2" t="s">
        <v>270</v>
      </c>
      <c r="B1022" s="2" t="s">
        <v>1146</v>
      </c>
      <c r="C1022" s="5" t="s">
        <v>1517</v>
      </c>
      <c r="D1022" s="2" t="s">
        <v>1518</v>
      </c>
    </row>
    <row r="1023" spans="1:4" ht="12.95" customHeight="1" x14ac:dyDescent="0.25">
      <c r="A1023" s="2" t="s">
        <v>270</v>
      </c>
      <c r="B1023" s="2" t="s">
        <v>1146</v>
      </c>
      <c r="C1023" s="5" t="s">
        <v>1519</v>
      </c>
      <c r="D1023" s="2" t="s">
        <v>1520</v>
      </c>
    </row>
    <row r="1024" spans="1:4" ht="12.95" customHeight="1" x14ac:dyDescent="0.25">
      <c r="A1024" s="2" t="s">
        <v>270</v>
      </c>
      <c r="B1024" s="2" t="s">
        <v>1146</v>
      </c>
      <c r="C1024" s="5" t="s">
        <v>1521</v>
      </c>
      <c r="D1024" s="2" t="s">
        <v>1522</v>
      </c>
    </row>
    <row r="1025" spans="1:4" ht="12.95" customHeight="1" x14ac:dyDescent="0.25">
      <c r="A1025" s="2" t="s">
        <v>270</v>
      </c>
      <c r="B1025" s="2" t="s">
        <v>1146</v>
      </c>
      <c r="C1025" s="5" t="s">
        <v>1523</v>
      </c>
      <c r="D1025" s="2" t="s">
        <v>1524</v>
      </c>
    </row>
    <row r="1026" spans="1:4" ht="12.95" customHeight="1" x14ac:dyDescent="0.25">
      <c r="A1026" s="2" t="s">
        <v>270</v>
      </c>
      <c r="B1026" s="2" t="s">
        <v>1146</v>
      </c>
      <c r="C1026" s="5" t="s">
        <v>1525</v>
      </c>
      <c r="D1026" s="2" t="s">
        <v>1526</v>
      </c>
    </row>
    <row r="1027" spans="1:4" ht="12.95" customHeight="1" x14ac:dyDescent="0.25">
      <c r="A1027" s="2" t="s">
        <v>270</v>
      </c>
      <c r="B1027" s="2" t="s">
        <v>1146</v>
      </c>
      <c r="C1027" s="5" t="s">
        <v>1527</v>
      </c>
      <c r="D1027" s="2" t="s">
        <v>1528</v>
      </c>
    </row>
    <row r="1028" spans="1:4" ht="12.95" customHeight="1" x14ac:dyDescent="0.25">
      <c r="A1028" s="2" t="s">
        <v>270</v>
      </c>
      <c r="B1028" s="2" t="s">
        <v>1146</v>
      </c>
      <c r="C1028" s="5" t="s">
        <v>1529</v>
      </c>
      <c r="D1028" s="2" t="s">
        <v>1530</v>
      </c>
    </row>
    <row r="1029" spans="1:4" ht="12.95" customHeight="1" x14ac:dyDescent="0.25">
      <c r="A1029" s="2" t="s">
        <v>270</v>
      </c>
      <c r="B1029" s="2" t="s">
        <v>1146</v>
      </c>
      <c r="C1029" s="5" t="s">
        <v>1531</v>
      </c>
      <c r="D1029" s="2" t="s">
        <v>1532</v>
      </c>
    </row>
    <row r="1030" spans="1:4" ht="12.95" customHeight="1" x14ac:dyDescent="0.25">
      <c r="A1030" s="2" t="s">
        <v>270</v>
      </c>
      <c r="B1030" s="2" t="s">
        <v>1146</v>
      </c>
      <c r="C1030" s="5" t="s">
        <v>1533</v>
      </c>
      <c r="D1030" s="2" t="s">
        <v>1534</v>
      </c>
    </row>
    <row r="1031" spans="1:4" ht="12.95" customHeight="1" x14ac:dyDescent="0.25">
      <c r="A1031" s="2" t="s">
        <v>270</v>
      </c>
      <c r="B1031" s="2" t="s">
        <v>1146</v>
      </c>
      <c r="C1031" s="5" t="s">
        <v>1535</v>
      </c>
      <c r="D1031" s="2" t="s">
        <v>1536</v>
      </c>
    </row>
    <row r="1032" spans="1:4" ht="12.95" customHeight="1" x14ac:dyDescent="0.25">
      <c r="A1032" s="2" t="s">
        <v>270</v>
      </c>
      <c r="B1032" s="2" t="s">
        <v>1146</v>
      </c>
      <c r="C1032" s="5" t="s">
        <v>1537</v>
      </c>
      <c r="D1032" s="2" t="s">
        <v>1538</v>
      </c>
    </row>
    <row r="1033" spans="1:4" ht="12.95" customHeight="1" x14ac:dyDescent="0.25">
      <c r="A1033" s="2" t="s">
        <v>270</v>
      </c>
      <c r="B1033" s="2" t="s">
        <v>1146</v>
      </c>
      <c r="C1033" s="5" t="s">
        <v>1539</v>
      </c>
      <c r="D1033" s="2" t="s">
        <v>1540</v>
      </c>
    </row>
    <row r="1034" spans="1:4" ht="12.95" customHeight="1" x14ac:dyDescent="0.25">
      <c r="A1034" s="2" t="s">
        <v>270</v>
      </c>
      <c r="B1034" s="2" t="s">
        <v>1146</v>
      </c>
      <c r="C1034" s="5" t="s">
        <v>1541</v>
      </c>
      <c r="D1034" s="2" t="s">
        <v>1542</v>
      </c>
    </row>
    <row r="1035" spans="1:4" ht="12.95" customHeight="1" x14ac:dyDescent="0.25">
      <c r="A1035" s="2" t="s">
        <v>270</v>
      </c>
      <c r="B1035" s="2" t="s">
        <v>1146</v>
      </c>
      <c r="C1035" s="5" t="s">
        <v>1543</v>
      </c>
      <c r="D1035" s="2" t="s">
        <v>1544</v>
      </c>
    </row>
    <row r="1036" spans="1:4" ht="12.95" customHeight="1" x14ac:dyDescent="0.25">
      <c r="A1036" s="2" t="s">
        <v>270</v>
      </c>
      <c r="B1036" s="2" t="s">
        <v>1146</v>
      </c>
      <c r="C1036" s="5" t="s">
        <v>1545</v>
      </c>
      <c r="D1036" s="2" t="s">
        <v>1546</v>
      </c>
    </row>
    <row r="1037" spans="1:4" ht="12.95" customHeight="1" x14ac:dyDescent="0.25">
      <c r="A1037" s="2" t="s">
        <v>270</v>
      </c>
      <c r="B1037" s="2" t="s">
        <v>1146</v>
      </c>
      <c r="C1037" s="5" t="s">
        <v>1547</v>
      </c>
      <c r="D1037" s="2" t="s">
        <v>1548</v>
      </c>
    </row>
    <row r="1038" spans="1:4" ht="12.95" customHeight="1" x14ac:dyDescent="0.25">
      <c r="A1038" s="2" t="s">
        <v>270</v>
      </c>
      <c r="B1038" s="2" t="s">
        <v>1146</v>
      </c>
      <c r="C1038" s="5" t="s">
        <v>1549</v>
      </c>
      <c r="D1038" s="2" t="s">
        <v>1550</v>
      </c>
    </row>
    <row r="1039" spans="1:4" ht="12.95" customHeight="1" x14ac:dyDescent="0.25">
      <c r="A1039" s="2" t="s">
        <v>270</v>
      </c>
      <c r="B1039" s="2" t="s">
        <v>1146</v>
      </c>
      <c r="C1039" s="5" t="s">
        <v>1551</v>
      </c>
      <c r="D1039" s="2" t="s">
        <v>1552</v>
      </c>
    </row>
    <row r="1040" spans="1:4" ht="12.95" customHeight="1" x14ac:dyDescent="0.25">
      <c r="A1040" s="2" t="s">
        <v>270</v>
      </c>
      <c r="B1040" s="2" t="s">
        <v>1146</v>
      </c>
      <c r="C1040" s="5" t="s">
        <v>1553</v>
      </c>
      <c r="D1040" s="2" t="s">
        <v>1554</v>
      </c>
    </row>
    <row r="1041" spans="1:4" ht="12.95" customHeight="1" x14ac:dyDescent="0.25">
      <c r="A1041" s="2" t="s">
        <v>270</v>
      </c>
      <c r="B1041" s="2" t="s">
        <v>1146</v>
      </c>
      <c r="C1041" s="5" t="s">
        <v>1555</v>
      </c>
      <c r="D1041" s="2" t="s">
        <v>1556</v>
      </c>
    </row>
    <row r="1042" spans="1:4" ht="12.95" customHeight="1" x14ac:dyDescent="0.25">
      <c r="A1042" s="2" t="s">
        <v>270</v>
      </c>
      <c r="B1042" s="2" t="s">
        <v>1146</v>
      </c>
      <c r="C1042" s="5" t="s">
        <v>1557</v>
      </c>
      <c r="D1042" s="2" t="s">
        <v>1558</v>
      </c>
    </row>
    <row r="1043" spans="1:4" ht="12.95" customHeight="1" x14ac:dyDescent="0.25">
      <c r="A1043" s="2" t="s">
        <v>270</v>
      </c>
      <c r="B1043" s="2" t="s">
        <v>1146</v>
      </c>
      <c r="C1043" s="5" t="s">
        <v>1559</v>
      </c>
      <c r="D1043" s="2" t="s">
        <v>1560</v>
      </c>
    </row>
    <row r="1044" spans="1:4" ht="12.95" customHeight="1" x14ac:dyDescent="0.25">
      <c r="A1044" s="2" t="s">
        <v>270</v>
      </c>
      <c r="B1044" s="2" t="s">
        <v>1146</v>
      </c>
      <c r="C1044" s="5" t="s">
        <v>1561</v>
      </c>
      <c r="D1044" s="2" t="s">
        <v>1562</v>
      </c>
    </row>
    <row r="1045" spans="1:4" ht="12.95" customHeight="1" x14ac:dyDescent="0.25">
      <c r="A1045" s="2" t="s">
        <v>270</v>
      </c>
      <c r="B1045" s="2" t="s">
        <v>1146</v>
      </c>
      <c r="C1045" s="5" t="s">
        <v>1563</v>
      </c>
      <c r="D1045" s="2" t="s">
        <v>1564</v>
      </c>
    </row>
    <row r="1046" spans="1:4" ht="12.95" customHeight="1" x14ac:dyDescent="0.25">
      <c r="A1046" s="2" t="s">
        <v>270</v>
      </c>
      <c r="B1046" s="2" t="s">
        <v>1146</v>
      </c>
      <c r="C1046" s="5" t="s">
        <v>1565</v>
      </c>
      <c r="D1046" s="2" t="s">
        <v>1566</v>
      </c>
    </row>
    <row r="1047" spans="1:4" ht="12.95" customHeight="1" x14ac:dyDescent="0.25">
      <c r="A1047" s="2" t="s">
        <v>270</v>
      </c>
      <c r="B1047" s="2" t="s">
        <v>1146</v>
      </c>
      <c r="C1047" s="5" t="s">
        <v>1567</v>
      </c>
      <c r="D1047" s="2" t="s">
        <v>1568</v>
      </c>
    </row>
    <row r="1048" spans="1:4" ht="12.95" customHeight="1" x14ac:dyDescent="0.25">
      <c r="A1048" s="2" t="s">
        <v>270</v>
      </c>
      <c r="B1048" s="2" t="s">
        <v>1146</v>
      </c>
      <c r="C1048" s="5" t="s">
        <v>1569</v>
      </c>
      <c r="D1048" s="2" t="s">
        <v>1570</v>
      </c>
    </row>
    <row r="1049" spans="1:4" ht="12.95" customHeight="1" x14ac:dyDescent="0.25">
      <c r="A1049" s="2" t="s">
        <v>270</v>
      </c>
      <c r="B1049" s="2" t="s">
        <v>1146</v>
      </c>
      <c r="C1049" s="5" t="s">
        <v>1571</v>
      </c>
      <c r="D1049" s="2" t="s">
        <v>1572</v>
      </c>
    </row>
    <row r="1050" spans="1:4" ht="12.95" customHeight="1" x14ac:dyDescent="0.25">
      <c r="A1050" s="2" t="s">
        <v>270</v>
      </c>
      <c r="B1050" s="2" t="s">
        <v>1146</v>
      </c>
      <c r="C1050" s="5" t="s">
        <v>1573</v>
      </c>
      <c r="D1050" s="2" t="s">
        <v>1574</v>
      </c>
    </row>
    <row r="1051" spans="1:4" ht="12.95" customHeight="1" x14ac:dyDescent="0.25">
      <c r="A1051" s="2" t="s">
        <v>270</v>
      </c>
      <c r="B1051" s="2" t="s">
        <v>1146</v>
      </c>
      <c r="C1051" s="5" t="s">
        <v>1575</v>
      </c>
      <c r="D1051" s="2" t="s">
        <v>1576</v>
      </c>
    </row>
    <row r="1052" spans="1:4" ht="12.95" customHeight="1" x14ac:dyDescent="0.25">
      <c r="A1052" s="2" t="s">
        <v>270</v>
      </c>
      <c r="B1052" s="2" t="s">
        <v>1146</v>
      </c>
      <c r="C1052" s="5" t="s">
        <v>1577</v>
      </c>
      <c r="D1052" s="2" t="s">
        <v>1578</v>
      </c>
    </row>
    <row r="1053" spans="1:4" ht="12.95" customHeight="1" x14ac:dyDescent="0.25">
      <c r="A1053" s="2" t="s">
        <v>270</v>
      </c>
      <c r="B1053" s="2" t="s">
        <v>1146</v>
      </c>
      <c r="C1053" s="5" t="s">
        <v>1579</v>
      </c>
      <c r="D1053" s="2" t="s">
        <v>1580</v>
      </c>
    </row>
    <row r="1054" spans="1:4" ht="12.95" customHeight="1" x14ac:dyDescent="0.25">
      <c r="A1054" s="2" t="s">
        <v>270</v>
      </c>
      <c r="B1054" s="2" t="s">
        <v>1146</v>
      </c>
      <c r="C1054" s="5" t="s">
        <v>1581</v>
      </c>
      <c r="D1054" s="2" t="s">
        <v>1582</v>
      </c>
    </row>
    <row r="1055" spans="1:4" ht="12.95" customHeight="1" x14ac:dyDescent="0.25">
      <c r="A1055" s="2" t="s">
        <v>270</v>
      </c>
      <c r="B1055" s="2" t="s">
        <v>1146</v>
      </c>
      <c r="C1055" s="5" t="s">
        <v>1583</v>
      </c>
      <c r="D1055" s="2" t="s">
        <v>1584</v>
      </c>
    </row>
    <row r="1056" spans="1:4" ht="12.95" customHeight="1" x14ac:dyDescent="0.25">
      <c r="A1056" s="2" t="s">
        <v>270</v>
      </c>
      <c r="B1056" s="2" t="s">
        <v>1146</v>
      </c>
      <c r="C1056" s="5" t="s">
        <v>1585</v>
      </c>
      <c r="D1056" s="2" t="s">
        <v>1586</v>
      </c>
    </row>
    <row r="1057" spans="1:4" ht="12.95" customHeight="1" x14ac:dyDescent="0.25">
      <c r="A1057" s="2" t="s">
        <v>270</v>
      </c>
      <c r="B1057" s="2" t="s">
        <v>1146</v>
      </c>
      <c r="C1057" s="5" t="s">
        <v>1587</v>
      </c>
      <c r="D1057" s="2" t="s">
        <v>1588</v>
      </c>
    </row>
    <row r="1058" spans="1:4" ht="12.95" customHeight="1" x14ac:dyDescent="0.25">
      <c r="A1058" s="2" t="s">
        <v>270</v>
      </c>
      <c r="B1058" s="2" t="s">
        <v>1146</v>
      </c>
      <c r="C1058" s="5" t="s">
        <v>1589</v>
      </c>
      <c r="D1058" s="2" t="s">
        <v>1590</v>
      </c>
    </row>
    <row r="1059" spans="1:4" ht="12.95" customHeight="1" x14ac:dyDescent="0.25">
      <c r="A1059" s="2" t="s">
        <v>270</v>
      </c>
      <c r="B1059" s="2" t="s">
        <v>1146</v>
      </c>
      <c r="C1059" s="5" t="s">
        <v>1591</v>
      </c>
      <c r="D1059" s="2" t="s">
        <v>1592</v>
      </c>
    </row>
    <row r="1060" spans="1:4" ht="12.95" customHeight="1" x14ac:dyDescent="0.25">
      <c r="A1060" s="2" t="s">
        <v>270</v>
      </c>
      <c r="B1060" s="2" t="s">
        <v>1146</v>
      </c>
      <c r="C1060" s="5" t="s">
        <v>1593</v>
      </c>
      <c r="D1060" s="2" t="s">
        <v>1594</v>
      </c>
    </row>
    <row r="1061" spans="1:4" ht="12.95" customHeight="1" x14ac:dyDescent="0.25">
      <c r="A1061" s="2" t="s">
        <v>270</v>
      </c>
      <c r="B1061" s="2" t="s">
        <v>1146</v>
      </c>
      <c r="C1061" s="5" t="s">
        <v>1595</v>
      </c>
      <c r="D1061" s="2" t="s">
        <v>1596</v>
      </c>
    </row>
    <row r="1062" spans="1:4" ht="12.95" customHeight="1" x14ac:dyDescent="0.25">
      <c r="A1062" s="2" t="s">
        <v>270</v>
      </c>
      <c r="B1062" s="2" t="s">
        <v>1146</v>
      </c>
      <c r="C1062" s="5" t="s">
        <v>1597</v>
      </c>
      <c r="D1062" s="2" t="s">
        <v>1598</v>
      </c>
    </row>
    <row r="1063" spans="1:4" ht="12.95" customHeight="1" x14ac:dyDescent="0.25">
      <c r="A1063" s="2" t="s">
        <v>270</v>
      </c>
      <c r="B1063" s="2" t="s">
        <v>1146</v>
      </c>
      <c r="C1063" s="5" t="s">
        <v>1599</v>
      </c>
      <c r="D1063" s="2" t="s">
        <v>1600</v>
      </c>
    </row>
    <row r="1064" spans="1:4" ht="12.95" customHeight="1" x14ac:dyDescent="0.25">
      <c r="A1064" s="2" t="s">
        <v>270</v>
      </c>
      <c r="B1064" s="2" t="s">
        <v>1146</v>
      </c>
      <c r="C1064" s="5" t="s">
        <v>1601</v>
      </c>
      <c r="D1064" s="2" t="s">
        <v>1602</v>
      </c>
    </row>
    <row r="1065" spans="1:4" ht="12.95" customHeight="1" x14ac:dyDescent="0.25">
      <c r="A1065" s="2" t="s">
        <v>270</v>
      </c>
      <c r="B1065" s="2" t="s">
        <v>1146</v>
      </c>
      <c r="C1065" s="5" t="s">
        <v>1603</v>
      </c>
      <c r="D1065" s="2" t="s">
        <v>1604</v>
      </c>
    </row>
    <row r="1066" spans="1:4" ht="12.95" customHeight="1" x14ac:dyDescent="0.25">
      <c r="A1066" s="2" t="s">
        <v>270</v>
      </c>
      <c r="B1066" s="2" t="s">
        <v>1146</v>
      </c>
      <c r="C1066" s="5" t="s">
        <v>1605</v>
      </c>
      <c r="D1066" s="2" t="s">
        <v>1606</v>
      </c>
    </row>
    <row r="1067" spans="1:4" ht="12.95" customHeight="1" x14ac:dyDescent="0.25">
      <c r="A1067" s="2" t="s">
        <v>270</v>
      </c>
      <c r="B1067" s="2" t="s">
        <v>1146</v>
      </c>
      <c r="C1067" s="5" t="s">
        <v>1607</v>
      </c>
      <c r="D1067" s="2" t="s">
        <v>1608</v>
      </c>
    </row>
    <row r="1068" spans="1:4" ht="12.95" customHeight="1" x14ac:dyDescent="0.25">
      <c r="A1068" s="2" t="s">
        <v>270</v>
      </c>
      <c r="B1068" s="2" t="s">
        <v>1146</v>
      </c>
      <c r="C1068" s="5" t="s">
        <v>1609</v>
      </c>
      <c r="D1068" s="2" t="s">
        <v>1610</v>
      </c>
    </row>
    <row r="1069" spans="1:4" ht="12.95" customHeight="1" x14ac:dyDescent="0.25">
      <c r="A1069" s="2" t="s">
        <v>270</v>
      </c>
      <c r="B1069" s="2" t="s">
        <v>1146</v>
      </c>
      <c r="C1069" s="5" t="s">
        <v>1611</v>
      </c>
      <c r="D1069" s="2" t="s">
        <v>1612</v>
      </c>
    </row>
    <row r="1070" spans="1:4" ht="12.95" customHeight="1" x14ac:dyDescent="0.25">
      <c r="A1070" s="2" t="s">
        <v>270</v>
      </c>
      <c r="B1070" s="2" t="s">
        <v>1146</v>
      </c>
      <c r="C1070" s="5" t="s">
        <v>1613</v>
      </c>
      <c r="D1070" s="2" t="s">
        <v>1614</v>
      </c>
    </row>
    <row r="1071" spans="1:4" ht="12.95" customHeight="1" x14ac:dyDescent="0.25">
      <c r="A1071" s="2" t="s">
        <v>270</v>
      </c>
      <c r="B1071" s="2" t="s">
        <v>1146</v>
      </c>
      <c r="C1071" s="5" t="s">
        <v>1615</v>
      </c>
      <c r="D1071" s="2" t="s">
        <v>1616</v>
      </c>
    </row>
    <row r="1072" spans="1:4" ht="12.95" customHeight="1" x14ac:dyDescent="0.25">
      <c r="A1072" s="2" t="s">
        <v>270</v>
      </c>
      <c r="B1072" s="2" t="s">
        <v>1146</v>
      </c>
      <c r="C1072" s="5" t="s">
        <v>1617</v>
      </c>
      <c r="D1072" s="2" t="s">
        <v>1618</v>
      </c>
    </row>
    <row r="1073" spans="1:4" ht="12.95" customHeight="1" x14ac:dyDescent="0.25">
      <c r="A1073" s="2" t="s">
        <v>270</v>
      </c>
      <c r="B1073" s="2" t="s">
        <v>1146</v>
      </c>
      <c r="C1073" s="5" t="s">
        <v>1619</v>
      </c>
      <c r="D1073" s="2" t="s">
        <v>1620</v>
      </c>
    </row>
    <row r="1074" spans="1:4" ht="12.95" customHeight="1" x14ac:dyDescent="0.25">
      <c r="A1074" s="2" t="s">
        <v>270</v>
      </c>
      <c r="B1074" s="2" t="s">
        <v>1146</v>
      </c>
      <c r="C1074" s="5" t="s">
        <v>1621</v>
      </c>
      <c r="D1074" s="2" t="s">
        <v>1622</v>
      </c>
    </row>
    <row r="1075" spans="1:4" ht="12.95" customHeight="1" x14ac:dyDescent="0.25">
      <c r="A1075" s="2" t="s">
        <v>270</v>
      </c>
      <c r="B1075" s="2" t="s">
        <v>1146</v>
      </c>
      <c r="C1075" s="5" t="s">
        <v>1623</v>
      </c>
      <c r="D1075" s="2" t="s">
        <v>1624</v>
      </c>
    </row>
    <row r="1076" spans="1:4" ht="12.95" customHeight="1" x14ac:dyDescent="0.25">
      <c r="A1076" s="2" t="s">
        <v>270</v>
      </c>
      <c r="B1076" s="2" t="s">
        <v>1146</v>
      </c>
      <c r="C1076" s="5" t="s">
        <v>1625</v>
      </c>
      <c r="D1076" s="2" t="s">
        <v>1626</v>
      </c>
    </row>
    <row r="1077" spans="1:4" ht="12.95" customHeight="1" x14ac:dyDescent="0.25">
      <c r="A1077" s="2" t="s">
        <v>270</v>
      </c>
      <c r="B1077" s="2" t="s">
        <v>1146</v>
      </c>
      <c r="C1077" s="5" t="s">
        <v>1627</v>
      </c>
      <c r="D1077" s="2" t="s">
        <v>1628</v>
      </c>
    </row>
    <row r="1078" spans="1:4" ht="12.95" customHeight="1" x14ac:dyDescent="0.25">
      <c r="A1078" s="2" t="s">
        <v>270</v>
      </c>
      <c r="B1078" s="2" t="s">
        <v>1146</v>
      </c>
      <c r="C1078" s="5" t="s">
        <v>1629</v>
      </c>
      <c r="D1078" s="2" t="s">
        <v>1630</v>
      </c>
    </row>
    <row r="1079" spans="1:4" ht="12.95" customHeight="1" x14ac:dyDescent="0.25">
      <c r="A1079" s="2" t="s">
        <v>270</v>
      </c>
      <c r="B1079" s="2" t="s">
        <v>1146</v>
      </c>
      <c r="C1079" s="5" t="s">
        <v>1631</v>
      </c>
      <c r="D1079" s="2" t="s">
        <v>1632</v>
      </c>
    </row>
    <row r="1080" spans="1:4" ht="12.95" customHeight="1" x14ac:dyDescent="0.25">
      <c r="A1080" s="2" t="s">
        <v>270</v>
      </c>
      <c r="B1080" s="2" t="s">
        <v>1146</v>
      </c>
      <c r="C1080" s="5" t="s">
        <v>1633</v>
      </c>
      <c r="D1080" s="2" t="s">
        <v>1634</v>
      </c>
    </row>
    <row r="1081" spans="1:4" ht="12.95" customHeight="1" x14ac:dyDescent="0.25">
      <c r="A1081" s="2" t="s">
        <v>270</v>
      </c>
      <c r="B1081" s="2" t="s">
        <v>1146</v>
      </c>
      <c r="C1081" s="5" t="s">
        <v>1635</v>
      </c>
      <c r="D1081" s="2" t="s">
        <v>1636</v>
      </c>
    </row>
    <row r="1082" spans="1:4" ht="12.95" customHeight="1" x14ac:dyDescent="0.25">
      <c r="A1082" s="2" t="s">
        <v>270</v>
      </c>
      <c r="B1082" s="2" t="s">
        <v>1146</v>
      </c>
      <c r="C1082" s="5" t="s">
        <v>1637</v>
      </c>
      <c r="D1082" s="2" t="s">
        <v>1638</v>
      </c>
    </row>
    <row r="1083" spans="1:4" ht="12.95" customHeight="1" x14ac:dyDescent="0.25">
      <c r="A1083" s="2" t="s">
        <v>270</v>
      </c>
      <c r="B1083" s="2" t="s">
        <v>1146</v>
      </c>
      <c r="C1083" s="5" t="s">
        <v>1639</v>
      </c>
      <c r="D1083" s="2" t="s">
        <v>1640</v>
      </c>
    </row>
    <row r="1084" spans="1:4" ht="12.95" customHeight="1" x14ac:dyDescent="0.25">
      <c r="A1084" s="2" t="s">
        <v>270</v>
      </c>
      <c r="B1084" s="2" t="s">
        <v>1146</v>
      </c>
      <c r="C1084" s="5" t="s">
        <v>1641</v>
      </c>
      <c r="D1084" s="2" t="s">
        <v>1642</v>
      </c>
    </row>
    <row r="1085" spans="1:4" ht="12.95" customHeight="1" x14ac:dyDescent="0.25">
      <c r="A1085" s="2" t="s">
        <v>270</v>
      </c>
      <c r="B1085" s="2" t="s">
        <v>1146</v>
      </c>
      <c r="C1085" s="5" t="s">
        <v>1643</v>
      </c>
      <c r="D1085" s="2" t="s">
        <v>1644</v>
      </c>
    </row>
    <row r="1086" spans="1:4" ht="12.95" customHeight="1" x14ac:dyDescent="0.25">
      <c r="A1086" s="2" t="s">
        <v>270</v>
      </c>
      <c r="B1086" s="2" t="s">
        <v>1146</v>
      </c>
      <c r="C1086" s="5" t="s">
        <v>1645</v>
      </c>
      <c r="D1086" s="2" t="s">
        <v>1646</v>
      </c>
    </row>
    <row r="1087" spans="1:4" ht="12.95" customHeight="1" x14ac:dyDescent="0.25">
      <c r="A1087" s="2" t="s">
        <v>270</v>
      </c>
      <c r="B1087" s="2" t="s">
        <v>1146</v>
      </c>
      <c r="C1087" s="5" t="s">
        <v>1647</v>
      </c>
      <c r="D1087" s="2" t="s">
        <v>1648</v>
      </c>
    </row>
    <row r="1088" spans="1:4" ht="12.95" customHeight="1" x14ac:dyDescent="0.25">
      <c r="A1088" s="2" t="s">
        <v>270</v>
      </c>
      <c r="B1088" s="2" t="s">
        <v>1146</v>
      </c>
      <c r="C1088" s="5" t="s">
        <v>1649</v>
      </c>
      <c r="D1088" s="2" t="s">
        <v>1650</v>
      </c>
    </row>
    <row r="1089" spans="1:4" ht="12.95" customHeight="1" x14ac:dyDescent="0.25">
      <c r="A1089" s="2" t="s">
        <v>270</v>
      </c>
      <c r="B1089" s="2" t="s">
        <v>1146</v>
      </c>
      <c r="C1089" s="5" t="s">
        <v>1651</v>
      </c>
      <c r="D1089" s="2" t="s">
        <v>1652</v>
      </c>
    </row>
    <row r="1090" spans="1:4" ht="12.95" customHeight="1" x14ac:dyDescent="0.25">
      <c r="A1090" s="2" t="s">
        <v>270</v>
      </c>
      <c r="B1090" s="2" t="s">
        <v>1146</v>
      </c>
      <c r="C1090" s="5" t="s">
        <v>1653</v>
      </c>
      <c r="D1090" s="2" t="s">
        <v>1654</v>
      </c>
    </row>
    <row r="1091" spans="1:4" ht="12.95" customHeight="1" x14ac:dyDescent="0.25">
      <c r="A1091" s="2" t="s">
        <v>270</v>
      </c>
      <c r="B1091" s="2" t="s">
        <v>1146</v>
      </c>
      <c r="C1091" s="5" t="s">
        <v>1655</v>
      </c>
      <c r="D1091" s="2" t="s">
        <v>1656</v>
      </c>
    </row>
    <row r="1092" spans="1:4" ht="12.95" customHeight="1" x14ac:dyDescent="0.25">
      <c r="A1092" s="2" t="s">
        <v>270</v>
      </c>
      <c r="B1092" s="2" t="s">
        <v>1146</v>
      </c>
      <c r="C1092" s="5" t="s">
        <v>1657</v>
      </c>
      <c r="D1092" s="2" t="s">
        <v>1658</v>
      </c>
    </row>
    <row r="1093" spans="1:4" ht="12.95" customHeight="1" x14ac:dyDescent="0.25">
      <c r="A1093" s="2" t="s">
        <v>270</v>
      </c>
      <c r="B1093" s="2" t="s">
        <v>1146</v>
      </c>
      <c r="C1093" s="5" t="s">
        <v>1659</v>
      </c>
      <c r="D1093" s="2" t="s">
        <v>1660</v>
      </c>
    </row>
    <row r="1094" spans="1:4" ht="12.95" customHeight="1" x14ac:dyDescent="0.25">
      <c r="A1094" s="2" t="s">
        <v>270</v>
      </c>
      <c r="B1094" s="2" t="s">
        <v>1146</v>
      </c>
      <c r="C1094" s="5" t="s">
        <v>1661</v>
      </c>
      <c r="D1094" s="2" t="s">
        <v>1662</v>
      </c>
    </row>
    <row r="1095" spans="1:4" ht="12.95" customHeight="1" x14ac:dyDescent="0.25">
      <c r="A1095" s="2" t="s">
        <v>270</v>
      </c>
      <c r="B1095" s="2" t="s">
        <v>1146</v>
      </c>
      <c r="C1095" s="5" t="s">
        <v>1663</v>
      </c>
      <c r="D1095" s="2" t="s">
        <v>1664</v>
      </c>
    </row>
    <row r="1096" spans="1:4" ht="12.95" customHeight="1" x14ac:dyDescent="0.25">
      <c r="A1096" s="2" t="s">
        <v>270</v>
      </c>
      <c r="B1096" s="2" t="s">
        <v>1146</v>
      </c>
      <c r="C1096" s="5" t="s">
        <v>1665</v>
      </c>
      <c r="D1096" s="2" t="s">
        <v>1666</v>
      </c>
    </row>
    <row r="1097" spans="1:4" ht="12.95" customHeight="1" x14ac:dyDescent="0.25">
      <c r="A1097" s="2" t="s">
        <v>270</v>
      </c>
      <c r="B1097" s="2" t="s">
        <v>1146</v>
      </c>
      <c r="C1097" s="5" t="s">
        <v>1667</v>
      </c>
      <c r="D1097" s="2" t="s">
        <v>1668</v>
      </c>
    </row>
    <row r="1098" spans="1:4" ht="12.95" customHeight="1" x14ac:dyDescent="0.25">
      <c r="A1098" s="2" t="s">
        <v>270</v>
      </c>
      <c r="B1098" s="2" t="s">
        <v>1146</v>
      </c>
      <c r="C1098" s="5" t="s">
        <v>1669</v>
      </c>
      <c r="D1098" s="2" t="s">
        <v>1670</v>
      </c>
    </row>
    <row r="1099" spans="1:4" ht="12.95" customHeight="1" x14ac:dyDescent="0.25">
      <c r="A1099" s="2" t="s">
        <v>270</v>
      </c>
      <c r="B1099" s="2" t="s">
        <v>1146</v>
      </c>
      <c r="C1099" s="5" t="s">
        <v>1671</v>
      </c>
      <c r="D1099" s="2" t="s">
        <v>1672</v>
      </c>
    </row>
    <row r="1100" spans="1:4" ht="12.95" customHeight="1" x14ac:dyDescent="0.25">
      <c r="A1100" s="2" t="s">
        <v>270</v>
      </c>
      <c r="B1100" s="2" t="s">
        <v>1146</v>
      </c>
      <c r="C1100" s="5" t="s">
        <v>1673</v>
      </c>
      <c r="D1100" s="2" t="s">
        <v>1674</v>
      </c>
    </row>
    <row r="1101" spans="1:4" ht="12.95" customHeight="1" x14ac:dyDescent="0.25">
      <c r="A1101" s="2" t="s">
        <v>270</v>
      </c>
      <c r="B1101" s="2" t="s">
        <v>1146</v>
      </c>
      <c r="C1101" s="5" t="s">
        <v>1675</v>
      </c>
      <c r="D1101" s="2" t="s">
        <v>1676</v>
      </c>
    </row>
    <row r="1102" spans="1:4" ht="12.95" customHeight="1" x14ac:dyDescent="0.25">
      <c r="A1102" s="2" t="s">
        <v>270</v>
      </c>
      <c r="B1102" s="2" t="s">
        <v>1146</v>
      </c>
      <c r="C1102" s="5" t="s">
        <v>1677</v>
      </c>
      <c r="D1102" s="2" t="s">
        <v>1678</v>
      </c>
    </row>
    <row r="1103" spans="1:4" ht="12.95" customHeight="1" x14ac:dyDescent="0.25">
      <c r="A1103" s="2" t="s">
        <v>270</v>
      </c>
      <c r="B1103" s="2" t="s">
        <v>1146</v>
      </c>
      <c r="C1103" s="5" t="s">
        <v>1679</v>
      </c>
      <c r="D1103" s="2" t="s">
        <v>1680</v>
      </c>
    </row>
    <row r="1104" spans="1:4" ht="12.95" customHeight="1" x14ac:dyDescent="0.25">
      <c r="A1104" s="2" t="s">
        <v>270</v>
      </c>
      <c r="B1104" s="2" t="s">
        <v>1146</v>
      </c>
      <c r="C1104" s="5" t="s">
        <v>1681</v>
      </c>
      <c r="D1104" s="2" t="s">
        <v>1682</v>
      </c>
    </row>
    <row r="1105" spans="1:4" ht="12.95" customHeight="1" x14ac:dyDescent="0.25">
      <c r="A1105" s="2" t="s">
        <v>270</v>
      </c>
      <c r="B1105" s="2" t="s">
        <v>1146</v>
      </c>
      <c r="C1105" s="5" t="s">
        <v>1683</v>
      </c>
      <c r="D1105" s="2" t="s">
        <v>1684</v>
      </c>
    </row>
    <row r="1106" spans="1:4" ht="12.95" customHeight="1" x14ac:dyDescent="0.25">
      <c r="A1106" s="2" t="s">
        <v>270</v>
      </c>
      <c r="B1106" s="2" t="s">
        <v>1146</v>
      </c>
      <c r="C1106" s="5" t="s">
        <v>1685</v>
      </c>
      <c r="D1106" s="2" t="s">
        <v>1686</v>
      </c>
    </row>
    <row r="1107" spans="1:4" ht="12.95" customHeight="1" x14ac:dyDescent="0.25">
      <c r="A1107" s="2" t="s">
        <v>270</v>
      </c>
      <c r="B1107" s="2" t="s">
        <v>1146</v>
      </c>
      <c r="C1107" s="5" t="s">
        <v>1687</v>
      </c>
      <c r="D1107" s="2" t="s">
        <v>1688</v>
      </c>
    </row>
    <row r="1108" spans="1:4" ht="12.95" customHeight="1" x14ac:dyDescent="0.25">
      <c r="A1108" s="2" t="s">
        <v>270</v>
      </c>
      <c r="B1108" s="2" t="s">
        <v>1146</v>
      </c>
      <c r="C1108" s="5" t="s">
        <v>1689</v>
      </c>
      <c r="D1108" s="2" t="s">
        <v>1690</v>
      </c>
    </row>
    <row r="1109" spans="1:4" ht="12.95" customHeight="1" x14ac:dyDescent="0.25">
      <c r="A1109" s="2" t="s">
        <v>270</v>
      </c>
      <c r="B1109" s="2" t="s">
        <v>1146</v>
      </c>
      <c r="C1109" s="5" t="s">
        <v>1691</v>
      </c>
      <c r="D1109" s="2" t="s">
        <v>1692</v>
      </c>
    </row>
    <row r="1110" spans="1:4" ht="12.95" customHeight="1" x14ac:dyDescent="0.25">
      <c r="A1110" s="2" t="s">
        <v>270</v>
      </c>
      <c r="B1110" s="2" t="s">
        <v>1146</v>
      </c>
      <c r="C1110" s="5" t="s">
        <v>1693</v>
      </c>
      <c r="D1110" s="2" t="s">
        <v>1694</v>
      </c>
    </row>
    <row r="1111" spans="1:4" ht="12.95" customHeight="1" x14ac:dyDescent="0.25">
      <c r="A1111" s="2" t="s">
        <v>270</v>
      </c>
      <c r="B1111" s="2" t="s">
        <v>1146</v>
      </c>
      <c r="C1111" s="5" t="s">
        <v>1695</v>
      </c>
      <c r="D1111" s="2" t="s">
        <v>1696</v>
      </c>
    </row>
    <row r="1112" spans="1:4" ht="12.95" customHeight="1" x14ac:dyDescent="0.25">
      <c r="A1112" s="2" t="s">
        <v>270</v>
      </c>
      <c r="B1112" s="2" t="s">
        <v>1146</v>
      </c>
      <c r="C1112" s="5" t="s">
        <v>1697</v>
      </c>
      <c r="D1112" s="2" t="s">
        <v>1698</v>
      </c>
    </row>
    <row r="1113" spans="1:4" ht="12.95" customHeight="1" x14ac:dyDescent="0.25">
      <c r="A1113" s="2" t="s">
        <v>270</v>
      </c>
      <c r="B1113" s="2" t="s">
        <v>1146</v>
      </c>
      <c r="C1113" s="5" t="s">
        <v>1699</v>
      </c>
      <c r="D1113" s="2" t="s">
        <v>1700</v>
      </c>
    </row>
    <row r="1114" spans="1:4" ht="12.95" customHeight="1" x14ac:dyDescent="0.25">
      <c r="A1114" s="2" t="s">
        <v>270</v>
      </c>
      <c r="B1114" s="2" t="s">
        <v>1146</v>
      </c>
      <c r="C1114" s="5" t="s">
        <v>1701</v>
      </c>
      <c r="D1114" s="2" t="s">
        <v>1702</v>
      </c>
    </row>
    <row r="1115" spans="1:4" ht="12.95" customHeight="1" x14ac:dyDescent="0.25">
      <c r="A1115" s="2" t="s">
        <v>270</v>
      </c>
      <c r="B1115" s="2" t="s">
        <v>1146</v>
      </c>
      <c r="C1115" s="5" t="s">
        <v>1703</v>
      </c>
      <c r="D1115" s="2" t="s">
        <v>1704</v>
      </c>
    </row>
    <row r="1116" spans="1:4" ht="12.95" customHeight="1" x14ac:dyDescent="0.25">
      <c r="A1116" s="2" t="s">
        <v>270</v>
      </c>
      <c r="B1116" s="2" t="s">
        <v>1146</v>
      </c>
      <c r="C1116" s="5" t="s">
        <v>1705</v>
      </c>
      <c r="D1116" s="2" t="s">
        <v>1706</v>
      </c>
    </row>
    <row r="1117" spans="1:4" ht="12.95" customHeight="1" x14ac:dyDescent="0.25">
      <c r="A1117" s="2" t="s">
        <v>270</v>
      </c>
      <c r="B1117" s="2" t="s">
        <v>1146</v>
      </c>
      <c r="C1117" s="5" t="s">
        <v>1707</v>
      </c>
      <c r="D1117" s="2" t="s">
        <v>1708</v>
      </c>
    </row>
    <row r="1118" spans="1:4" ht="12.95" customHeight="1" x14ac:dyDescent="0.25">
      <c r="A1118" s="2" t="s">
        <v>270</v>
      </c>
      <c r="B1118" s="2" t="s">
        <v>1146</v>
      </c>
      <c r="C1118" s="5" t="s">
        <v>1709</v>
      </c>
      <c r="D1118" s="2" t="s">
        <v>1710</v>
      </c>
    </row>
    <row r="1119" spans="1:4" ht="12.95" customHeight="1" x14ac:dyDescent="0.25">
      <c r="A1119" s="2" t="s">
        <v>270</v>
      </c>
      <c r="B1119" s="2" t="s">
        <v>1146</v>
      </c>
      <c r="C1119" s="5" t="s">
        <v>1711</v>
      </c>
      <c r="D1119" s="2" t="s">
        <v>1712</v>
      </c>
    </row>
    <row r="1120" spans="1:4" ht="12.95" customHeight="1" x14ac:dyDescent="0.25">
      <c r="A1120" s="2" t="s">
        <v>270</v>
      </c>
      <c r="B1120" s="2" t="s">
        <v>1146</v>
      </c>
      <c r="C1120" s="5" t="s">
        <v>1713</v>
      </c>
      <c r="D1120" s="2" t="s">
        <v>1714</v>
      </c>
    </row>
    <row r="1121" spans="1:4" ht="12.95" customHeight="1" x14ac:dyDescent="0.25">
      <c r="A1121" s="2" t="s">
        <v>270</v>
      </c>
      <c r="B1121" s="2" t="s">
        <v>1146</v>
      </c>
      <c r="C1121" s="5" t="s">
        <v>1715</v>
      </c>
      <c r="D1121" s="2" t="s">
        <v>1716</v>
      </c>
    </row>
    <row r="1122" spans="1:4" ht="12.95" customHeight="1" x14ac:dyDescent="0.25">
      <c r="A1122" s="2" t="s">
        <v>270</v>
      </c>
      <c r="B1122" s="2" t="s">
        <v>1146</v>
      </c>
      <c r="C1122" s="5" t="s">
        <v>1717</v>
      </c>
      <c r="D1122" s="2" t="s">
        <v>1718</v>
      </c>
    </row>
    <row r="1123" spans="1:4" ht="12.95" customHeight="1" x14ac:dyDescent="0.25">
      <c r="A1123" s="2" t="s">
        <v>270</v>
      </c>
      <c r="B1123" s="2" t="s">
        <v>1146</v>
      </c>
      <c r="C1123" s="5" t="s">
        <v>1719</v>
      </c>
      <c r="D1123" s="2" t="s">
        <v>1720</v>
      </c>
    </row>
    <row r="1124" spans="1:4" ht="12.95" customHeight="1" x14ac:dyDescent="0.25">
      <c r="A1124" s="2" t="s">
        <v>270</v>
      </c>
      <c r="B1124" s="2" t="s">
        <v>1146</v>
      </c>
      <c r="C1124" s="5" t="s">
        <v>1721</v>
      </c>
      <c r="D1124" s="2" t="s">
        <v>1722</v>
      </c>
    </row>
    <row r="1125" spans="1:4" ht="12.95" customHeight="1" x14ac:dyDescent="0.25">
      <c r="A1125" s="2" t="s">
        <v>270</v>
      </c>
      <c r="B1125" s="2" t="s">
        <v>1146</v>
      </c>
      <c r="C1125" s="5" t="s">
        <v>1723</v>
      </c>
      <c r="D1125" s="2" t="s">
        <v>1724</v>
      </c>
    </row>
    <row r="1126" spans="1:4" ht="12.95" customHeight="1" x14ac:dyDescent="0.25">
      <c r="A1126" s="2" t="s">
        <v>270</v>
      </c>
      <c r="B1126" s="2" t="s">
        <v>1146</v>
      </c>
      <c r="C1126" s="5" t="s">
        <v>1725</v>
      </c>
      <c r="D1126" s="2" t="s">
        <v>1726</v>
      </c>
    </row>
    <row r="1127" spans="1:4" ht="12.95" customHeight="1" x14ac:dyDescent="0.25">
      <c r="A1127" s="2" t="s">
        <v>270</v>
      </c>
      <c r="B1127" s="2" t="s">
        <v>1146</v>
      </c>
      <c r="C1127" s="5" t="s">
        <v>1727</v>
      </c>
      <c r="D1127" s="2" t="s">
        <v>1728</v>
      </c>
    </row>
    <row r="1128" spans="1:4" ht="12.95" customHeight="1" x14ac:dyDescent="0.25">
      <c r="A1128" s="2" t="s">
        <v>270</v>
      </c>
      <c r="B1128" s="2" t="s">
        <v>1146</v>
      </c>
      <c r="C1128" s="5" t="s">
        <v>1729</v>
      </c>
      <c r="D1128" s="2" t="s">
        <v>1730</v>
      </c>
    </row>
    <row r="1129" spans="1:4" ht="12.95" customHeight="1" x14ac:dyDescent="0.25">
      <c r="A1129" s="2" t="s">
        <v>270</v>
      </c>
      <c r="B1129" s="2" t="s">
        <v>1146</v>
      </c>
      <c r="C1129" s="5" t="s">
        <v>1731</v>
      </c>
      <c r="D1129" s="2" t="s">
        <v>1732</v>
      </c>
    </row>
    <row r="1130" spans="1:4" ht="12.95" customHeight="1" x14ac:dyDescent="0.25">
      <c r="A1130" s="2" t="s">
        <v>270</v>
      </c>
      <c r="B1130" s="2" t="s">
        <v>1146</v>
      </c>
      <c r="C1130" s="5" t="s">
        <v>1733</v>
      </c>
      <c r="D1130" s="2" t="s">
        <v>1734</v>
      </c>
    </row>
    <row r="1131" spans="1:4" ht="12.95" customHeight="1" x14ac:dyDescent="0.25">
      <c r="A1131" s="2" t="s">
        <v>270</v>
      </c>
      <c r="B1131" s="2" t="s">
        <v>1146</v>
      </c>
      <c r="C1131" s="5" t="s">
        <v>1735</v>
      </c>
      <c r="D1131" s="2" t="s">
        <v>1736</v>
      </c>
    </row>
    <row r="1132" spans="1:4" ht="12.95" customHeight="1" x14ac:dyDescent="0.25">
      <c r="A1132" s="2" t="s">
        <v>270</v>
      </c>
      <c r="B1132" s="2" t="s">
        <v>1146</v>
      </c>
      <c r="C1132" s="5" t="s">
        <v>1737</v>
      </c>
      <c r="D1132" s="2" t="s">
        <v>1738</v>
      </c>
    </row>
    <row r="1133" spans="1:4" ht="12.95" customHeight="1" x14ac:dyDescent="0.25">
      <c r="A1133" s="2" t="s">
        <v>270</v>
      </c>
      <c r="B1133" s="2" t="s">
        <v>1146</v>
      </c>
      <c r="C1133" s="5" t="s">
        <v>1739</v>
      </c>
      <c r="D1133" s="2" t="s">
        <v>1740</v>
      </c>
    </row>
    <row r="1134" spans="1:4" ht="12.95" customHeight="1" x14ac:dyDescent="0.25">
      <c r="A1134" s="2" t="s">
        <v>270</v>
      </c>
      <c r="B1134" s="2" t="s">
        <v>1146</v>
      </c>
      <c r="C1134" s="5" t="s">
        <v>1741</v>
      </c>
      <c r="D1134" s="2" t="s">
        <v>1742</v>
      </c>
    </row>
    <row r="1135" spans="1:4" ht="12.95" customHeight="1" x14ac:dyDescent="0.25">
      <c r="A1135" s="2" t="s">
        <v>270</v>
      </c>
      <c r="B1135" s="2" t="s">
        <v>1146</v>
      </c>
      <c r="C1135" s="5" t="s">
        <v>1743</v>
      </c>
      <c r="D1135" s="2" t="s">
        <v>1744</v>
      </c>
    </row>
    <row r="1136" spans="1:4" ht="12.95" customHeight="1" x14ac:dyDescent="0.25">
      <c r="A1136" s="2" t="s">
        <v>270</v>
      </c>
      <c r="B1136" s="2" t="s">
        <v>1146</v>
      </c>
      <c r="C1136" s="5" t="s">
        <v>1745</v>
      </c>
      <c r="D1136" s="2" t="s">
        <v>1746</v>
      </c>
    </row>
    <row r="1137" spans="1:4" ht="12.95" customHeight="1" x14ac:dyDescent="0.25">
      <c r="A1137" s="2" t="s">
        <v>270</v>
      </c>
      <c r="B1137" s="2" t="s">
        <v>1146</v>
      </c>
      <c r="C1137" s="5" t="s">
        <v>1747</v>
      </c>
      <c r="D1137" s="2" t="s">
        <v>1748</v>
      </c>
    </row>
    <row r="1138" spans="1:4" ht="12.95" customHeight="1" x14ac:dyDescent="0.25">
      <c r="A1138" s="2" t="s">
        <v>270</v>
      </c>
      <c r="B1138" s="2" t="s">
        <v>1146</v>
      </c>
      <c r="C1138" s="5" t="s">
        <v>1749</v>
      </c>
      <c r="D1138" s="2" t="s">
        <v>1750</v>
      </c>
    </row>
    <row r="1139" spans="1:4" ht="12.95" customHeight="1" x14ac:dyDescent="0.25">
      <c r="A1139" s="2" t="s">
        <v>270</v>
      </c>
      <c r="B1139" s="2" t="s">
        <v>1146</v>
      </c>
      <c r="C1139" s="5" t="s">
        <v>1751</v>
      </c>
      <c r="D1139" s="2" t="s">
        <v>1752</v>
      </c>
    </row>
    <row r="1140" spans="1:4" ht="12.95" customHeight="1" x14ac:dyDescent="0.25">
      <c r="A1140" s="2" t="s">
        <v>270</v>
      </c>
      <c r="B1140" s="2" t="s">
        <v>1146</v>
      </c>
      <c r="C1140" s="5" t="s">
        <v>1753</v>
      </c>
      <c r="D1140" s="2" t="s">
        <v>1754</v>
      </c>
    </row>
    <row r="1141" spans="1:4" ht="12.95" customHeight="1" x14ac:dyDescent="0.25">
      <c r="A1141" s="2" t="s">
        <v>270</v>
      </c>
      <c r="B1141" s="2" t="s">
        <v>1146</v>
      </c>
      <c r="C1141" s="5" t="s">
        <v>1755</v>
      </c>
      <c r="D1141" s="2" t="s">
        <v>1756</v>
      </c>
    </row>
    <row r="1142" spans="1:4" ht="12.95" customHeight="1" x14ac:dyDescent="0.25">
      <c r="A1142" s="2" t="s">
        <v>270</v>
      </c>
      <c r="B1142" s="2" t="s">
        <v>1146</v>
      </c>
      <c r="C1142" s="5" t="s">
        <v>1757</v>
      </c>
      <c r="D1142" s="2" t="s">
        <v>1758</v>
      </c>
    </row>
    <row r="1143" spans="1:4" ht="12.95" customHeight="1" x14ac:dyDescent="0.25">
      <c r="A1143" s="2" t="s">
        <v>270</v>
      </c>
      <c r="B1143" s="2" t="s">
        <v>1146</v>
      </c>
      <c r="C1143" s="5" t="s">
        <v>1759</v>
      </c>
      <c r="D1143" s="2" t="s">
        <v>1760</v>
      </c>
    </row>
    <row r="1144" spans="1:4" ht="12.95" customHeight="1" x14ac:dyDescent="0.25">
      <c r="A1144" s="2" t="s">
        <v>270</v>
      </c>
      <c r="B1144" s="2" t="s">
        <v>1146</v>
      </c>
      <c r="C1144" s="5" t="s">
        <v>1761</v>
      </c>
      <c r="D1144" s="2" t="s">
        <v>1762</v>
      </c>
    </row>
    <row r="1145" spans="1:4" ht="12.95" customHeight="1" x14ac:dyDescent="0.25">
      <c r="A1145" s="2" t="s">
        <v>270</v>
      </c>
      <c r="B1145" s="2" t="s">
        <v>1146</v>
      </c>
      <c r="C1145" s="5" t="s">
        <v>1763</v>
      </c>
      <c r="D1145" s="2" t="s">
        <v>1764</v>
      </c>
    </row>
    <row r="1146" spans="1:4" ht="12.95" customHeight="1" x14ac:dyDescent="0.25">
      <c r="A1146" s="2" t="s">
        <v>270</v>
      </c>
      <c r="B1146" s="2" t="s">
        <v>1146</v>
      </c>
      <c r="C1146" s="5" t="s">
        <v>1765</v>
      </c>
      <c r="D1146" s="2" t="s">
        <v>1766</v>
      </c>
    </row>
    <row r="1147" spans="1:4" ht="12.95" customHeight="1" x14ac:dyDescent="0.25">
      <c r="A1147" s="2" t="s">
        <v>270</v>
      </c>
      <c r="B1147" s="2" t="s">
        <v>1146</v>
      </c>
      <c r="C1147" s="5" t="s">
        <v>1767</v>
      </c>
      <c r="D1147" s="2" t="s">
        <v>1768</v>
      </c>
    </row>
    <row r="1148" spans="1:4" ht="12.95" customHeight="1" x14ac:dyDescent="0.25">
      <c r="A1148" s="2" t="s">
        <v>270</v>
      </c>
      <c r="B1148" s="2" t="s">
        <v>1146</v>
      </c>
      <c r="C1148" s="5" t="s">
        <v>1769</v>
      </c>
      <c r="D1148" s="2" t="s">
        <v>1770</v>
      </c>
    </row>
    <row r="1149" spans="1:4" ht="12.95" customHeight="1" x14ac:dyDescent="0.25">
      <c r="A1149" s="2" t="s">
        <v>270</v>
      </c>
      <c r="B1149" s="2" t="s">
        <v>1146</v>
      </c>
      <c r="C1149" s="5" t="s">
        <v>1771</v>
      </c>
      <c r="D1149" s="2" t="s">
        <v>1772</v>
      </c>
    </row>
    <row r="1150" spans="1:4" ht="12.95" customHeight="1" x14ac:dyDescent="0.25">
      <c r="A1150" s="2" t="s">
        <v>270</v>
      </c>
      <c r="B1150" s="2" t="s">
        <v>1146</v>
      </c>
      <c r="C1150" s="5" t="s">
        <v>1773</v>
      </c>
      <c r="D1150" s="2" t="s">
        <v>1774</v>
      </c>
    </row>
    <row r="1151" spans="1:4" ht="12.95" customHeight="1" x14ac:dyDescent="0.25">
      <c r="A1151" s="2" t="s">
        <v>270</v>
      </c>
      <c r="B1151" s="2" t="s">
        <v>1146</v>
      </c>
      <c r="C1151" s="5" t="s">
        <v>1775</v>
      </c>
      <c r="D1151" s="2" t="s">
        <v>1776</v>
      </c>
    </row>
    <row r="1152" spans="1:4" ht="12.95" customHeight="1" x14ac:dyDescent="0.25">
      <c r="A1152" s="2" t="s">
        <v>270</v>
      </c>
      <c r="B1152" s="2" t="s">
        <v>1146</v>
      </c>
      <c r="C1152" s="5" t="s">
        <v>1777</v>
      </c>
      <c r="D1152" s="2" t="s">
        <v>1778</v>
      </c>
    </row>
    <row r="1153" spans="1:4" ht="12.95" customHeight="1" x14ac:dyDescent="0.25">
      <c r="A1153" s="2" t="s">
        <v>270</v>
      </c>
      <c r="B1153" s="2" t="s">
        <v>1146</v>
      </c>
      <c r="C1153" s="5" t="s">
        <v>1779</v>
      </c>
      <c r="D1153" s="2" t="s">
        <v>1780</v>
      </c>
    </row>
    <row r="1154" spans="1:4" ht="12.95" customHeight="1" x14ac:dyDescent="0.25">
      <c r="A1154" s="2" t="s">
        <v>270</v>
      </c>
      <c r="B1154" s="2" t="s">
        <v>1146</v>
      </c>
      <c r="C1154" s="5" t="s">
        <v>1781</v>
      </c>
      <c r="D1154" s="2" t="s">
        <v>1782</v>
      </c>
    </row>
    <row r="1155" spans="1:4" ht="12.95" customHeight="1" x14ac:dyDescent="0.25">
      <c r="A1155" s="2" t="s">
        <v>270</v>
      </c>
      <c r="B1155" s="2" t="s">
        <v>1146</v>
      </c>
      <c r="C1155" s="5" t="s">
        <v>1783</v>
      </c>
      <c r="D1155" s="2" t="s">
        <v>1784</v>
      </c>
    </row>
    <row r="1156" spans="1:4" ht="12.95" customHeight="1" x14ac:dyDescent="0.25">
      <c r="A1156" s="2" t="s">
        <v>270</v>
      </c>
      <c r="B1156" s="2" t="s">
        <v>1146</v>
      </c>
      <c r="C1156" s="5" t="s">
        <v>1785</v>
      </c>
      <c r="D1156" s="2" t="s">
        <v>1786</v>
      </c>
    </row>
    <row r="1157" spans="1:4" ht="12.95" customHeight="1" x14ac:dyDescent="0.25">
      <c r="A1157" s="2" t="s">
        <v>270</v>
      </c>
      <c r="B1157" s="2" t="s">
        <v>1146</v>
      </c>
      <c r="C1157" s="5" t="s">
        <v>1787</v>
      </c>
      <c r="D1157" s="2" t="s">
        <v>1788</v>
      </c>
    </row>
    <row r="1158" spans="1:4" ht="12.95" customHeight="1" x14ac:dyDescent="0.25">
      <c r="A1158" s="2" t="s">
        <v>270</v>
      </c>
      <c r="B1158" s="2" t="s">
        <v>1146</v>
      </c>
      <c r="C1158" s="5" t="s">
        <v>1789</v>
      </c>
      <c r="D1158" s="2" t="s">
        <v>1790</v>
      </c>
    </row>
    <row r="1159" spans="1:4" ht="12.95" customHeight="1" x14ac:dyDescent="0.25">
      <c r="A1159" s="2" t="s">
        <v>270</v>
      </c>
      <c r="B1159" s="2" t="s">
        <v>1146</v>
      </c>
      <c r="C1159" s="5" t="s">
        <v>1791</v>
      </c>
      <c r="D1159" s="2" t="s">
        <v>1792</v>
      </c>
    </row>
    <row r="1160" spans="1:4" ht="12.95" customHeight="1" x14ac:dyDescent="0.25">
      <c r="A1160" s="2" t="s">
        <v>270</v>
      </c>
      <c r="B1160" s="2" t="s">
        <v>1146</v>
      </c>
      <c r="C1160" s="5" t="s">
        <v>1793</v>
      </c>
      <c r="D1160" s="2" t="s">
        <v>1794</v>
      </c>
    </row>
    <row r="1161" spans="1:4" ht="12.95" customHeight="1" x14ac:dyDescent="0.25">
      <c r="A1161" s="2" t="s">
        <v>270</v>
      </c>
      <c r="B1161" s="2" t="s">
        <v>1146</v>
      </c>
      <c r="C1161" s="5" t="s">
        <v>1795</v>
      </c>
      <c r="D1161" s="2" t="s">
        <v>1796</v>
      </c>
    </row>
    <row r="1162" spans="1:4" ht="12.95" customHeight="1" x14ac:dyDescent="0.25">
      <c r="A1162" s="2" t="s">
        <v>270</v>
      </c>
      <c r="B1162" s="2" t="s">
        <v>1146</v>
      </c>
      <c r="C1162" s="5" t="s">
        <v>1797</v>
      </c>
      <c r="D1162" s="2" t="s">
        <v>1798</v>
      </c>
    </row>
    <row r="1163" spans="1:4" ht="12.95" customHeight="1" x14ac:dyDescent="0.25">
      <c r="A1163" s="2" t="s">
        <v>270</v>
      </c>
      <c r="B1163" s="2" t="s">
        <v>1146</v>
      </c>
      <c r="C1163" s="5" t="s">
        <v>1799</v>
      </c>
      <c r="D1163" s="2" t="s">
        <v>1800</v>
      </c>
    </row>
    <row r="1164" spans="1:4" ht="12.95" customHeight="1" x14ac:dyDescent="0.25">
      <c r="A1164" s="2" t="s">
        <v>270</v>
      </c>
      <c r="B1164" s="2" t="s">
        <v>1146</v>
      </c>
      <c r="C1164" s="5" t="s">
        <v>1801</v>
      </c>
      <c r="D1164" s="2" t="s">
        <v>1802</v>
      </c>
    </row>
    <row r="1165" spans="1:4" ht="12.95" customHeight="1" x14ac:dyDescent="0.25">
      <c r="A1165" s="2" t="s">
        <v>270</v>
      </c>
      <c r="B1165" s="2" t="s">
        <v>1146</v>
      </c>
      <c r="C1165" s="5" t="s">
        <v>1803</v>
      </c>
      <c r="D1165" s="2" t="s">
        <v>1804</v>
      </c>
    </row>
    <row r="1166" spans="1:4" ht="12.95" customHeight="1" x14ac:dyDescent="0.25">
      <c r="A1166" s="2" t="s">
        <v>270</v>
      </c>
      <c r="B1166" s="2" t="s">
        <v>1146</v>
      </c>
      <c r="C1166" s="5" t="s">
        <v>1805</v>
      </c>
      <c r="D1166" s="2" t="s">
        <v>1806</v>
      </c>
    </row>
    <row r="1167" spans="1:4" ht="12.95" customHeight="1" x14ac:dyDescent="0.25">
      <c r="A1167" s="2" t="s">
        <v>270</v>
      </c>
      <c r="B1167" s="2" t="s">
        <v>1146</v>
      </c>
      <c r="C1167" s="5" t="s">
        <v>1807</v>
      </c>
      <c r="D1167" s="2" t="s">
        <v>1808</v>
      </c>
    </row>
    <row r="1168" spans="1:4" ht="12.95" customHeight="1" x14ac:dyDescent="0.25">
      <c r="A1168" s="2" t="s">
        <v>270</v>
      </c>
      <c r="B1168" s="2" t="s">
        <v>1146</v>
      </c>
      <c r="C1168" s="5" t="s">
        <v>1809</v>
      </c>
      <c r="D1168" s="2" t="s">
        <v>1810</v>
      </c>
    </row>
    <row r="1169" spans="1:4" ht="12.95" customHeight="1" x14ac:dyDescent="0.25">
      <c r="A1169" s="2" t="s">
        <v>270</v>
      </c>
      <c r="B1169" s="2" t="s">
        <v>1146</v>
      </c>
      <c r="C1169" s="5" t="s">
        <v>1811</v>
      </c>
      <c r="D1169" s="2" t="s">
        <v>1812</v>
      </c>
    </row>
    <row r="1170" spans="1:4" ht="12.95" customHeight="1" x14ac:dyDescent="0.25">
      <c r="A1170" s="2" t="s">
        <v>270</v>
      </c>
      <c r="B1170" s="2" t="s">
        <v>1146</v>
      </c>
      <c r="C1170" s="5" t="s">
        <v>1813</v>
      </c>
      <c r="D1170" s="2" t="s">
        <v>1814</v>
      </c>
    </row>
    <row r="1171" spans="1:4" ht="12.95" customHeight="1" x14ac:dyDescent="0.25">
      <c r="A1171" s="2" t="s">
        <v>270</v>
      </c>
      <c r="B1171" s="2" t="s">
        <v>1146</v>
      </c>
      <c r="C1171" s="5" t="s">
        <v>1815</v>
      </c>
      <c r="D1171" s="2" t="s">
        <v>1816</v>
      </c>
    </row>
    <row r="1172" spans="1:4" ht="12.95" customHeight="1" x14ac:dyDescent="0.25">
      <c r="A1172" s="2" t="s">
        <v>270</v>
      </c>
      <c r="B1172" s="2" t="s">
        <v>1146</v>
      </c>
      <c r="C1172" s="5" t="s">
        <v>1817</v>
      </c>
      <c r="D1172" s="2" t="s">
        <v>1818</v>
      </c>
    </row>
    <row r="1173" spans="1:4" ht="12.95" customHeight="1" x14ac:dyDescent="0.25">
      <c r="A1173" s="2" t="s">
        <v>270</v>
      </c>
      <c r="B1173" s="2" t="s">
        <v>1146</v>
      </c>
      <c r="C1173" s="5" t="s">
        <v>1819</v>
      </c>
      <c r="D1173" s="2" t="s">
        <v>1820</v>
      </c>
    </row>
    <row r="1174" spans="1:4" ht="12.95" customHeight="1" x14ac:dyDescent="0.25">
      <c r="A1174" s="2" t="s">
        <v>270</v>
      </c>
      <c r="B1174" s="2" t="s">
        <v>1146</v>
      </c>
      <c r="C1174" s="5" t="s">
        <v>1821</v>
      </c>
      <c r="D1174" s="2" t="s">
        <v>1822</v>
      </c>
    </row>
    <row r="1175" spans="1:4" ht="12.95" customHeight="1" x14ac:dyDescent="0.25">
      <c r="A1175" s="2" t="s">
        <v>270</v>
      </c>
      <c r="B1175" s="2" t="s">
        <v>1146</v>
      </c>
      <c r="C1175" s="5" t="s">
        <v>1823</v>
      </c>
      <c r="D1175" s="2" t="s">
        <v>1824</v>
      </c>
    </row>
    <row r="1176" spans="1:4" ht="12.95" customHeight="1" x14ac:dyDescent="0.25">
      <c r="A1176" s="2" t="s">
        <v>270</v>
      </c>
      <c r="B1176" s="2" t="s">
        <v>1146</v>
      </c>
      <c r="C1176" s="5" t="s">
        <v>1825</v>
      </c>
      <c r="D1176" s="2" t="s">
        <v>1826</v>
      </c>
    </row>
    <row r="1177" spans="1:4" ht="12.95" customHeight="1" x14ac:dyDescent="0.25">
      <c r="A1177" s="2" t="s">
        <v>270</v>
      </c>
      <c r="B1177" s="2" t="s">
        <v>1146</v>
      </c>
      <c r="C1177" s="5" t="s">
        <v>1827</v>
      </c>
      <c r="D1177" s="2" t="s">
        <v>1828</v>
      </c>
    </row>
    <row r="1178" spans="1:4" ht="12.95" customHeight="1" x14ac:dyDescent="0.25">
      <c r="A1178" s="2" t="s">
        <v>270</v>
      </c>
      <c r="B1178" s="2" t="s">
        <v>1146</v>
      </c>
      <c r="C1178" s="5" t="s">
        <v>1829</v>
      </c>
      <c r="D1178" s="2" t="s">
        <v>1830</v>
      </c>
    </row>
    <row r="1179" spans="1:4" ht="12.95" customHeight="1" x14ac:dyDescent="0.25">
      <c r="A1179" s="2" t="s">
        <v>270</v>
      </c>
      <c r="B1179" s="2" t="s">
        <v>1146</v>
      </c>
      <c r="C1179" s="5" t="s">
        <v>1831</v>
      </c>
      <c r="D1179" s="2" t="s">
        <v>1832</v>
      </c>
    </row>
    <row r="1180" spans="1:4" ht="12.95" customHeight="1" x14ac:dyDescent="0.25">
      <c r="A1180" s="2" t="s">
        <v>270</v>
      </c>
      <c r="B1180" s="2" t="s">
        <v>1146</v>
      </c>
      <c r="C1180" s="5" t="s">
        <v>1833</v>
      </c>
      <c r="D1180" s="2" t="s">
        <v>1834</v>
      </c>
    </row>
    <row r="1181" spans="1:4" ht="12.95" customHeight="1" x14ac:dyDescent="0.25">
      <c r="A1181" s="2" t="s">
        <v>270</v>
      </c>
      <c r="B1181" s="2" t="s">
        <v>1146</v>
      </c>
      <c r="C1181" s="5" t="s">
        <v>1835</v>
      </c>
      <c r="D1181" s="2" t="s">
        <v>1836</v>
      </c>
    </row>
    <row r="1182" spans="1:4" ht="12.95" customHeight="1" x14ac:dyDescent="0.25">
      <c r="A1182" s="2" t="s">
        <v>270</v>
      </c>
      <c r="B1182" s="2" t="s">
        <v>1146</v>
      </c>
      <c r="C1182" s="5" t="s">
        <v>1837</v>
      </c>
      <c r="D1182" s="2" t="s">
        <v>1838</v>
      </c>
    </row>
    <row r="1183" spans="1:4" ht="12.95" customHeight="1" x14ac:dyDescent="0.25">
      <c r="A1183" s="2" t="s">
        <v>270</v>
      </c>
      <c r="B1183" s="2" t="s">
        <v>1146</v>
      </c>
      <c r="C1183" s="5" t="s">
        <v>1839</v>
      </c>
      <c r="D1183" s="2" t="s">
        <v>1840</v>
      </c>
    </row>
    <row r="1184" spans="1:4" ht="12.95" customHeight="1" x14ac:dyDescent="0.25">
      <c r="A1184" s="2" t="s">
        <v>270</v>
      </c>
      <c r="B1184" s="2" t="s">
        <v>1146</v>
      </c>
      <c r="C1184" s="5" t="s">
        <v>1841</v>
      </c>
      <c r="D1184" s="2" t="s">
        <v>1842</v>
      </c>
    </row>
    <row r="1185" spans="1:4" ht="12.95" customHeight="1" x14ac:dyDescent="0.25">
      <c r="A1185" s="2" t="s">
        <v>270</v>
      </c>
      <c r="B1185" s="2" t="s">
        <v>1146</v>
      </c>
      <c r="C1185" s="5" t="s">
        <v>1843</v>
      </c>
      <c r="D1185" s="2" t="s">
        <v>1844</v>
      </c>
    </row>
    <row r="1186" spans="1:4" ht="12.95" customHeight="1" x14ac:dyDescent="0.25">
      <c r="A1186" s="2" t="s">
        <v>270</v>
      </c>
      <c r="B1186" s="2" t="s">
        <v>1146</v>
      </c>
      <c r="C1186" s="5" t="s">
        <v>1845</v>
      </c>
      <c r="D1186" s="2" t="s">
        <v>1846</v>
      </c>
    </row>
    <row r="1187" spans="1:4" ht="12.95" customHeight="1" x14ac:dyDescent="0.25">
      <c r="A1187" s="2" t="s">
        <v>270</v>
      </c>
      <c r="B1187" s="2" t="s">
        <v>1146</v>
      </c>
      <c r="C1187" s="5" t="s">
        <v>1847</v>
      </c>
      <c r="D1187" s="2" t="s">
        <v>1848</v>
      </c>
    </row>
    <row r="1188" spans="1:4" ht="12.95" customHeight="1" x14ac:dyDescent="0.25">
      <c r="A1188" s="2" t="s">
        <v>270</v>
      </c>
      <c r="B1188" s="2" t="s">
        <v>1146</v>
      </c>
      <c r="C1188" s="5" t="s">
        <v>1849</v>
      </c>
      <c r="D1188" s="2" t="s">
        <v>1850</v>
      </c>
    </row>
    <row r="1189" spans="1:4" ht="12.95" customHeight="1" x14ac:dyDescent="0.25">
      <c r="A1189" s="2" t="s">
        <v>270</v>
      </c>
      <c r="B1189" s="2" t="s">
        <v>1146</v>
      </c>
      <c r="C1189" s="5" t="s">
        <v>1851</v>
      </c>
      <c r="D1189" s="2" t="s">
        <v>1852</v>
      </c>
    </row>
    <row r="1190" spans="1:4" ht="12.95" customHeight="1" x14ac:dyDescent="0.25">
      <c r="A1190" s="2" t="s">
        <v>270</v>
      </c>
      <c r="B1190" s="2" t="s">
        <v>1146</v>
      </c>
      <c r="C1190" s="5" t="s">
        <v>1853</v>
      </c>
      <c r="D1190" s="2" t="s">
        <v>1854</v>
      </c>
    </row>
    <row r="1191" spans="1:4" ht="12.95" customHeight="1" x14ac:dyDescent="0.25">
      <c r="A1191" s="2" t="s">
        <v>270</v>
      </c>
      <c r="B1191" s="2" t="s">
        <v>1146</v>
      </c>
      <c r="C1191" s="5" t="s">
        <v>1855</v>
      </c>
      <c r="D1191" s="2" t="s">
        <v>1856</v>
      </c>
    </row>
    <row r="1192" spans="1:4" ht="12.95" customHeight="1" x14ac:dyDescent="0.25">
      <c r="A1192" s="2" t="s">
        <v>270</v>
      </c>
      <c r="B1192" s="2" t="s">
        <v>1146</v>
      </c>
      <c r="C1192" s="5" t="s">
        <v>1857</v>
      </c>
      <c r="D1192" s="2" t="s">
        <v>1858</v>
      </c>
    </row>
    <row r="1193" spans="1:4" ht="12.95" customHeight="1" x14ac:dyDescent="0.25">
      <c r="A1193" s="2" t="s">
        <v>270</v>
      </c>
      <c r="B1193" s="2" t="s">
        <v>1146</v>
      </c>
      <c r="C1193" s="5" t="s">
        <v>1859</v>
      </c>
      <c r="D1193" s="2" t="s">
        <v>1860</v>
      </c>
    </row>
    <row r="1194" spans="1:4" ht="12.95" customHeight="1" x14ac:dyDescent="0.25">
      <c r="A1194" s="2" t="s">
        <v>270</v>
      </c>
      <c r="B1194" s="2" t="s">
        <v>1146</v>
      </c>
      <c r="C1194" s="5" t="s">
        <v>1861</v>
      </c>
      <c r="D1194" s="2" t="s">
        <v>1862</v>
      </c>
    </row>
    <row r="1195" spans="1:4" ht="12.95" customHeight="1" x14ac:dyDescent="0.25">
      <c r="A1195" s="2" t="s">
        <v>270</v>
      </c>
      <c r="B1195" s="2" t="s">
        <v>1146</v>
      </c>
      <c r="C1195" s="5" t="s">
        <v>1863</v>
      </c>
      <c r="D1195" s="2" t="s">
        <v>1864</v>
      </c>
    </row>
    <row r="1196" spans="1:4" ht="12.95" customHeight="1" x14ac:dyDescent="0.25">
      <c r="A1196" s="2" t="s">
        <v>270</v>
      </c>
      <c r="B1196" s="2" t="s">
        <v>1146</v>
      </c>
      <c r="C1196" s="5" t="s">
        <v>1865</v>
      </c>
      <c r="D1196" s="2" t="s">
        <v>1866</v>
      </c>
    </row>
    <row r="1197" spans="1:4" ht="12.95" customHeight="1" x14ac:dyDescent="0.25">
      <c r="A1197" s="2" t="s">
        <v>270</v>
      </c>
      <c r="B1197" s="2" t="s">
        <v>1146</v>
      </c>
      <c r="C1197" s="5" t="s">
        <v>1867</v>
      </c>
      <c r="D1197" s="2" t="s">
        <v>1868</v>
      </c>
    </row>
    <row r="1198" spans="1:4" ht="12.95" customHeight="1" x14ac:dyDescent="0.25">
      <c r="A1198" s="2" t="s">
        <v>270</v>
      </c>
      <c r="B1198" s="2" t="s">
        <v>1146</v>
      </c>
      <c r="C1198" s="5" t="s">
        <v>1869</v>
      </c>
      <c r="D1198" s="2" t="s">
        <v>1870</v>
      </c>
    </row>
    <row r="1199" spans="1:4" ht="12.95" customHeight="1" x14ac:dyDescent="0.25">
      <c r="A1199" s="2" t="s">
        <v>270</v>
      </c>
      <c r="B1199" s="2" t="s">
        <v>1146</v>
      </c>
      <c r="C1199" s="5" t="s">
        <v>1871</v>
      </c>
      <c r="D1199" s="2" t="s">
        <v>1872</v>
      </c>
    </row>
    <row r="1200" spans="1:4" ht="12.95" customHeight="1" x14ac:dyDescent="0.25">
      <c r="A1200" s="2" t="s">
        <v>270</v>
      </c>
      <c r="B1200" s="2" t="s">
        <v>1146</v>
      </c>
      <c r="C1200" s="5" t="s">
        <v>1873</v>
      </c>
      <c r="D1200" s="2" t="s">
        <v>1874</v>
      </c>
    </row>
    <row r="1201" spans="1:4" ht="12.95" customHeight="1" x14ac:dyDescent="0.25">
      <c r="A1201" s="2" t="s">
        <v>270</v>
      </c>
      <c r="B1201" s="2" t="s">
        <v>1146</v>
      </c>
      <c r="C1201" s="5" t="s">
        <v>1875</v>
      </c>
      <c r="D1201" s="2" t="s">
        <v>1876</v>
      </c>
    </row>
    <row r="1202" spans="1:4" ht="12.95" customHeight="1" x14ac:dyDescent="0.25">
      <c r="A1202" s="2" t="s">
        <v>270</v>
      </c>
      <c r="B1202" s="2" t="s">
        <v>1146</v>
      </c>
      <c r="C1202" s="5" t="s">
        <v>1877</v>
      </c>
      <c r="D1202" s="2" t="s">
        <v>1878</v>
      </c>
    </row>
    <row r="1203" spans="1:4" ht="12.95" customHeight="1" x14ac:dyDescent="0.25">
      <c r="A1203" s="2" t="s">
        <v>270</v>
      </c>
      <c r="B1203" s="2" t="s">
        <v>1146</v>
      </c>
      <c r="C1203" s="5" t="s">
        <v>1879</v>
      </c>
      <c r="D1203" s="2" t="s">
        <v>1880</v>
      </c>
    </row>
    <row r="1204" spans="1:4" ht="12.95" customHeight="1" x14ac:dyDescent="0.25">
      <c r="A1204" s="2" t="s">
        <v>270</v>
      </c>
      <c r="B1204" s="2" t="s">
        <v>1146</v>
      </c>
      <c r="C1204" s="5" t="s">
        <v>1881</v>
      </c>
      <c r="D1204" s="2" t="s">
        <v>1882</v>
      </c>
    </row>
    <row r="1205" spans="1:4" ht="12.95" customHeight="1" x14ac:dyDescent="0.25">
      <c r="A1205" s="2" t="s">
        <v>270</v>
      </c>
      <c r="B1205" s="2" t="s">
        <v>1146</v>
      </c>
      <c r="C1205" s="5" t="s">
        <v>1883</v>
      </c>
      <c r="D1205" s="2" t="s">
        <v>1884</v>
      </c>
    </row>
    <row r="1206" spans="1:4" ht="12.95" customHeight="1" x14ac:dyDescent="0.25">
      <c r="A1206" s="2" t="s">
        <v>270</v>
      </c>
      <c r="B1206" s="2" t="s">
        <v>1146</v>
      </c>
      <c r="C1206" s="5" t="s">
        <v>1885</v>
      </c>
      <c r="D1206" s="2" t="s">
        <v>1886</v>
      </c>
    </row>
    <row r="1207" spans="1:4" ht="12.95" customHeight="1" x14ac:dyDescent="0.25">
      <c r="A1207" s="2" t="s">
        <v>270</v>
      </c>
      <c r="B1207" s="2" t="s">
        <v>1146</v>
      </c>
      <c r="C1207" s="5" t="s">
        <v>1887</v>
      </c>
      <c r="D1207" s="2" t="s">
        <v>1888</v>
      </c>
    </row>
    <row r="1208" spans="1:4" ht="12.95" customHeight="1" x14ac:dyDescent="0.25">
      <c r="A1208" s="2" t="s">
        <v>270</v>
      </c>
      <c r="B1208" s="2" t="s">
        <v>1146</v>
      </c>
      <c r="C1208" s="5" t="s">
        <v>1889</v>
      </c>
      <c r="D1208" s="2" t="s">
        <v>1890</v>
      </c>
    </row>
    <row r="1209" spans="1:4" ht="12.95" customHeight="1" x14ac:dyDescent="0.25">
      <c r="A1209" s="2" t="s">
        <v>270</v>
      </c>
      <c r="B1209" s="2" t="s">
        <v>1146</v>
      </c>
      <c r="C1209" s="5" t="s">
        <v>1891</v>
      </c>
      <c r="D1209" s="2" t="s">
        <v>1892</v>
      </c>
    </row>
    <row r="1210" spans="1:4" ht="12.95" customHeight="1" x14ac:dyDescent="0.25">
      <c r="A1210" s="2" t="s">
        <v>270</v>
      </c>
      <c r="B1210" s="2" t="s">
        <v>1146</v>
      </c>
      <c r="C1210" s="5" t="s">
        <v>1893</v>
      </c>
      <c r="D1210" s="2" t="s">
        <v>1894</v>
      </c>
    </row>
    <row r="1211" spans="1:4" ht="12.95" customHeight="1" x14ac:dyDescent="0.25">
      <c r="A1211" s="2" t="s">
        <v>270</v>
      </c>
      <c r="B1211" s="2" t="s">
        <v>1146</v>
      </c>
      <c r="C1211" s="5" t="s">
        <v>1895</v>
      </c>
      <c r="D1211" s="2" t="s">
        <v>1896</v>
      </c>
    </row>
    <row r="1212" spans="1:4" ht="12.95" customHeight="1" x14ac:dyDescent="0.25">
      <c r="A1212" s="2" t="s">
        <v>270</v>
      </c>
      <c r="B1212" s="2" t="s">
        <v>1146</v>
      </c>
      <c r="C1212" s="5" t="s">
        <v>1897</v>
      </c>
      <c r="D1212" s="2" t="s">
        <v>1898</v>
      </c>
    </row>
    <row r="1213" spans="1:4" ht="12.95" customHeight="1" x14ac:dyDescent="0.25">
      <c r="A1213" s="2" t="s">
        <v>270</v>
      </c>
      <c r="B1213" s="2" t="s">
        <v>1146</v>
      </c>
      <c r="C1213" s="5" t="s">
        <v>1899</v>
      </c>
      <c r="D1213" s="2" t="s">
        <v>1900</v>
      </c>
    </row>
    <row r="1214" spans="1:4" ht="12.95" customHeight="1" x14ac:dyDescent="0.25">
      <c r="A1214" s="2" t="s">
        <v>270</v>
      </c>
      <c r="B1214" s="2" t="s">
        <v>1146</v>
      </c>
      <c r="C1214" s="5" t="s">
        <v>1901</v>
      </c>
      <c r="D1214" s="2" t="s">
        <v>1902</v>
      </c>
    </row>
    <row r="1215" spans="1:4" ht="12.95" customHeight="1" x14ac:dyDescent="0.25">
      <c r="A1215" s="2" t="s">
        <v>270</v>
      </c>
      <c r="B1215" s="2" t="s">
        <v>1146</v>
      </c>
      <c r="C1215" s="5" t="s">
        <v>1903</v>
      </c>
      <c r="D1215" s="2" t="s">
        <v>1904</v>
      </c>
    </row>
    <row r="1216" spans="1:4" ht="12.95" customHeight="1" x14ac:dyDescent="0.25">
      <c r="A1216" s="2" t="s">
        <v>270</v>
      </c>
      <c r="B1216" s="2" t="s">
        <v>1146</v>
      </c>
      <c r="C1216" s="5" t="s">
        <v>1905</v>
      </c>
      <c r="D1216" s="2" t="s">
        <v>1906</v>
      </c>
    </row>
    <row r="1217" spans="1:4" ht="12.95" customHeight="1" x14ac:dyDescent="0.25">
      <c r="A1217" s="2" t="s">
        <v>270</v>
      </c>
      <c r="B1217" s="2" t="s">
        <v>1146</v>
      </c>
      <c r="C1217" s="5" t="s">
        <v>1907</v>
      </c>
      <c r="D1217" s="2" t="s">
        <v>1908</v>
      </c>
    </row>
    <row r="1218" spans="1:4" ht="12.95" customHeight="1" x14ac:dyDescent="0.25">
      <c r="A1218" s="2" t="s">
        <v>270</v>
      </c>
      <c r="B1218" s="2" t="s">
        <v>1146</v>
      </c>
      <c r="C1218" s="5" t="s">
        <v>1909</v>
      </c>
      <c r="D1218" s="2" t="s">
        <v>1910</v>
      </c>
    </row>
    <row r="1219" spans="1:4" ht="12.95" customHeight="1" x14ac:dyDescent="0.25">
      <c r="A1219" s="2" t="s">
        <v>270</v>
      </c>
      <c r="B1219" s="2" t="s">
        <v>1146</v>
      </c>
      <c r="C1219" s="5" t="s">
        <v>1911</v>
      </c>
      <c r="D1219" s="2" t="s">
        <v>1912</v>
      </c>
    </row>
    <row r="1220" spans="1:4" ht="12.95" customHeight="1" x14ac:dyDescent="0.25">
      <c r="A1220" s="2" t="s">
        <v>270</v>
      </c>
      <c r="B1220" s="2" t="s">
        <v>1146</v>
      </c>
      <c r="C1220" s="5" t="s">
        <v>1913</v>
      </c>
      <c r="D1220" s="2" t="s">
        <v>1914</v>
      </c>
    </row>
    <row r="1221" spans="1:4" ht="12.95" customHeight="1" x14ac:dyDescent="0.25">
      <c r="A1221" s="2" t="s">
        <v>270</v>
      </c>
      <c r="B1221" s="2" t="s">
        <v>1146</v>
      </c>
      <c r="C1221" s="5" t="s">
        <v>1915</v>
      </c>
      <c r="D1221" s="2" t="s">
        <v>1916</v>
      </c>
    </row>
    <row r="1222" spans="1:4" ht="12.95" customHeight="1" x14ac:dyDescent="0.25">
      <c r="A1222" s="2" t="s">
        <v>270</v>
      </c>
      <c r="B1222" s="2" t="s">
        <v>1146</v>
      </c>
      <c r="C1222" s="5" t="s">
        <v>1917</v>
      </c>
      <c r="D1222" s="2" t="s">
        <v>1918</v>
      </c>
    </row>
    <row r="1223" spans="1:4" ht="12.95" customHeight="1" x14ac:dyDescent="0.25">
      <c r="A1223" s="2" t="s">
        <v>270</v>
      </c>
      <c r="B1223" s="2" t="s">
        <v>1146</v>
      </c>
      <c r="C1223" s="5" t="s">
        <v>1919</v>
      </c>
      <c r="D1223" s="2" t="s">
        <v>1920</v>
      </c>
    </row>
    <row r="1224" spans="1:4" ht="12.95" customHeight="1" x14ac:dyDescent="0.25">
      <c r="A1224" s="2" t="s">
        <v>270</v>
      </c>
      <c r="B1224" s="2" t="s">
        <v>1146</v>
      </c>
      <c r="C1224" s="5" t="s">
        <v>1921</v>
      </c>
      <c r="D1224" s="2" t="s">
        <v>1922</v>
      </c>
    </row>
    <row r="1225" spans="1:4" ht="12.95" customHeight="1" x14ac:dyDescent="0.25">
      <c r="A1225" s="2" t="s">
        <v>270</v>
      </c>
      <c r="B1225" s="2" t="s">
        <v>1146</v>
      </c>
      <c r="C1225" s="5" t="s">
        <v>1923</v>
      </c>
      <c r="D1225" s="2" t="s">
        <v>1924</v>
      </c>
    </row>
    <row r="1226" spans="1:4" ht="12.95" customHeight="1" x14ac:dyDescent="0.25">
      <c r="A1226" s="2" t="s">
        <v>270</v>
      </c>
      <c r="B1226" s="2" t="s">
        <v>1146</v>
      </c>
      <c r="C1226" s="5" t="s">
        <v>1925</v>
      </c>
      <c r="D1226" s="2" t="s">
        <v>1926</v>
      </c>
    </row>
    <row r="1227" spans="1:4" ht="12.95" customHeight="1" x14ac:dyDescent="0.25">
      <c r="A1227" s="2" t="s">
        <v>270</v>
      </c>
      <c r="B1227" s="2" t="s">
        <v>1146</v>
      </c>
      <c r="C1227" s="5" t="s">
        <v>1927</v>
      </c>
      <c r="D1227" s="2" t="s">
        <v>1928</v>
      </c>
    </row>
    <row r="1228" spans="1:4" ht="12.95" customHeight="1" x14ac:dyDescent="0.25">
      <c r="A1228" s="2" t="s">
        <v>270</v>
      </c>
      <c r="B1228" s="2" t="s">
        <v>1146</v>
      </c>
      <c r="C1228" s="5" t="s">
        <v>1929</v>
      </c>
      <c r="D1228" s="2" t="s">
        <v>1930</v>
      </c>
    </row>
    <row r="1229" spans="1:4" ht="12.95" customHeight="1" x14ac:dyDescent="0.25">
      <c r="A1229" s="2" t="s">
        <v>270</v>
      </c>
      <c r="B1229" s="2" t="s">
        <v>1146</v>
      </c>
      <c r="C1229" s="5" t="s">
        <v>1931</v>
      </c>
      <c r="D1229" s="2" t="s">
        <v>1932</v>
      </c>
    </row>
    <row r="1230" spans="1:4" ht="12.95" customHeight="1" x14ac:dyDescent="0.25">
      <c r="A1230" s="2" t="s">
        <v>270</v>
      </c>
      <c r="B1230" s="2" t="s">
        <v>1146</v>
      </c>
      <c r="C1230" s="5" t="s">
        <v>1933</v>
      </c>
      <c r="D1230" s="2" t="s">
        <v>1934</v>
      </c>
    </row>
    <row r="1231" spans="1:4" ht="12.95" customHeight="1" x14ac:dyDescent="0.25">
      <c r="A1231" s="2" t="s">
        <v>270</v>
      </c>
      <c r="B1231" s="2" t="s">
        <v>1146</v>
      </c>
      <c r="C1231" s="5" t="s">
        <v>1935</v>
      </c>
      <c r="D1231" s="2" t="s">
        <v>1936</v>
      </c>
    </row>
    <row r="1232" spans="1:4" ht="12.95" customHeight="1" x14ac:dyDescent="0.25">
      <c r="A1232" s="2" t="s">
        <v>270</v>
      </c>
      <c r="B1232" s="2" t="s">
        <v>1146</v>
      </c>
      <c r="C1232" s="5" t="s">
        <v>1937</v>
      </c>
      <c r="D1232" s="2" t="s">
        <v>1938</v>
      </c>
    </row>
    <row r="1233" spans="1:4" ht="12.95" customHeight="1" x14ac:dyDescent="0.25">
      <c r="A1233" s="2" t="s">
        <v>270</v>
      </c>
      <c r="B1233" s="2" t="s">
        <v>1146</v>
      </c>
      <c r="C1233" s="5" t="s">
        <v>1939</v>
      </c>
      <c r="D1233" s="2" t="s">
        <v>1940</v>
      </c>
    </row>
    <row r="1234" spans="1:4" ht="12.95" customHeight="1" x14ac:dyDescent="0.25">
      <c r="A1234" s="2" t="s">
        <v>270</v>
      </c>
      <c r="B1234" s="2" t="s">
        <v>1146</v>
      </c>
      <c r="C1234" s="5" t="s">
        <v>1941</v>
      </c>
      <c r="D1234" s="2" t="s">
        <v>1942</v>
      </c>
    </row>
    <row r="1235" spans="1:4" ht="12.95" customHeight="1" x14ac:dyDescent="0.25">
      <c r="A1235" s="2" t="s">
        <v>270</v>
      </c>
      <c r="B1235" s="2" t="s">
        <v>1146</v>
      </c>
      <c r="C1235" s="5" t="s">
        <v>1943</v>
      </c>
      <c r="D1235" s="2" t="s">
        <v>1944</v>
      </c>
    </row>
    <row r="1236" spans="1:4" ht="12.95" customHeight="1" x14ac:dyDescent="0.25">
      <c r="A1236" s="2" t="s">
        <v>270</v>
      </c>
      <c r="B1236" s="2" t="s">
        <v>1146</v>
      </c>
      <c r="C1236" s="5" t="s">
        <v>1945</v>
      </c>
      <c r="D1236" s="2" t="s">
        <v>1946</v>
      </c>
    </row>
    <row r="1237" spans="1:4" ht="12.95" customHeight="1" x14ac:dyDescent="0.25">
      <c r="A1237" s="2" t="s">
        <v>270</v>
      </c>
      <c r="B1237" s="2" t="s">
        <v>1146</v>
      </c>
      <c r="C1237" s="5" t="s">
        <v>1947</v>
      </c>
      <c r="D1237" s="2" t="s">
        <v>1948</v>
      </c>
    </row>
    <row r="1238" spans="1:4" ht="12.95" customHeight="1" x14ac:dyDescent="0.25">
      <c r="A1238" s="2" t="s">
        <v>270</v>
      </c>
      <c r="B1238" s="2" t="s">
        <v>1146</v>
      </c>
      <c r="C1238" s="5" t="s">
        <v>1949</v>
      </c>
      <c r="D1238" s="2" t="s">
        <v>1950</v>
      </c>
    </row>
    <row r="1239" spans="1:4" ht="12.95" customHeight="1" x14ac:dyDescent="0.25">
      <c r="A1239" s="2" t="s">
        <v>270</v>
      </c>
      <c r="B1239" s="2" t="s">
        <v>1146</v>
      </c>
      <c r="C1239" s="5" t="s">
        <v>1951</v>
      </c>
      <c r="D1239" s="2" t="s">
        <v>1952</v>
      </c>
    </row>
    <row r="1240" spans="1:4" ht="12.95" customHeight="1" x14ac:dyDescent="0.25">
      <c r="A1240" s="2" t="s">
        <v>270</v>
      </c>
      <c r="B1240" s="2" t="s">
        <v>1146</v>
      </c>
      <c r="C1240" s="5" t="s">
        <v>1953</v>
      </c>
      <c r="D1240" s="2" t="s">
        <v>1954</v>
      </c>
    </row>
    <row r="1241" spans="1:4" ht="12.95" customHeight="1" x14ac:dyDescent="0.25">
      <c r="A1241" s="2" t="s">
        <v>270</v>
      </c>
      <c r="B1241" s="2" t="s">
        <v>1146</v>
      </c>
      <c r="C1241" s="5" t="s">
        <v>1955</v>
      </c>
      <c r="D1241" s="2" t="s">
        <v>1956</v>
      </c>
    </row>
    <row r="1242" spans="1:4" ht="12.95" customHeight="1" x14ac:dyDescent="0.25">
      <c r="A1242" s="2" t="s">
        <v>270</v>
      </c>
      <c r="B1242" s="2" t="s">
        <v>1146</v>
      </c>
      <c r="C1242" s="5" t="s">
        <v>1957</v>
      </c>
      <c r="D1242" s="2" t="s">
        <v>1958</v>
      </c>
    </row>
    <row r="1243" spans="1:4" ht="12.95" customHeight="1" x14ac:dyDescent="0.25">
      <c r="A1243" s="2" t="s">
        <v>270</v>
      </c>
      <c r="B1243" s="2" t="s">
        <v>1146</v>
      </c>
      <c r="C1243" s="5" t="s">
        <v>1959</v>
      </c>
      <c r="D1243" s="2" t="s">
        <v>1960</v>
      </c>
    </row>
    <row r="1244" spans="1:4" ht="12.95" customHeight="1" x14ac:dyDescent="0.25">
      <c r="A1244" s="2" t="s">
        <v>270</v>
      </c>
      <c r="B1244" s="2" t="s">
        <v>1146</v>
      </c>
      <c r="C1244" s="5" t="s">
        <v>1961</v>
      </c>
      <c r="D1244" s="2" t="s">
        <v>1962</v>
      </c>
    </row>
    <row r="1245" spans="1:4" ht="12.95" customHeight="1" x14ac:dyDescent="0.25">
      <c r="A1245" s="2" t="s">
        <v>270</v>
      </c>
      <c r="B1245" s="2" t="s">
        <v>1146</v>
      </c>
      <c r="C1245" s="5" t="s">
        <v>1963</v>
      </c>
      <c r="D1245" s="2" t="s">
        <v>1964</v>
      </c>
    </row>
    <row r="1246" spans="1:4" ht="12.95" customHeight="1" x14ac:dyDescent="0.25">
      <c r="A1246" s="2" t="s">
        <v>270</v>
      </c>
      <c r="B1246" s="2" t="s">
        <v>1146</v>
      </c>
      <c r="C1246" s="5" t="s">
        <v>1965</v>
      </c>
      <c r="D1246" s="2" t="s">
        <v>1966</v>
      </c>
    </row>
    <row r="1247" spans="1:4" ht="12.95" customHeight="1" x14ac:dyDescent="0.25">
      <c r="A1247" s="2" t="s">
        <v>270</v>
      </c>
      <c r="B1247" s="2" t="s">
        <v>1146</v>
      </c>
      <c r="C1247" s="5" t="s">
        <v>1967</v>
      </c>
      <c r="D1247" s="2" t="s">
        <v>1968</v>
      </c>
    </row>
    <row r="1248" spans="1:4" ht="12.95" customHeight="1" x14ac:dyDescent="0.25">
      <c r="A1248" s="2" t="s">
        <v>270</v>
      </c>
      <c r="B1248" s="2" t="s">
        <v>1146</v>
      </c>
      <c r="C1248" s="5" t="s">
        <v>1969</v>
      </c>
      <c r="D1248" s="2" t="s">
        <v>1970</v>
      </c>
    </row>
    <row r="1249" spans="1:4" ht="12.95" customHeight="1" x14ac:dyDescent="0.25">
      <c r="A1249" s="2" t="s">
        <v>270</v>
      </c>
      <c r="B1249" s="2" t="s">
        <v>1146</v>
      </c>
      <c r="C1249" s="5" t="s">
        <v>1971</v>
      </c>
      <c r="D1249" s="2" t="s">
        <v>1972</v>
      </c>
    </row>
    <row r="1250" spans="1:4" ht="12.95" customHeight="1" x14ac:dyDescent="0.25">
      <c r="A1250" s="2" t="s">
        <v>270</v>
      </c>
      <c r="B1250" s="2" t="s">
        <v>1146</v>
      </c>
      <c r="C1250" s="5" t="s">
        <v>1973</v>
      </c>
      <c r="D1250" s="2" t="s">
        <v>1974</v>
      </c>
    </row>
    <row r="1251" spans="1:4" ht="12.95" customHeight="1" x14ac:dyDescent="0.25">
      <c r="A1251" s="2" t="s">
        <v>270</v>
      </c>
      <c r="B1251" s="2" t="s">
        <v>1146</v>
      </c>
      <c r="C1251" s="5" t="s">
        <v>1975</v>
      </c>
      <c r="D1251" s="2" t="s">
        <v>1976</v>
      </c>
    </row>
    <row r="1252" spans="1:4" ht="12.95" customHeight="1" x14ac:dyDescent="0.25">
      <c r="A1252" s="2" t="s">
        <v>270</v>
      </c>
      <c r="B1252" s="2" t="s">
        <v>1146</v>
      </c>
      <c r="C1252" s="5" t="s">
        <v>1977</v>
      </c>
      <c r="D1252" s="2" t="s">
        <v>1978</v>
      </c>
    </row>
    <row r="1253" spans="1:4" ht="12.95" customHeight="1" x14ac:dyDescent="0.25">
      <c r="A1253" s="2" t="s">
        <v>270</v>
      </c>
      <c r="B1253" s="2" t="s">
        <v>1146</v>
      </c>
      <c r="C1253" s="5" t="s">
        <v>1979</v>
      </c>
      <c r="D1253" s="2" t="s">
        <v>1980</v>
      </c>
    </row>
    <row r="1254" spans="1:4" ht="12.95" customHeight="1" x14ac:dyDescent="0.25">
      <c r="A1254" s="2" t="s">
        <v>270</v>
      </c>
      <c r="B1254" s="2" t="s">
        <v>1146</v>
      </c>
      <c r="C1254" s="5" t="s">
        <v>1981</v>
      </c>
      <c r="D1254" s="2" t="s">
        <v>1982</v>
      </c>
    </row>
    <row r="1255" spans="1:4" ht="12.95" customHeight="1" x14ac:dyDescent="0.25">
      <c r="A1255" s="2" t="s">
        <v>270</v>
      </c>
      <c r="B1255" s="2" t="s">
        <v>1146</v>
      </c>
      <c r="C1255" s="5" t="s">
        <v>1983</v>
      </c>
      <c r="D1255" s="2" t="s">
        <v>1984</v>
      </c>
    </row>
    <row r="1256" spans="1:4" ht="12.95" customHeight="1" x14ac:dyDescent="0.25">
      <c r="A1256" s="2" t="s">
        <v>270</v>
      </c>
      <c r="B1256" s="2" t="s">
        <v>1146</v>
      </c>
      <c r="C1256" s="5" t="s">
        <v>1985</v>
      </c>
      <c r="D1256" s="2" t="s">
        <v>1986</v>
      </c>
    </row>
    <row r="1257" spans="1:4" ht="12.95" customHeight="1" x14ac:dyDescent="0.25">
      <c r="A1257" s="2" t="s">
        <v>270</v>
      </c>
      <c r="B1257" s="2" t="s">
        <v>1146</v>
      </c>
      <c r="C1257" s="5" t="s">
        <v>1987</v>
      </c>
      <c r="D1257" s="2" t="s">
        <v>1988</v>
      </c>
    </row>
    <row r="1258" spans="1:4" ht="12.95" customHeight="1" x14ac:dyDescent="0.25">
      <c r="A1258" s="2" t="s">
        <v>270</v>
      </c>
      <c r="B1258" s="2" t="s">
        <v>1146</v>
      </c>
      <c r="C1258" s="5" t="s">
        <v>1989</v>
      </c>
      <c r="D1258" s="2" t="s">
        <v>1990</v>
      </c>
    </row>
    <row r="1259" spans="1:4" ht="12.95" customHeight="1" x14ac:dyDescent="0.25">
      <c r="A1259" s="2" t="s">
        <v>270</v>
      </c>
      <c r="B1259" s="2" t="s">
        <v>1146</v>
      </c>
      <c r="C1259" s="5" t="s">
        <v>1991</v>
      </c>
      <c r="D1259" s="2" t="s">
        <v>1992</v>
      </c>
    </row>
    <row r="1260" spans="1:4" ht="12.95" customHeight="1" x14ac:dyDescent="0.25">
      <c r="A1260" s="2" t="s">
        <v>270</v>
      </c>
      <c r="B1260" s="2" t="s">
        <v>1146</v>
      </c>
      <c r="C1260" s="5" t="s">
        <v>1993</v>
      </c>
      <c r="D1260" s="2" t="s">
        <v>1994</v>
      </c>
    </row>
    <row r="1261" spans="1:4" ht="12.95" customHeight="1" x14ac:dyDescent="0.25">
      <c r="A1261" s="2" t="s">
        <v>270</v>
      </c>
      <c r="B1261" s="2" t="s">
        <v>1146</v>
      </c>
      <c r="C1261" s="5" t="s">
        <v>1995</v>
      </c>
      <c r="D1261" s="2" t="s">
        <v>1996</v>
      </c>
    </row>
    <row r="1262" spans="1:4" ht="12.95" customHeight="1" x14ac:dyDescent="0.25">
      <c r="A1262" s="2" t="s">
        <v>270</v>
      </c>
      <c r="B1262" s="2" t="s">
        <v>1146</v>
      </c>
      <c r="C1262" s="5" t="s">
        <v>1997</v>
      </c>
      <c r="D1262" s="2" t="s">
        <v>1998</v>
      </c>
    </row>
    <row r="1263" spans="1:4" ht="12.95" customHeight="1" x14ac:dyDescent="0.25">
      <c r="A1263" s="2" t="s">
        <v>270</v>
      </c>
      <c r="B1263" s="2" t="s">
        <v>1146</v>
      </c>
      <c r="C1263" s="5" t="s">
        <v>1999</v>
      </c>
      <c r="D1263" s="2" t="s">
        <v>2000</v>
      </c>
    </row>
    <row r="1264" spans="1:4" ht="12.95" customHeight="1" x14ac:dyDescent="0.25">
      <c r="A1264" s="2" t="s">
        <v>270</v>
      </c>
      <c r="B1264" s="2" t="s">
        <v>1146</v>
      </c>
      <c r="C1264" s="5" t="s">
        <v>2001</v>
      </c>
      <c r="D1264" s="2" t="s">
        <v>2002</v>
      </c>
    </row>
    <row r="1265" spans="1:4" ht="12.95" customHeight="1" x14ac:dyDescent="0.25">
      <c r="A1265" s="2" t="s">
        <v>270</v>
      </c>
      <c r="B1265" s="2" t="s">
        <v>1146</v>
      </c>
      <c r="C1265" s="5" t="s">
        <v>2003</v>
      </c>
      <c r="D1265" s="2" t="s">
        <v>2004</v>
      </c>
    </row>
    <row r="1266" spans="1:4" ht="12.95" customHeight="1" x14ac:dyDescent="0.25">
      <c r="A1266" s="2" t="s">
        <v>270</v>
      </c>
      <c r="B1266" s="2" t="s">
        <v>1146</v>
      </c>
      <c r="C1266" s="5" t="s">
        <v>2005</v>
      </c>
      <c r="D1266" s="2" t="s">
        <v>2006</v>
      </c>
    </row>
    <row r="1267" spans="1:4" ht="12.95" customHeight="1" x14ac:dyDescent="0.25">
      <c r="A1267" s="2" t="s">
        <v>270</v>
      </c>
      <c r="B1267" s="2" t="s">
        <v>1146</v>
      </c>
      <c r="C1267" s="5" t="s">
        <v>2007</v>
      </c>
      <c r="D1267" s="2" t="s">
        <v>2008</v>
      </c>
    </row>
    <row r="1268" spans="1:4" ht="12.95" customHeight="1" x14ac:dyDescent="0.25">
      <c r="A1268" s="2" t="s">
        <v>270</v>
      </c>
      <c r="B1268" s="2" t="s">
        <v>1146</v>
      </c>
      <c r="C1268" s="5" t="s">
        <v>2009</v>
      </c>
      <c r="D1268" s="2" t="s">
        <v>2010</v>
      </c>
    </row>
    <row r="1269" spans="1:4" ht="12.95" customHeight="1" x14ac:dyDescent="0.25">
      <c r="A1269" s="2" t="s">
        <v>270</v>
      </c>
      <c r="B1269" s="2" t="s">
        <v>1146</v>
      </c>
      <c r="C1269" s="5" t="s">
        <v>2011</v>
      </c>
      <c r="D1269" s="2" t="s">
        <v>2012</v>
      </c>
    </row>
    <row r="1270" spans="1:4" ht="12.95" customHeight="1" x14ac:dyDescent="0.25">
      <c r="A1270" s="2" t="s">
        <v>270</v>
      </c>
      <c r="B1270" s="2" t="s">
        <v>1146</v>
      </c>
      <c r="C1270" s="5" t="s">
        <v>2013</v>
      </c>
      <c r="D1270" s="2" t="s">
        <v>2014</v>
      </c>
    </row>
    <row r="1271" spans="1:4" ht="12.95" customHeight="1" x14ac:dyDescent="0.25">
      <c r="A1271" s="2" t="s">
        <v>270</v>
      </c>
      <c r="B1271" s="2" t="s">
        <v>1146</v>
      </c>
      <c r="C1271" s="5" t="s">
        <v>2015</v>
      </c>
      <c r="D1271" s="2" t="s">
        <v>2016</v>
      </c>
    </row>
    <row r="1272" spans="1:4" ht="12.95" customHeight="1" x14ac:dyDescent="0.25">
      <c r="A1272" s="2" t="s">
        <v>270</v>
      </c>
      <c r="B1272" s="2" t="s">
        <v>1146</v>
      </c>
      <c r="C1272" s="5" t="s">
        <v>2017</v>
      </c>
      <c r="D1272" s="2" t="s">
        <v>2018</v>
      </c>
    </row>
    <row r="1273" spans="1:4" ht="12.95" customHeight="1" x14ac:dyDescent="0.25">
      <c r="A1273" s="2" t="s">
        <v>270</v>
      </c>
      <c r="B1273" s="2" t="s">
        <v>1146</v>
      </c>
      <c r="C1273" s="5" t="s">
        <v>2019</v>
      </c>
      <c r="D1273" s="2" t="s">
        <v>2020</v>
      </c>
    </row>
    <row r="1274" spans="1:4" ht="12.95" customHeight="1" x14ac:dyDescent="0.25">
      <c r="A1274" s="2" t="s">
        <v>270</v>
      </c>
      <c r="B1274" s="2" t="s">
        <v>1146</v>
      </c>
      <c r="C1274" s="5" t="s">
        <v>2021</v>
      </c>
      <c r="D1274" s="2" t="s">
        <v>2022</v>
      </c>
    </row>
    <row r="1275" spans="1:4" ht="12.95" customHeight="1" x14ac:dyDescent="0.25">
      <c r="A1275" s="2" t="s">
        <v>270</v>
      </c>
      <c r="B1275" s="2" t="s">
        <v>1146</v>
      </c>
      <c r="C1275" s="5" t="s">
        <v>2023</v>
      </c>
      <c r="D1275" s="2" t="s">
        <v>2024</v>
      </c>
    </row>
    <row r="1276" spans="1:4" ht="12.95" customHeight="1" x14ac:dyDescent="0.25">
      <c r="A1276" s="2" t="s">
        <v>270</v>
      </c>
      <c r="B1276" s="2" t="s">
        <v>1146</v>
      </c>
      <c r="C1276" s="5" t="s">
        <v>2025</v>
      </c>
      <c r="D1276" s="2" t="s">
        <v>2026</v>
      </c>
    </row>
    <row r="1277" spans="1:4" ht="12.95" customHeight="1" x14ac:dyDescent="0.25">
      <c r="A1277" s="2" t="s">
        <v>270</v>
      </c>
      <c r="B1277" s="2" t="s">
        <v>1146</v>
      </c>
      <c r="C1277" s="5" t="s">
        <v>2027</v>
      </c>
      <c r="D1277" s="2" t="s">
        <v>2028</v>
      </c>
    </row>
    <row r="1278" spans="1:4" ht="12.95" customHeight="1" x14ac:dyDescent="0.25">
      <c r="A1278" s="2" t="s">
        <v>270</v>
      </c>
      <c r="B1278" s="2" t="s">
        <v>1146</v>
      </c>
      <c r="C1278" s="5" t="s">
        <v>2029</v>
      </c>
      <c r="D1278" s="2" t="s">
        <v>2030</v>
      </c>
    </row>
    <row r="1279" spans="1:4" ht="12.95" customHeight="1" x14ac:dyDescent="0.25">
      <c r="A1279" s="2" t="s">
        <v>270</v>
      </c>
      <c r="B1279" s="2" t="s">
        <v>1146</v>
      </c>
      <c r="C1279" s="5" t="s">
        <v>2031</v>
      </c>
      <c r="D1279" s="2" t="s">
        <v>2032</v>
      </c>
    </row>
    <row r="1280" spans="1:4" ht="12.95" customHeight="1" x14ac:dyDescent="0.25">
      <c r="A1280" s="2" t="s">
        <v>270</v>
      </c>
      <c r="B1280" s="2" t="s">
        <v>1146</v>
      </c>
      <c r="C1280" s="5" t="s">
        <v>2033</v>
      </c>
      <c r="D1280" s="2" t="s">
        <v>2034</v>
      </c>
    </row>
    <row r="1281" spans="1:4" ht="12.95" customHeight="1" x14ac:dyDescent="0.25">
      <c r="A1281" s="2" t="s">
        <v>270</v>
      </c>
      <c r="B1281" s="2" t="s">
        <v>1146</v>
      </c>
      <c r="C1281" s="5" t="s">
        <v>2035</v>
      </c>
      <c r="D1281" s="2" t="s">
        <v>2036</v>
      </c>
    </row>
    <row r="1282" spans="1:4" ht="12.95" customHeight="1" x14ac:dyDescent="0.25">
      <c r="A1282" s="2" t="s">
        <v>270</v>
      </c>
      <c r="B1282" s="2" t="s">
        <v>1146</v>
      </c>
      <c r="C1282" s="5" t="s">
        <v>2037</v>
      </c>
      <c r="D1282" s="2" t="s">
        <v>2038</v>
      </c>
    </row>
    <row r="1283" spans="1:4" ht="12.95" customHeight="1" x14ac:dyDescent="0.25">
      <c r="A1283" s="2" t="s">
        <v>270</v>
      </c>
      <c r="B1283" s="2" t="s">
        <v>1146</v>
      </c>
      <c r="C1283" s="5" t="s">
        <v>2039</v>
      </c>
      <c r="D1283" s="2" t="s">
        <v>2040</v>
      </c>
    </row>
    <row r="1284" spans="1:4" ht="12.95" customHeight="1" x14ac:dyDescent="0.25">
      <c r="A1284" s="2" t="s">
        <v>270</v>
      </c>
      <c r="B1284" s="2" t="s">
        <v>1146</v>
      </c>
      <c r="C1284" s="5" t="s">
        <v>2041</v>
      </c>
      <c r="D1284" s="2" t="s">
        <v>2042</v>
      </c>
    </row>
    <row r="1285" spans="1:4" ht="12.95" customHeight="1" x14ac:dyDescent="0.25">
      <c r="A1285" s="2" t="s">
        <v>270</v>
      </c>
      <c r="B1285" s="2" t="s">
        <v>1146</v>
      </c>
      <c r="C1285" s="5" t="s">
        <v>2043</v>
      </c>
      <c r="D1285" s="2" t="s">
        <v>2044</v>
      </c>
    </row>
    <row r="1286" spans="1:4" ht="12.95" customHeight="1" x14ac:dyDescent="0.25">
      <c r="A1286" s="2" t="s">
        <v>270</v>
      </c>
      <c r="B1286" s="2" t="s">
        <v>1146</v>
      </c>
      <c r="C1286" s="5" t="s">
        <v>2045</v>
      </c>
      <c r="D1286" s="2" t="s">
        <v>2046</v>
      </c>
    </row>
    <row r="1287" spans="1:4" ht="12.95" customHeight="1" x14ac:dyDescent="0.25">
      <c r="A1287" s="2" t="s">
        <v>270</v>
      </c>
      <c r="B1287" s="2" t="s">
        <v>1146</v>
      </c>
      <c r="C1287" s="5" t="s">
        <v>2047</v>
      </c>
      <c r="D1287" s="2" t="s">
        <v>2048</v>
      </c>
    </row>
    <row r="1288" spans="1:4" ht="12.95" customHeight="1" x14ac:dyDescent="0.25">
      <c r="A1288" s="2" t="s">
        <v>270</v>
      </c>
      <c r="B1288" s="2" t="s">
        <v>1146</v>
      </c>
      <c r="C1288" s="5" t="s">
        <v>2049</v>
      </c>
      <c r="D1288" s="2" t="s">
        <v>2050</v>
      </c>
    </row>
    <row r="1289" spans="1:4" ht="12.95" customHeight="1" x14ac:dyDescent="0.25">
      <c r="A1289" s="2" t="s">
        <v>270</v>
      </c>
      <c r="B1289" s="2" t="s">
        <v>1146</v>
      </c>
      <c r="C1289" s="5" t="s">
        <v>2051</v>
      </c>
      <c r="D1289" s="2" t="s">
        <v>2052</v>
      </c>
    </row>
    <row r="1290" spans="1:4" ht="12.95" customHeight="1" x14ac:dyDescent="0.25">
      <c r="A1290" s="2" t="s">
        <v>270</v>
      </c>
      <c r="B1290" s="2" t="s">
        <v>1146</v>
      </c>
      <c r="C1290" s="5" t="s">
        <v>2053</v>
      </c>
      <c r="D1290" s="2" t="s">
        <v>2054</v>
      </c>
    </row>
    <row r="1291" spans="1:4" ht="12.95" customHeight="1" x14ac:dyDescent="0.25">
      <c r="A1291" s="2" t="s">
        <v>270</v>
      </c>
      <c r="B1291" s="2" t="s">
        <v>1146</v>
      </c>
      <c r="C1291" s="5" t="s">
        <v>2055</v>
      </c>
      <c r="D1291" s="2" t="s">
        <v>2056</v>
      </c>
    </row>
    <row r="1292" spans="1:4" ht="12.95" customHeight="1" x14ac:dyDescent="0.25">
      <c r="A1292" s="2" t="s">
        <v>270</v>
      </c>
      <c r="B1292" s="2" t="s">
        <v>1146</v>
      </c>
      <c r="C1292" s="5" t="s">
        <v>2057</v>
      </c>
      <c r="D1292" s="2" t="s">
        <v>2058</v>
      </c>
    </row>
    <row r="1293" spans="1:4" ht="12.95" customHeight="1" x14ac:dyDescent="0.25">
      <c r="A1293" s="2" t="s">
        <v>270</v>
      </c>
      <c r="B1293" s="2" t="s">
        <v>1146</v>
      </c>
      <c r="C1293" s="5" t="s">
        <v>2059</v>
      </c>
      <c r="D1293" s="2" t="s">
        <v>2060</v>
      </c>
    </row>
    <row r="1294" spans="1:4" ht="12.95" customHeight="1" x14ac:dyDescent="0.25">
      <c r="A1294" s="2" t="s">
        <v>270</v>
      </c>
      <c r="B1294" s="2" t="s">
        <v>1146</v>
      </c>
      <c r="C1294" s="5" t="s">
        <v>2061</v>
      </c>
      <c r="D1294" s="2" t="s">
        <v>2062</v>
      </c>
    </row>
    <row r="1295" spans="1:4" ht="12.95" customHeight="1" x14ac:dyDescent="0.25">
      <c r="A1295" s="2" t="s">
        <v>270</v>
      </c>
      <c r="B1295" s="2" t="s">
        <v>1146</v>
      </c>
      <c r="C1295" s="5" t="s">
        <v>2063</v>
      </c>
      <c r="D1295" s="2" t="s">
        <v>2064</v>
      </c>
    </row>
    <row r="1296" spans="1:4" ht="12.95" customHeight="1" x14ac:dyDescent="0.25">
      <c r="A1296" s="2" t="s">
        <v>270</v>
      </c>
      <c r="B1296" s="2" t="s">
        <v>1146</v>
      </c>
      <c r="C1296" s="5" t="s">
        <v>2065</v>
      </c>
      <c r="D1296" s="2" t="s">
        <v>2066</v>
      </c>
    </row>
    <row r="1297" spans="1:4" ht="12.95" customHeight="1" x14ac:dyDescent="0.25">
      <c r="A1297" s="2" t="s">
        <v>270</v>
      </c>
      <c r="B1297" s="2" t="s">
        <v>1146</v>
      </c>
      <c r="C1297" s="5" t="s">
        <v>2067</v>
      </c>
      <c r="D1297" s="2" t="s">
        <v>2068</v>
      </c>
    </row>
    <row r="1298" spans="1:4" ht="12.95" customHeight="1" x14ac:dyDescent="0.25">
      <c r="A1298" s="2" t="s">
        <v>270</v>
      </c>
      <c r="B1298" s="2" t="s">
        <v>1146</v>
      </c>
      <c r="C1298" s="5" t="s">
        <v>2069</v>
      </c>
      <c r="D1298" s="2" t="s">
        <v>2070</v>
      </c>
    </row>
    <row r="1299" spans="1:4" ht="12.95" customHeight="1" x14ac:dyDescent="0.25">
      <c r="A1299" s="2" t="s">
        <v>270</v>
      </c>
      <c r="B1299" s="2" t="s">
        <v>1146</v>
      </c>
      <c r="C1299" s="5" t="s">
        <v>2071</v>
      </c>
      <c r="D1299" s="2" t="s">
        <v>2072</v>
      </c>
    </row>
    <row r="1300" spans="1:4" ht="12.95" customHeight="1" x14ac:dyDescent="0.25">
      <c r="A1300" s="2" t="s">
        <v>270</v>
      </c>
      <c r="B1300" s="2" t="s">
        <v>1146</v>
      </c>
      <c r="C1300" s="5" t="s">
        <v>2073</v>
      </c>
      <c r="D1300" s="2" t="s">
        <v>2074</v>
      </c>
    </row>
    <row r="1301" spans="1:4" ht="12.95" customHeight="1" x14ac:dyDescent="0.25">
      <c r="A1301" s="2" t="s">
        <v>270</v>
      </c>
      <c r="B1301" s="2" t="s">
        <v>1146</v>
      </c>
      <c r="C1301" s="5" t="s">
        <v>2075</v>
      </c>
      <c r="D1301" s="2" t="s">
        <v>2076</v>
      </c>
    </row>
    <row r="1302" spans="1:4" ht="12.95" customHeight="1" x14ac:dyDescent="0.25">
      <c r="A1302" s="2" t="s">
        <v>270</v>
      </c>
      <c r="B1302" s="2" t="s">
        <v>1146</v>
      </c>
      <c r="C1302" s="5" t="s">
        <v>2077</v>
      </c>
      <c r="D1302" s="2" t="s">
        <v>2078</v>
      </c>
    </row>
    <row r="1303" spans="1:4" ht="12.95" customHeight="1" x14ac:dyDescent="0.25">
      <c r="A1303" s="2" t="s">
        <v>270</v>
      </c>
      <c r="B1303" s="2" t="s">
        <v>1146</v>
      </c>
      <c r="C1303" s="5" t="s">
        <v>2079</v>
      </c>
      <c r="D1303" s="2" t="s">
        <v>2080</v>
      </c>
    </row>
    <row r="1304" spans="1:4" ht="12.95" customHeight="1" x14ac:dyDescent="0.25">
      <c r="A1304" s="2" t="s">
        <v>270</v>
      </c>
      <c r="B1304" s="2" t="s">
        <v>1146</v>
      </c>
      <c r="C1304" s="5" t="s">
        <v>2081</v>
      </c>
      <c r="D1304" s="2" t="s">
        <v>2082</v>
      </c>
    </row>
    <row r="1305" spans="1:4" ht="12.95" customHeight="1" x14ac:dyDescent="0.25">
      <c r="A1305" s="2" t="s">
        <v>270</v>
      </c>
      <c r="B1305" s="2" t="s">
        <v>1146</v>
      </c>
      <c r="C1305" s="5" t="s">
        <v>2083</v>
      </c>
      <c r="D1305" s="2" t="s">
        <v>2084</v>
      </c>
    </row>
    <row r="1306" spans="1:4" ht="12.95" customHeight="1" x14ac:dyDescent="0.25">
      <c r="A1306" s="2" t="s">
        <v>270</v>
      </c>
      <c r="B1306" s="2" t="s">
        <v>1146</v>
      </c>
      <c r="C1306" s="5" t="s">
        <v>2085</v>
      </c>
      <c r="D1306" s="2" t="s">
        <v>2086</v>
      </c>
    </row>
    <row r="1307" spans="1:4" ht="12.95" customHeight="1" x14ac:dyDescent="0.25">
      <c r="A1307" s="2" t="s">
        <v>270</v>
      </c>
      <c r="B1307" s="2" t="s">
        <v>1146</v>
      </c>
      <c r="C1307" s="5" t="s">
        <v>2087</v>
      </c>
      <c r="D1307" s="2" t="s">
        <v>2088</v>
      </c>
    </row>
    <row r="1308" spans="1:4" ht="12.95" customHeight="1" x14ac:dyDescent="0.25">
      <c r="A1308" s="2" t="s">
        <v>270</v>
      </c>
      <c r="B1308" s="2" t="s">
        <v>1146</v>
      </c>
      <c r="C1308" s="5" t="s">
        <v>2089</v>
      </c>
      <c r="D1308" s="2" t="s">
        <v>2090</v>
      </c>
    </row>
    <row r="1309" spans="1:4" ht="12.95" customHeight="1" x14ac:dyDescent="0.25">
      <c r="A1309" s="2" t="s">
        <v>270</v>
      </c>
      <c r="B1309" s="2" t="s">
        <v>1146</v>
      </c>
      <c r="C1309" s="5" t="s">
        <v>2091</v>
      </c>
      <c r="D1309" s="2" t="s">
        <v>2092</v>
      </c>
    </row>
    <row r="1310" spans="1:4" ht="12.95" customHeight="1" x14ac:dyDescent="0.25">
      <c r="A1310" s="2" t="s">
        <v>270</v>
      </c>
      <c r="B1310" s="2" t="s">
        <v>1146</v>
      </c>
      <c r="C1310" s="5" t="s">
        <v>2093</v>
      </c>
      <c r="D1310" s="2" t="s">
        <v>2094</v>
      </c>
    </row>
    <row r="1311" spans="1:4" ht="12.95" customHeight="1" x14ac:dyDescent="0.25">
      <c r="A1311" s="2" t="s">
        <v>270</v>
      </c>
      <c r="B1311" s="2" t="s">
        <v>1146</v>
      </c>
      <c r="C1311" s="5" t="s">
        <v>2095</v>
      </c>
      <c r="D1311" s="2" t="s">
        <v>2096</v>
      </c>
    </row>
    <row r="1312" spans="1:4" ht="12.95" customHeight="1" x14ac:dyDescent="0.25">
      <c r="A1312" s="2" t="s">
        <v>270</v>
      </c>
      <c r="B1312" s="2" t="s">
        <v>1146</v>
      </c>
      <c r="C1312" s="5" t="s">
        <v>2097</v>
      </c>
      <c r="D1312" s="2" t="s">
        <v>2098</v>
      </c>
    </row>
    <row r="1313" spans="1:4" ht="12.95" customHeight="1" x14ac:dyDescent="0.25">
      <c r="A1313" s="2" t="s">
        <v>270</v>
      </c>
      <c r="B1313" s="2" t="s">
        <v>1146</v>
      </c>
      <c r="C1313" s="5" t="s">
        <v>2099</v>
      </c>
      <c r="D1313" s="2" t="s">
        <v>2100</v>
      </c>
    </row>
    <row r="1314" spans="1:4" ht="12.95" customHeight="1" x14ac:dyDescent="0.25">
      <c r="A1314" s="2" t="s">
        <v>270</v>
      </c>
      <c r="B1314" s="2" t="s">
        <v>1146</v>
      </c>
      <c r="C1314" s="5" t="s">
        <v>2101</v>
      </c>
      <c r="D1314" s="2" t="s">
        <v>2102</v>
      </c>
    </row>
    <row r="1315" spans="1:4" ht="12.95" customHeight="1" x14ac:dyDescent="0.25">
      <c r="A1315" s="2" t="s">
        <v>270</v>
      </c>
      <c r="B1315" s="2" t="s">
        <v>1146</v>
      </c>
      <c r="C1315" s="5" t="s">
        <v>2103</v>
      </c>
      <c r="D1315" s="2" t="s">
        <v>2104</v>
      </c>
    </row>
    <row r="1316" spans="1:4" ht="12.95" customHeight="1" x14ac:dyDescent="0.25">
      <c r="A1316" s="2" t="s">
        <v>270</v>
      </c>
      <c r="B1316" s="2" t="s">
        <v>1146</v>
      </c>
      <c r="C1316" s="5" t="s">
        <v>2105</v>
      </c>
      <c r="D1316" s="2" t="s">
        <v>2106</v>
      </c>
    </row>
    <row r="1317" spans="1:4" ht="12.95" customHeight="1" x14ac:dyDescent="0.25">
      <c r="A1317" s="2" t="s">
        <v>270</v>
      </c>
      <c r="B1317" s="2" t="s">
        <v>1146</v>
      </c>
      <c r="C1317" s="5" t="s">
        <v>2107</v>
      </c>
      <c r="D1317" s="2" t="s">
        <v>2108</v>
      </c>
    </row>
    <row r="1318" spans="1:4" ht="12.95" customHeight="1" x14ac:dyDescent="0.25">
      <c r="A1318" s="2" t="s">
        <v>270</v>
      </c>
      <c r="B1318" s="2" t="s">
        <v>1146</v>
      </c>
      <c r="C1318" s="5" t="s">
        <v>2109</v>
      </c>
      <c r="D1318" s="2" t="s">
        <v>2110</v>
      </c>
    </row>
    <row r="1319" spans="1:4" ht="12.95" customHeight="1" x14ac:dyDescent="0.25">
      <c r="A1319" s="2" t="s">
        <v>270</v>
      </c>
      <c r="B1319" s="2" t="s">
        <v>1146</v>
      </c>
      <c r="C1319" s="5" t="s">
        <v>2111</v>
      </c>
      <c r="D1319" s="2" t="s">
        <v>2112</v>
      </c>
    </row>
    <row r="1320" spans="1:4" ht="12.95" customHeight="1" x14ac:dyDescent="0.25">
      <c r="A1320" s="2" t="s">
        <v>270</v>
      </c>
      <c r="B1320" s="2" t="s">
        <v>1146</v>
      </c>
      <c r="C1320" s="5" t="s">
        <v>2113</v>
      </c>
      <c r="D1320" s="2" t="s">
        <v>2114</v>
      </c>
    </row>
    <row r="1321" spans="1:4" ht="12.95" customHeight="1" x14ac:dyDescent="0.25">
      <c r="A1321" s="2" t="s">
        <v>270</v>
      </c>
      <c r="B1321" s="2" t="s">
        <v>1146</v>
      </c>
      <c r="C1321" s="5" t="s">
        <v>2115</v>
      </c>
      <c r="D1321" s="2" t="s">
        <v>2116</v>
      </c>
    </row>
    <row r="1322" spans="1:4" ht="12.95" customHeight="1" x14ac:dyDescent="0.25">
      <c r="A1322" s="2" t="s">
        <v>270</v>
      </c>
      <c r="B1322" s="2" t="s">
        <v>1146</v>
      </c>
      <c r="C1322" s="5" t="s">
        <v>2117</v>
      </c>
      <c r="D1322" s="2" t="s">
        <v>2118</v>
      </c>
    </row>
    <row r="1323" spans="1:4" ht="12.95" customHeight="1" x14ac:dyDescent="0.25">
      <c r="A1323" s="2" t="s">
        <v>270</v>
      </c>
      <c r="B1323" s="2" t="s">
        <v>1146</v>
      </c>
      <c r="C1323" s="5" t="s">
        <v>2119</v>
      </c>
      <c r="D1323" s="2" t="s">
        <v>2120</v>
      </c>
    </row>
    <row r="1324" spans="1:4" ht="12.95" customHeight="1" x14ac:dyDescent="0.25">
      <c r="A1324" s="2" t="s">
        <v>270</v>
      </c>
      <c r="B1324" s="2" t="s">
        <v>1146</v>
      </c>
      <c r="C1324" s="5" t="s">
        <v>2121</v>
      </c>
      <c r="D1324" s="2" t="s">
        <v>2122</v>
      </c>
    </row>
    <row r="1325" spans="1:4" ht="12.95" customHeight="1" x14ac:dyDescent="0.25">
      <c r="A1325" s="2" t="s">
        <v>270</v>
      </c>
      <c r="B1325" s="2" t="s">
        <v>1146</v>
      </c>
      <c r="C1325" s="5" t="s">
        <v>2123</v>
      </c>
      <c r="D1325" s="2" t="s">
        <v>2124</v>
      </c>
    </row>
    <row r="1326" spans="1:4" ht="12.95" customHeight="1" x14ac:dyDescent="0.25">
      <c r="A1326" s="2" t="s">
        <v>270</v>
      </c>
      <c r="B1326" s="2" t="s">
        <v>1146</v>
      </c>
      <c r="C1326" s="5" t="s">
        <v>2125</v>
      </c>
      <c r="D1326" s="2" t="s">
        <v>2126</v>
      </c>
    </row>
    <row r="1327" spans="1:4" ht="12.95" customHeight="1" x14ac:dyDescent="0.25">
      <c r="A1327" s="2" t="s">
        <v>270</v>
      </c>
      <c r="B1327" s="2" t="s">
        <v>1146</v>
      </c>
      <c r="C1327" s="5" t="s">
        <v>2127</v>
      </c>
      <c r="D1327" s="2" t="s">
        <v>2128</v>
      </c>
    </row>
    <row r="1328" spans="1:4" ht="12.95" customHeight="1" x14ac:dyDescent="0.25">
      <c r="A1328" s="2" t="s">
        <v>270</v>
      </c>
      <c r="B1328" s="2" t="s">
        <v>1146</v>
      </c>
      <c r="C1328" s="5" t="s">
        <v>2129</v>
      </c>
      <c r="D1328" s="2" t="s">
        <v>2130</v>
      </c>
    </row>
    <row r="1329" spans="1:4" ht="12.95" customHeight="1" x14ac:dyDescent="0.25">
      <c r="A1329" s="2" t="s">
        <v>270</v>
      </c>
      <c r="B1329" s="2" t="s">
        <v>1146</v>
      </c>
      <c r="C1329" s="5" t="s">
        <v>2131</v>
      </c>
      <c r="D1329" s="2" t="s">
        <v>2132</v>
      </c>
    </row>
    <row r="1330" spans="1:4" ht="12.95" customHeight="1" x14ac:dyDescent="0.25">
      <c r="A1330" s="2" t="s">
        <v>270</v>
      </c>
      <c r="B1330" s="2" t="s">
        <v>1146</v>
      </c>
      <c r="C1330" s="5" t="s">
        <v>2133</v>
      </c>
      <c r="D1330" s="2" t="s">
        <v>2134</v>
      </c>
    </row>
    <row r="1331" spans="1:4" ht="12.95" customHeight="1" x14ac:dyDescent="0.25">
      <c r="A1331" s="2" t="s">
        <v>270</v>
      </c>
      <c r="B1331" s="2" t="s">
        <v>1146</v>
      </c>
      <c r="C1331" s="5" t="s">
        <v>2135</v>
      </c>
      <c r="D1331" s="2" t="s">
        <v>2136</v>
      </c>
    </row>
    <row r="1332" spans="1:4" ht="12.95" customHeight="1" x14ac:dyDescent="0.25">
      <c r="A1332" s="2" t="s">
        <v>270</v>
      </c>
      <c r="B1332" s="2" t="s">
        <v>1146</v>
      </c>
      <c r="C1332" s="5" t="s">
        <v>2137</v>
      </c>
      <c r="D1332" s="2" t="s">
        <v>2138</v>
      </c>
    </row>
    <row r="1333" spans="1:4" ht="12.95" customHeight="1" x14ac:dyDescent="0.25">
      <c r="A1333" s="2" t="s">
        <v>270</v>
      </c>
      <c r="B1333" s="2" t="s">
        <v>1146</v>
      </c>
      <c r="C1333" s="5" t="s">
        <v>2139</v>
      </c>
      <c r="D1333" s="2" t="s">
        <v>2140</v>
      </c>
    </row>
    <row r="1334" spans="1:4" ht="12.95" customHeight="1" x14ac:dyDescent="0.25">
      <c r="A1334" s="2" t="s">
        <v>270</v>
      </c>
      <c r="B1334" s="2" t="s">
        <v>1146</v>
      </c>
      <c r="C1334" s="5" t="s">
        <v>2141</v>
      </c>
      <c r="D1334" s="2" t="s">
        <v>2142</v>
      </c>
    </row>
    <row r="1335" spans="1:4" ht="12.95" customHeight="1" x14ac:dyDescent="0.25">
      <c r="A1335" s="2" t="s">
        <v>270</v>
      </c>
      <c r="B1335" s="2" t="s">
        <v>1146</v>
      </c>
      <c r="C1335" s="5" t="s">
        <v>2143</v>
      </c>
      <c r="D1335" s="2" t="s">
        <v>2144</v>
      </c>
    </row>
    <row r="1336" spans="1:4" ht="12.95" customHeight="1" x14ac:dyDescent="0.25">
      <c r="A1336" s="2" t="s">
        <v>270</v>
      </c>
      <c r="B1336" s="2" t="s">
        <v>1146</v>
      </c>
      <c r="C1336" s="5" t="s">
        <v>2145</v>
      </c>
      <c r="D1336" s="2" t="s">
        <v>2146</v>
      </c>
    </row>
    <row r="1337" spans="1:4" ht="12.95" customHeight="1" x14ac:dyDescent="0.25">
      <c r="A1337" s="2" t="s">
        <v>270</v>
      </c>
      <c r="B1337" s="2" t="s">
        <v>1146</v>
      </c>
      <c r="C1337" s="5" t="s">
        <v>2147</v>
      </c>
      <c r="D1337" s="2" t="s">
        <v>2148</v>
      </c>
    </row>
    <row r="1338" spans="1:4" ht="12.95" customHeight="1" x14ac:dyDescent="0.25">
      <c r="A1338" s="2" t="s">
        <v>270</v>
      </c>
      <c r="B1338" s="2" t="s">
        <v>1146</v>
      </c>
      <c r="C1338" s="5" t="s">
        <v>2149</v>
      </c>
      <c r="D1338" s="2" t="s">
        <v>2150</v>
      </c>
    </row>
    <row r="1339" spans="1:4" ht="12.95" customHeight="1" x14ac:dyDescent="0.25">
      <c r="A1339" s="2" t="s">
        <v>270</v>
      </c>
      <c r="B1339" s="2" t="s">
        <v>1146</v>
      </c>
      <c r="C1339" s="5" t="s">
        <v>2151</v>
      </c>
      <c r="D1339" s="2" t="s">
        <v>2152</v>
      </c>
    </row>
    <row r="1340" spans="1:4" ht="12.95" customHeight="1" x14ac:dyDescent="0.25">
      <c r="A1340" s="2" t="s">
        <v>270</v>
      </c>
      <c r="B1340" s="2" t="s">
        <v>1146</v>
      </c>
      <c r="C1340" s="5" t="s">
        <v>2153</v>
      </c>
      <c r="D1340" s="2" t="s">
        <v>2154</v>
      </c>
    </row>
    <row r="1341" spans="1:4" ht="12.95" customHeight="1" x14ac:dyDescent="0.25">
      <c r="A1341" s="2" t="s">
        <v>270</v>
      </c>
      <c r="B1341" s="2" t="s">
        <v>1146</v>
      </c>
      <c r="C1341" s="5" t="s">
        <v>2155</v>
      </c>
      <c r="D1341" s="2" t="s">
        <v>2156</v>
      </c>
    </row>
    <row r="1342" spans="1:4" ht="12.95" customHeight="1" x14ac:dyDescent="0.25">
      <c r="A1342" s="2" t="s">
        <v>270</v>
      </c>
      <c r="B1342" s="2" t="s">
        <v>1146</v>
      </c>
      <c r="C1342" s="5" t="s">
        <v>2157</v>
      </c>
      <c r="D1342" s="2" t="s">
        <v>2158</v>
      </c>
    </row>
    <row r="1343" spans="1:4" ht="12.95" customHeight="1" x14ac:dyDescent="0.25">
      <c r="A1343" s="2" t="s">
        <v>270</v>
      </c>
      <c r="B1343" s="2" t="s">
        <v>1146</v>
      </c>
      <c r="C1343" s="5" t="s">
        <v>2159</v>
      </c>
      <c r="D1343" s="2" t="s">
        <v>2160</v>
      </c>
    </row>
    <row r="1344" spans="1:4" ht="12.95" customHeight="1" x14ac:dyDescent="0.25">
      <c r="A1344" s="2" t="s">
        <v>270</v>
      </c>
      <c r="B1344" s="2" t="s">
        <v>1146</v>
      </c>
      <c r="C1344" s="5" t="s">
        <v>2161</v>
      </c>
      <c r="D1344" s="2" t="s">
        <v>2162</v>
      </c>
    </row>
    <row r="1345" spans="1:4" ht="12.95" customHeight="1" x14ac:dyDescent="0.25">
      <c r="A1345" s="2" t="s">
        <v>270</v>
      </c>
      <c r="B1345" s="2" t="s">
        <v>1146</v>
      </c>
      <c r="C1345" s="5" t="s">
        <v>2163</v>
      </c>
      <c r="D1345" s="2" t="s">
        <v>2164</v>
      </c>
    </row>
    <row r="1346" spans="1:4" ht="12.95" customHeight="1" x14ac:dyDescent="0.25">
      <c r="A1346" s="2" t="s">
        <v>270</v>
      </c>
      <c r="B1346" s="2" t="s">
        <v>1146</v>
      </c>
      <c r="C1346" s="5" t="s">
        <v>2165</v>
      </c>
      <c r="D1346" s="2" t="s">
        <v>2166</v>
      </c>
    </row>
    <row r="1347" spans="1:4" ht="12.95" customHeight="1" x14ac:dyDescent="0.25">
      <c r="A1347" s="2" t="s">
        <v>270</v>
      </c>
      <c r="B1347" s="2" t="s">
        <v>1146</v>
      </c>
      <c r="C1347" s="5" t="s">
        <v>2167</v>
      </c>
      <c r="D1347" s="2" t="s">
        <v>2168</v>
      </c>
    </row>
    <row r="1348" spans="1:4" ht="12.95" customHeight="1" x14ac:dyDescent="0.25">
      <c r="A1348" s="2" t="s">
        <v>270</v>
      </c>
      <c r="B1348" s="2" t="s">
        <v>1146</v>
      </c>
      <c r="C1348" s="5" t="s">
        <v>2169</v>
      </c>
      <c r="D1348" s="2" t="s">
        <v>2170</v>
      </c>
    </row>
    <row r="1349" spans="1:4" ht="12.95" customHeight="1" x14ac:dyDescent="0.25">
      <c r="A1349" s="2" t="s">
        <v>270</v>
      </c>
      <c r="B1349" s="2" t="s">
        <v>1146</v>
      </c>
      <c r="C1349" s="5" t="s">
        <v>2171</v>
      </c>
      <c r="D1349" s="2" t="s">
        <v>2172</v>
      </c>
    </row>
    <row r="1350" spans="1:4" ht="12.95" customHeight="1" x14ac:dyDescent="0.25">
      <c r="A1350" s="2" t="s">
        <v>270</v>
      </c>
      <c r="B1350" s="2" t="s">
        <v>1146</v>
      </c>
      <c r="C1350" s="5" t="s">
        <v>2173</v>
      </c>
      <c r="D1350" s="2" t="s">
        <v>2174</v>
      </c>
    </row>
    <row r="1351" spans="1:4" ht="12.95" customHeight="1" x14ac:dyDescent="0.25">
      <c r="A1351" s="2" t="s">
        <v>270</v>
      </c>
      <c r="B1351" s="2" t="s">
        <v>1146</v>
      </c>
      <c r="C1351" s="5" t="s">
        <v>2175</v>
      </c>
      <c r="D1351" s="2" t="s">
        <v>2176</v>
      </c>
    </row>
    <row r="1352" spans="1:4" ht="12.95" customHeight="1" x14ac:dyDescent="0.25">
      <c r="A1352" s="2" t="s">
        <v>270</v>
      </c>
      <c r="B1352" s="2" t="s">
        <v>1146</v>
      </c>
      <c r="C1352" s="5" t="s">
        <v>2177</v>
      </c>
      <c r="D1352" s="2" t="s">
        <v>2178</v>
      </c>
    </row>
    <row r="1353" spans="1:4" ht="12.95" customHeight="1" x14ac:dyDescent="0.25">
      <c r="A1353" s="2" t="s">
        <v>270</v>
      </c>
      <c r="B1353" s="2" t="s">
        <v>1146</v>
      </c>
      <c r="C1353" s="5" t="s">
        <v>2179</v>
      </c>
      <c r="D1353" s="2" t="s">
        <v>2180</v>
      </c>
    </row>
    <row r="1354" spans="1:4" ht="12.95" customHeight="1" x14ac:dyDescent="0.25">
      <c r="A1354" s="2" t="s">
        <v>270</v>
      </c>
      <c r="B1354" s="2" t="s">
        <v>1146</v>
      </c>
      <c r="C1354" s="5" t="s">
        <v>2181</v>
      </c>
      <c r="D1354" s="2" t="s">
        <v>2182</v>
      </c>
    </row>
    <row r="1355" spans="1:4" ht="12.95" customHeight="1" x14ac:dyDescent="0.25">
      <c r="A1355" s="2" t="s">
        <v>270</v>
      </c>
      <c r="B1355" s="2" t="s">
        <v>1146</v>
      </c>
      <c r="C1355" s="5" t="s">
        <v>2183</v>
      </c>
      <c r="D1355" s="2" t="s">
        <v>2184</v>
      </c>
    </row>
    <row r="1356" spans="1:4" ht="12.95" customHeight="1" x14ac:dyDescent="0.25">
      <c r="A1356" s="2" t="s">
        <v>270</v>
      </c>
      <c r="B1356" s="2" t="s">
        <v>1146</v>
      </c>
      <c r="C1356" s="5" t="s">
        <v>2185</v>
      </c>
      <c r="D1356" s="2" t="s">
        <v>2186</v>
      </c>
    </row>
    <row r="1357" spans="1:4" ht="12.95" customHeight="1" x14ac:dyDescent="0.25">
      <c r="A1357" s="2" t="s">
        <v>270</v>
      </c>
      <c r="B1357" s="2" t="s">
        <v>1146</v>
      </c>
      <c r="C1357" s="5" t="s">
        <v>2187</v>
      </c>
      <c r="D1357" s="2" t="s">
        <v>2188</v>
      </c>
    </row>
    <row r="1358" spans="1:4" ht="12.95" customHeight="1" x14ac:dyDescent="0.25">
      <c r="A1358" s="2" t="s">
        <v>270</v>
      </c>
      <c r="B1358" s="2" t="s">
        <v>1146</v>
      </c>
      <c r="C1358" s="5" t="s">
        <v>2189</v>
      </c>
      <c r="D1358" s="2" t="s">
        <v>2190</v>
      </c>
    </row>
    <row r="1359" spans="1:4" ht="12.95" customHeight="1" x14ac:dyDescent="0.25">
      <c r="A1359" s="2" t="s">
        <v>270</v>
      </c>
      <c r="B1359" s="2" t="s">
        <v>1146</v>
      </c>
      <c r="C1359" s="5" t="s">
        <v>2191</v>
      </c>
      <c r="D1359" s="2" t="s">
        <v>2192</v>
      </c>
    </row>
    <row r="1360" spans="1:4" ht="12.95" customHeight="1" x14ac:dyDescent="0.25">
      <c r="A1360" s="2" t="s">
        <v>270</v>
      </c>
      <c r="B1360" s="2" t="s">
        <v>1146</v>
      </c>
      <c r="C1360" s="5" t="s">
        <v>2193</v>
      </c>
      <c r="D1360" s="2" t="s">
        <v>2194</v>
      </c>
    </row>
    <row r="1361" spans="1:4" ht="12.95" customHeight="1" x14ac:dyDescent="0.25">
      <c r="A1361" s="2" t="s">
        <v>270</v>
      </c>
      <c r="B1361" s="2" t="s">
        <v>1146</v>
      </c>
      <c r="C1361" s="5" t="s">
        <v>2195</v>
      </c>
      <c r="D1361" s="2" t="s">
        <v>2196</v>
      </c>
    </row>
    <row r="1362" spans="1:4" ht="12.95" customHeight="1" x14ac:dyDescent="0.25">
      <c r="A1362" s="2" t="s">
        <v>270</v>
      </c>
      <c r="B1362" s="2" t="s">
        <v>1146</v>
      </c>
      <c r="C1362" s="5" t="s">
        <v>2197</v>
      </c>
      <c r="D1362" s="2" t="s">
        <v>2198</v>
      </c>
    </row>
    <row r="1363" spans="1:4" ht="12.95" customHeight="1" x14ac:dyDescent="0.25">
      <c r="A1363" s="2" t="s">
        <v>270</v>
      </c>
      <c r="B1363" s="2" t="s">
        <v>1146</v>
      </c>
      <c r="C1363" s="5" t="s">
        <v>2199</v>
      </c>
      <c r="D1363" s="2" t="s">
        <v>2200</v>
      </c>
    </row>
    <row r="1364" spans="1:4" ht="12.95" customHeight="1" x14ac:dyDescent="0.25">
      <c r="A1364" s="2" t="s">
        <v>270</v>
      </c>
      <c r="B1364" s="2" t="s">
        <v>1146</v>
      </c>
      <c r="C1364" s="5" t="s">
        <v>2201</v>
      </c>
      <c r="D1364" s="2" t="s">
        <v>2202</v>
      </c>
    </row>
    <row r="1365" spans="1:4" ht="12.95" customHeight="1" x14ac:dyDescent="0.25">
      <c r="A1365" s="2" t="s">
        <v>270</v>
      </c>
      <c r="B1365" s="2" t="s">
        <v>1146</v>
      </c>
      <c r="C1365" s="5" t="s">
        <v>2203</v>
      </c>
      <c r="D1365" s="2" t="s">
        <v>2204</v>
      </c>
    </row>
    <row r="1366" spans="1:4" ht="12.95" customHeight="1" x14ac:dyDescent="0.25">
      <c r="A1366" s="2" t="s">
        <v>270</v>
      </c>
      <c r="B1366" s="2" t="s">
        <v>1146</v>
      </c>
      <c r="C1366" s="5" t="s">
        <v>2205</v>
      </c>
      <c r="D1366" s="2" t="s">
        <v>2206</v>
      </c>
    </row>
    <row r="1367" spans="1:4" ht="12.95" customHeight="1" x14ac:dyDescent="0.25">
      <c r="A1367" s="2" t="s">
        <v>270</v>
      </c>
      <c r="B1367" s="2" t="s">
        <v>1146</v>
      </c>
      <c r="C1367" s="5" t="s">
        <v>2207</v>
      </c>
      <c r="D1367" s="2" t="s">
        <v>2208</v>
      </c>
    </row>
    <row r="1368" spans="1:4" ht="12.95" customHeight="1" x14ac:dyDescent="0.25">
      <c r="A1368" s="2" t="s">
        <v>270</v>
      </c>
      <c r="B1368" s="2" t="s">
        <v>1146</v>
      </c>
      <c r="C1368" s="5" t="s">
        <v>2209</v>
      </c>
      <c r="D1368" s="2" t="s">
        <v>2210</v>
      </c>
    </row>
    <row r="1369" spans="1:4" ht="12.95" customHeight="1" x14ac:dyDescent="0.25">
      <c r="A1369" s="2" t="s">
        <v>270</v>
      </c>
      <c r="B1369" s="2" t="s">
        <v>1146</v>
      </c>
      <c r="C1369" s="5" t="s">
        <v>2211</v>
      </c>
      <c r="D1369" s="2" t="s">
        <v>2212</v>
      </c>
    </row>
    <row r="1370" spans="1:4" ht="12.95" customHeight="1" x14ac:dyDescent="0.25">
      <c r="A1370" s="2" t="s">
        <v>270</v>
      </c>
      <c r="B1370" s="2" t="s">
        <v>1146</v>
      </c>
      <c r="C1370" s="5" t="s">
        <v>2213</v>
      </c>
      <c r="D1370" s="2" t="s">
        <v>2214</v>
      </c>
    </row>
    <row r="1371" spans="1:4" ht="12.95" customHeight="1" x14ac:dyDescent="0.25">
      <c r="A1371" s="2" t="s">
        <v>270</v>
      </c>
      <c r="B1371" s="2" t="s">
        <v>1146</v>
      </c>
      <c r="C1371" s="5" t="s">
        <v>2215</v>
      </c>
      <c r="D1371" s="2" t="s">
        <v>2216</v>
      </c>
    </row>
    <row r="1372" spans="1:4" ht="12.95" customHeight="1" x14ac:dyDescent="0.25">
      <c r="A1372" s="2" t="s">
        <v>270</v>
      </c>
      <c r="B1372" s="2" t="s">
        <v>1146</v>
      </c>
      <c r="C1372" s="5" t="s">
        <v>2217</v>
      </c>
      <c r="D1372" s="2" t="s">
        <v>2218</v>
      </c>
    </row>
    <row r="1373" spans="1:4" ht="12.95" customHeight="1" x14ac:dyDescent="0.25">
      <c r="A1373" s="2" t="s">
        <v>270</v>
      </c>
      <c r="B1373" s="2" t="s">
        <v>1146</v>
      </c>
      <c r="C1373" s="5" t="s">
        <v>2219</v>
      </c>
      <c r="D1373" s="2" t="s">
        <v>2220</v>
      </c>
    </row>
    <row r="1374" spans="1:4" ht="12.95" customHeight="1" x14ac:dyDescent="0.25">
      <c r="A1374" s="2" t="s">
        <v>270</v>
      </c>
      <c r="B1374" s="2" t="s">
        <v>1146</v>
      </c>
      <c r="C1374" s="5" t="s">
        <v>2221</v>
      </c>
      <c r="D1374" s="2" t="s">
        <v>2222</v>
      </c>
    </row>
    <row r="1375" spans="1:4" ht="12.95" customHeight="1" x14ac:dyDescent="0.25">
      <c r="A1375" s="2" t="s">
        <v>270</v>
      </c>
      <c r="B1375" s="2" t="s">
        <v>1146</v>
      </c>
      <c r="C1375" s="5" t="s">
        <v>2223</v>
      </c>
      <c r="D1375" s="2" t="s">
        <v>2224</v>
      </c>
    </row>
    <row r="1376" spans="1:4" ht="12.95" customHeight="1" x14ac:dyDescent="0.25">
      <c r="A1376" s="2" t="s">
        <v>270</v>
      </c>
      <c r="B1376" s="2" t="s">
        <v>1146</v>
      </c>
      <c r="C1376" s="5" t="s">
        <v>2225</v>
      </c>
      <c r="D1376" s="2" t="s">
        <v>2226</v>
      </c>
    </row>
    <row r="1377" spans="1:4" ht="12.95" customHeight="1" x14ac:dyDescent="0.25">
      <c r="A1377" s="2" t="s">
        <v>270</v>
      </c>
      <c r="B1377" s="2" t="s">
        <v>1146</v>
      </c>
      <c r="C1377" s="5" t="s">
        <v>2227</v>
      </c>
      <c r="D1377" s="2" t="s">
        <v>2228</v>
      </c>
    </row>
    <row r="1378" spans="1:4" ht="12.95" customHeight="1" x14ac:dyDescent="0.25">
      <c r="A1378" s="2" t="s">
        <v>270</v>
      </c>
      <c r="B1378" s="2" t="s">
        <v>1146</v>
      </c>
      <c r="C1378" s="5" t="s">
        <v>2229</v>
      </c>
      <c r="D1378" s="2" t="s">
        <v>2230</v>
      </c>
    </row>
    <row r="1379" spans="1:4" ht="12.95" customHeight="1" x14ac:dyDescent="0.25">
      <c r="A1379" s="2" t="s">
        <v>270</v>
      </c>
      <c r="B1379" s="2" t="s">
        <v>1146</v>
      </c>
      <c r="C1379" s="5" t="s">
        <v>2231</v>
      </c>
      <c r="D1379" s="2" t="s">
        <v>2232</v>
      </c>
    </row>
    <row r="1380" spans="1:4" ht="12.95" customHeight="1" x14ac:dyDescent="0.25">
      <c r="A1380" s="2" t="s">
        <v>270</v>
      </c>
      <c r="B1380" s="2" t="s">
        <v>1146</v>
      </c>
      <c r="C1380" s="5" t="s">
        <v>2233</v>
      </c>
      <c r="D1380" s="2" t="s">
        <v>2234</v>
      </c>
    </row>
    <row r="1381" spans="1:4" ht="12.95" customHeight="1" x14ac:dyDescent="0.25">
      <c r="A1381" s="2" t="s">
        <v>270</v>
      </c>
      <c r="B1381" s="2" t="s">
        <v>1146</v>
      </c>
      <c r="C1381" s="5" t="s">
        <v>2235</v>
      </c>
      <c r="D1381" s="2" t="s">
        <v>2236</v>
      </c>
    </row>
    <row r="1382" spans="1:4" ht="12.95" customHeight="1" x14ac:dyDescent="0.25">
      <c r="A1382" s="2" t="s">
        <v>270</v>
      </c>
      <c r="B1382" s="2" t="s">
        <v>1146</v>
      </c>
      <c r="C1382" s="5" t="s">
        <v>2237</v>
      </c>
      <c r="D1382" s="2" t="s">
        <v>2238</v>
      </c>
    </row>
    <row r="1383" spans="1:4" ht="12.95" customHeight="1" x14ac:dyDescent="0.25">
      <c r="A1383" s="2" t="s">
        <v>270</v>
      </c>
      <c r="B1383" s="2" t="s">
        <v>1146</v>
      </c>
      <c r="C1383" s="5" t="s">
        <v>2239</v>
      </c>
      <c r="D1383" s="2" t="s">
        <v>2240</v>
      </c>
    </row>
    <row r="1384" spans="1:4" ht="12.95" customHeight="1" x14ac:dyDescent="0.25">
      <c r="A1384" s="2" t="s">
        <v>270</v>
      </c>
      <c r="B1384" s="2" t="s">
        <v>1146</v>
      </c>
      <c r="C1384" s="5" t="s">
        <v>2241</v>
      </c>
      <c r="D1384" s="2" t="s">
        <v>2242</v>
      </c>
    </row>
    <row r="1385" spans="1:4" ht="12.95" customHeight="1" x14ac:dyDescent="0.25">
      <c r="A1385" s="2" t="s">
        <v>270</v>
      </c>
      <c r="B1385" s="2" t="s">
        <v>1146</v>
      </c>
      <c r="C1385" s="5" t="s">
        <v>2243</v>
      </c>
      <c r="D1385" s="2" t="s">
        <v>2244</v>
      </c>
    </row>
    <row r="1386" spans="1:4" ht="12.95" customHeight="1" x14ac:dyDescent="0.25">
      <c r="A1386" s="2" t="s">
        <v>270</v>
      </c>
      <c r="B1386" s="2" t="s">
        <v>1146</v>
      </c>
      <c r="C1386" s="5" t="s">
        <v>2245</v>
      </c>
      <c r="D1386" s="2" t="s">
        <v>2246</v>
      </c>
    </row>
    <row r="1387" spans="1:4" ht="12.95" customHeight="1" x14ac:dyDescent="0.25">
      <c r="A1387" s="2" t="s">
        <v>270</v>
      </c>
      <c r="B1387" s="2" t="s">
        <v>1146</v>
      </c>
      <c r="C1387" s="5" t="s">
        <v>2247</v>
      </c>
      <c r="D1387" s="2" t="s">
        <v>2248</v>
      </c>
    </row>
    <row r="1388" spans="1:4" ht="12.95" customHeight="1" x14ac:dyDescent="0.25">
      <c r="A1388" s="2" t="s">
        <v>270</v>
      </c>
      <c r="B1388" s="2" t="s">
        <v>1146</v>
      </c>
      <c r="C1388" s="5" t="s">
        <v>2249</v>
      </c>
      <c r="D1388" s="2" t="s">
        <v>2250</v>
      </c>
    </row>
    <row r="1389" spans="1:4" ht="12.95" customHeight="1" x14ac:dyDescent="0.25">
      <c r="A1389" s="2" t="s">
        <v>270</v>
      </c>
      <c r="B1389" s="2" t="s">
        <v>1146</v>
      </c>
      <c r="C1389" s="5" t="s">
        <v>2251</v>
      </c>
      <c r="D1389" s="2" t="s">
        <v>2252</v>
      </c>
    </row>
    <row r="1390" spans="1:4" ht="12.95" customHeight="1" x14ac:dyDescent="0.25">
      <c r="A1390" s="2" t="s">
        <v>270</v>
      </c>
      <c r="B1390" s="2" t="s">
        <v>1146</v>
      </c>
      <c r="C1390" s="5" t="s">
        <v>2253</v>
      </c>
      <c r="D1390" s="2" t="s">
        <v>2254</v>
      </c>
    </row>
    <row r="1391" spans="1:4" ht="12.95" customHeight="1" x14ac:dyDescent="0.25">
      <c r="A1391" s="2" t="s">
        <v>270</v>
      </c>
      <c r="B1391" s="2" t="s">
        <v>1146</v>
      </c>
      <c r="C1391" s="5" t="s">
        <v>2255</v>
      </c>
      <c r="D1391" s="2" t="s">
        <v>2256</v>
      </c>
    </row>
    <row r="1392" spans="1:4" ht="12.95" customHeight="1" x14ac:dyDescent="0.25">
      <c r="A1392" s="2" t="s">
        <v>270</v>
      </c>
      <c r="B1392" s="2" t="s">
        <v>1146</v>
      </c>
      <c r="C1392" s="5" t="s">
        <v>2257</v>
      </c>
      <c r="D1392" s="2" t="s">
        <v>2258</v>
      </c>
    </row>
    <row r="1393" spans="1:4" ht="12.95" customHeight="1" x14ac:dyDescent="0.25">
      <c r="A1393" s="2" t="s">
        <v>270</v>
      </c>
      <c r="B1393" s="2" t="s">
        <v>1146</v>
      </c>
      <c r="C1393" s="5" t="s">
        <v>2259</v>
      </c>
      <c r="D1393" s="2" t="s">
        <v>2260</v>
      </c>
    </row>
    <row r="1394" spans="1:4" ht="12.95" customHeight="1" x14ac:dyDescent="0.25">
      <c r="A1394" s="2" t="s">
        <v>270</v>
      </c>
      <c r="B1394" s="2" t="s">
        <v>1146</v>
      </c>
      <c r="C1394" s="5" t="s">
        <v>2261</v>
      </c>
      <c r="D1394" s="2" t="s">
        <v>2262</v>
      </c>
    </row>
    <row r="1395" spans="1:4" ht="12.95" customHeight="1" x14ac:dyDescent="0.25">
      <c r="A1395" s="2" t="s">
        <v>270</v>
      </c>
      <c r="B1395" s="2" t="s">
        <v>1146</v>
      </c>
      <c r="C1395" s="5" t="s">
        <v>2263</v>
      </c>
      <c r="D1395" s="2" t="s">
        <v>2264</v>
      </c>
    </row>
    <row r="1396" spans="1:4" ht="12.95" customHeight="1" x14ac:dyDescent="0.25">
      <c r="A1396" s="2" t="s">
        <v>270</v>
      </c>
      <c r="B1396" s="2" t="s">
        <v>1146</v>
      </c>
      <c r="C1396" s="5" t="s">
        <v>2265</v>
      </c>
      <c r="D1396" s="2" t="s">
        <v>2266</v>
      </c>
    </row>
    <row r="1397" spans="1:4" ht="12.95" customHeight="1" x14ac:dyDescent="0.25">
      <c r="A1397" s="2" t="s">
        <v>270</v>
      </c>
      <c r="B1397" s="2" t="s">
        <v>1146</v>
      </c>
      <c r="C1397" s="5" t="s">
        <v>2267</v>
      </c>
      <c r="D1397" s="2" t="s">
        <v>2268</v>
      </c>
    </row>
    <row r="1398" spans="1:4" ht="12.95" customHeight="1" x14ac:dyDescent="0.25">
      <c r="A1398" s="2" t="s">
        <v>270</v>
      </c>
      <c r="B1398" s="2" t="s">
        <v>1146</v>
      </c>
      <c r="C1398" s="5" t="s">
        <v>2269</v>
      </c>
      <c r="D1398" s="2" t="s">
        <v>2270</v>
      </c>
    </row>
    <row r="1399" spans="1:4" ht="12.95" customHeight="1" x14ac:dyDescent="0.25">
      <c r="A1399" s="2" t="s">
        <v>270</v>
      </c>
      <c r="B1399" s="2" t="s">
        <v>1146</v>
      </c>
      <c r="C1399" s="5" t="s">
        <v>2271</v>
      </c>
      <c r="D1399" s="2" t="s">
        <v>2272</v>
      </c>
    </row>
    <row r="1400" spans="1:4" ht="12.95" customHeight="1" x14ac:dyDescent="0.25">
      <c r="A1400" s="2" t="s">
        <v>270</v>
      </c>
      <c r="B1400" s="2" t="s">
        <v>1146</v>
      </c>
      <c r="C1400" s="5" t="s">
        <v>2273</v>
      </c>
      <c r="D1400" s="2" t="s">
        <v>2274</v>
      </c>
    </row>
    <row r="1401" spans="1:4" ht="12.95" customHeight="1" x14ac:dyDescent="0.25">
      <c r="A1401" s="2" t="s">
        <v>270</v>
      </c>
      <c r="B1401" s="2" t="s">
        <v>1146</v>
      </c>
      <c r="C1401" s="5" t="s">
        <v>2275</v>
      </c>
      <c r="D1401" s="2" t="s">
        <v>2276</v>
      </c>
    </row>
    <row r="1402" spans="1:4" ht="12.95" customHeight="1" x14ac:dyDescent="0.25">
      <c r="A1402" s="2" t="s">
        <v>270</v>
      </c>
      <c r="B1402" s="2" t="s">
        <v>1146</v>
      </c>
      <c r="C1402" s="5" t="s">
        <v>2277</v>
      </c>
      <c r="D1402" s="2" t="s">
        <v>2278</v>
      </c>
    </row>
    <row r="1403" spans="1:4" ht="12.95" customHeight="1" x14ac:dyDescent="0.25">
      <c r="A1403" s="2" t="s">
        <v>270</v>
      </c>
      <c r="B1403" s="2" t="s">
        <v>1146</v>
      </c>
      <c r="C1403" s="5" t="s">
        <v>2279</v>
      </c>
      <c r="D1403" s="2" t="s">
        <v>2280</v>
      </c>
    </row>
    <row r="1404" spans="1:4" ht="12.95" customHeight="1" x14ac:dyDescent="0.25">
      <c r="A1404" s="2" t="s">
        <v>270</v>
      </c>
      <c r="B1404" s="2" t="s">
        <v>1146</v>
      </c>
      <c r="C1404" s="5" t="s">
        <v>2281</v>
      </c>
      <c r="D1404" s="2" t="s">
        <v>2282</v>
      </c>
    </row>
    <row r="1405" spans="1:4" ht="12.95" customHeight="1" x14ac:dyDescent="0.25">
      <c r="A1405" s="2" t="s">
        <v>270</v>
      </c>
      <c r="B1405" s="2" t="s">
        <v>1146</v>
      </c>
      <c r="C1405" s="5" t="s">
        <v>2283</v>
      </c>
      <c r="D1405" s="2" t="s">
        <v>2284</v>
      </c>
    </row>
    <row r="1406" spans="1:4" ht="12.95" customHeight="1" x14ac:dyDescent="0.25">
      <c r="A1406" s="2" t="s">
        <v>270</v>
      </c>
      <c r="B1406" s="2" t="s">
        <v>1146</v>
      </c>
      <c r="C1406" s="5" t="s">
        <v>2285</v>
      </c>
      <c r="D1406" s="2" t="s">
        <v>2286</v>
      </c>
    </row>
    <row r="1407" spans="1:4" ht="12.95" customHeight="1" x14ac:dyDescent="0.25">
      <c r="A1407" s="2" t="s">
        <v>270</v>
      </c>
      <c r="B1407" s="2" t="s">
        <v>1146</v>
      </c>
      <c r="C1407" s="5" t="s">
        <v>2287</v>
      </c>
      <c r="D1407" s="2" t="s">
        <v>2288</v>
      </c>
    </row>
    <row r="1408" spans="1:4" ht="12.95" customHeight="1" x14ac:dyDescent="0.25">
      <c r="A1408" s="2" t="s">
        <v>270</v>
      </c>
      <c r="B1408" s="2" t="s">
        <v>1146</v>
      </c>
      <c r="C1408" s="5" t="s">
        <v>2289</v>
      </c>
      <c r="D1408" s="2" t="s">
        <v>2290</v>
      </c>
    </row>
    <row r="1409" spans="1:4" ht="12.95" customHeight="1" x14ac:dyDescent="0.25">
      <c r="A1409" s="2" t="s">
        <v>270</v>
      </c>
      <c r="B1409" s="2" t="s">
        <v>1146</v>
      </c>
      <c r="C1409" s="5" t="s">
        <v>2291</v>
      </c>
      <c r="D1409" s="2" t="s">
        <v>2292</v>
      </c>
    </row>
    <row r="1410" spans="1:4" ht="12.95" customHeight="1" x14ac:dyDescent="0.25">
      <c r="A1410" s="2" t="s">
        <v>270</v>
      </c>
      <c r="B1410" s="2" t="s">
        <v>1146</v>
      </c>
      <c r="C1410" s="5" t="s">
        <v>2293</v>
      </c>
      <c r="D1410" s="2" t="s">
        <v>2294</v>
      </c>
    </row>
    <row r="1411" spans="1:4" ht="12.95" customHeight="1" x14ac:dyDescent="0.25">
      <c r="A1411" s="2" t="s">
        <v>270</v>
      </c>
      <c r="B1411" s="2" t="s">
        <v>1146</v>
      </c>
      <c r="C1411" s="5" t="s">
        <v>2295</v>
      </c>
      <c r="D1411" s="2" t="s">
        <v>2296</v>
      </c>
    </row>
    <row r="1412" spans="1:4" ht="12.95" customHeight="1" x14ac:dyDescent="0.25">
      <c r="A1412" s="2" t="s">
        <v>270</v>
      </c>
      <c r="B1412" s="2" t="s">
        <v>1146</v>
      </c>
      <c r="C1412" s="5" t="s">
        <v>2297</v>
      </c>
      <c r="D1412" s="2" t="s">
        <v>2298</v>
      </c>
    </row>
    <row r="1413" spans="1:4" ht="12.95" customHeight="1" x14ac:dyDescent="0.25">
      <c r="A1413" s="2" t="s">
        <v>270</v>
      </c>
      <c r="B1413" s="2" t="s">
        <v>1146</v>
      </c>
      <c r="C1413" s="5" t="s">
        <v>2299</v>
      </c>
      <c r="D1413" s="2" t="s">
        <v>2300</v>
      </c>
    </row>
    <row r="1414" spans="1:4" ht="12.95" customHeight="1" x14ac:dyDescent="0.25">
      <c r="A1414" s="2" t="s">
        <v>270</v>
      </c>
      <c r="B1414" s="2" t="s">
        <v>1146</v>
      </c>
      <c r="C1414" s="5" t="s">
        <v>2301</v>
      </c>
      <c r="D1414" s="2" t="s">
        <v>2302</v>
      </c>
    </row>
    <row r="1415" spans="1:4" ht="12.95" customHeight="1" x14ac:dyDescent="0.25">
      <c r="A1415" s="2" t="s">
        <v>270</v>
      </c>
      <c r="B1415" s="2" t="s">
        <v>1146</v>
      </c>
      <c r="C1415" s="5" t="s">
        <v>2303</v>
      </c>
      <c r="D1415" s="2" t="s">
        <v>2304</v>
      </c>
    </row>
    <row r="1416" spans="1:4" ht="12.95" customHeight="1" x14ac:dyDescent="0.25">
      <c r="A1416" s="2" t="s">
        <v>270</v>
      </c>
      <c r="B1416" s="2" t="s">
        <v>1146</v>
      </c>
      <c r="C1416" s="5" t="s">
        <v>2305</v>
      </c>
      <c r="D1416" s="2" t="s">
        <v>2306</v>
      </c>
    </row>
    <row r="1417" spans="1:4" ht="12.95" customHeight="1" x14ac:dyDescent="0.25">
      <c r="A1417" s="2" t="s">
        <v>270</v>
      </c>
      <c r="B1417" s="2" t="s">
        <v>1146</v>
      </c>
      <c r="C1417" s="5" t="s">
        <v>2307</v>
      </c>
      <c r="D1417" s="2" t="s">
        <v>2308</v>
      </c>
    </row>
    <row r="1418" spans="1:4" ht="12.95" customHeight="1" x14ac:dyDescent="0.25">
      <c r="A1418" s="2" t="s">
        <v>270</v>
      </c>
      <c r="B1418" s="2" t="s">
        <v>1146</v>
      </c>
      <c r="C1418" s="5" t="s">
        <v>2309</v>
      </c>
      <c r="D1418" s="2" t="s">
        <v>2310</v>
      </c>
    </row>
    <row r="1419" spans="1:4" ht="12.95" customHeight="1" x14ac:dyDescent="0.25">
      <c r="A1419" s="2" t="s">
        <v>270</v>
      </c>
      <c r="B1419" s="2" t="s">
        <v>1146</v>
      </c>
      <c r="C1419" s="5" t="s">
        <v>2311</v>
      </c>
      <c r="D1419" s="2" t="s">
        <v>2312</v>
      </c>
    </row>
    <row r="1420" spans="1:4" ht="12.95" customHeight="1" x14ac:dyDescent="0.25">
      <c r="A1420" s="2" t="s">
        <v>270</v>
      </c>
      <c r="B1420" s="2" t="s">
        <v>1146</v>
      </c>
      <c r="C1420" s="5" t="s">
        <v>2313</v>
      </c>
      <c r="D1420" s="2" t="s">
        <v>2314</v>
      </c>
    </row>
    <row r="1421" spans="1:4" ht="12.95" customHeight="1" x14ac:dyDescent="0.25">
      <c r="A1421" s="2" t="s">
        <v>270</v>
      </c>
      <c r="B1421" s="2" t="s">
        <v>1146</v>
      </c>
      <c r="C1421" s="5" t="s">
        <v>2315</v>
      </c>
      <c r="D1421" s="2" t="s">
        <v>2316</v>
      </c>
    </row>
    <row r="1422" spans="1:4" ht="12.95" customHeight="1" x14ac:dyDescent="0.25">
      <c r="A1422" s="2" t="s">
        <v>270</v>
      </c>
      <c r="B1422" s="2" t="s">
        <v>1146</v>
      </c>
      <c r="C1422" s="5" t="s">
        <v>2317</v>
      </c>
      <c r="D1422" s="2" t="s">
        <v>2318</v>
      </c>
    </row>
    <row r="1423" spans="1:4" ht="12.95" customHeight="1" x14ac:dyDescent="0.25">
      <c r="A1423" s="2" t="s">
        <v>270</v>
      </c>
      <c r="B1423" s="2" t="s">
        <v>1146</v>
      </c>
      <c r="C1423" s="5" t="s">
        <v>2319</v>
      </c>
      <c r="D1423" s="2" t="s">
        <v>2320</v>
      </c>
    </row>
    <row r="1424" spans="1:4" ht="12.95" customHeight="1" x14ac:dyDescent="0.25">
      <c r="A1424" s="2" t="s">
        <v>270</v>
      </c>
      <c r="B1424" s="2" t="s">
        <v>1146</v>
      </c>
      <c r="C1424" s="5" t="s">
        <v>2321</v>
      </c>
      <c r="D1424" s="2" t="s">
        <v>2322</v>
      </c>
    </row>
    <row r="1425" spans="1:4" ht="12.95" customHeight="1" x14ac:dyDescent="0.25">
      <c r="A1425" s="2" t="s">
        <v>270</v>
      </c>
      <c r="B1425" s="2" t="s">
        <v>1146</v>
      </c>
      <c r="C1425" s="5" t="s">
        <v>2323</v>
      </c>
      <c r="D1425" s="2" t="s">
        <v>2324</v>
      </c>
    </row>
    <row r="1426" spans="1:4" ht="12.95" customHeight="1" x14ac:dyDescent="0.25">
      <c r="A1426" s="2" t="s">
        <v>270</v>
      </c>
      <c r="B1426" s="2" t="s">
        <v>1146</v>
      </c>
      <c r="C1426" s="5" t="s">
        <v>2325</v>
      </c>
      <c r="D1426" s="2" t="s">
        <v>2326</v>
      </c>
    </row>
    <row r="1427" spans="1:4" ht="12.95" customHeight="1" x14ac:dyDescent="0.25">
      <c r="A1427" s="2" t="s">
        <v>270</v>
      </c>
      <c r="B1427" s="2" t="s">
        <v>1146</v>
      </c>
      <c r="C1427" s="5" t="s">
        <v>2327</v>
      </c>
      <c r="D1427" s="2" t="s">
        <v>2328</v>
      </c>
    </row>
    <row r="1428" spans="1:4" ht="12.95" customHeight="1" x14ac:dyDescent="0.25">
      <c r="A1428" s="2" t="s">
        <v>270</v>
      </c>
      <c r="B1428" s="2" t="s">
        <v>1146</v>
      </c>
      <c r="C1428" s="5" t="s">
        <v>2329</v>
      </c>
      <c r="D1428" s="2" t="s">
        <v>2330</v>
      </c>
    </row>
    <row r="1429" spans="1:4" ht="12.95" customHeight="1" x14ac:dyDescent="0.25">
      <c r="A1429" s="2" t="s">
        <v>270</v>
      </c>
      <c r="B1429" s="2" t="s">
        <v>1146</v>
      </c>
      <c r="C1429" s="5" t="s">
        <v>2331</v>
      </c>
      <c r="D1429" s="2" t="s">
        <v>2332</v>
      </c>
    </row>
    <row r="1430" spans="1:4" ht="12.95" customHeight="1" x14ac:dyDescent="0.25">
      <c r="A1430" s="2" t="s">
        <v>270</v>
      </c>
      <c r="B1430" s="2" t="s">
        <v>1146</v>
      </c>
      <c r="C1430" s="5" t="s">
        <v>2333</v>
      </c>
      <c r="D1430" s="2" t="s">
        <v>2334</v>
      </c>
    </row>
    <row r="1431" spans="1:4" ht="12.95" customHeight="1" x14ac:dyDescent="0.25">
      <c r="A1431" s="2" t="s">
        <v>270</v>
      </c>
      <c r="B1431" s="2" t="s">
        <v>1146</v>
      </c>
      <c r="C1431" s="5" t="s">
        <v>2335</v>
      </c>
      <c r="D1431" s="2" t="s">
        <v>2336</v>
      </c>
    </row>
    <row r="1432" spans="1:4" ht="12.95" customHeight="1" x14ac:dyDescent="0.25">
      <c r="A1432" s="2" t="s">
        <v>270</v>
      </c>
      <c r="B1432" s="2" t="s">
        <v>1146</v>
      </c>
      <c r="C1432" s="5" t="s">
        <v>2337</v>
      </c>
      <c r="D1432" s="2" t="s">
        <v>2338</v>
      </c>
    </row>
    <row r="1433" spans="1:4" ht="12.95" customHeight="1" x14ac:dyDescent="0.25">
      <c r="A1433" s="2" t="s">
        <v>270</v>
      </c>
      <c r="B1433" s="2" t="s">
        <v>1146</v>
      </c>
      <c r="C1433" s="5" t="s">
        <v>2339</v>
      </c>
      <c r="D1433" s="2" t="s">
        <v>2340</v>
      </c>
    </row>
    <row r="1434" spans="1:4" ht="12.95" customHeight="1" x14ac:dyDescent="0.25">
      <c r="A1434" s="2" t="s">
        <v>270</v>
      </c>
      <c r="B1434" s="2" t="s">
        <v>1146</v>
      </c>
      <c r="C1434" s="5" t="s">
        <v>2341</v>
      </c>
      <c r="D1434" s="2" t="s">
        <v>2342</v>
      </c>
    </row>
    <row r="1435" spans="1:4" ht="12.95" customHeight="1" x14ac:dyDescent="0.25">
      <c r="A1435" s="2" t="s">
        <v>270</v>
      </c>
      <c r="B1435" s="2" t="s">
        <v>1146</v>
      </c>
      <c r="C1435" s="5" t="s">
        <v>2343</v>
      </c>
      <c r="D1435" s="2" t="s">
        <v>2344</v>
      </c>
    </row>
    <row r="1436" spans="1:4" ht="12.95" customHeight="1" x14ac:dyDescent="0.25">
      <c r="A1436" s="2" t="s">
        <v>270</v>
      </c>
      <c r="B1436" s="2" t="s">
        <v>1146</v>
      </c>
      <c r="C1436" s="5" t="s">
        <v>2345</v>
      </c>
      <c r="D1436" s="2" t="s">
        <v>2346</v>
      </c>
    </row>
    <row r="1437" spans="1:4" ht="12.95" customHeight="1" x14ac:dyDescent="0.25">
      <c r="A1437" s="2" t="s">
        <v>270</v>
      </c>
      <c r="B1437" s="2" t="s">
        <v>1146</v>
      </c>
      <c r="C1437" s="5" t="s">
        <v>2347</v>
      </c>
      <c r="D1437" s="2" t="s">
        <v>2348</v>
      </c>
    </row>
    <row r="1438" spans="1:4" ht="12.95" customHeight="1" x14ac:dyDescent="0.25">
      <c r="A1438" s="2" t="s">
        <v>270</v>
      </c>
      <c r="B1438" s="2" t="s">
        <v>1146</v>
      </c>
      <c r="C1438" s="5" t="s">
        <v>2349</v>
      </c>
      <c r="D1438" s="2" t="s">
        <v>2350</v>
      </c>
    </row>
    <row r="1439" spans="1:4" ht="12.95" customHeight="1" x14ac:dyDescent="0.25">
      <c r="A1439" s="2" t="s">
        <v>270</v>
      </c>
      <c r="B1439" s="2" t="s">
        <v>1146</v>
      </c>
      <c r="C1439" s="5" t="s">
        <v>2351</v>
      </c>
      <c r="D1439" s="2" t="s">
        <v>2352</v>
      </c>
    </row>
    <row r="1440" spans="1:4" ht="12.95" customHeight="1" x14ac:dyDescent="0.25">
      <c r="A1440" s="2" t="s">
        <v>270</v>
      </c>
      <c r="B1440" s="2" t="s">
        <v>1146</v>
      </c>
      <c r="C1440" s="5" t="s">
        <v>2353</v>
      </c>
      <c r="D1440" s="2" t="s">
        <v>2354</v>
      </c>
    </row>
    <row r="1441" spans="1:4" ht="12.95" customHeight="1" x14ac:dyDescent="0.25">
      <c r="A1441" s="2" t="s">
        <v>270</v>
      </c>
      <c r="B1441" s="2" t="s">
        <v>1146</v>
      </c>
      <c r="C1441" s="5" t="s">
        <v>2355</v>
      </c>
      <c r="D1441" s="2" t="s">
        <v>2356</v>
      </c>
    </row>
    <row r="1442" spans="1:4" ht="12.95" customHeight="1" x14ac:dyDescent="0.25">
      <c r="A1442" s="2" t="s">
        <v>270</v>
      </c>
      <c r="B1442" s="2" t="s">
        <v>1146</v>
      </c>
      <c r="C1442" s="5" t="s">
        <v>2357</v>
      </c>
      <c r="D1442" s="2" t="s">
        <v>2358</v>
      </c>
    </row>
    <row r="1443" spans="1:4" ht="12.95" customHeight="1" x14ac:dyDescent="0.25">
      <c r="A1443" s="2" t="s">
        <v>270</v>
      </c>
      <c r="B1443" s="2" t="s">
        <v>1146</v>
      </c>
      <c r="C1443" s="5" t="s">
        <v>2359</v>
      </c>
      <c r="D1443" s="2" t="s">
        <v>2360</v>
      </c>
    </row>
    <row r="1444" spans="1:4" ht="12.95" customHeight="1" x14ac:dyDescent="0.25">
      <c r="A1444" s="2" t="s">
        <v>270</v>
      </c>
      <c r="B1444" s="2" t="s">
        <v>1146</v>
      </c>
      <c r="C1444" s="5" t="s">
        <v>2361</v>
      </c>
      <c r="D1444" s="2" t="s">
        <v>2362</v>
      </c>
    </row>
    <row r="1445" spans="1:4" ht="12.95" customHeight="1" x14ac:dyDescent="0.25">
      <c r="A1445" s="2" t="s">
        <v>270</v>
      </c>
      <c r="B1445" s="2" t="s">
        <v>1146</v>
      </c>
      <c r="C1445" s="5" t="s">
        <v>2363</v>
      </c>
      <c r="D1445" s="2" t="s">
        <v>2364</v>
      </c>
    </row>
    <row r="1446" spans="1:4" ht="12.95" customHeight="1" x14ac:dyDescent="0.25">
      <c r="A1446" s="2" t="s">
        <v>270</v>
      </c>
      <c r="B1446" s="2" t="s">
        <v>1146</v>
      </c>
      <c r="C1446" s="5" t="s">
        <v>2365</v>
      </c>
      <c r="D1446" s="2" t="s">
        <v>2366</v>
      </c>
    </row>
    <row r="1447" spans="1:4" ht="12.95" customHeight="1" x14ac:dyDescent="0.25">
      <c r="A1447" s="2" t="s">
        <v>270</v>
      </c>
      <c r="B1447" s="2" t="s">
        <v>1146</v>
      </c>
      <c r="C1447" s="5" t="s">
        <v>2367</v>
      </c>
      <c r="D1447" s="2" t="s">
        <v>2368</v>
      </c>
    </row>
    <row r="1448" spans="1:4" ht="12.95" customHeight="1" x14ac:dyDescent="0.25">
      <c r="A1448" s="2" t="s">
        <v>270</v>
      </c>
      <c r="B1448" s="2" t="s">
        <v>1146</v>
      </c>
      <c r="C1448" s="5" t="s">
        <v>2369</v>
      </c>
      <c r="D1448" s="2" t="s">
        <v>2370</v>
      </c>
    </row>
    <row r="1449" spans="1:4" ht="12.95" customHeight="1" x14ac:dyDescent="0.25">
      <c r="A1449" s="2" t="s">
        <v>270</v>
      </c>
      <c r="B1449" s="2" t="s">
        <v>1146</v>
      </c>
      <c r="C1449" s="5" t="s">
        <v>2371</v>
      </c>
      <c r="D1449" s="2" t="s">
        <v>2372</v>
      </c>
    </row>
    <row r="1450" spans="1:4" ht="12.95" customHeight="1" x14ac:dyDescent="0.25">
      <c r="A1450" s="2" t="s">
        <v>270</v>
      </c>
      <c r="B1450" s="2" t="s">
        <v>1146</v>
      </c>
      <c r="C1450" s="5" t="s">
        <v>2373</v>
      </c>
      <c r="D1450" s="2" t="s">
        <v>2374</v>
      </c>
    </row>
    <row r="1451" spans="1:4" ht="12.95" customHeight="1" x14ac:dyDescent="0.25">
      <c r="A1451" s="2" t="s">
        <v>270</v>
      </c>
      <c r="B1451" s="2" t="s">
        <v>1146</v>
      </c>
      <c r="C1451" s="5" t="s">
        <v>2375</v>
      </c>
      <c r="D1451" s="2" t="s">
        <v>2376</v>
      </c>
    </row>
    <row r="1452" spans="1:4" ht="12.95" customHeight="1" x14ac:dyDescent="0.25">
      <c r="A1452" s="2" t="s">
        <v>270</v>
      </c>
      <c r="B1452" s="2" t="s">
        <v>1146</v>
      </c>
      <c r="C1452" s="5" t="s">
        <v>2377</v>
      </c>
      <c r="D1452" s="2" t="s">
        <v>2378</v>
      </c>
    </row>
    <row r="1453" spans="1:4" ht="12.95" customHeight="1" x14ac:dyDescent="0.25">
      <c r="A1453" s="2" t="s">
        <v>270</v>
      </c>
      <c r="B1453" s="2" t="s">
        <v>1146</v>
      </c>
      <c r="C1453" s="5" t="s">
        <v>2379</v>
      </c>
      <c r="D1453" s="2" t="s">
        <v>2380</v>
      </c>
    </row>
    <row r="1454" spans="1:4" ht="12.95" customHeight="1" x14ac:dyDescent="0.25">
      <c r="A1454" s="2" t="s">
        <v>270</v>
      </c>
      <c r="B1454" s="2" t="s">
        <v>1146</v>
      </c>
      <c r="C1454" s="5" t="s">
        <v>2381</v>
      </c>
      <c r="D1454" s="2" t="s">
        <v>2382</v>
      </c>
    </row>
    <row r="1455" spans="1:4" ht="12.95" customHeight="1" x14ac:dyDescent="0.25">
      <c r="A1455" s="2" t="s">
        <v>270</v>
      </c>
      <c r="B1455" s="2" t="s">
        <v>1146</v>
      </c>
      <c r="C1455" s="5" t="s">
        <v>2383</v>
      </c>
      <c r="D1455" s="2" t="s">
        <v>2384</v>
      </c>
    </row>
    <row r="1456" spans="1:4" ht="12.95" customHeight="1" x14ac:dyDescent="0.25">
      <c r="A1456" s="2" t="s">
        <v>270</v>
      </c>
      <c r="B1456" s="2" t="s">
        <v>1146</v>
      </c>
      <c r="C1456" s="5" t="s">
        <v>2385</v>
      </c>
      <c r="D1456" s="2" t="s">
        <v>2386</v>
      </c>
    </row>
    <row r="1457" spans="1:4" ht="12.95" customHeight="1" x14ac:dyDescent="0.25">
      <c r="A1457" s="2" t="s">
        <v>270</v>
      </c>
      <c r="B1457" s="2" t="s">
        <v>1146</v>
      </c>
      <c r="C1457" s="5" t="s">
        <v>2387</v>
      </c>
      <c r="D1457" s="2" t="s">
        <v>2388</v>
      </c>
    </row>
    <row r="1458" spans="1:4" ht="12.95" customHeight="1" x14ac:dyDescent="0.25">
      <c r="A1458" s="2" t="s">
        <v>270</v>
      </c>
      <c r="B1458" s="2" t="s">
        <v>1146</v>
      </c>
      <c r="C1458" s="5" t="s">
        <v>2389</v>
      </c>
      <c r="D1458" s="2" t="s">
        <v>2390</v>
      </c>
    </row>
    <row r="1459" spans="1:4" ht="12.95" customHeight="1" x14ac:dyDescent="0.25">
      <c r="A1459" s="2" t="s">
        <v>270</v>
      </c>
      <c r="B1459" s="2" t="s">
        <v>1146</v>
      </c>
      <c r="C1459" s="5" t="s">
        <v>2391</v>
      </c>
      <c r="D1459" s="2" t="s">
        <v>2392</v>
      </c>
    </row>
    <row r="1460" spans="1:4" ht="12.95" customHeight="1" x14ac:dyDescent="0.25">
      <c r="A1460" s="2" t="s">
        <v>270</v>
      </c>
      <c r="B1460" s="2" t="s">
        <v>1146</v>
      </c>
      <c r="C1460" s="5" t="s">
        <v>2393</v>
      </c>
      <c r="D1460" s="2" t="s">
        <v>2394</v>
      </c>
    </row>
    <row r="1461" spans="1:4" ht="12.95" customHeight="1" x14ac:dyDescent="0.25">
      <c r="A1461" s="2" t="s">
        <v>270</v>
      </c>
      <c r="B1461" s="2" t="s">
        <v>1146</v>
      </c>
      <c r="C1461" s="5" t="s">
        <v>2395</v>
      </c>
      <c r="D1461" s="2" t="s">
        <v>2396</v>
      </c>
    </row>
    <row r="1462" spans="1:4" ht="12.95" customHeight="1" x14ac:dyDescent="0.25">
      <c r="A1462" s="2" t="s">
        <v>270</v>
      </c>
      <c r="B1462" s="2" t="s">
        <v>1146</v>
      </c>
      <c r="C1462" s="5" t="s">
        <v>2397</v>
      </c>
      <c r="D1462" s="2" t="s">
        <v>2398</v>
      </c>
    </row>
    <row r="1463" spans="1:4" ht="12.95" customHeight="1" x14ac:dyDescent="0.25">
      <c r="A1463" s="2" t="s">
        <v>270</v>
      </c>
      <c r="B1463" s="2" t="s">
        <v>1146</v>
      </c>
      <c r="C1463" s="5" t="s">
        <v>2399</v>
      </c>
      <c r="D1463" s="2" t="s">
        <v>2400</v>
      </c>
    </row>
    <row r="1464" spans="1:4" ht="12.95" customHeight="1" x14ac:dyDescent="0.25">
      <c r="A1464" s="2" t="s">
        <v>270</v>
      </c>
      <c r="B1464" s="2" t="s">
        <v>1146</v>
      </c>
      <c r="C1464" s="5" t="s">
        <v>2401</v>
      </c>
      <c r="D1464" s="2" t="s">
        <v>2402</v>
      </c>
    </row>
    <row r="1465" spans="1:4" ht="12.95" customHeight="1" x14ac:dyDescent="0.25">
      <c r="A1465" s="2" t="s">
        <v>270</v>
      </c>
      <c r="B1465" s="2" t="s">
        <v>1146</v>
      </c>
      <c r="C1465" s="5" t="s">
        <v>2403</v>
      </c>
      <c r="D1465" s="2" t="s">
        <v>2404</v>
      </c>
    </row>
    <row r="1466" spans="1:4" ht="12.95" customHeight="1" x14ac:dyDescent="0.25">
      <c r="A1466" s="2" t="s">
        <v>270</v>
      </c>
      <c r="B1466" s="2" t="s">
        <v>1146</v>
      </c>
      <c r="C1466" s="5" t="s">
        <v>2405</v>
      </c>
      <c r="D1466" s="2" t="s">
        <v>2406</v>
      </c>
    </row>
    <row r="1467" spans="1:4" ht="12.95" customHeight="1" x14ac:dyDescent="0.25">
      <c r="A1467" s="2" t="s">
        <v>270</v>
      </c>
      <c r="B1467" s="2" t="s">
        <v>1146</v>
      </c>
      <c r="C1467" s="5" t="s">
        <v>2407</v>
      </c>
      <c r="D1467" s="2" t="s">
        <v>2408</v>
      </c>
    </row>
    <row r="1468" spans="1:4" ht="12.95" customHeight="1" x14ac:dyDescent="0.25">
      <c r="A1468" s="2" t="s">
        <v>270</v>
      </c>
      <c r="B1468" s="2" t="s">
        <v>1146</v>
      </c>
      <c r="C1468" s="5" t="s">
        <v>2409</v>
      </c>
      <c r="D1468" s="2" t="s">
        <v>2410</v>
      </c>
    </row>
    <row r="1469" spans="1:4" ht="12.95" customHeight="1" x14ac:dyDescent="0.25">
      <c r="A1469" s="2" t="s">
        <v>270</v>
      </c>
      <c r="B1469" s="2" t="s">
        <v>1146</v>
      </c>
      <c r="C1469" s="5" t="s">
        <v>2411</v>
      </c>
      <c r="D1469" s="2" t="s">
        <v>2412</v>
      </c>
    </row>
    <row r="1470" spans="1:4" ht="12.95" customHeight="1" x14ac:dyDescent="0.25">
      <c r="A1470" s="2" t="s">
        <v>270</v>
      </c>
      <c r="B1470" s="2" t="s">
        <v>1146</v>
      </c>
      <c r="C1470" s="5" t="s">
        <v>2413</v>
      </c>
      <c r="D1470" s="2" t="s">
        <v>2414</v>
      </c>
    </row>
    <row r="1471" spans="1:4" ht="12.95" customHeight="1" x14ac:dyDescent="0.25">
      <c r="A1471" s="2" t="s">
        <v>270</v>
      </c>
      <c r="B1471" s="2" t="s">
        <v>1146</v>
      </c>
      <c r="C1471" s="5" t="s">
        <v>2415</v>
      </c>
      <c r="D1471" s="2" t="s">
        <v>2416</v>
      </c>
    </row>
    <row r="1472" spans="1:4" ht="12.95" customHeight="1" x14ac:dyDescent="0.25">
      <c r="A1472" s="2" t="s">
        <v>270</v>
      </c>
      <c r="B1472" s="2" t="s">
        <v>1146</v>
      </c>
      <c r="C1472" s="5" t="s">
        <v>2417</v>
      </c>
      <c r="D1472" s="2" t="s">
        <v>2418</v>
      </c>
    </row>
    <row r="1473" spans="1:4" ht="12.95" customHeight="1" x14ac:dyDescent="0.25">
      <c r="A1473" s="2" t="s">
        <v>270</v>
      </c>
      <c r="B1473" s="2" t="s">
        <v>1146</v>
      </c>
      <c r="C1473" s="5" t="s">
        <v>2419</v>
      </c>
      <c r="D1473" s="2" t="s">
        <v>2420</v>
      </c>
    </row>
    <row r="1474" spans="1:4" ht="12.95" customHeight="1" x14ac:dyDescent="0.25">
      <c r="A1474" s="2" t="s">
        <v>270</v>
      </c>
      <c r="B1474" s="2" t="s">
        <v>1146</v>
      </c>
      <c r="C1474" s="5" t="s">
        <v>2421</v>
      </c>
      <c r="D1474" s="2" t="s">
        <v>2422</v>
      </c>
    </row>
    <row r="1475" spans="1:4" ht="12.95" customHeight="1" x14ac:dyDescent="0.25">
      <c r="A1475" s="2" t="s">
        <v>270</v>
      </c>
      <c r="B1475" s="2" t="s">
        <v>1146</v>
      </c>
      <c r="C1475" s="5" t="s">
        <v>2423</v>
      </c>
      <c r="D1475" s="2" t="s">
        <v>2424</v>
      </c>
    </row>
    <row r="1476" spans="1:4" ht="12.95" customHeight="1" x14ac:dyDescent="0.25">
      <c r="A1476" s="2" t="s">
        <v>270</v>
      </c>
      <c r="B1476" s="2" t="s">
        <v>1146</v>
      </c>
      <c r="C1476" s="5" t="s">
        <v>2425</v>
      </c>
      <c r="D1476" s="2" t="s">
        <v>2426</v>
      </c>
    </row>
    <row r="1477" spans="1:4" ht="12.95" customHeight="1" x14ac:dyDescent="0.25">
      <c r="A1477" s="2" t="s">
        <v>270</v>
      </c>
      <c r="B1477" s="2" t="s">
        <v>1146</v>
      </c>
      <c r="C1477" s="5" t="s">
        <v>2427</v>
      </c>
      <c r="D1477" s="2" t="s">
        <v>2428</v>
      </c>
    </row>
    <row r="1478" spans="1:4" ht="12.95" customHeight="1" x14ac:dyDescent="0.25">
      <c r="A1478" s="2" t="s">
        <v>270</v>
      </c>
      <c r="B1478" s="2" t="s">
        <v>1146</v>
      </c>
      <c r="C1478" s="5" t="s">
        <v>2429</v>
      </c>
      <c r="D1478" s="2" t="s">
        <v>2430</v>
      </c>
    </row>
    <row r="1479" spans="1:4" ht="12.95" customHeight="1" x14ac:dyDescent="0.25">
      <c r="A1479" s="2" t="s">
        <v>270</v>
      </c>
      <c r="B1479" s="2" t="s">
        <v>1146</v>
      </c>
      <c r="C1479" s="5" t="s">
        <v>2431</v>
      </c>
      <c r="D1479" s="2" t="s">
        <v>2432</v>
      </c>
    </row>
    <row r="1480" spans="1:4" ht="12.95" customHeight="1" x14ac:dyDescent="0.25">
      <c r="A1480" s="2" t="s">
        <v>270</v>
      </c>
      <c r="B1480" s="2" t="s">
        <v>1146</v>
      </c>
      <c r="C1480" s="5" t="s">
        <v>2433</v>
      </c>
      <c r="D1480" s="2" t="s">
        <v>2434</v>
      </c>
    </row>
    <row r="1481" spans="1:4" ht="12.95" customHeight="1" x14ac:dyDescent="0.25">
      <c r="A1481" s="2" t="s">
        <v>270</v>
      </c>
      <c r="B1481" s="2" t="s">
        <v>1146</v>
      </c>
      <c r="C1481" s="5" t="s">
        <v>2435</v>
      </c>
      <c r="D1481" s="2" t="s">
        <v>2436</v>
      </c>
    </row>
    <row r="1482" spans="1:4" ht="12.95" customHeight="1" x14ac:dyDescent="0.25">
      <c r="A1482" s="2" t="s">
        <v>270</v>
      </c>
      <c r="B1482" s="2" t="s">
        <v>1146</v>
      </c>
      <c r="C1482" s="5" t="s">
        <v>2437</v>
      </c>
      <c r="D1482" s="2" t="s">
        <v>2438</v>
      </c>
    </row>
    <row r="1483" spans="1:4" ht="12.95" customHeight="1" x14ac:dyDescent="0.25">
      <c r="A1483" s="2" t="s">
        <v>270</v>
      </c>
      <c r="B1483" s="2" t="s">
        <v>1146</v>
      </c>
      <c r="C1483" s="5" t="s">
        <v>2439</v>
      </c>
      <c r="D1483" s="2" t="s">
        <v>2440</v>
      </c>
    </row>
    <row r="1484" spans="1:4" ht="12.95" customHeight="1" x14ac:dyDescent="0.25">
      <c r="A1484" s="2" t="s">
        <v>270</v>
      </c>
      <c r="B1484" s="2" t="s">
        <v>1146</v>
      </c>
      <c r="C1484" s="5" t="s">
        <v>2441</v>
      </c>
      <c r="D1484" s="2" t="s">
        <v>2442</v>
      </c>
    </row>
    <row r="1485" spans="1:4" ht="12.95" customHeight="1" x14ac:dyDescent="0.25">
      <c r="A1485" s="2" t="s">
        <v>270</v>
      </c>
      <c r="B1485" s="2" t="s">
        <v>1146</v>
      </c>
      <c r="C1485" s="5" t="s">
        <v>2443</v>
      </c>
      <c r="D1485" s="2" t="s">
        <v>2444</v>
      </c>
    </row>
    <row r="1486" spans="1:4" ht="12.95" customHeight="1" x14ac:dyDescent="0.25">
      <c r="A1486" s="2" t="s">
        <v>270</v>
      </c>
      <c r="B1486" s="2" t="s">
        <v>1146</v>
      </c>
      <c r="C1486" s="5" t="s">
        <v>2445</v>
      </c>
      <c r="D1486" s="2" t="s">
        <v>2446</v>
      </c>
    </row>
    <row r="1487" spans="1:4" ht="12.95" customHeight="1" x14ac:dyDescent="0.25">
      <c r="A1487" s="2" t="s">
        <v>270</v>
      </c>
      <c r="B1487" s="2" t="s">
        <v>1146</v>
      </c>
      <c r="C1487" s="5" t="s">
        <v>2447</v>
      </c>
      <c r="D1487" s="2" t="s">
        <v>2448</v>
      </c>
    </row>
    <row r="1488" spans="1:4" ht="12.95" customHeight="1" x14ac:dyDescent="0.25">
      <c r="A1488" s="2" t="s">
        <v>270</v>
      </c>
      <c r="B1488" s="2" t="s">
        <v>1146</v>
      </c>
      <c r="C1488" s="5" t="s">
        <v>2449</v>
      </c>
      <c r="D1488" s="2" t="s">
        <v>2450</v>
      </c>
    </row>
    <row r="1489" spans="1:4" ht="12.95" customHeight="1" x14ac:dyDescent="0.25">
      <c r="A1489" s="2" t="s">
        <v>270</v>
      </c>
      <c r="B1489" s="2" t="s">
        <v>1146</v>
      </c>
      <c r="C1489" s="5" t="s">
        <v>2451</v>
      </c>
      <c r="D1489" s="2" t="s">
        <v>2452</v>
      </c>
    </row>
    <row r="1490" spans="1:4" ht="12.95" customHeight="1" x14ac:dyDescent="0.25">
      <c r="A1490" s="2" t="s">
        <v>270</v>
      </c>
      <c r="B1490" s="2" t="s">
        <v>1146</v>
      </c>
      <c r="C1490" s="5" t="s">
        <v>2453</v>
      </c>
      <c r="D1490" s="2" t="s">
        <v>2454</v>
      </c>
    </row>
    <row r="1491" spans="1:4" ht="12.95" customHeight="1" x14ac:dyDescent="0.25">
      <c r="A1491" s="2" t="s">
        <v>270</v>
      </c>
      <c r="B1491" s="2" t="s">
        <v>1146</v>
      </c>
      <c r="C1491" s="5" t="s">
        <v>2455</v>
      </c>
      <c r="D1491" s="2" t="s">
        <v>2456</v>
      </c>
    </row>
    <row r="1492" spans="1:4" ht="12.95" customHeight="1" x14ac:dyDescent="0.25">
      <c r="A1492" s="2" t="s">
        <v>270</v>
      </c>
      <c r="B1492" s="2" t="s">
        <v>1146</v>
      </c>
      <c r="C1492" s="5" t="s">
        <v>2457</v>
      </c>
      <c r="D1492" s="2" t="s">
        <v>2458</v>
      </c>
    </row>
    <row r="1493" spans="1:4" ht="12.95" customHeight="1" x14ac:dyDescent="0.25">
      <c r="A1493" s="2" t="s">
        <v>270</v>
      </c>
      <c r="B1493" s="2" t="s">
        <v>1146</v>
      </c>
      <c r="C1493" s="5" t="s">
        <v>2459</v>
      </c>
      <c r="D1493" s="2" t="s">
        <v>2460</v>
      </c>
    </row>
    <row r="1494" spans="1:4" ht="12.95" customHeight="1" x14ac:dyDescent="0.25">
      <c r="A1494" s="2" t="s">
        <v>270</v>
      </c>
      <c r="B1494" s="2" t="s">
        <v>1146</v>
      </c>
      <c r="C1494" s="5" t="s">
        <v>2461</v>
      </c>
      <c r="D1494" s="2" t="s">
        <v>2462</v>
      </c>
    </row>
    <row r="1495" spans="1:4" ht="12.95" customHeight="1" x14ac:dyDescent="0.25">
      <c r="A1495" s="2" t="s">
        <v>270</v>
      </c>
      <c r="B1495" s="2" t="s">
        <v>1146</v>
      </c>
      <c r="C1495" s="5" t="s">
        <v>2463</v>
      </c>
      <c r="D1495" s="2" t="s">
        <v>2464</v>
      </c>
    </row>
    <row r="1496" spans="1:4" ht="12.95" customHeight="1" x14ac:dyDescent="0.25">
      <c r="A1496" s="2" t="s">
        <v>270</v>
      </c>
      <c r="B1496" s="2" t="s">
        <v>1146</v>
      </c>
      <c r="C1496" s="5" t="s">
        <v>2465</v>
      </c>
      <c r="D1496" s="2" t="s">
        <v>2466</v>
      </c>
    </row>
    <row r="1497" spans="1:4" ht="12.95" customHeight="1" x14ac:dyDescent="0.25">
      <c r="A1497" s="2" t="s">
        <v>270</v>
      </c>
      <c r="B1497" s="2" t="s">
        <v>1146</v>
      </c>
      <c r="C1497" s="5" t="s">
        <v>2467</v>
      </c>
      <c r="D1497" s="2" t="s">
        <v>2468</v>
      </c>
    </row>
    <row r="1498" spans="1:4" ht="12.95" customHeight="1" x14ac:dyDescent="0.25">
      <c r="A1498" s="2" t="s">
        <v>270</v>
      </c>
      <c r="B1498" s="2" t="s">
        <v>1146</v>
      </c>
      <c r="C1498" s="5" t="s">
        <v>2469</v>
      </c>
      <c r="D1498" s="2" t="s">
        <v>2470</v>
      </c>
    </row>
    <row r="1499" spans="1:4" ht="12.95" customHeight="1" x14ac:dyDescent="0.25">
      <c r="A1499" s="2" t="s">
        <v>270</v>
      </c>
      <c r="B1499" s="2" t="s">
        <v>1146</v>
      </c>
      <c r="C1499" s="5" t="s">
        <v>2471</v>
      </c>
      <c r="D1499" s="2" t="s">
        <v>2472</v>
      </c>
    </row>
    <row r="1500" spans="1:4" ht="12.95" customHeight="1" x14ac:dyDescent="0.25">
      <c r="A1500" s="2" t="s">
        <v>270</v>
      </c>
      <c r="B1500" s="2" t="s">
        <v>1146</v>
      </c>
      <c r="C1500" s="5" t="s">
        <v>2473</v>
      </c>
      <c r="D1500" s="2" t="s">
        <v>2474</v>
      </c>
    </row>
    <row r="1501" spans="1:4" ht="12.95" customHeight="1" x14ac:dyDescent="0.25">
      <c r="A1501" s="2" t="s">
        <v>270</v>
      </c>
      <c r="B1501" s="2" t="s">
        <v>1146</v>
      </c>
      <c r="C1501" s="5" t="s">
        <v>2475</v>
      </c>
      <c r="D1501" s="2" t="s">
        <v>2476</v>
      </c>
    </row>
    <row r="1502" spans="1:4" ht="12.95" customHeight="1" x14ac:dyDescent="0.25">
      <c r="A1502" s="2" t="s">
        <v>270</v>
      </c>
      <c r="B1502" s="2" t="s">
        <v>1146</v>
      </c>
      <c r="C1502" s="5" t="s">
        <v>2477</v>
      </c>
      <c r="D1502" s="2" t="s">
        <v>2478</v>
      </c>
    </row>
    <row r="1503" spans="1:4" ht="12.95" customHeight="1" x14ac:dyDescent="0.25">
      <c r="A1503" s="2" t="s">
        <v>270</v>
      </c>
      <c r="B1503" s="2" t="s">
        <v>1146</v>
      </c>
      <c r="C1503" s="5" t="s">
        <v>2479</v>
      </c>
      <c r="D1503" s="2" t="s">
        <v>2480</v>
      </c>
    </row>
    <row r="1504" spans="1:4" ht="12.95" customHeight="1" x14ac:dyDescent="0.25">
      <c r="A1504" s="2" t="s">
        <v>270</v>
      </c>
      <c r="B1504" s="2" t="s">
        <v>1146</v>
      </c>
      <c r="C1504" s="5" t="s">
        <v>2481</v>
      </c>
      <c r="D1504" s="2" t="s">
        <v>2482</v>
      </c>
    </row>
    <row r="1505" spans="1:4" ht="12.95" customHeight="1" x14ac:dyDescent="0.25">
      <c r="A1505" s="2" t="s">
        <v>270</v>
      </c>
      <c r="B1505" s="2" t="s">
        <v>1146</v>
      </c>
      <c r="C1505" s="5" t="s">
        <v>2483</v>
      </c>
      <c r="D1505" s="2" t="s">
        <v>2484</v>
      </c>
    </row>
    <row r="1506" spans="1:4" ht="12.95" customHeight="1" x14ac:dyDescent="0.25">
      <c r="A1506" s="2" t="s">
        <v>270</v>
      </c>
      <c r="B1506" s="2" t="s">
        <v>1146</v>
      </c>
      <c r="C1506" s="5" t="s">
        <v>2485</v>
      </c>
      <c r="D1506" s="2" t="s">
        <v>2486</v>
      </c>
    </row>
    <row r="1507" spans="1:4" ht="12.95" customHeight="1" x14ac:dyDescent="0.25">
      <c r="A1507" s="2" t="s">
        <v>270</v>
      </c>
      <c r="B1507" s="2" t="s">
        <v>1146</v>
      </c>
      <c r="C1507" s="5" t="s">
        <v>2487</v>
      </c>
      <c r="D1507" s="2" t="s">
        <v>2488</v>
      </c>
    </row>
    <row r="1508" spans="1:4" ht="12.95" customHeight="1" x14ac:dyDescent="0.25">
      <c r="A1508" s="2" t="s">
        <v>270</v>
      </c>
      <c r="B1508" s="2" t="s">
        <v>1146</v>
      </c>
      <c r="C1508" s="5" t="s">
        <v>2489</v>
      </c>
      <c r="D1508" s="2" t="s">
        <v>2490</v>
      </c>
    </row>
    <row r="1509" spans="1:4" ht="12.95" customHeight="1" x14ac:dyDescent="0.25">
      <c r="A1509" s="2" t="s">
        <v>270</v>
      </c>
      <c r="B1509" s="2" t="s">
        <v>1146</v>
      </c>
      <c r="C1509" s="5" t="s">
        <v>2491</v>
      </c>
      <c r="D1509" s="2" t="s">
        <v>2492</v>
      </c>
    </row>
    <row r="1510" spans="1:4" ht="12.95" customHeight="1" x14ac:dyDescent="0.25">
      <c r="A1510" s="2" t="s">
        <v>270</v>
      </c>
      <c r="B1510" s="2" t="s">
        <v>1146</v>
      </c>
      <c r="C1510" s="5" t="s">
        <v>2493</v>
      </c>
      <c r="D1510" s="2" t="s">
        <v>2494</v>
      </c>
    </row>
    <row r="1511" spans="1:4" ht="12.95" customHeight="1" x14ac:dyDescent="0.25">
      <c r="A1511" s="2" t="s">
        <v>270</v>
      </c>
      <c r="B1511" s="2" t="s">
        <v>1146</v>
      </c>
      <c r="C1511" s="5" t="s">
        <v>2495</v>
      </c>
      <c r="D1511" s="2" t="s">
        <v>2496</v>
      </c>
    </row>
    <row r="1512" spans="1:4" ht="12.95" customHeight="1" x14ac:dyDescent="0.25">
      <c r="A1512" s="2" t="s">
        <v>270</v>
      </c>
      <c r="B1512" s="2" t="s">
        <v>1146</v>
      </c>
      <c r="C1512" s="5" t="s">
        <v>2497</v>
      </c>
      <c r="D1512" s="2" t="s">
        <v>2498</v>
      </c>
    </row>
    <row r="1513" spans="1:4" ht="12.95" customHeight="1" x14ac:dyDescent="0.25">
      <c r="A1513" s="2" t="s">
        <v>270</v>
      </c>
      <c r="B1513" s="2" t="s">
        <v>1146</v>
      </c>
      <c r="C1513" s="5" t="s">
        <v>2499</v>
      </c>
      <c r="D1513" s="2" t="s">
        <v>2500</v>
      </c>
    </row>
    <row r="1514" spans="1:4" ht="12.95" customHeight="1" x14ac:dyDescent="0.25">
      <c r="A1514" s="2" t="s">
        <v>270</v>
      </c>
      <c r="B1514" s="2" t="s">
        <v>1146</v>
      </c>
      <c r="C1514" s="5" t="s">
        <v>2501</v>
      </c>
      <c r="D1514" s="2" t="s">
        <v>2502</v>
      </c>
    </row>
    <row r="1515" spans="1:4" ht="12.95" customHeight="1" x14ac:dyDescent="0.25">
      <c r="A1515" s="2" t="s">
        <v>270</v>
      </c>
      <c r="B1515" s="2" t="s">
        <v>1146</v>
      </c>
      <c r="C1515" s="5" t="s">
        <v>2503</v>
      </c>
      <c r="D1515" s="2" t="s">
        <v>2504</v>
      </c>
    </row>
    <row r="1516" spans="1:4" ht="12.95" customHeight="1" x14ac:dyDescent="0.25">
      <c r="A1516" s="2" t="s">
        <v>270</v>
      </c>
      <c r="B1516" s="2" t="s">
        <v>1146</v>
      </c>
      <c r="C1516" s="5" t="s">
        <v>2505</v>
      </c>
      <c r="D1516" s="2" t="s">
        <v>2506</v>
      </c>
    </row>
    <row r="1517" spans="1:4" ht="12.95" customHeight="1" x14ac:dyDescent="0.25">
      <c r="A1517" s="2" t="s">
        <v>270</v>
      </c>
      <c r="B1517" s="2" t="s">
        <v>1146</v>
      </c>
      <c r="C1517" s="5" t="s">
        <v>2507</v>
      </c>
      <c r="D1517" s="2" t="s">
        <v>2508</v>
      </c>
    </row>
    <row r="1518" spans="1:4" ht="12.95" customHeight="1" x14ac:dyDescent="0.25">
      <c r="A1518" s="2" t="s">
        <v>270</v>
      </c>
      <c r="B1518" s="2" t="s">
        <v>1146</v>
      </c>
      <c r="C1518" s="5" t="s">
        <v>2509</v>
      </c>
      <c r="D1518" s="2" t="s">
        <v>2510</v>
      </c>
    </row>
    <row r="1519" spans="1:4" ht="12.95" customHeight="1" x14ac:dyDescent="0.25">
      <c r="A1519" s="2" t="s">
        <v>270</v>
      </c>
      <c r="B1519" s="2" t="s">
        <v>1146</v>
      </c>
      <c r="C1519" s="5" t="s">
        <v>2511</v>
      </c>
      <c r="D1519" s="2" t="s">
        <v>2512</v>
      </c>
    </row>
    <row r="1520" spans="1:4" ht="12.95" customHeight="1" x14ac:dyDescent="0.25">
      <c r="A1520" s="2" t="s">
        <v>270</v>
      </c>
      <c r="B1520" s="2" t="s">
        <v>1146</v>
      </c>
      <c r="C1520" s="5" t="s">
        <v>2513</v>
      </c>
      <c r="D1520" s="2" t="s">
        <v>2514</v>
      </c>
    </row>
    <row r="1521" spans="1:4" ht="12.95" customHeight="1" x14ac:dyDescent="0.25">
      <c r="A1521" s="2" t="s">
        <v>270</v>
      </c>
      <c r="B1521" s="2" t="s">
        <v>1146</v>
      </c>
      <c r="C1521" s="5" t="s">
        <v>2515</v>
      </c>
      <c r="D1521" s="2" t="s">
        <v>2516</v>
      </c>
    </row>
    <row r="1522" spans="1:4" ht="12.95" customHeight="1" x14ac:dyDescent="0.25">
      <c r="A1522" s="2" t="s">
        <v>270</v>
      </c>
      <c r="B1522" s="2" t="s">
        <v>1146</v>
      </c>
      <c r="C1522" s="5" t="s">
        <v>2517</v>
      </c>
      <c r="D1522" s="2" t="s">
        <v>2518</v>
      </c>
    </row>
    <row r="1523" spans="1:4" ht="12.95" customHeight="1" x14ac:dyDescent="0.25">
      <c r="A1523" s="2" t="s">
        <v>270</v>
      </c>
      <c r="B1523" s="2" t="s">
        <v>1146</v>
      </c>
      <c r="C1523" s="5" t="s">
        <v>2519</v>
      </c>
      <c r="D1523" s="2" t="s">
        <v>2520</v>
      </c>
    </row>
    <row r="1524" spans="1:4" ht="12.95" customHeight="1" x14ac:dyDescent="0.25">
      <c r="A1524" s="2" t="s">
        <v>270</v>
      </c>
      <c r="B1524" s="2" t="s">
        <v>1146</v>
      </c>
      <c r="C1524" s="5" t="s">
        <v>2521</v>
      </c>
      <c r="D1524" s="2" t="s">
        <v>2522</v>
      </c>
    </row>
    <row r="1525" spans="1:4" ht="12.95" customHeight="1" x14ac:dyDescent="0.25">
      <c r="A1525" s="2" t="s">
        <v>270</v>
      </c>
      <c r="B1525" s="2" t="s">
        <v>1146</v>
      </c>
      <c r="C1525" s="5" t="s">
        <v>2523</v>
      </c>
      <c r="D1525" s="2" t="s">
        <v>2524</v>
      </c>
    </row>
    <row r="1526" spans="1:4" ht="12.95" customHeight="1" x14ac:dyDescent="0.25">
      <c r="A1526" s="2" t="s">
        <v>270</v>
      </c>
      <c r="B1526" s="2" t="s">
        <v>1146</v>
      </c>
      <c r="C1526" s="5" t="s">
        <v>2525</v>
      </c>
      <c r="D1526" s="2" t="s">
        <v>2526</v>
      </c>
    </row>
    <row r="1527" spans="1:4" ht="12.95" customHeight="1" x14ac:dyDescent="0.25">
      <c r="A1527" s="2" t="s">
        <v>270</v>
      </c>
      <c r="B1527" s="2" t="s">
        <v>1146</v>
      </c>
      <c r="C1527" s="5" t="s">
        <v>2527</v>
      </c>
      <c r="D1527" s="2" t="s">
        <v>2528</v>
      </c>
    </row>
    <row r="1528" spans="1:4" ht="12.95" customHeight="1" x14ac:dyDescent="0.25">
      <c r="A1528" s="2" t="s">
        <v>270</v>
      </c>
      <c r="B1528" s="2" t="s">
        <v>1146</v>
      </c>
      <c r="C1528" s="5" t="s">
        <v>2529</v>
      </c>
      <c r="D1528" s="2" t="s">
        <v>2530</v>
      </c>
    </row>
    <row r="1529" spans="1:4" ht="12.95" customHeight="1" x14ac:dyDescent="0.25">
      <c r="A1529" s="2" t="s">
        <v>270</v>
      </c>
      <c r="B1529" s="2" t="s">
        <v>1146</v>
      </c>
      <c r="C1529" s="5" t="s">
        <v>2531</v>
      </c>
      <c r="D1529" s="2" t="s">
        <v>2532</v>
      </c>
    </row>
    <row r="1530" spans="1:4" ht="12.95" customHeight="1" x14ac:dyDescent="0.25">
      <c r="A1530" s="2" t="s">
        <v>270</v>
      </c>
      <c r="B1530" s="2" t="s">
        <v>1146</v>
      </c>
      <c r="C1530" s="5" t="s">
        <v>2533</v>
      </c>
      <c r="D1530" s="2" t="s">
        <v>2534</v>
      </c>
    </row>
    <row r="1531" spans="1:4" ht="12.95" customHeight="1" x14ac:dyDescent="0.25">
      <c r="A1531" s="2" t="s">
        <v>270</v>
      </c>
      <c r="B1531" s="2" t="s">
        <v>1146</v>
      </c>
      <c r="C1531" s="5" t="s">
        <v>2535</v>
      </c>
      <c r="D1531" s="2" t="s">
        <v>2536</v>
      </c>
    </row>
    <row r="1532" spans="1:4" ht="12.95" customHeight="1" x14ac:dyDescent="0.25">
      <c r="A1532" s="2" t="s">
        <v>270</v>
      </c>
      <c r="B1532" s="2" t="s">
        <v>1146</v>
      </c>
      <c r="C1532" s="5" t="s">
        <v>2537</v>
      </c>
      <c r="D1532" s="2" t="s">
        <v>2538</v>
      </c>
    </row>
    <row r="1533" spans="1:4" ht="12.95" customHeight="1" x14ac:dyDescent="0.25">
      <c r="A1533" s="2" t="s">
        <v>270</v>
      </c>
      <c r="B1533" s="2" t="s">
        <v>1146</v>
      </c>
      <c r="C1533" s="5" t="s">
        <v>2539</v>
      </c>
      <c r="D1533" s="2" t="s">
        <v>2540</v>
      </c>
    </row>
    <row r="1534" spans="1:4" ht="12.95" customHeight="1" x14ac:dyDescent="0.25">
      <c r="A1534" s="2" t="s">
        <v>270</v>
      </c>
      <c r="B1534" s="2" t="s">
        <v>1146</v>
      </c>
      <c r="C1534" s="5" t="s">
        <v>2541</v>
      </c>
      <c r="D1534" s="2" t="s">
        <v>2542</v>
      </c>
    </row>
    <row r="1535" spans="1:4" ht="12.95" customHeight="1" x14ac:dyDescent="0.25">
      <c r="A1535" s="2" t="s">
        <v>270</v>
      </c>
      <c r="B1535" s="2" t="s">
        <v>1146</v>
      </c>
      <c r="C1535" s="5" t="s">
        <v>2543</v>
      </c>
      <c r="D1535" s="2" t="s">
        <v>2544</v>
      </c>
    </row>
    <row r="1536" spans="1:4" ht="12.95" customHeight="1" x14ac:dyDescent="0.25">
      <c r="A1536" s="2" t="s">
        <v>270</v>
      </c>
      <c r="B1536" s="2" t="s">
        <v>1146</v>
      </c>
      <c r="C1536" s="5" t="s">
        <v>2545</v>
      </c>
      <c r="D1536" s="2" t="s">
        <v>2546</v>
      </c>
    </row>
    <row r="1537" spans="1:4" ht="12.95" customHeight="1" x14ac:dyDescent="0.25">
      <c r="A1537" s="2" t="s">
        <v>270</v>
      </c>
      <c r="B1537" s="2" t="s">
        <v>1146</v>
      </c>
      <c r="C1537" s="5" t="s">
        <v>2547</v>
      </c>
      <c r="D1537" s="2" t="s">
        <v>2548</v>
      </c>
    </row>
    <row r="1538" spans="1:4" ht="12.95" customHeight="1" x14ac:dyDescent="0.25">
      <c r="A1538" s="2" t="s">
        <v>270</v>
      </c>
      <c r="B1538" s="2" t="s">
        <v>1146</v>
      </c>
      <c r="C1538" s="5" t="s">
        <v>2549</v>
      </c>
      <c r="D1538" s="2" t="s">
        <v>2550</v>
      </c>
    </row>
    <row r="1539" spans="1:4" ht="12.95" customHeight="1" x14ac:dyDescent="0.25">
      <c r="A1539" s="2" t="s">
        <v>270</v>
      </c>
      <c r="B1539" s="2" t="s">
        <v>1146</v>
      </c>
      <c r="C1539" s="5" t="s">
        <v>2551</v>
      </c>
      <c r="D1539" s="2" t="s">
        <v>2552</v>
      </c>
    </row>
    <row r="1540" spans="1:4" ht="12.95" customHeight="1" x14ac:dyDescent="0.25">
      <c r="A1540" s="2" t="s">
        <v>270</v>
      </c>
      <c r="B1540" s="2" t="s">
        <v>1146</v>
      </c>
      <c r="C1540" s="5" t="s">
        <v>2553</v>
      </c>
      <c r="D1540" s="2" t="s">
        <v>2554</v>
      </c>
    </row>
    <row r="1541" spans="1:4" ht="12.95" customHeight="1" x14ac:dyDescent="0.25">
      <c r="A1541" s="2" t="s">
        <v>270</v>
      </c>
      <c r="B1541" s="2" t="s">
        <v>1146</v>
      </c>
      <c r="C1541" s="5" t="s">
        <v>2555</v>
      </c>
      <c r="D1541" s="2" t="s">
        <v>2556</v>
      </c>
    </row>
    <row r="1542" spans="1:4" ht="12.95" customHeight="1" x14ac:dyDescent="0.25">
      <c r="A1542" s="2" t="s">
        <v>270</v>
      </c>
      <c r="B1542" s="2" t="s">
        <v>1146</v>
      </c>
      <c r="C1542" s="5" t="s">
        <v>2557</v>
      </c>
      <c r="D1542" s="2" t="s">
        <v>2558</v>
      </c>
    </row>
    <row r="1543" spans="1:4" ht="12.95" customHeight="1" x14ac:dyDescent="0.25">
      <c r="A1543" s="2" t="s">
        <v>270</v>
      </c>
      <c r="B1543" s="2" t="s">
        <v>1146</v>
      </c>
      <c r="C1543" s="5" t="s">
        <v>2559</v>
      </c>
      <c r="D1543" s="2" t="s">
        <v>2560</v>
      </c>
    </row>
    <row r="1544" spans="1:4" ht="12.95" customHeight="1" x14ac:dyDescent="0.25">
      <c r="A1544" s="2" t="s">
        <v>270</v>
      </c>
      <c r="B1544" s="2" t="s">
        <v>1146</v>
      </c>
      <c r="C1544" s="5" t="s">
        <v>2561</v>
      </c>
      <c r="D1544" s="2" t="s">
        <v>2562</v>
      </c>
    </row>
    <row r="1545" spans="1:4" ht="12.95" customHeight="1" x14ac:dyDescent="0.25">
      <c r="A1545" s="2" t="s">
        <v>270</v>
      </c>
      <c r="B1545" s="2" t="s">
        <v>1146</v>
      </c>
      <c r="C1545" s="5" t="s">
        <v>2563</v>
      </c>
      <c r="D1545" s="2" t="s">
        <v>2564</v>
      </c>
    </row>
    <row r="1546" spans="1:4" ht="12.95" customHeight="1" x14ac:dyDescent="0.25">
      <c r="A1546" s="2" t="s">
        <v>270</v>
      </c>
      <c r="B1546" s="2" t="s">
        <v>1146</v>
      </c>
      <c r="C1546" s="5" t="s">
        <v>2565</v>
      </c>
      <c r="D1546" s="2" t="s">
        <v>2566</v>
      </c>
    </row>
    <row r="1547" spans="1:4" ht="12.95" customHeight="1" x14ac:dyDescent="0.25">
      <c r="A1547" s="2" t="s">
        <v>270</v>
      </c>
      <c r="B1547" s="2" t="s">
        <v>1146</v>
      </c>
      <c r="C1547" s="5" t="s">
        <v>2567</v>
      </c>
      <c r="D1547" s="2" t="s">
        <v>2568</v>
      </c>
    </row>
    <row r="1548" spans="1:4" ht="12.95" customHeight="1" x14ac:dyDescent="0.25">
      <c r="A1548" s="2" t="s">
        <v>270</v>
      </c>
      <c r="B1548" s="2" t="s">
        <v>1146</v>
      </c>
      <c r="C1548" s="5" t="s">
        <v>2569</v>
      </c>
      <c r="D1548" s="2" t="s">
        <v>2570</v>
      </c>
    </row>
    <row r="1549" spans="1:4" ht="12.95" customHeight="1" x14ac:dyDescent="0.25">
      <c r="A1549" s="2" t="s">
        <v>270</v>
      </c>
      <c r="B1549" s="2" t="s">
        <v>1146</v>
      </c>
      <c r="C1549" s="5" t="s">
        <v>2571</v>
      </c>
      <c r="D1549" s="2" t="s">
        <v>2572</v>
      </c>
    </row>
    <row r="1550" spans="1:4" ht="12.95" customHeight="1" x14ac:dyDescent="0.25">
      <c r="A1550" s="2" t="s">
        <v>270</v>
      </c>
      <c r="B1550" s="2" t="s">
        <v>1146</v>
      </c>
      <c r="C1550" s="5" t="s">
        <v>2573</v>
      </c>
      <c r="D1550" s="2" t="s">
        <v>2574</v>
      </c>
    </row>
    <row r="1551" spans="1:4" ht="12.95" customHeight="1" x14ac:dyDescent="0.25">
      <c r="A1551" s="2" t="s">
        <v>270</v>
      </c>
      <c r="B1551" s="2" t="s">
        <v>1146</v>
      </c>
      <c r="C1551" s="5" t="s">
        <v>2575</v>
      </c>
      <c r="D1551" s="2" t="s">
        <v>2576</v>
      </c>
    </row>
    <row r="1552" spans="1:4" ht="12.95" customHeight="1" x14ac:dyDescent="0.25">
      <c r="A1552" s="2" t="s">
        <v>270</v>
      </c>
      <c r="B1552" s="2" t="s">
        <v>1146</v>
      </c>
      <c r="C1552" s="5" t="s">
        <v>2577</v>
      </c>
      <c r="D1552" s="2" t="s">
        <v>2578</v>
      </c>
    </row>
    <row r="1553" spans="1:4" ht="12.95" customHeight="1" x14ac:dyDescent="0.25">
      <c r="A1553" s="2" t="s">
        <v>270</v>
      </c>
      <c r="B1553" s="2" t="s">
        <v>1146</v>
      </c>
      <c r="C1553" s="5" t="s">
        <v>2579</v>
      </c>
      <c r="D1553" s="2" t="s">
        <v>2580</v>
      </c>
    </row>
    <row r="1554" spans="1:4" ht="12.95" customHeight="1" x14ac:dyDescent="0.25">
      <c r="A1554" s="2" t="s">
        <v>270</v>
      </c>
      <c r="B1554" s="2" t="s">
        <v>1146</v>
      </c>
      <c r="C1554" s="5" t="s">
        <v>2581</v>
      </c>
      <c r="D1554" s="2" t="s">
        <v>2582</v>
      </c>
    </row>
    <row r="1555" spans="1:4" ht="12.95" customHeight="1" x14ac:dyDescent="0.25">
      <c r="A1555" s="2" t="s">
        <v>270</v>
      </c>
      <c r="B1555" s="2" t="s">
        <v>1146</v>
      </c>
      <c r="C1555" s="5" t="s">
        <v>2583</v>
      </c>
      <c r="D1555" s="2" t="s">
        <v>2584</v>
      </c>
    </row>
    <row r="1556" spans="1:4" ht="12.95" customHeight="1" x14ac:dyDescent="0.25">
      <c r="A1556" s="2" t="s">
        <v>270</v>
      </c>
      <c r="B1556" s="2" t="s">
        <v>1146</v>
      </c>
      <c r="C1556" s="5" t="s">
        <v>2585</v>
      </c>
      <c r="D1556" s="2" t="s">
        <v>2586</v>
      </c>
    </row>
    <row r="1557" spans="1:4" ht="12.95" customHeight="1" x14ac:dyDescent="0.25">
      <c r="A1557" s="2" t="s">
        <v>270</v>
      </c>
      <c r="B1557" s="2" t="s">
        <v>1146</v>
      </c>
      <c r="C1557" s="5" t="s">
        <v>2587</v>
      </c>
      <c r="D1557" s="2" t="s">
        <v>2588</v>
      </c>
    </row>
    <row r="1558" spans="1:4" ht="12.95" customHeight="1" x14ac:dyDescent="0.25">
      <c r="A1558" s="2" t="s">
        <v>270</v>
      </c>
      <c r="B1558" s="2" t="s">
        <v>1146</v>
      </c>
      <c r="C1558" s="5" t="s">
        <v>2589</v>
      </c>
      <c r="D1558" s="2" t="s">
        <v>2590</v>
      </c>
    </row>
    <row r="1559" spans="1:4" ht="12.95" customHeight="1" x14ac:dyDescent="0.25">
      <c r="A1559" s="2" t="s">
        <v>270</v>
      </c>
      <c r="B1559" s="2" t="s">
        <v>1146</v>
      </c>
      <c r="C1559" s="5" t="s">
        <v>2591</v>
      </c>
      <c r="D1559" s="2" t="s">
        <v>2592</v>
      </c>
    </row>
    <row r="1560" spans="1:4" ht="12.95" customHeight="1" x14ac:dyDescent="0.25">
      <c r="A1560" s="2" t="s">
        <v>270</v>
      </c>
      <c r="B1560" s="2" t="s">
        <v>1146</v>
      </c>
      <c r="C1560" s="5" t="s">
        <v>2593</v>
      </c>
      <c r="D1560" s="2" t="s">
        <v>2594</v>
      </c>
    </row>
    <row r="1561" spans="1:4" ht="12.95" customHeight="1" x14ac:dyDescent="0.25">
      <c r="A1561" s="2" t="s">
        <v>270</v>
      </c>
      <c r="B1561" s="2" t="s">
        <v>1146</v>
      </c>
      <c r="C1561" s="5" t="s">
        <v>2595</v>
      </c>
      <c r="D1561" s="2" t="s">
        <v>2596</v>
      </c>
    </row>
    <row r="1562" spans="1:4" ht="12.95" customHeight="1" x14ac:dyDescent="0.25">
      <c r="A1562" s="2" t="s">
        <v>270</v>
      </c>
      <c r="B1562" s="2" t="s">
        <v>1146</v>
      </c>
      <c r="C1562" s="5" t="s">
        <v>2597</v>
      </c>
      <c r="D1562" s="2" t="s">
        <v>2598</v>
      </c>
    </row>
    <row r="1563" spans="1:4" ht="12.95" customHeight="1" x14ac:dyDescent="0.25">
      <c r="A1563" s="2" t="s">
        <v>270</v>
      </c>
      <c r="B1563" s="2" t="s">
        <v>1146</v>
      </c>
      <c r="C1563" s="5" t="s">
        <v>2599</v>
      </c>
      <c r="D1563" s="2" t="s">
        <v>2600</v>
      </c>
    </row>
    <row r="1564" spans="1:4" ht="12.95" customHeight="1" x14ac:dyDescent="0.25">
      <c r="A1564" s="2" t="s">
        <v>270</v>
      </c>
      <c r="B1564" s="2" t="s">
        <v>1146</v>
      </c>
      <c r="C1564" s="5" t="s">
        <v>2601</v>
      </c>
      <c r="D1564" s="2" t="s">
        <v>2602</v>
      </c>
    </row>
    <row r="1565" spans="1:4" ht="12.95" customHeight="1" x14ac:dyDescent="0.25">
      <c r="A1565" s="2" t="s">
        <v>270</v>
      </c>
      <c r="B1565" s="2" t="s">
        <v>1146</v>
      </c>
      <c r="C1565" s="5" t="s">
        <v>2603</v>
      </c>
      <c r="D1565" s="2" t="s">
        <v>2604</v>
      </c>
    </row>
    <row r="1566" spans="1:4" ht="12.95" customHeight="1" x14ac:dyDescent="0.25">
      <c r="A1566" s="2" t="s">
        <v>270</v>
      </c>
      <c r="B1566" s="2" t="s">
        <v>1146</v>
      </c>
      <c r="C1566" s="5" t="s">
        <v>2605</v>
      </c>
      <c r="D1566" s="2" t="s">
        <v>2606</v>
      </c>
    </row>
    <row r="1567" spans="1:4" ht="12.95" customHeight="1" x14ac:dyDescent="0.25">
      <c r="A1567" s="2" t="s">
        <v>270</v>
      </c>
      <c r="B1567" s="2" t="s">
        <v>1146</v>
      </c>
      <c r="C1567" s="5" t="s">
        <v>2607</v>
      </c>
      <c r="D1567" s="2" t="s">
        <v>2608</v>
      </c>
    </row>
    <row r="1568" spans="1:4" ht="12.95" customHeight="1" x14ac:dyDescent="0.25">
      <c r="A1568" s="2" t="s">
        <v>270</v>
      </c>
      <c r="B1568" s="2" t="s">
        <v>1146</v>
      </c>
      <c r="C1568" s="5" t="s">
        <v>2609</v>
      </c>
      <c r="D1568" s="2" t="s">
        <v>2610</v>
      </c>
    </row>
    <row r="1569" spans="1:4" ht="12.95" customHeight="1" x14ac:dyDescent="0.25">
      <c r="A1569" s="2" t="s">
        <v>270</v>
      </c>
      <c r="B1569" s="2" t="s">
        <v>1146</v>
      </c>
      <c r="C1569" s="5" t="s">
        <v>2611</v>
      </c>
      <c r="D1569" s="2" t="s">
        <v>2612</v>
      </c>
    </row>
    <row r="1570" spans="1:4" ht="12.95" customHeight="1" x14ac:dyDescent="0.25">
      <c r="A1570" s="2" t="s">
        <v>270</v>
      </c>
      <c r="B1570" s="2" t="s">
        <v>1146</v>
      </c>
      <c r="C1570" s="5" t="s">
        <v>2613</v>
      </c>
      <c r="D1570" s="2" t="s">
        <v>2614</v>
      </c>
    </row>
    <row r="1571" spans="1:4" ht="12.95" customHeight="1" x14ac:dyDescent="0.25">
      <c r="A1571" s="2" t="s">
        <v>270</v>
      </c>
      <c r="B1571" s="2" t="s">
        <v>1146</v>
      </c>
      <c r="C1571" s="5" t="s">
        <v>2615</v>
      </c>
      <c r="D1571" s="2" t="s">
        <v>2616</v>
      </c>
    </row>
    <row r="1572" spans="1:4" ht="12.95" customHeight="1" x14ac:dyDescent="0.25">
      <c r="A1572" s="2" t="s">
        <v>270</v>
      </c>
      <c r="B1572" s="2" t="s">
        <v>1146</v>
      </c>
      <c r="C1572" s="5" t="s">
        <v>2617</v>
      </c>
      <c r="D1572" s="2" t="s">
        <v>2618</v>
      </c>
    </row>
    <row r="1573" spans="1:4" ht="12.95" customHeight="1" x14ac:dyDescent="0.25">
      <c r="A1573" s="2" t="s">
        <v>270</v>
      </c>
      <c r="B1573" s="2" t="s">
        <v>1146</v>
      </c>
      <c r="C1573" s="5" t="s">
        <v>2619</v>
      </c>
      <c r="D1573" s="2" t="s">
        <v>2620</v>
      </c>
    </row>
    <row r="1574" spans="1:4" ht="12.95" customHeight="1" x14ac:dyDescent="0.25">
      <c r="A1574" s="2" t="s">
        <v>270</v>
      </c>
      <c r="B1574" s="2" t="s">
        <v>1146</v>
      </c>
      <c r="C1574" s="5" t="s">
        <v>2621</v>
      </c>
      <c r="D1574" s="2" t="s">
        <v>2622</v>
      </c>
    </row>
    <row r="1575" spans="1:4" ht="12.95" customHeight="1" x14ac:dyDescent="0.25">
      <c r="A1575" s="2" t="s">
        <v>270</v>
      </c>
      <c r="B1575" s="2" t="s">
        <v>1146</v>
      </c>
      <c r="C1575" s="5" t="s">
        <v>2623</v>
      </c>
      <c r="D1575" s="2" t="s">
        <v>2624</v>
      </c>
    </row>
    <row r="1576" spans="1:4" ht="12.95" customHeight="1" x14ac:dyDescent="0.25">
      <c r="A1576" s="2" t="s">
        <v>270</v>
      </c>
      <c r="B1576" s="2" t="s">
        <v>1146</v>
      </c>
      <c r="C1576" s="5" t="s">
        <v>2625</v>
      </c>
      <c r="D1576" s="2" t="s">
        <v>2626</v>
      </c>
    </row>
    <row r="1577" spans="1:4" ht="12.95" customHeight="1" x14ac:dyDescent="0.25">
      <c r="A1577" s="2" t="s">
        <v>270</v>
      </c>
      <c r="B1577" s="2" t="s">
        <v>1146</v>
      </c>
      <c r="C1577" s="5" t="s">
        <v>2627</v>
      </c>
      <c r="D1577" s="2" t="s">
        <v>2628</v>
      </c>
    </row>
    <row r="1578" spans="1:4" ht="12.95" customHeight="1" x14ac:dyDescent="0.25">
      <c r="A1578" s="2" t="s">
        <v>270</v>
      </c>
      <c r="B1578" s="2" t="s">
        <v>1146</v>
      </c>
      <c r="C1578" s="5" t="s">
        <v>2629</v>
      </c>
      <c r="D1578" s="2" t="s">
        <v>2630</v>
      </c>
    </row>
    <row r="1579" spans="1:4" ht="12.95" customHeight="1" x14ac:dyDescent="0.25">
      <c r="A1579" s="2" t="s">
        <v>270</v>
      </c>
      <c r="B1579" s="2" t="s">
        <v>1146</v>
      </c>
      <c r="C1579" s="5" t="s">
        <v>2631</v>
      </c>
      <c r="D1579" s="2" t="s">
        <v>2632</v>
      </c>
    </row>
    <row r="1580" spans="1:4" ht="12.95" customHeight="1" x14ac:dyDescent="0.25">
      <c r="A1580" s="2" t="s">
        <v>270</v>
      </c>
      <c r="B1580" s="2" t="s">
        <v>1146</v>
      </c>
      <c r="C1580" s="5" t="s">
        <v>2633</v>
      </c>
      <c r="D1580" s="2" t="s">
        <v>2634</v>
      </c>
    </row>
    <row r="1581" spans="1:4" ht="12.95" customHeight="1" x14ac:dyDescent="0.25">
      <c r="A1581" s="2" t="s">
        <v>270</v>
      </c>
      <c r="B1581" s="2" t="s">
        <v>1146</v>
      </c>
      <c r="C1581" s="5" t="s">
        <v>2635</v>
      </c>
      <c r="D1581" s="2" t="s">
        <v>2636</v>
      </c>
    </row>
    <row r="1582" spans="1:4" ht="12.95" customHeight="1" x14ac:dyDescent="0.25">
      <c r="A1582" s="2" t="s">
        <v>270</v>
      </c>
      <c r="B1582" s="2" t="s">
        <v>1146</v>
      </c>
      <c r="C1582" s="5" t="s">
        <v>2637</v>
      </c>
      <c r="D1582" s="2" t="s">
        <v>2638</v>
      </c>
    </row>
    <row r="1583" spans="1:4" ht="12.95" customHeight="1" x14ac:dyDescent="0.25">
      <c r="A1583" s="2" t="s">
        <v>270</v>
      </c>
      <c r="B1583" s="2" t="s">
        <v>1146</v>
      </c>
      <c r="C1583" s="5" t="s">
        <v>2639</v>
      </c>
      <c r="D1583" s="2" t="s">
        <v>2640</v>
      </c>
    </row>
    <row r="1584" spans="1:4" ht="12.95" customHeight="1" x14ac:dyDescent="0.25">
      <c r="A1584" s="2" t="s">
        <v>270</v>
      </c>
      <c r="B1584" s="2" t="s">
        <v>1146</v>
      </c>
      <c r="C1584" s="5" t="s">
        <v>2641</v>
      </c>
      <c r="D1584" s="2" t="s">
        <v>2642</v>
      </c>
    </row>
    <row r="1585" spans="1:4" ht="12.95" customHeight="1" x14ac:dyDescent="0.25">
      <c r="A1585" s="2" t="s">
        <v>270</v>
      </c>
      <c r="B1585" s="2" t="s">
        <v>1146</v>
      </c>
      <c r="C1585" s="5" t="s">
        <v>2643</v>
      </c>
      <c r="D1585" s="2" t="s">
        <v>2644</v>
      </c>
    </row>
    <row r="1586" spans="1:4" ht="12.95" customHeight="1" x14ac:dyDescent="0.25">
      <c r="A1586" s="2" t="s">
        <v>270</v>
      </c>
      <c r="B1586" s="2" t="s">
        <v>1146</v>
      </c>
      <c r="C1586" s="5" t="s">
        <v>2645</v>
      </c>
      <c r="D1586" s="2" t="s">
        <v>2646</v>
      </c>
    </row>
    <row r="1587" spans="1:4" ht="12.95" customHeight="1" x14ac:dyDescent="0.25">
      <c r="A1587" s="2" t="s">
        <v>270</v>
      </c>
      <c r="B1587" s="2" t="s">
        <v>1146</v>
      </c>
      <c r="C1587" s="5" t="s">
        <v>2647</v>
      </c>
      <c r="D1587" s="2" t="s">
        <v>2648</v>
      </c>
    </row>
    <row r="1588" spans="1:4" ht="12.95" customHeight="1" x14ac:dyDescent="0.25">
      <c r="A1588" s="2" t="s">
        <v>270</v>
      </c>
      <c r="B1588" s="2" t="s">
        <v>1146</v>
      </c>
      <c r="C1588" s="5" t="s">
        <v>2649</v>
      </c>
      <c r="D1588" s="2" t="s">
        <v>2650</v>
      </c>
    </row>
    <row r="1589" spans="1:4" ht="12.95" customHeight="1" x14ac:dyDescent="0.25">
      <c r="A1589" s="2" t="s">
        <v>270</v>
      </c>
      <c r="B1589" s="2" t="s">
        <v>1146</v>
      </c>
      <c r="C1589" s="5" t="s">
        <v>2651</v>
      </c>
      <c r="D1589" s="2" t="s">
        <v>2652</v>
      </c>
    </row>
    <row r="1590" spans="1:4" ht="12.95" customHeight="1" x14ac:dyDescent="0.25">
      <c r="A1590" s="2" t="s">
        <v>270</v>
      </c>
      <c r="B1590" s="2" t="s">
        <v>1146</v>
      </c>
      <c r="C1590" s="5" t="s">
        <v>2653</v>
      </c>
      <c r="D1590" s="2" t="s">
        <v>2654</v>
      </c>
    </row>
    <row r="1591" spans="1:4" ht="12.95" customHeight="1" x14ac:dyDescent="0.25">
      <c r="A1591" s="2" t="s">
        <v>270</v>
      </c>
      <c r="B1591" s="2" t="s">
        <v>1146</v>
      </c>
      <c r="C1591" s="5" t="s">
        <v>2655</v>
      </c>
      <c r="D1591" s="2" t="s">
        <v>2656</v>
      </c>
    </row>
    <row r="1592" spans="1:4" ht="12.95" customHeight="1" x14ac:dyDescent="0.25">
      <c r="A1592" s="2" t="s">
        <v>270</v>
      </c>
      <c r="B1592" s="2" t="s">
        <v>1146</v>
      </c>
      <c r="C1592" s="5" t="s">
        <v>2657</v>
      </c>
      <c r="D1592" s="2" t="s">
        <v>2658</v>
      </c>
    </row>
    <row r="1593" spans="1:4" ht="12.95" customHeight="1" x14ac:dyDescent="0.25">
      <c r="A1593" s="2" t="s">
        <v>270</v>
      </c>
      <c r="B1593" s="2" t="s">
        <v>1146</v>
      </c>
      <c r="C1593" s="5" t="s">
        <v>2659</v>
      </c>
      <c r="D1593" s="2" t="s">
        <v>2660</v>
      </c>
    </row>
    <row r="1594" spans="1:4" ht="12.95" customHeight="1" x14ac:dyDescent="0.25">
      <c r="A1594" s="2" t="s">
        <v>270</v>
      </c>
      <c r="B1594" s="2" t="s">
        <v>1146</v>
      </c>
      <c r="C1594" s="5" t="s">
        <v>2661</v>
      </c>
      <c r="D1594" s="2" t="s">
        <v>2662</v>
      </c>
    </row>
    <row r="1595" spans="1:4" ht="12.95" customHeight="1" x14ac:dyDescent="0.25">
      <c r="A1595" s="2" t="s">
        <v>270</v>
      </c>
      <c r="B1595" s="2" t="s">
        <v>1146</v>
      </c>
      <c r="C1595" s="5" t="s">
        <v>2663</v>
      </c>
      <c r="D1595" s="2" t="s">
        <v>2664</v>
      </c>
    </row>
    <row r="1596" spans="1:4" ht="12.95" customHeight="1" x14ac:dyDescent="0.25">
      <c r="A1596" s="2" t="s">
        <v>270</v>
      </c>
      <c r="B1596" s="2" t="s">
        <v>1146</v>
      </c>
      <c r="C1596" s="5" t="s">
        <v>2665</v>
      </c>
      <c r="D1596" s="2" t="s">
        <v>2666</v>
      </c>
    </row>
    <row r="1597" spans="1:4" ht="12.95" customHeight="1" x14ac:dyDescent="0.25">
      <c r="A1597" s="2" t="s">
        <v>270</v>
      </c>
      <c r="B1597" s="2" t="s">
        <v>1146</v>
      </c>
      <c r="C1597" s="5" t="s">
        <v>2667</v>
      </c>
      <c r="D1597" s="2" t="s">
        <v>2668</v>
      </c>
    </row>
    <row r="1598" spans="1:4" ht="12.95" customHeight="1" x14ac:dyDescent="0.25">
      <c r="A1598" s="2" t="s">
        <v>270</v>
      </c>
      <c r="B1598" s="2" t="s">
        <v>1146</v>
      </c>
      <c r="C1598" s="5" t="s">
        <v>2669</v>
      </c>
      <c r="D1598" s="2" t="s">
        <v>2670</v>
      </c>
    </row>
    <row r="1599" spans="1:4" ht="12.95" customHeight="1" x14ac:dyDescent="0.25">
      <c r="A1599" s="2" t="s">
        <v>270</v>
      </c>
      <c r="B1599" s="2" t="s">
        <v>1146</v>
      </c>
      <c r="C1599" s="5" t="s">
        <v>2671</v>
      </c>
      <c r="D1599" s="2" t="s">
        <v>2672</v>
      </c>
    </row>
    <row r="1600" spans="1:4" ht="12.95" customHeight="1" x14ac:dyDescent="0.25">
      <c r="A1600" s="2" t="s">
        <v>270</v>
      </c>
      <c r="B1600" s="2" t="s">
        <v>1146</v>
      </c>
      <c r="C1600" s="5" t="s">
        <v>2673</v>
      </c>
      <c r="D1600" s="2" t="s">
        <v>2674</v>
      </c>
    </row>
    <row r="1601" spans="1:4" ht="12.95" customHeight="1" x14ac:dyDescent="0.25">
      <c r="A1601" s="2" t="s">
        <v>270</v>
      </c>
      <c r="B1601" s="2" t="s">
        <v>1146</v>
      </c>
      <c r="C1601" s="5" t="s">
        <v>2675</v>
      </c>
      <c r="D1601" s="2" t="s">
        <v>2676</v>
      </c>
    </row>
    <row r="1602" spans="1:4" ht="12.95" customHeight="1" x14ac:dyDescent="0.25">
      <c r="A1602" s="2" t="s">
        <v>270</v>
      </c>
      <c r="B1602" s="2" t="s">
        <v>1146</v>
      </c>
      <c r="C1602" s="5" t="s">
        <v>2677</v>
      </c>
      <c r="D1602" s="2" t="s">
        <v>2678</v>
      </c>
    </row>
    <row r="1603" spans="1:4" ht="12.95" customHeight="1" x14ac:dyDescent="0.25">
      <c r="A1603" s="2" t="s">
        <v>270</v>
      </c>
      <c r="B1603" s="2" t="s">
        <v>1146</v>
      </c>
      <c r="C1603" s="5" t="s">
        <v>2679</v>
      </c>
      <c r="D1603" s="2" t="s">
        <v>2680</v>
      </c>
    </row>
    <row r="1604" spans="1:4" ht="12.95" customHeight="1" x14ac:dyDescent="0.25">
      <c r="A1604" s="2" t="s">
        <v>270</v>
      </c>
      <c r="B1604" s="2" t="s">
        <v>1146</v>
      </c>
      <c r="C1604" s="5" t="s">
        <v>2681</v>
      </c>
      <c r="D1604" s="2" t="s">
        <v>2682</v>
      </c>
    </row>
    <row r="1605" spans="1:4" ht="12.95" customHeight="1" x14ac:dyDescent="0.25">
      <c r="A1605" s="2" t="s">
        <v>270</v>
      </c>
      <c r="B1605" s="2" t="s">
        <v>1146</v>
      </c>
      <c r="C1605" s="5" t="s">
        <v>2683</v>
      </c>
      <c r="D1605" s="2" t="s">
        <v>2684</v>
      </c>
    </row>
    <row r="1606" spans="1:4" ht="12.95" customHeight="1" x14ac:dyDescent="0.25">
      <c r="A1606" s="2" t="s">
        <v>270</v>
      </c>
      <c r="B1606" s="2" t="s">
        <v>1146</v>
      </c>
      <c r="C1606" s="5" t="s">
        <v>2685</v>
      </c>
      <c r="D1606" s="2" t="s">
        <v>2686</v>
      </c>
    </row>
    <row r="1607" spans="1:4" ht="12.95" customHeight="1" x14ac:dyDescent="0.25">
      <c r="A1607" s="2" t="s">
        <v>270</v>
      </c>
      <c r="B1607" s="2" t="s">
        <v>1146</v>
      </c>
      <c r="C1607" s="5" t="s">
        <v>2687</v>
      </c>
      <c r="D1607" s="2" t="s">
        <v>2688</v>
      </c>
    </row>
    <row r="1608" spans="1:4" ht="12.95" customHeight="1" x14ac:dyDescent="0.25">
      <c r="A1608" s="2" t="s">
        <v>270</v>
      </c>
      <c r="B1608" s="2" t="s">
        <v>1146</v>
      </c>
      <c r="C1608" s="5" t="s">
        <v>2689</v>
      </c>
      <c r="D1608" s="2" t="s">
        <v>2690</v>
      </c>
    </row>
    <row r="1609" spans="1:4" ht="12.95" customHeight="1" x14ac:dyDescent="0.25">
      <c r="A1609" s="2" t="s">
        <v>270</v>
      </c>
      <c r="B1609" s="2" t="s">
        <v>1146</v>
      </c>
      <c r="C1609" s="5" t="s">
        <v>2691</v>
      </c>
      <c r="D1609" s="2" t="s">
        <v>2692</v>
      </c>
    </row>
    <row r="1610" spans="1:4" ht="12.95" customHeight="1" x14ac:dyDescent="0.25">
      <c r="A1610" s="2" t="s">
        <v>270</v>
      </c>
      <c r="B1610" s="2" t="s">
        <v>1146</v>
      </c>
      <c r="C1610" s="5" t="s">
        <v>2693</v>
      </c>
      <c r="D1610" s="2" t="s">
        <v>2694</v>
      </c>
    </row>
    <row r="1611" spans="1:4" ht="12.95" customHeight="1" x14ac:dyDescent="0.25">
      <c r="A1611" s="2" t="s">
        <v>270</v>
      </c>
      <c r="B1611" s="2" t="s">
        <v>1146</v>
      </c>
      <c r="C1611" s="5" t="s">
        <v>2695</v>
      </c>
      <c r="D1611" s="2" t="s">
        <v>2696</v>
      </c>
    </row>
    <row r="1612" spans="1:4" ht="12.95" customHeight="1" x14ac:dyDescent="0.25">
      <c r="A1612" s="2" t="s">
        <v>270</v>
      </c>
      <c r="B1612" s="2" t="s">
        <v>1146</v>
      </c>
      <c r="C1612" s="5" t="s">
        <v>2697</v>
      </c>
      <c r="D1612" s="2" t="s">
        <v>2698</v>
      </c>
    </row>
    <row r="1613" spans="1:4" ht="12.95" customHeight="1" x14ac:dyDescent="0.25">
      <c r="A1613" s="2" t="s">
        <v>270</v>
      </c>
      <c r="B1613" s="2" t="s">
        <v>1146</v>
      </c>
      <c r="C1613" s="5" t="s">
        <v>2699</v>
      </c>
      <c r="D1613" s="2" t="s">
        <v>2700</v>
      </c>
    </row>
    <row r="1614" spans="1:4" ht="12.95" customHeight="1" x14ac:dyDescent="0.25">
      <c r="A1614" s="2" t="s">
        <v>270</v>
      </c>
      <c r="B1614" s="2" t="s">
        <v>1146</v>
      </c>
      <c r="C1614" s="5" t="s">
        <v>2701</v>
      </c>
      <c r="D1614" s="2" t="s">
        <v>2702</v>
      </c>
    </row>
    <row r="1615" spans="1:4" ht="12.95" customHeight="1" x14ac:dyDescent="0.25">
      <c r="A1615" s="2" t="s">
        <v>270</v>
      </c>
      <c r="B1615" s="2" t="s">
        <v>1146</v>
      </c>
      <c r="C1615" s="5" t="s">
        <v>2703</v>
      </c>
      <c r="D1615" s="2" t="s">
        <v>2704</v>
      </c>
    </row>
    <row r="1616" spans="1:4" ht="12.95" customHeight="1" x14ac:dyDescent="0.25">
      <c r="A1616" s="2" t="s">
        <v>270</v>
      </c>
      <c r="B1616" s="2" t="s">
        <v>1146</v>
      </c>
      <c r="C1616" s="5" t="s">
        <v>2705</v>
      </c>
      <c r="D1616" s="2" t="s">
        <v>2706</v>
      </c>
    </row>
    <row r="1617" spans="1:4" ht="12.95" customHeight="1" x14ac:dyDescent="0.25">
      <c r="A1617" s="2" t="s">
        <v>270</v>
      </c>
      <c r="B1617" s="2" t="s">
        <v>1146</v>
      </c>
      <c r="C1617" s="5" t="s">
        <v>2707</v>
      </c>
      <c r="D1617" s="2" t="s">
        <v>2708</v>
      </c>
    </row>
    <row r="1618" spans="1:4" ht="12.95" customHeight="1" x14ac:dyDescent="0.25">
      <c r="A1618" s="2" t="s">
        <v>270</v>
      </c>
      <c r="B1618" s="2" t="s">
        <v>1146</v>
      </c>
      <c r="C1618" s="5" t="s">
        <v>2709</v>
      </c>
      <c r="D1618" s="2" t="s">
        <v>2710</v>
      </c>
    </row>
    <row r="1619" spans="1:4" ht="12.95" customHeight="1" x14ac:dyDescent="0.25">
      <c r="A1619" s="2" t="s">
        <v>270</v>
      </c>
      <c r="B1619" s="2" t="s">
        <v>1146</v>
      </c>
      <c r="C1619" s="5" t="s">
        <v>2711</v>
      </c>
      <c r="D1619" s="2" t="s">
        <v>2712</v>
      </c>
    </row>
    <row r="1620" spans="1:4" ht="12.95" customHeight="1" x14ac:dyDescent="0.25">
      <c r="A1620" s="2" t="s">
        <v>270</v>
      </c>
      <c r="B1620" s="2" t="s">
        <v>1146</v>
      </c>
      <c r="C1620" s="5" t="s">
        <v>2713</v>
      </c>
      <c r="D1620" s="2" t="s">
        <v>2714</v>
      </c>
    </row>
    <row r="1621" spans="1:4" ht="12.95" customHeight="1" x14ac:dyDescent="0.25">
      <c r="A1621" s="2" t="s">
        <v>270</v>
      </c>
      <c r="B1621" s="2" t="s">
        <v>1146</v>
      </c>
      <c r="C1621" s="5" t="s">
        <v>2715</v>
      </c>
      <c r="D1621" s="2" t="s">
        <v>2716</v>
      </c>
    </row>
    <row r="1622" spans="1:4" ht="12.95" customHeight="1" x14ac:dyDescent="0.25">
      <c r="A1622" s="2" t="s">
        <v>270</v>
      </c>
      <c r="B1622" s="2" t="s">
        <v>1146</v>
      </c>
      <c r="C1622" s="5" t="s">
        <v>2717</v>
      </c>
      <c r="D1622" s="2" t="s">
        <v>2718</v>
      </c>
    </row>
    <row r="1623" spans="1:4" ht="12.95" customHeight="1" x14ac:dyDescent="0.25">
      <c r="A1623" s="2" t="s">
        <v>270</v>
      </c>
      <c r="B1623" s="2" t="s">
        <v>1146</v>
      </c>
      <c r="C1623" s="5" t="s">
        <v>2719</v>
      </c>
      <c r="D1623" s="2" t="s">
        <v>2720</v>
      </c>
    </row>
    <row r="1624" spans="1:4" ht="12.95" customHeight="1" x14ac:dyDescent="0.25">
      <c r="A1624" s="2" t="s">
        <v>270</v>
      </c>
      <c r="B1624" s="2" t="s">
        <v>1146</v>
      </c>
      <c r="C1624" s="5" t="s">
        <v>2721</v>
      </c>
      <c r="D1624" s="2" t="s">
        <v>2722</v>
      </c>
    </row>
    <row r="1625" spans="1:4" ht="12.95" customHeight="1" x14ac:dyDescent="0.25">
      <c r="A1625" s="2" t="s">
        <v>270</v>
      </c>
      <c r="B1625" s="2" t="s">
        <v>1146</v>
      </c>
      <c r="C1625" s="5" t="s">
        <v>2723</v>
      </c>
      <c r="D1625" s="2" t="s">
        <v>2724</v>
      </c>
    </row>
    <row r="1626" spans="1:4" ht="12.95" customHeight="1" x14ac:dyDescent="0.25">
      <c r="A1626" s="2" t="s">
        <v>270</v>
      </c>
      <c r="B1626" s="2" t="s">
        <v>1146</v>
      </c>
      <c r="C1626" s="5" t="s">
        <v>2725</v>
      </c>
      <c r="D1626" s="2" t="s">
        <v>2726</v>
      </c>
    </row>
    <row r="1627" spans="1:4" ht="12.95" customHeight="1" x14ac:dyDescent="0.25">
      <c r="A1627" s="2" t="s">
        <v>270</v>
      </c>
      <c r="B1627" s="2" t="s">
        <v>1146</v>
      </c>
      <c r="C1627" s="5" t="s">
        <v>2727</v>
      </c>
      <c r="D1627" s="2" t="s">
        <v>2728</v>
      </c>
    </row>
    <row r="1628" spans="1:4" ht="12.95" customHeight="1" x14ac:dyDescent="0.25">
      <c r="A1628" s="2" t="s">
        <v>270</v>
      </c>
      <c r="B1628" s="2" t="s">
        <v>1146</v>
      </c>
      <c r="C1628" s="5" t="s">
        <v>2729</v>
      </c>
      <c r="D1628" s="2" t="s">
        <v>2730</v>
      </c>
    </row>
    <row r="1629" spans="1:4" ht="12.95" customHeight="1" x14ac:dyDescent="0.25">
      <c r="A1629" s="2" t="s">
        <v>270</v>
      </c>
      <c r="B1629" s="2" t="s">
        <v>1146</v>
      </c>
      <c r="C1629" s="5" t="s">
        <v>2731</v>
      </c>
      <c r="D1629" s="2" t="s">
        <v>2732</v>
      </c>
    </row>
    <row r="1630" spans="1:4" ht="12.95" customHeight="1" x14ac:dyDescent="0.25">
      <c r="A1630" s="2" t="s">
        <v>270</v>
      </c>
      <c r="B1630" s="2" t="s">
        <v>1146</v>
      </c>
      <c r="C1630" s="5" t="s">
        <v>2733</v>
      </c>
      <c r="D1630" s="2" t="s">
        <v>2734</v>
      </c>
    </row>
    <row r="1631" spans="1:4" ht="12.95" customHeight="1" x14ac:dyDescent="0.25">
      <c r="A1631" s="2" t="s">
        <v>270</v>
      </c>
      <c r="B1631" s="2" t="s">
        <v>1146</v>
      </c>
      <c r="C1631" s="5" t="s">
        <v>2735</v>
      </c>
      <c r="D1631" s="2" t="s">
        <v>2736</v>
      </c>
    </row>
    <row r="1632" spans="1:4" ht="12.95" customHeight="1" x14ac:dyDescent="0.25">
      <c r="A1632" s="2" t="s">
        <v>270</v>
      </c>
      <c r="B1632" s="2" t="s">
        <v>1146</v>
      </c>
      <c r="C1632" s="5" t="s">
        <v>2737</v>
      </c>
      <c r="D1632" s="2" t="s">
        <v>2738</v>
      </c>
    </row>
    <row r="1633" spans="1:4" ht="12.95" customHeight="1" x14ac:dyDescent="0.25">
      <c r="A1633" s="2" t="s">
        <v>270</v>
      </c>
      <c r="B1633" s="2" t="s">
        <v>1146</v>
      </c>
      <c r="C1633" s="5" t="s">
        <v>2739</v>
      </c>
      <c r="D1633" s="2" t="s">
        <v>2740</v>
      </c>
    </row>
    <row r="1634" spans="1:4" ht="12.95" customHeight="1" x14ac:dyDescent="0.25">
      <c r="A1634" s="2" t="s">
        <v>270</v>
      </c>
      <c r="B1634" s="2" t="s">
        <v>1146</v>
      </c>
      <c r="C1634" s="5" t="s">
        <v>2741</v>
      </c>
      <c r="D1634" s="2" t="s">
        <v>2742</v>
      </c>
    </row>
    <row r="1635" spans="1:4" ht="12.95" customHeight="1" x14ac:dyDescent="0.25">
      <c r="A1635" s="2" t="s">
        <v>270</v>
      </c>
      <c r="B1635" s="2" t="s">
        <v>1146</v>
      </c>
      <c r="C1635" s="5" t="s">
        <v>2743</v>
      </c>
      <c r="D1635" s="2" t="s">
        <v>2744</v>
      </c>
    </row>
    <row r="1636" spans="1:4" ht="12.95" customHeight="1" x14ac:dyDescent="0.25">
      <c r="A1636" s="2" t="s">
        <v>270</v>
      </c>
      <c r="B1636" s="2" t="s">
        <v>1146</v>
      </c>
      <c r="C1636" s="5" t="s">
        <v>2745</v>
      </c>
      <c r="D1636" s="2" t="s">
        <v>2746</v>
      </c>
    </row>
    <row r="1637" spans="1:4" ht="12.95" customHeight="1" x14ac:dyDescent="0.25">
      <c r="A1637" s="2" t="s">
        <v>270</v>
      </c>
      <c r="B1637" s="2" t="s">
        <v>1146</v>
      </c>
      <c r="C1637" s="5" t="s">
        <v>2747</v>
      </c>
      <c r="D1637" s="2" t="s">
        <v>2748</v>
      </c>
    </row>
    <row r="1638" spans="1:4" ht="12.95" customHeight="1" x14ac:dyDescent="0.25">
      <c r="A1638" s="2" t="s">
        <v>270</v>
      </c>
      <c r="B1638" s="2" t="s">
        <v>1146</v>
      </c>
      <c r="C1638" s="5" t="s">
        <v>2749</v>
      </c>
      <c r="D1638" s="2" t="s">
        <v>2750</v>
      </c>
    </row>
    <row r="1639" spans="1:4" ht="12.95" customHeight="1" x14ac:dyDescent="0.25">
      <c r="A1639" s="2" t="s">
        <v>270</v>
      </c>
      <c r="B1639" s="2" t="s">
        <v>1146</v>
      </c>
      <c r="C1639" s="5" t="s">
        <v>2751</v>
      </c>
      <c r="D1639" s="2" t="s">
        <v>2752</v>
      </c>
    </row>
    <row r="1640" spans="1:4" ht="12.95" customHeight="1" x14ac:dyDescent="0.25">
      <c r="A1640" s="2" t="s">
        <v>270</v>
      </c>
      <c r="B1640" s="2" t="s">
        <v>1146</v>
      </c>
      <c r="C1640" s="5" t="s">
        <v>2753</v>
      </c>
      <c r="D1640" s="2" t="s">
        <v>2754</v>
      </c>
    </row>
    <row r="1641" spans="1:4" ht="12.95" customHeight="1" x14ac:dyDescent="0.25">
      <c r="A1641" s="2" t="s">
        <v>270</v>
      </c>
      <c r="B1641" s="2" t="s">
        <v>1146</v>
      </c>
      <c r="C1641" s="5" t="s">
        <v>2755</v>
      </c>
      <c r="D1641" s="2" t="s">
        <v>2756</v>
      </c>
    </row>
    <row r="1642" spans="1:4" ht="12.95" customHeight="1" x14ac:dyDescent="0.25">
      <c r="A1642" s="2" t="s">
        <v>270</v>
      </c>
      <c r="B1642" s="2" t="s">
        <v>1146</v>
      </c>
      <c r="C1642" s="5" t="s">
        <v>2757</v>
      </c>
      <c r="D1642" s="2" t="s">
        <v>2758</v>
      </c>
    </row>
    <row r="1643" spans="1:4" ht="12.95" customHeight="1" x14ac:dyDescent="0.25">
      <c r="A1643" s="2" t="s">
        <v>270</v>
      </c>
      <c r="B1643" s="2" t="s">
        <v>1146</v>
      </c>
      <c r="C1643" s="5" t="s">
        <v>2759</v>
      </c>
      <c r="D1643" s="2" t="s">
        <v>2760</v>
      </c>
    </row>
    <row r="1644" spans="1:4" ht="12.95" customHeight="1" x14ac:dyDescent="0.25">
      <c r="A1644" s="2" t="s">
        <v>270</v>
      </c>
      <c r="B1644" s="2" t="s">
        <v>1146</v>
      </c>
      <c r="C1644" s="5" t="s">
        <v>2761</v>
      </c>
      <c r="D1644" s="2" t="s">
        <v>2762</v>
      </c>
    </row>
    <row r="1645" spans="1:4" ht="12.95" customHeight="1" x14ac:dyDescent="0.25">
      <c r="A1645" s="2" t="s">
        <v>270</v>
      </c>
      <c r="B1645" s="2" t="s">
        <v>1146</v>
      </c>
      <c r="C1645" s="5" t="s">
        <v>2763</v>
      </c>
      <c r="D1645" s="2" t="s">
        <v>2764</v>
      </c>
    </row>
    <row r="1646" spans="1:4" ht="12.95" customHeight="1" x14ac:dyDescent="0.25">
      <c r="A1646" s="2" t="s">
        <v>270</v>
      </c>
      <c r="B1646" s="2" t="s">
        <v>1146</v>
      </c>
      <c r="C1646" s="5" t="s">
        <v>2765</v>
      </c>
      <c r="D1646" s="2" t="s">
        <v>2766</v>
      </c>
    </row>
    <row r="1647" spans="1:4" ht="12.95" customHeight="1" x14ac:dyDescent="0.25">
      <c r="A1647" s="2" t="s">
        <v>270</v>
      </c>
      <c r="B1647" s="2" t="s">
        <v>1146</v>
      </c>
      <c r="C1647" s="5" t="s">
        <v>2767</v>
      </c>
      <c r="D1647" s="2" t="s">
        <v>2768</v>
      </c>
    </row>
    <row r="1648" spans="1:4" ht="12.95" customHeight="1" x14ac:dyDescent="0.25">
      <c r="A1648" s="2" t="s">
        <v>270</v>
      </c>
      <c r="B1648" s="2" t="s">
        <v>1146</v>
      </c>
      <c r="C1648" s="5" t="s">
        <v>2769</v>
      </c>
      <c r="D1648" s="2" t="s">
        <v>2770</v>
      </c>
    </row>
    <row r="1649" spans="1:4" ht="12.95" customHeight="1" x14ac:dyDescent="0.25">
      <c r="A1649" s="2" t="s">
        <v>270</v>
      </c>
      <c r="B1649" s="2" t="s">
        <v>1146</v>
      </c>
      <c r="C1649" s="5" t="s">
        <v>2771</v>
      </c>
      <c r="D1649" s="2" t="s">
        <v>2772</v>
      </c>
    </row>
    <row r="1650" spans="1:4" ht="12.95" customHeight="1" x14ac:dyDescent="0.25">
      <c r="A1650" s="2" t="s">
        <v>270</v>
      </c>
      <c r="B1650" s="2" t="s">
        <v>1146</v>
      </c>
      <c r="C1650" s="5" t="s">
        <v>2773</v>
      </c>
      <c r="D1650" s="2" t="s">
        <v>2774</v>
      </c>
    </row>
    <row r="1651" spans="1:4" ht="12.95" customHeight="1" x14ac:dyDescent="0.25">
      <c r="A1651" s="2" t="s">
        <v>270</v>
      </c>
      <c r="B1651" s="2" t="s">
        <v>1146</v>
      </c>
      <c r="C1651" s="5" t="s">
        <v>2775</v>
      </c>
      <c r="D1651" s="2" t="s">
        <v>2776</v>
      </c>
    </row>
    <row r="1652" spans="1:4" ht="12.95" customHeight="1" x14ac:dyDescent="0.25">
      <c r="A1652" s="2" t="s">
        <v>270</v>
      </c>
      <c r="B1652" s="2" t="s">
        <v>1146</v>
      </c>
      <c r="C1652" s="5" t="s">
        <v>2777</v>
      </c>
      <c r="D1652" s="2" t="s">
        <v>2778</v>
      </c>
    </row>
    <row r="1653" spans="1:4" ht="12.95" customHeight="1" x14ac:dyDescent="0.25">
      <c r="A1653" s="2" t="s">
        <v>270</v>
      </c>
      <c r="B1653" s="2" t="s">
        <v>1146</v>
      </c>
      <c r="C1653" s="5" t="s">
        <v>2779</v>
      </c>
      <c r="D1653" s="2" t="s">
        <v>2780</v>
      </c>
    </row>
    <row r="1654" spans="1:4" ht="12.95" customHeight="1" x14ac:dyDescent="0.25">
      <c r="A1654" s="2" t="s">
        <v>270</v>
      </c>
      <c r="B1654" s="2" t="s">
        <v>1146</v>
      </c>
      <c r="C1654" s="5" t="s">
        <v>2781</v>
      </c>
      <c r="D1654" s="2" t="s">
        <v>2782</v>
      </c>
    </row>
    <row r="1655" spans="1:4" ht="12.95" customHeight="1" x14ac:dyDescent="0.25">
      <c r="A1655" s="2" t="s">
        <v>270</v>
      </c>
      <c r="B1655" s="2" t="s">
        <v>1146</v>
      </c>
      <c r="C1655" s="5" t="s">
        <v>2783</v>
      </c>
      <c r="D1655" s="2" t="s">
        <v>2784</v>
      </c>
    </row>
    <row r="1656" spans="1:4" ht="12.95" customHeight="1" x14ac:dyDescent="0.25">
      <c r="A1656" s="2" t="s">
        <v>270</v>
      </c>
      <c r="B1656" s="2" t="s">
        <v>1146</v>
      </c>
      <c r="C1656" s="5" t="s">
        <v>2785</v>
      </c>
      <c r="D1656" s="2" t="s">
        <v>2786</v>
      </c>
    </row>
    <row r="1657" spans="1:4" ht="12.95" customHeight="1" x14ac:dyDescent="0.25">
      <c r="A1657" s="2" t="s">
        <v>270</v>
      </c>
      <c r="B1657" s="2" t="s">
        <v>1146</v>
      </c>
      <c r="C1657" s="5" t="s">
        <v>2787</v>
      </c>
      <c r="D1657" s="2" t="s">
        <v>2788</v>
      </c>
    </row>
    <row r="1658" spans="1:4" ht="12.95" customHeight="1" x14ac:dyDescent="0.25">
      <c r="A1658" s="2" t="s">
        <v>270</v>
      </c>
      <c r="B1658" s="2" t="s">
        <v>1146</v>
      </c>
      <c r="C1658" s="5" t="s">
        <v>2789</v>
      </c>
      <c r="D1658" s="2" t="s">
        <v>2790</v>
      </c>
    </row>
    <row r="1659" spans="1:4" ht="12.95" customHeight="1" x14ac:dyDescent="0.25">
      <c r="A1659" s="2" t="s">
        <v>270</v>
      </c>
      <c r="B1659" s="2" t="s">
        <v>1146</v>
      </c>
      <c r="C1659" s="5" t="s">
        <v>2791</v>
      </c>
      <c r="D1659" s="2" t="s">
        <v>2792</v>
      </c>
    </row>
    <row r="1660" spans="1:4" ht="12.95" customHeight="1" x14ac:dyDescent="0.25">
      <c r="A1660" s="2" t="s">
        <v>270</v>
      </c>
      <c r="B1660" s="2" t="s">
        <v>1146</v>
      </c>
      <c r="C1660" s="5" t="s">
        <v>2793</v>
      </c>
      <c r="D1660" s="2" t="s">
        <v>2794</v>
      </c>
    </row>
    <row r="1661" spans="1:4" ht="12.95" customHeight="1" x14ac:dyDescent="0.25">
      <c r="A1661" s="2" t="s">
        <v>270</v>
      </c>
      <c r="B1661" s="2" t="s">
        <v>1146</v>
      </c>
      <c r="C1661" s="5" t="s">
        <v>2795</v>
      </c>
      <c r="D1661" s="2" t="s">
        <v>2796</v>
      </c>
    </row>
    <row r="1662" spans="1:4" ht="12.95" customHeight="1" x14ac:dyDescent="0.25">
      <c r="A1662" s="2" t="s">
        <v>270</v>
      </c>
      <c r="B1662" s="2" t="s">
        <v>1146</v>
      </c>
      <c r="C1662" s="5" t="s">
        <v>2797</v>
      </c>
      <c r="D1662" s="2" t="s">
        <v>2798</v>
      </c>
    </row>
    <row r="1663" spans="1:4" ht="12.95" customHeight="1" x14ac:dyDescent="0.25">
      <c r="A1663" s="2" t="s">
        <v>270</v>
      </c>
      <c r="B1663" s="2" t="s">
        <v>1146</v>
      </c>
      <c r="C1663" s="5" t="s">
        <v>2799</v>
      </c>
      <c r="D1663" s="2" t="s">
        <v>2800</v>
      </c>
    </row>
    <row r="1664" spans="1:4" ht="12.95" customHeight="1" x14ac:dyDescent="0.25">
      <c r="A1664" s="2" t="s">
        <v>270</v>
      </c>
      <c r="B1664" s="2" t="s">
        <v>1146</v>
      </c>
      <c r="C1664" s="5" t="s">
        <v>2801</v>
      </c>
      <c r="D1664" s="2" t="s">
        <v>2802</v>
      </c>
    </row>
    <row r="1665" spans="1:4" ht="12.95" customHeight="1" x14ac:dyDescent="0.25">
      <c r="A1665" s="2" t="s">
        <v>270</v>
      </c>
      <c r="B1665" s="2" t="s">
        <v>1146</v>
      </c>
      <c r="C1665" s="5" t="s">
        <v>2803</v>
      </c>
      <c r="D1665" s="2" t="s">
        <v>2804</v>
      </c>
    </row>
    <row r="1666" spans="1:4" ht="12.95" customHeight="1" x14ac:dyDescent="0.25">
      <c r="A1666" s="2" t="s">
        <v>270</v>
      </c>
      <c r="B1666" s="2" t="s">
        <v>1146</v>
      </c>
      <c r="C1666" s="5" t="s">
        <v>2805</v>
      </c>
      <c r="D1666" s="2" t="s">
        <v>2806</v>
      </c>
    </row>
    <row r="1667" spans="1:4" ht="12.95" customHeight="1" x14ac:dyDescent="0.25">
      <c r="A1667" s="2" t="s">
        <v>270</v>
      </c>
      <c r="B1667" s="2" t="s">
        <v>1146</v>
      </c>
      <c r="C1667" s="5" t="s">
        <v>2807</v>
      </c>
      <c r="D1667" s="2" t="s">
        <v>2808</v>
      </c>
    </row>
    <row r="1668" spans="1:4" ht="12.95" customHeight="1" x14ac:dyDescent="0.25">
      <c r="A1668" s="2" t="s">
        <v>270</v>
      </c>
      <c r="B1668" s="2" t="s">
        <v>1146</v>
      </c>
      <c r="C1668" s="5" t="s">
        <v>2809</v>
      </c>
      <c r="D1668" s="2" t="s">
        <v>2810</v>
      </c>
    </row>
    <row r="1669" spans="1:4" ht="12.95" customHeight="1" x14ac:dyDescent="0.25">
      <c r="A1669" s="2" t="s">
        <v>270</v>
      </c>
      <c r="B1669" s="2" t="s">
        <v>1146</v>
      </c>
      <c r="C1669" s="5" t="s">
        <v>2811</v>
      </c>
      <c r="D1669" s="2" t="s">
        <v>2812</v>
      </c>
    </row>
    <row r="1670" spans="1:4" ht="12.95" customHeight="1" x14ac:dyDescent="0.25">
      <c r="A1670" s="2" t="s">
        <v>270</v>
      </c>
      <c r="B1670" s="2" t="s">
        <v>1146</v>
      </c>
      <c r="C1670" s="5" t="s">
        <v>2813</v>
      </c>
      <c r="D1670" s="2" t="s">
        <v>2814</v>
      </c>
    </row>
    <row r="1671" spans="1:4" ht="12.95" customHeight="1" x14ac:dyDescent="0.25">
      <c r="A1671" s="2" t="s">
        <v>270</v>
      </c>
      <c r="B1671" s="2" t="s">
        <v>1146</v>
      </c>
      <c r="C1671" s="5" t="s">
        <v>2815</v>
      </c>
      <c r="D1671" s="2" t="s">
        <v>2816</v>
      </c>
    </row>
    <row r="1672" spans="1:4" ht="12.95" customHeight="1" x14ac:dyDescent="0.25">
      <c r="A1672" s="2" t="s">
        <v>270</v>
      </c>
      <c r="B1672" s="2" t="s">
        <v>1146</v>
      </c>
      <c r="C1672" s="5" t="s">
        <v>2817</v>
      </c>
      <c r="D1672" s="2" t="s">
        <v>2818</v>
      </c>
    </row>
    <row r="1673" spans="1:4" ht="12.95" customHeight="1" x14ac:dyDescent="0.25">
      <c r="A1673" s="2" t="s">
        <v>270</v>
      </c>
      <c r="B1673" s="2" t="s">
        <v>1146</v>
      </c>
      <c r="C1673" s="5" t="s">
        <v>2819</v>
      </c>
      <c r="D1673" s="2" t="s">
        <v>2820</v>
      </c>
    </row>
    <row r="1674" spans="1:4" ht="12.95" customHeight="1" x14ac:dyDescent="0.25">
      <c r="A1674" s="2" t="s">
        <v>270</v>
      </c>
      <c r="B1674" s="2" t="s">
        <v>1146</v>
      </c>
      <c r="C1674" s="5" t="s">
        <v>2821</v>
      </c>
      <c r="D1674" s="2" t="s">
        <v>2822</v>
      </c>
    </row>
    <row r="1675" spans="1:4" ht="12.95" customHeight="1" x14ac:dyDescent="0.25">
      <c r="A1675" s="2" t="s">
        <v>270</v>
      </c>
      <c r="B1675" s="2" t="s">
        <v>1146</v>
      </c>
      <c r="C1675" s="5" t="s">
        <v>2823</v>
      </c>
      <c r="D1675" s="2" t="s">
        <v>2824</v>
      </c>
    </row>
    <row r="1676" spans="1:4" ht="12.95" customHeight="1" x14ac:dyDescent="0.25">
      <c r="A1676" s="2" t="s">
        <v>270</v>
      </c>
      <c r="B1676" s="2" t="s">
        <v>1146</v>
      </c>
      <c r="C1676" s="5" t="s">
        <v>2825</v>
      </c>
      <c r="D1676" s="2" t="s">
        <v>2826</v>
      </c>
    </row>
    <row r="1677" spans="1:4" ht="12.95" customHeight="1" x14ac:dyDescent="0.25">
      <c r="A1677" s="2" t="s">
        <v>270</v>
      </c>
      <c r="B1677" s="2" t="s">
        <v>1146</v>
      </c>
      <c r="C1677" s="5" t="s">
        <v>2827</v>
      </c>
      <c r="D1677" s="2" t="s">
        <v>2828</v>
      </c>
    </row>
    <row r="1678" spans="1:4" ht="12.95" customHeight="1" x14ac:dyDescent="0.25">
      <c r="A1678" s="2" t="s">
        <v>270</v>
      </c>
      <c r="B1678" s="2" t="s">
        <v>1146</v>
      </c>
      <c r="C1678" s="5" t="s">
        <v>2829</v>
      </c>
      <c r="D1678" s="2" t="s">
        <v>2830</v>
      </c>
    </row>
    <row r="1679" spans="1:4" ht="12.95" customHeight="1" x14ac:dyDescent="0.25">
      <c r="A1679" s="2" t="s">
        <v>270</v>
      </c>
      <c r="B1679" s="2" t="s">
        <v>1146</v>
      </c>
      <c r="C1679" s="5" t="s">
        <v>2831</v>
      </c>
      <c r="D1679" s="2" t="s">
        <v>2832</v>
      </c>
    </row>
    <row r="1680" spans="1:4" ht="12.95" customHeight="1" x14ac:dyDescent="0.25">
      <c r="A1680" s="2" t="s">
        <v>270</v>
      </c>
      <c r="B1680" s="2" t="s">
        <v>1146</v>
      </c>
      <c r="C1680" s="5" t="s">
        <v>2833</v>
      </c>
      <c r="D1680" s="2" t="s">
        <v>2834</v>
      </c>
    </row>
    <row r="1681" spans="1:4" ht="12.95" customHeight="1" x14ac:dyDescent="0.25">
      <c r="A1681" s="2" t="s">
        <v>270</v>
      </c>
      <c r="B1681" s="2" t="s">
        <v>1146</v>
      </c>
      <c r="C1681" s="5" t="s">
        <v>2835</v>
      </c>
      <c r="D1681" s="2" t="s">
        <v>2836</v>
      </c>
    </row>
    <row r="1682" spans="1:4" ht="12.95" customHeight="1" x14ac:dyDescent="0.25">
      <c r="A1682" s="2" t="s">
        <v>270</v>
      </c>
      <c r="B1682" s="2" t="s">
        <v>1146</v>
      </c>
      <c r="C1682" s="5" t="s">
        <v>2837</v>
      </c>
      <c r="D1682" s="2" t="s">
        <v>2838</v>
      </c>
    </row>
    <row r="1683" spans="1:4" ht="12.95" customHeight="1" x14ac:dyDescent="0.25">
      <c r="A1683" s="2" t="s">
        <v>270</v>
      </c>
      <c r="B1683" s="2" t="s">
        <v>1146</v>
      </c>
      <c r="C1683" s="5" t="s">
        <v>2839</v>
      </c>
      <c r="D1683" s="2" t="s">
        <v>2840</v>
      </c>
    </row>
    <row r="1684" spans="1:4" ht="12.95" customHeight="1" x14ac:dyDescent="0.25">
      <c r="A1684" s="2" t="s">
        <v>270</v>
      </c>
      <c r="B1684" s="2" t="s">
        <v>1146</v>
      </c>
      <c r="C1684" s="5" t="s">
        <v>2841</v>
      </c>
      <c r="D1684" s="2" t="s">
        <v>2842</v>
      </c>
    </row>
    <row r="1685" spans="1:4" ht="12.95" customHeight="1" x14ac:dyDescent="0.25">
      <c r="A1685" s="2" t="s">
        <v>270</v>
      </c>
      <c r="B1685" s="2" t="s">
        <v>1146</v>
      </c>
      <c r="C1685" s="5" t="s">
        <v>2843</v>
      </c>
      <c r="D1685" s="2" t="s">
        <v>2844</v>
      </c>
    </row>
    <row r="1686" spans="1:4" ht="12.95" customHeight="1" x14ac:dyDescent="0.25">
      <c r="A1686" s="2" t="s">
        <v>270</v>
      </c>
      <c r="B1686" s="2" t="s">
        <v>1146</v>
      </c>
      <c r="C1686" s="5" t="s">
        <v>2845</v>
      </c>
      <c r="D1686" s="2" t="s">
        <v>2846</v>
      </c>
    </row>
    <row r="1687" spans="1:4" ht="12.95" customHeight="1" x14ac:dyDescent="0.25">
      <c r="A1687" s="2" t="s">
        <v>270</v>
      </c>
      <c r="B1687" s="2" t="s">
        <v>1146</v>
      </c>
      <c r="C1687" s="5" t="s">
        <v>2847</v>
      </c>
      <c r="D1687" s="2" t="s">
        <v>2848</v>
      </c>
    </row>
    <row r="1688" spans="1:4" ht="12.95" customHeight="1" x14ac:dyDescent="0.25">
      <c r="A1688" s="2" t="s">
        <v>270</v>
      </c>
      <c r="B1688" s="2" t="s">
        <v>1146</v>
      </c>
      <c r="C1688" s="5" t="s">
        <v>2849</v>
      </c>
      <c r="D1688" s="2" t="s">
        <v>2850</v>
      </c>
    </row>
    <row r="1689" spans="1:4" ht="12.95" customHeight="1" x14ac:dyDescent="0.25">
      <c r="A1689" s="2" t="s">
        <v>270</v>
      </c>
      <c r="B1689" s="2" t="s">
        <v>1146</v>
      </c>
      <c r="C1689" s="5" t="s">
        <v>2851</v>
      </c>
      <c r="D1689" s="2" t="s">
        <v>2852</v>
      </c>
    </row>
    <row r="1690" spans="1:4" ht="12.95" customHeight="1" x14ac:dyDescent="0.25">
      <c r="A1690" s="2" t="s">
        <v>270</v>
      </c>
      <c r="B1690" s="2" t="s">
        <v>1146</v>
      </c>
      <c r="C1690" s="5" t="s">
        <v>2853</v>
      </c>
      <c r="D1690" s="2" t="s">
        <v>2854</v>
      </c>
    </row>
    <row r="1691" spans="1:4" ht="12.95" customHeight="1" x14ac:dyDescent="0.25">
      <c r="A1691" s="2" t="s">
        <v>270</v>
      </c>
      <c r="B1691" s="2" t="s">
        <v>1146</v>
      </c>
      <c r="C1691" s="5" t="s">
        <v>2855</v>
      </c>
      <c r="D1691" s="2" t="s">
        <v>2856</v>
      </c>
    </row>
    <row r="1692" spans="1:4" ht="12.95" customHeight="1" x14ac:dyDescent="0.25">
      <c r="A1692" s="2" t="s">
        <v>270</v>
      </c>
      <c r="B1692" s="2" t="s">
        <v>1146</v>
      </c>
      <c r="C1692" s="5" t="s">
        <v>2857</v>
      </c>
      <c r="D1692" s="2" t="s">
        <v>2858</v>
      </c>
    </row>
    <row r="1693" spans="1:4" ht="12.95" customHeight="1" x14ac:dyDescent="0.25">
      <c r="A1693" s="2" t="s">
        <v>270</v>
      </c>
      <c r="B1693" s="2" t="s">
        <v>1146</v>
      </c>
      <c r="C1693" s="5" t="s">
        <v>2859</v>
      </c>
      <c r="D1693" s="2" t="s">
        <v>2860</v>
      </c>
    </row>
    <row r="1694" spans="1:4" ht="12.95" customHeight="1" x14ac:dyDescent="0.25">
      <c r="A1694" s="2" t="s">
        <v>270</v>
      </c>
      <c r="B1694" s="2" t="s">
        <v>1146</v>
      </c>
      <c r="C1694" s="5" t="s">
        <v>2861</v>
      </c>
      <c r="D1694" s="2" t="s">
        <v>2862</v>
      </c>
    </row>
    <row r="1695" spans="1:4" ht="12.95" customHeight="1" x14ac:dyDescent="0.25">
      <c r="A1695" s="2" t="s">
        <v>270</v>
      </c>
      <c r="B1695" s="2" t="s">
        <v>1146</v>
      </c>
      <c r="C1695" s="5" t="s">
        <v>2863</v>
      </c>
      <c r="D1695" s="2" t="s">
        <v>2864</v>
      </c>
    </row>
    <row r="1696" spans="1:4" ht="12.95" customHeight="1" x14ac:dyDescent="0.25">
      <c r="A1696" s="2" t="s">
        <v>270</v>
      </c>
      <c r="B1696" s="2" t="s">
        <v>1146</v>
      </c>
      <c r="C1696" s="5" t="s">
        <v>2865</v>
      </c>
      <c r="D1696" s="2" t="s">
        <v>2866</v>
      </c>
    </row>
    <row r="1697" spans="1:4" ht="12.95" customHeight="1" x14ac:dyDescent="0.25">
      <c r="A1697" s="2" t="s">
        <v>270</v>
      </c>
      <c r="B1697" s="2" t="s">
        <v>1146</v>
      </c>
      <c r="C1697" s="5" t="s">
        <v>2867</v>
      </c>
      <c r="D1697" s="2" t="s">
        <v>2868</v>
      </c>
    </row>
    <row r="1698" spans="1:4" ht="12.95" customHeight="1" x14ac:dyDescent="0.25">
      <c r="A1698" s="2" t="s">
        <v>270</v>
      </c>
      <c r="B1698" s="2" t="s">
        <v>1146</v>
      </c>
      <c r="C1698" s="5" t="s">
        <v>2869</v>
      </c>
      <c r="D1698" s="2" t="s">
        <v>2870</v>
      </c>
    </row>
    <row r="1699" spans="1:4" ht="12.95" customHeight="1" x14ac:dyDescent="0.25">
      <c r="A1699" s="2" t="s">
        <v>270</v>
      </c>
      <c r="B1699" s="2" t="s">
        <v>1146</v>
      </c>
      <c r="C1699" s="5" t="s">
        <v>2871</v>
      </c>
      <c r="D1699" s="2" t="s">
        <v>2872</v>
      </c>
    </row>
    <row r="1700" spans="1:4" ht="12.95" customHeight="1" x14ac:dyDescent="0.25">
      <c r="A1700" s="2" t="s">
        <v>270</v>
      </c>
      <c r="B1700" s="2" t="s">
        <v>1146</v>
      </c>
      <c r="C1700" s="5" t="s">
        <v>2873</v>
      </c>
      <c r="D1700" s="2" t="s">
        <v>2874</v>
      </c>
    </row>
    <row r="1701" spans="1:4" ht="12.95" customHeight="1" x14ac:dyDescent="0.25">
      <c r="A1701" s="2" t="s">
        <v>270</v>
      </c>
      <c r="B1701" s="2" t="s">
        <v>1146</v>
      </c>
      <c r="C1701" s="5" t="s">
        <v>2875</v>
      </c>
      <c r="D1701" s="2" t="s">
        <v>2876</v>
      </c>
    </row>
    <row r="1702" spans="1:4" ht="12.95" customHeight="1" x14ac:dyDescent="0.25">
      <c r="A1702" s="2" t="s">
        <v>270</v>
      </c>
      <c r="B1702" s="2" t="s">
        <v>1146</v>
      </c>
      <c r="C1702" s="5" t="s">
        <v>2877</v>
      </c>
      <c r="D1702" s="2" t="s">
        <v>2878</v>
      </c>
    </row>
    <row r="1703" spans="1:4" ht="12.95" customHeight="1" x14ac:dyDescent="0.25">
      <c r="A1703" s="2" t="s">
        <v>270</v>
      </c>
      <c r="B1703" s="2" t="s">
        <v>1146</v>
      </c>
      <c r="C1703" s="5" t="s">
        <v>2879</v>
      </c>
      <c r="D1703" s="2" t="s">
        <v>2880</v>
      </c>
    </row>
    <row r="1704" spans="1:4" ht="12.95" customHeight="1" x14ac:dyDescent="0.25">
      <c r="A1704" s="2" t="s">
        <v>270</v>
      </c>
      <c r="B1704" s="2" t="s">
        <v>1146</v>
      </c>
      <c r="C1704" s="5" t="s">
        <v>2881</v>
      </c>
      <c r="D1704" s="2" t="s">
        <v>2882</v>
      </c>
    </row>
    <row r="1705" spans="1:4" ht="12.95" customHeight="1" x14ac:dyDescent="0.25">
      <c r="A1705" s="2" t="s">
        <v>270</v>
      </c>
      <c r="B1705" s="2" t="s">
        <v>1146</v>
      </c>
      <c r="C1705" s="5" t="s">
        <v>2883</v>
      </c>
      <c r="D1705" s="2" t="s">
        <v>2884</v>
      </c>
    </row>
    <row r="1706" spans="1:4" ht="12.95" customHeight="1" x14ac:dyDescent="0.25">
      <c r="A1706" s="2" t="s">
        <v>270</v>
      </c>
      <c r="B1706" s="2" t="s">
        <v>1146</v>
      </c>
      <c r="C1706" s="5" t="s">
        <v>2885</v>
      </c>
      <c r="D1706" s="2" t="s">
        <v>2886</v>
      </c>
    </row>
    <row r="1707" spans="1:4" ht="12.95" customHeight="1" x14ac:dyDescent="0.25">
      <c r="A1707" s="2" t="s">
        <v>270</v>
      </c>
      <c r="B1707" s="2" t="s">
        <v>1146</v>
      </c>
      <c r="C1707" s="5" t="s">
        <v>2887</v>
      </c>
      <c r="D1707" s="2" t="s">
        <v>2888</v>
      </c>
    </row>
    <row r="1708" spans="1:4" ht="12.95" customHeight="1" x14ac:dyDescent="0.25">
      <c r="A1708" s="2" t="s">
        <v>270</v>
      </c>
      <c r="B1708" s="2" t="s">
        <v>1146</v>
      </c>
      <c r="C1708" s="5" t="s">
        <v>2889</v>
      </c>
      <c r="D1708" s="2" t="s">
        <v>2890</v>
      </c>
    </row>
    <row r="1709" spans="1:4" ht="12.95" customHeight="1" x14ac:dyDescent="0.25">
      <c r="A1709" s="2" t="s">
        <v>270</v>
      </c>
      <c r="B1709" s="2" t="s">
        <v>1146</v>
      </c>
      <c r="C1709" s="5" t="s">
        <v>2891</v>
      </c>
      <c r="D1709" s="2" t="s">
        <v>2892</v>
      </c>
    </row>
    <row r="1710" spans="1:4" ht="12.95" customHeight="1" x14ac:dyDescent="0.25">
      <c r="A1710" s="2" t="s">
        <v>270</v>
      </c>
      <c r="B1710" s="2" t="s">
        <v>1146</v>
      </c>
      <c r="C1710" s="5" t="s">
        <v>2893</v>
      </c>
      <c r="D1710" s="2" t="s">
        <v>2894</v>
      </c>
    </row>
    <row r="1711" spans="1:4" ht="12.95" customHeight="1" x14ac:dyDescent="0.25">
      <c r="A1711" s="2" t="s">
        <v>270</v>
      </c>
      <c r="B1711" s="2" t="s">
        <v>1146</v>
      </c>
      <c r="C1711" s="5" t="s">
        <v>2895</v>
      </c>
      <c r="D1711" s="2" t="s">
        <v>2896</v>
      </c>
    </row>
    <row r="1712" spans="1:4" ht="12.95" customHeight="1" x14ac:dyDescent="0.25">
      <c r="A1712" s="2" t="s">
        <v>270</v>
      </c>
      <c r="B1712" s="2" t="s">
        <v>1146</v>
      </c>
      <c r="C1712" s="5" t="s">
        <v>2897</v>
      </c>
      <c r="D1712" s="2" t="s">
        <v>2898</v>
      </c>
    </row>
    <row r="1713" spans="1:4" ht="12.95" customHeight="1" x14ac:dyDescent="0.25">
      <c r="A1713" s="2" t="s">
        <v>270</v>
      </c>
      <c r="B1713" s="2" t="s">
        <v>1146</v>
      </c>
      <c r="C1713" s="5" t="s">
        <v>2899</v>
      </c>
      <c r="D1713" s="2" t="s">
        <v>2900</v>
      </c>
    </row>
    <row r="1714" spans="1:4" ht="12.95" customHeight="1" x14ac:dyDescent="0.25">
      <c r="A1714" s="2" t="s">
        <v>270</v>
      </c>
      <c r="B1714" s="2" t="s">
        <v>1146</v>
      </c>
      <c r="C1714" s="5" t="s">
        <v>2901</v>
      </c>
      <c r="D1714" s="2" t="s">
        <v>2902</v>
      </c>
    </row>
    <row r="1715" spans="1:4" ht="12.95" customHeight="1" x14ac:dyDescent="0.25">
      <c r="A1715" s="2" t="s">
        <v>270</v>
      </c>
      <c r="B1715" s="2" t="s">
        <v>1146</v>
      </c>
      <c r="C1715" s="5" t="s">
        <v>2903</v>
      </c>
      <c r="D1715" s="2" t="s">
        <v>2904</v>
      </c>
    </row>
    <row r="1716" spans="1:4" ht="12.95" customHeight="1" x14ac:dyDescent="0.25">
      <c r="A1716" s="2" t="s">
        <v>270</v>
      </c>
      <c r="B1716" s="2" t="s">
        <v>1146</v>
      </c>
      <c r="C1716" s="5" t="s">
        <v>2905</v>
      </c>
      <c r="D1716" s="2" t="s">
        <v>2906</v>
      </c>
    </row>
    <row r="1717" spans="1:4" ht="12.95" customHeight="1" x14ac:dyDescent="0.25">
      <c r="A1717" s="2" t="s">
        <v>270</v>
      </c>
      <c r="B1717" s="2" t="s">
        <v>1146</v>
      </c>
      <c r="C1717" s="5" t="s">
        <v>2907</v>
      </c>
      <c r="D1717" s="2" t="s">
        <v>2908</v>
      </c>
    </row>
    <row r="1718" spans="1:4" ht="12.95" customHeight="1" x14ac:dyDescent="0.25">
      <c r="A1718" s="2" t="s">
        <v>270</v>
      </c>
      <c r="B1718" s="2" t="s">
        <v>1146</v>
      </c>
      <c r="C1718" s="5" t="s">
        <v>2909</v>
      </c>
      <c r="D1718" s="2" t="s">
        <v>2910</v>
      </c>
    </row>
    <row r="1719" spans="1:4" ht="12.95" customHeight="1" x14ac:dyDescent="0.25">
      <c r="A1719" s="2" t="s">
        <v>270</v>
      </c>
      <c r="B1719" s="2" t="s">
        <v>1146</v>
      </c>
      <c r="C1719" s="5" t="s">
        <v>2911</v>
      </c>
      <c r="D1719" s="2" t="s">
        <v>2912</v>
      </c>
    </row>
    <row r="1720" spans="1:4" ht="12.95" customHeight="1" x14ac:dyDescent="0.25">
      <c r="A1720" s="2" t="s">
        <v>270</v>
      </c>
      <c r="B1720" s="2" t="s">
        <v>1146</v>
      </c>
      <c r="C1720" s="5" t="s">
        <v>2913</v>
      </c>
      <c r="D1720" s="2" t="s">
        <v>2914</v>
      </c>
    </row>
    <row r="1721" spans="1:4" ht="12.95" customHeight="1" x14ac:dyDescent="0.25">
      <c r="A1721" s="2" t="s">
        <v>270</v>
      </c>
      <c r="B1721" s="2" t="s">
        <v>1146</v>
      </c>
      <c r="C1721" s="5" t="s">
        <v>2915</v>
      </c>
      <c r="D1721" s="2" t="s">
        <v>2916</v>
      </c>
    </row>
    <row r="1722" spans="1:4" ht="12.95" customHeight="1" x14ac:dyDescent="0.25">
      <c r="A1722" s="2" t="s">
        <v>270</v>
      </c>
      <c r="B1722" s="2" t="s">
        <v>1146</v>
      </c>
      <c r="C1722" s="5" t="s">
        <v>2917</v>
      </c>
      <c r="D1722" s="2" t="s">
        <v>2918</v>
      </c>
    </row>
    <row r="1723" spans="1:4" ht="12.95" customHeight="1" x14ac:dyDescent="0.25">
      <c r="A1723" s="2" t="s">
        <v>270</v>
      </c>
      <c r="B1723" s="2" t="s">
        <v>1146</v>
      </c>
      <c r="C1723" s="5" t="s">
        <v>2919</v>
      </c>
      <c r="D1723" s="2" t="s">
        <v>2920</v>
      </c>
    </row>
    <row r="1724" spans="1:4" ht="12.95" customHeight="1" x14ac:dyDescent="0.25">
      <c r="A1724" s="2" t="s">
        <v>270</v>
      </c>
      <c r="B1724" s="2" t="s">
        <v>1146</v>
      </c>
      <c r="C1724" s="5" t="s">
        <v>2921</v>
      </c>
      <c r="D1724" s="2" t="s">
        <v>2922</v>
      </c>
    </row>
    <row r="1725" spans="1:4" ht="12.95" customHeight="1" x14ac:dyDescent="0.25">
      <c r="A1725" s="2" t="s">
        <v>270</v>
      </c>
      <c r="B1725" s="2" t="s">
        <v>1146</v>
      </c>
      <c r="C1725" s="5" t="s">
        <v>2923</v>
      </c>
      <c r="D1725" s="2" t="s">
        <v>2924</v>
      </c>
    </row>
    <row r="1726" spans="1:4" ht="12.95" customHeight="1" x14ac:dyDescent="0.25">
      <c r="A1726" s="2" t="s">
        <v>270</v>
      </c>
      <c r="B1726" s="2" t="s">
        <v>1146</v>
      </c>
      <c r="C1726" s="5" t="s">
        <v>2925</v>
      </c>
      <c r="D1726" s="2" t="s">
        <v>2926</v>
      </c>
    </row>
    <row r="1727" spans="1:4" ht="12.95" customHeight="1" x14ac:dyDescent="0.25">
      <c r="A1727" s="2" t="s">
        <v>270</v>
      </c>
      <c r="B1727" s="2" t="s">
        <v>1146</v>
      </c>
      <c r="C1727" s="5" t="s">
        <v>2927</v>
      </c>
      <c r="D1727" s="2" t="s">
        <v>2928</v>
      </c>
    </row>
    <row r="1728" spans="1:4" ht="12.95" customHeight="1" x14ac:dyDescent="0.25">
      <c r="A1728" s="2" t="s">
        <v>270</v>
      </c>
      <c r="B1728" s="2" t="s">
        <v>1146</v>
      </c>
      <c r="C1728" s="5" t="s">
        <v>2929</v>
      </c>
      <c r="D1728" s="2" t="s">
        <v>2930</v>
      </c>
    </row>
    <row r="1729" spans="1:4" ht="12.95" customHeight="1" x14ac:dyDescent="0.25">
      <c r="A1729" s="2" t="s">
        <v>270</v>
      </c>
      <c r="B1729" s="2" t="s">
        <v>1146</v>
      </c>
      <c r="C1729" s="5" t="s">
        <v>2931</v>
      </c>
      <c r="D1729" s="2" t="s">
        <v>2932</v>
      </c>
    </row>
    <row r="1730" spans="1:4" ht="12.95" customHeight="1" x14ac:dyDescent="0.25">
      <c r="A1730" s="2" t="s">
        <v>270</v>
      </c>
      <c r="B1730" s="2" t="s">
        <v>1146</v>
      </c>
      <c r="C1730" s="5" t="s">
        <v>2933</v>
      </c>
      <c r="D1730" s="2" t="s">
        <v>2934</v>
      </c>
    </row>
    <row r="1731" spans="1:4" ht="12.95" customHeight="1" x14ac:dyDescent="0.25">
      <c r="A1731" s="2" t="s">
        <v>270</v>
      </c>
      <c r="B1731" s="2" t="s">
        <v>1146</v>
      </c>
      <c r="C1731" s="5" t="s">
        <v>2935</v>
      </c>
      <c r="D1731" s="2" t="s">
        <v>2936</v>
      </c>
    </row>
    <row r="1732" spans="1:4" ht="12.95" customHeight="1" x14ac:dyDescent="0.25">
      <c r="A1732" s="2" t="s">
        <v>270</v>
      </c>
      <c r="B1732" s="2" t="s">
        <v>1146</v>
      </c>
      <c r="C1732" s="5" t="s">
        <v>2937</v>
      </c>
      <c r="D1732" s="2" t="s">
        <v>2938</v>
      </c>
    </row>
    <row r="1733" spans="1:4" ht="12.95" customHeight="1" x14ac:dyDescent="0.25">
      <c r="A1733" s="2" t="s">
        <v>270</v>
      </c>
      <c r="B1733" s="2" t="s">
        <v>1146</v>
      </c>
      <c r="C1733" s="5" t="s">
        <v>2939</v>
      </c>
      <c r="D1733" s="2" t="s">
        <v>2940</v>
      </c>
    </row>
    <row r="1734" spans="1:4" ht="12.95" customHeight="1" x14ac:dyDescent="0.25">
      <c r="A1734" s="2" t="s">
        <v>270</v>
      </c>
      <c r="B1734" s="2" t="s">
        <v>1146</v>
      </c>
      <c r="C1734" s="5" t="s">
        <v>2941</v>
      </c>
      <c r="D1734" s="2" t="s">
        <v>2942</v>
      </c>
    </row>
    <row r="1735" spans="1:4" ht="12.95" customHeight="1" x14ac:dyDescent="0.25">
      <c r="A1735" s="2" t="s">
        <v>270</v>
      </c>
      <c r="B1735" s="2" t="s">
        <v>1146</v>
      </c>
      <c r="C1735" s="5" t="s">
        <v>2943</v>
      </c>
      <c r="D1735" s="2" t="s">
        <v>2944</v>
      </c>
    </row>
    <row r="1736" spans="1:4" ht="12.95" customHeight="1" x14ac:dyDescent="0.25">
      <c r="A1736" s="2" t="s">
        <v>270</v>
      </c>
      <c r="B1736" s="2" t="s">
        <v>1146</v>
      </c>
      <c r="C1736" s="5" t="s">
        <v>2945</v>
      </c>
      <c r="D1736" s="2" t="s">
        <v>2946</v>
      </c>
    </row>
    <row r="1737" spans="1:4" ht="12.95" customHeight="1" x14ac:dyDescent="0.25">
      <c r="A1737" s="2" t="s">
        <v>270</v>
      </c>
      <c r="B1737" s="2" t="s">
        <v>1146</v>
      </c>
      <c r="C1737" s="5" t="s">
        <v>2947</v>
      </c>
      <c r="D1737" s="2" t="s">
        <v>2948</v>
      </c>
    </row>
    <row r="1738" spans="1:4" ht="12.95" customHeight="1" x14ac:dyDescent="0.25">
      <c r="A1738" s="2" t="s">
        <v>270</v>
      </c>
      <c r="B1738" s="2" t="s">
        <v>1146</v>
      </c>
      <c r="C1738" s="5" t="s">
        <v>2949</v>
      </c>
      <c r="D1738" s="2" t="s">
        <v>2950</v>
      </c>
    </row>
    <row r="1739" spans="1:4" ht="12.95" customHeight="1" x14ac:dyDescent="0.25">
      <c r="A1739" s="2" t="s">
        <v>270</v>
      </c>
      <c r="B1739" s="2" t="s">
        <v>1146</v>
      </c>
      <c r="C1739" s="5" t="s">
        <v>2951</v>
      </c>
      <c r="D1739" s="2" t="s">
        <v>2952</v>
      </c>
    </row>
    <row r="1740" spans="1:4" ht="12.95" customHeight="1" x14ac:dyDescent="0.25">
      <c r="A1740" s="2" t="s">
        <v>270</v>
      </c>
      <c r="B1740" s="2" t="s">
        <v>1146</v>
      </c>
      <c r="C1740" s="5" t="s">
        <v>2953</v>
      </c>
      <c r="D1740" s="2" t="s">
        <v>2954</v>
      </c>
    </row>
    <row r="1741" spans="1:4" ht="12.95" customHeight="1" x14ac:dyDescent="0.25">
      <c r="A1741" s="2" t="s">
        <v>270</v>
      </c>
      <c r="B1741" s="2" t="s">
        <v>1146</v>
      </c>
      <c r="C1741" s="5" t="s">
        <v>2955</v>
      </c>
      <c r="D1741" s="2" t="s">
        <v>2956</v>
      </c>
    </row>
    <row r="1742" spans="1:4" ht="12.95" customHeight="1" x14ac:dyDescent="0.25">
      <c r="A1742" s="2" t="s">
        <v>270</v>
      </c>
      <c r="B1742" s="2" t="s">
        <v>1146</v>
      </c>
      <c r="C1742" s="5" t="s">
        <v>2957</v>
      </c>
      <c r="D1742" s="2" t="s">
        <v>2958</v>
      </c>
    </row>
    <row r="1743" spans="1:4" ht="12.95" customHeight="1" x14ac:dyDescent="0.25">
      <c r="A1743" s="2" t="s">
        <v>270</v>
      </c>
      <c r="B1743" s="2" t="s">
        <v>1146</v>
      </c>
      <c r="C1743" s="5" t="s">
        <v>2959</v>
      </c>
      <c r="D1743" s="2" t="s">
        <v>2960</v>
      </c>
    </row>
    <row r="1744" spans="1:4" ht="12.95" customHeight="1" x14ac:dyDescent="0.25">
      <c r="A1744" s="2" t="s">
        <v>270</v>
      </c>
      <c r="B1744" s="2" t="s">
        <v>1146</v>
      </c>
      <c r="C1744" s="5" t="s">
        <v>2961</v>
      </c>
      <c r="D1744" s="2" t="s">
        <v>2962</v>
      </c>
    </row>
    <row r="1745" spans="1:4" ht="12.95" customHeight="1" x14ac:dyDescent="0.25">
      <c r="A1745" s="2" t="s">
        <v>270</v>
      </c>
      <c r="B1745" s="2" t="s">
        <v>1146</v>
      </c>
      <c r="C1745" s="5" t="s">
        <v>2963</v>
      </c>
      <c r="D1745" s="2" t="s">
        <v>2964</v>
      </c>
    </row>
    <row r="1746" spans="1:4" ht="12.95" customHeight="1" x14ac:dyDescent="0.25">
      <c r="A1746" s="2" t="s">
        <v>270</v>
      </c>
      <c r="B1746" s="2" t="s">
        <v>1146</v>
      </c>
      <c r="C1746" s="5" t="s">
        <v>2965</v>
      </c>
      <c r="D1746" s="2" t="s">
        <v>2966</v>
      </c>
    </row>
    <row r="1747" spans="1:4" ht="12.95" customHeight="1" x14ac:dyDescent="0.25">
      <c r="A1747" s="2" t="s">
        <v>270</v>
      </c>
      <c r="B1747" s="2" t="s">
        <v>1146</v>
      </c>
      <c r="C1747" s="5" t="s">
        <v>2967</v>
      </c>
      <c r="D1747" s="2" t="s">
        <v>2968</v>
      </c>
    </row>
    <row r="1748" spans="1:4" ht="12.95" customHeight="1" x14ac:dyDescent="0.25">
      <c r="A1748" s="2" t="s">
        <v>270</v>
      </c>
      <c r="B1748" s="2" t="s">
        <v>1146</v>
      </c>
      <c r="C1748" s="5" t="s">
        <v>2969</v>
      </c>
      <c r="D1748" s="2" t="s">
        <v>2970</v>
      </c>
    </row>
    <row r="1749" spans="1:4" ht="12.95" customHeight="1" x14ac:dyDescent="0.25">
      <c r="A1749" s="2" t="s">
        <v>270</v>
      </c>
      <c r="B1749" s="2" t="s">
        <v>1146</v>
      </c>
      <c r="C1749" s="5" t="s">
        <v>2971</v>
      </c>
      <c r="D1749" s="2" t="s">
        <v>2972</v>
      </c>
    </row>
    <row r="1750" spans="1:4" ht="12.95" customHeight="1" x14ac:dyDescent="0.25">
      <c r="A1750" s="2" t="s">
        <v>270</v>
      </c>
      <c r="B1750" s="2" t="s">
        <v>1146</v>
      </c>
      <c r="C1750" s="5" t="s">
        <v>2973</v>
      </c>
      <c r="D1750" s="2" t="s">
        <v>2974</v>
      </c>
    </row>
    <row r="1751" spans="1:4" ht="12.95" customHeight="1" x14ac:dyDescent="0.25">
      <c r="A1751" s="2" t="s">
        <v>270</v>
      </c>
      <c r="B1751" s="2" t="s">
        <v>1146</v>
      </c>
      <c r="C1751" s="5" t="s">
        <v>2975</v>
      </c>
      <c r="D1751" s="2" t="s">
        <v>2976</v>
      </c>
    </row>
    <row r="1752" spans="1:4" ht="12.95" customHeight="1" x14ac:dyDescent="0.25">
      <c r="A1752" s="2" t="s">
        <v>270</v>
      </c>
      <c r="B1752" s="2" t="s">
        <v>1146</v>
      </c>
      <c r="C1752" s="5" t="s">
        <v>2977</v>
      </c>
      <c r="D1752" s="2" t="s">
        <v>2978</v>
      </c>
    </row>
    <row r="1753" spans="1:4" ht="12.95" customHeight="1" x14ac:dyDescent="0.25">
      <c r="A1753" s="2" t="s">
        <v>270</v>
      </c>
      <c r="B1753" s="2" t="s">
        <v>1146</v>
      </c>
      <c r="C1753" s="5" t="s">
        <v>2979</v>
      </c>
      <c r="D1753" s="2" t="s">
        <v>2980</v>
      </c>
    </row>
    <row r="1754" spans="1:4" ht="12.95" customHeight="1" x14ac:dyDescent="0.25">
      <c r="A1754" s="2" t="s">
        <v>270</v>
      </c>
      <c r="B1754" s="2" t="s">
        <v>1146</v>
      </c>
      <c r="C1754" s="5" t="s">
        <v>2981</v>
      </c>
      <c r="D1754" s="2" t="s">
        <v>2982</v>
      </c>
    </row>
    <row r="1755" spans="1:4" ht="12.95" customHeight="1" x14ac:dyDescent="0.25">
      <c r="A1755" s="2" t="s">
        <v>270</v>
      </c>
      <c r="B1755" s="2" t="s">
        <v>1146</v>
      </c>
      <c r="C1755" s="5" t="s">
        <v>2983</v>
      </c>
      <c r="D1755" s="2" t="s">
        <v>2984</v>
      </c>
    </row>
    <row r="1756" spans="1:4" ht="12.95" customHeight="1" x14ac:dyDescent="0.25">
      <c r="A1756" s="2" t="s">
        <v>270</v>
      </c>
      <c r="B1756" s="2" t="s">
        <v>1146</v>
      </c>
      <c r="C1756" s="5" t="s">
        <v>2985</v>
      </c>
      <c r="D1756" s="2" t="s">
        <v>2986</v>
      </c>
    </row>
    <row r="1757" spans="1:4" ht="12.95" customHeight="1" x14ac:dyDescent="0.25">
      <c r="A1757" s="2" t="s">
        <v>270</v>
      </c>
      <c r="B1757" s="2" t="s">
        <v>1146</v>
      </c>
      <c r="C1757" s="5" t="s">
        <v>2987</v>
      </c>
      <c r="D1757" s="2" t="s">
        <v>2988</v>
      </c>
    </row>
    <row r="1758" spans="1:4" ht="12.95" customHeight="1" x14ac:dyDescent="0.25">
      <c r="A1758" s="2" t="s">
        <v>270</v>
      </c>
      <c r="B1758" s="2" t="s">
        <v>1146</v>
      </c>
      <c r="C1758" s="5" t="s">
        <v>2989</v>
      </c>
      <c r="D1758" s="2" t="s">
        <v>2990</v>
      </c>
    </row>
    <row r="1759" spans="1:4" ht="12.95" customHeight="1" x14ac:dyDescent="0.25">
      <c r="A1759" s="2" t="s">
        <v>270</v>
      </c>
      <c r="B1759" s="2" t="s">
        <v>1146</v>
      </c>
      <c r="C1759" s="5" t="s">
        <v>2991</v>
      </c>
      <c r="D1759" s="2" t="s">
        <v>2992</v>
      </c>
    </row>
    <row r="1760" spans="1:4" ht="12.95" customHeight="1" x14ac:dyDescent="0.25">
      <c r="A1760" s="2" t="s">
        <v>270</v>
      </c>
      <c r="B1760" s="2" t="s">
        <v>1146</v>
      </c>
      <c r="C1760" s="5" t="s">
        <v>2993</v>
      </c>
      <c r="D1760" s="2" t="s">
        <v>2994</v>
      </c>
    </row>
    <row r="1761" spans="1:4" ht="12.95" customHeight="1" x14ac:dyDescent="0.25">
      <c r="A1761" s="2" t="s">
        <v>270</v>
      </c>
      <c r="B1761" s="2" t="s">
        <v>1146</v>
      </c>
      <c r="C1761" s="5" t="s">
        <v>2995</v>
      </c>
      <c r="D1761" s="2" t="s">
        <v>2996</v>
      </c>
    </row>
    <row r="1762" spans="1:4" ht="12.95" customHeight="1" x14ac:dyDescent="0.25">
      <c r="A1762" s="2" t="s">
        <v>270</v>
      </c>
      <c r="B1762" s="2" t="s">
        <v>1146</v>
      </c>
      <c r="C1762" s="5" t="s">
        <v>2997</v>
      </c>
      <c r="D1762" s="2" t="s">
        <v>2998</v>
      </c>
    </row>
    <row r="1763" spans="1:4" ht="12.95" customHeight="1" x14ac:dyDescent="0.25">
      <c r="A1763" s="2" t="s">
        <v>270</v>
      </c>
      <c r="B1763" s="2" t="s">
        <v>1146</v>
      </c>
      <c r="C1763" s="5" t="s">
        <v>2999</v>
      </c>
      <c r="D1763" s="2" t="s">
        <v>3000</v>
      </c>
    </row>
    <row r="1764" spans="1:4" ht="12.95" customHeight="1" x14ac:dyDescent="0.25">
      <c r="A1764" s="2" t="s">
        <v>270</v>
      </c>
      <c r="B1764" s="2" t="s">
        <v>1146</v>
      </c>
      <c r="C1764" s="5" t="s">
        <v>3001</v>
      </c>
      <c r="D1764" s="2" t="s">
        <v>3002</v>
      </c>
    </row>
    <row r="1765" spans="1:4" ht="12.95" customHeight="1" x14ac:dyDescent="0.25">
      <c r="A1765" s="2" t="s">
        <v>270</v>
      </c>
      <c r="B1765" s="2" t="s">
        <v>1146</v>
      </c>
      <c r="C1765" s="5" t="s">
        <v>3003</v>
      </c>
      <c r="D1765" s="2" t="s">
        <v>3004</v>
      </c>
    </row>
    <row r="1766" spans="1:4" ht="12.95" customHeight="1" x14ac:dyDescent="0.25">
      <c r="A1766" s="2" t="s">
        <v>270</v>
      </c>
      <c r="B1766" s="2" t="s">
        <v>1146</v>
      </c>
      <c r="C1766" s="5" t="s">
        <v>3005</v>
      </c>
      <c r="D1766" s="2" t="s">
        <v>3006</v>
      </c>
    </row>
    <row r="1767" spans="1:4" ht="12.95" customHeight="1" x14ac:dyDescent="0.25">
      <c r="A1767" s="2" t="s">
        <v>270</v>
      </c>
      <c r="B1767" s="2" t="s">
        <v>1146</v>
      </c>
      <c r="C1767" s="5" t="s">
        <v>3007</v>
      </c>
      <c r="D1767" s="2" t="s">
        <v>3008</v>
      </c>
    </row>
    <row r="1768" spans="1:4" ht="12.95" customHeight="1" x14ac:dyDescent="0.25">
      <c r="A1768" s="2" t="s">
        <v>270</v>
      </c>
      <c r="B1768" s="2" t="s">
        <v>1146</v>
      </c>
      <c r="C1768" s="5" t="s">
        <v>3009</v>
      </c>
      <c r="D1768" s="2" t="s">
        <v>3010</v>
      </c>
    </row>
    <row r="1769" spans="1:4" ht="12.95" customHeight="1" x14ac:dyDescent="0.25">
      <c r="A1769" s="2" t="s">
        <v>270</v>
      </c>
      <c r="B1769" s="2" t="s">
        <v>1146</v>
      </c>
      <c r="C1769" s="5" t="s">
        <v>3011</v>
      </c>
      <c r="D1769" s="2" t="s">
        <v>3012</v>
      </c>
    </row>
    <row r="1770" spans="1:4" ht="12.95" customHeight="1" x14ac:dyDescent="0.25">
      <c r="A1770" s="2" t="s">
        <v>270</v>
      </c>
      <c r="B1770" s="2" t="s">
        <v>1146</v>
      </c>
      <c r="C1770" s="5" t="s">
        <v>3013</v>
      </c>
      <c r="D1770" s="2" t="s">
        <v>3014</v>
      </c>
    </row>
    <row r="1771" spans="1:4" ht="12.95" customHeight="1" x14ac:dyDescent="0.25">
      <c r="A1771" s="2" t="s">
        <v>270</v>
      </c>
      <c r="B1771" s="2" t="s">
        <v>1146</v>
      </c>
      <c r="C1771" s="5" t="s">
        <v>3015</v>
      </c>
      <c r="D1771" s="2" t="s">
        <v>3016</v>
      </c>
    </row>
    <row r="1772" spans="1:4" ht="12.95" customHeight="1" x14ac:dyDescent="0.25">
      <c r="A1772" s="2" t="s">
        <v>270</v>
      </c>
      <c r="B1772" s="2" t="s">
        <v>1146</v>
      </c>
      <c r="C1772" s="5" t="s">
        <v>3017</v>
      </c>
      <c r="D1772" s="2" t="s">
        <v>3018</v>
      </c>
    </row>
    <row r="1773" spans="1:4" ht="12.95" customHeight="1" x14ac:dyDescent="0.25">
      <c r="A1773" s="2" t="s">
        <v>270</v>
      </c>
      <c r="B1773" s="2" t="s">
        <v>1146</v>
      </c>
      <c r="C1773" s="5" t="s">
        <v>3019</v>
      </c>
      <c r="D1773" s="2" t="s">
        <v>3020</v>
      </c>
    </row>
    <row r="1774" spans="1:4" ht="12.95" customHeight="1" x14ac:dyDescent="0.25">
      <c r="A1774" s="2" t="s">
        <v>270</v>
      </c>
      <c r="B1774" s="2" t="s">
        <v>1146</v>
      </c>
      <c r="C1774" s="5" t="s">
        <v>3021</v>
      </c>
      <c r="D1774" s="2" t="s">
        <v>3022</v>
      </c>
    </row>
    <row r="1775" spans="1:4" ht="12.95" customHeight="1" x14ac:dyDescent="0.25">
      <c r="A1775" s="2" t="s">
        <v>270</v>
      </c>
      <c r="B1775" s="2" t="s">
        <v>1146</v>
      </c>
      <c r="C1775" s="5" t="s">
        <v>3023</v>
      </c>
      <c r="D1775" s="2" t="s">
        <v>3024</v>
      </c>
    </row>
    <row r="1776" spans="1:4" ht="12.95" customHeight="1" x14ac:dyDescent="0.25">
      <c r="A1776" s="2" t="s">
        <v>270</v>
      </c>
      <c r="B1776" s="2" t="s">
        <v>1146</v>
      </c>
      <c r="C1776" s="5" t="s">
        <v>3025</v>
      </c>
      <c r="D1776" s="2" t="s">
        <v>3026</v>
      </c>
    </row>
    <row r="1777" spans="1:4" ht="12.95" customHeight="1" x14ac:dyDescent="0.25">
      <c r="A1777" s="2" t="s">
        <v>270</v>
      </c>
      <c r="B1777" s="2" t="s">
        <v>1146</v>
      </c>
      <c r="C1777" s="5" t="s">
        <v>3027</v>
      </c>
      <c r="D1777" s="2" t="s">
        <v>3028</v>
      </c>
    </row>
    <row r="1778" spans="1:4" ht="12.95" customHeight="1" x14ac:dyDescent="0.25">
      <c r="A1778" s="2" t="s">
        <v>270</v>
      </c>
      <c r="B1778" s="2" t="s">
        <v>1146</v>
      </c>
      <c r="C1778" s="5" t="s">
        <v>3029</v>
      </c>
      <c r="D1778" s="2" t="s">
        <v>3030</v>
      </c>
    </row>
    <row r="1779" spans="1:4" ht="12.95" customHeight="1" x14ac:dyDescent="0.25">
      <c r="A1779" s="2" t="s">
        <v>270</v>
      </c>
      <c r="B1779" s="2" t="s">
        <v>1146</v>
      </c>
      <c r="C1779" s="5" t="s">
        <v>3031</v>
      </c>
      <c r="D1779" s="2" t="s">
        <v>3032</v>
      </c>
    </row>
    <row r="1780" spans="1:4" ht="12.95" customHeight="1" x14ac:dyDescent="0.25">
      <c r="A1780" s="2" t="s">
        <v>270</v>
      </c>
      <c r="B1780" s="2" t="s">
        <v>1146</v>
      </c>
      <c r="C1780" s="5" t="s">
        <v>3033</v>
      </c>
      <c r="D1780" s="2" t="s">
        <v>3034</v>
      </c>
    </row>
    <row r="1781" spans="1:4" ht="12.95" customHeight="1" x14ac:dyDescent="0.25">
      <c r="A1781" s="2" t="s">
        <v>270</v>
      </c>
      <c r="B1781" s="2" t="s">
        <v>1146</v>
      </c>
      <c r="C1781" s="5" t="s">
        <v>3035</v>
      </c>
      <c r="D1781" s="2" t="s">
        <v>3036</v>
      </c>
    </row>
    <row r="1782" spans="1:4" ht="12.95" customHeight="1" x14ac:dyDescent="0.25">
      <c r="A1782" s="2" t="s">
        <v>270</v>
      </c>
      <c r="B1782" s="2" t="s">
        <v>1146</v>
      </c>
      <c r="C1782" s="5" t="s">
        <v>3037</v>
      </c>
      <c r="D1782" s="2" t="s">
        <v>3038</v>
      </c>
    </row>
    <row r="1783" spans="1:4" ht="12.95" customHeight="1" x14ac:dyDescent="0.25">
      <c r="A1783" s="2" t="s">
        <v>270</v>
      </c>
      <c r="B1783" s="2" t="s">
        <v>1146</v>
      </c>
      <c r="C1783" s="5" t="s">
        <v>3039</v>
      </c>
      <c r="D1783" s="2" t="s">
        <v>3040</v>
      </c>
    </row>
    <row r="1784" spans="1:4" ht="12.95" customHeight="1" x14ac:dyDescent="0.25">
      <c r="A1784" s="2" t="s">
        <v>270</v>
      </c>
      <c r="B1784" s="2" t="s">
        <v>1146</v>
      </c>
      <c r="C1784" s="5" t="s">
        <v>3041</v>
      </c>
      <c r="D1784" s="2" t="s">
        <v>3042</v>
      </c>
    </row>
    <row r="1785" spans="1:4" ht="12.95" customHeight="1" x14ac:dyDescent="0.25">
      <c r="A1785" s="2" t="s">
        <v>270</v>
      </c>
      <c r="B1785" s="2" t="s">
        <v>1146</v>
      </c>
      <c r="C1785" s="5" t="s">
        <v>3043</v>
      </c>
      <c r="D1785" s="2" t="s">
        <v>3044</v>
      </c>
    </row>
    <row r="1786" spans="1:4" ht="12.95" customHeight="1" x14ac:dyDescent="0.25">
      <c r="A1786" s="2" t="s">
        <v>270</v>
      </c>
      <c r="B1786" s="2" t="s">
        <v>1146</v>
      </c>
      <c r="C1786" s="5" t="s">
        <v>3045</v>
      </c>
      <c r="D1786" s="2" t="s">
        <v>3046</v>
      </c>
    </row>
    <row r="1787" spans="1:4" ht="12.95" customHeight="1" x14ac:dyDescent="0.25">
      <c r="A1787" s="2" t="s">
        <v>270</v>
      </c>
      <c r="B1787" s="2" t="s">
        <v>1146</v>
      </c>
      <c r="C1787" s="5" t="s">
        <v>3047</v>
      </c>
      <c r="D1787" s="2" t="s">
        <v>3048</v>
      </c>
    </row>
    <row r="1788" spans="1:4" ht="12.95" customHeight="1" x14ac:dyDescent="0.25">
      <c r="A1788" s="2" t="s">
        <v>270</v>
      </c>
      <c r="B1788" s="2" t="s">
        <v>1146</v>
      </c>
      <c r="C1788" s="5" t="s">
        <v>3049</v>
      </c>
      <c r="D1788" s="2" t="s">
        <v>3050</v>
      </c>
    </row>
    <row r="1789" spans="1:4" ht="12.95" customHeight="1" x14ac:dyDescent="0.25">
      <c r="A1789" s="2" t="s">
        <v>270</v>
      </c>
      <c r="B1789" s="2" t="s">
        <v>1146</v>
      </c>
      <c r="C1789" s="5" t="s">
        <v>3051</v>
      </c>
      <c r="D1789" s="2" t="s">
        <v>3052</v>
      </c>
    </row>
    <row r="1790" spans="1:4" ht="12.95" customHeight="1" x14ac:dyDescent="0.25">
      <c r="A1790" s="2" t="s">
        <v>270</v>
      </c>
      <c r="B1790" s="2" t="s">
        <v>1146</v>
      </c>
      <c r="C1790" s="5" t="s">
        <v>3053</v>
      </c>
      <c r="D1790" s="2" t="s">
        <v>3054</v>
      </c>
    </row>
    <row r="1791" spans="1:4" ht="12.95" customHeight="1" x14ac:dyDescent="0.25">
      <c r="A1791" s="2" t="s">
        <v>270</v>
      </c>
      <c r="B1791" s="2" t="s">
        <v>1146</v>
      </c>
      <c r="C1791" s="5" t="s">
        <v>3055</v>
      </c>
      <c r="D1791" s="2" t="s">
        <v>3056</v>
      </c>
    </row>
    <row r="1792" spans="1:4" ht="12.95" customHeight="1" x14ac:dyDescent="0.25">
      <c r="A1792" s="2" t="s">
        <v>270</v>
      </c>
      <c r="B1792" s="2" t="s">
        <v>1146</v>
      </c>
      <c r="C1792" s="5" t="s">
        <v>3057</v>
      </c>
      <c r="D1792" s="2" t="s">
        <v>3058</v>
      </c>
    </row>
    <row r="1793" spans="1:4" ht="12.95" customHeight="1" x14ac:dyDescent="0.25">
      <c r="A1793" s="2" t="s">
        <v>270</v>
      </c>
      <c r="B1793" s="2" t="s">
        <v>1146</v>
      </c>
      <c r="C1793" s="5" t="s">
        <v>3059</v>
      </c>
      <c r="D1793" s="2" t="s">
        <v>3060</v>
      </c>
    </row>
    <row r="1794" spans="1:4" ht="12.95" customHeight="1" x14ac:dyDescent="0.25">
      <c r="A1794" s="2" t="s">
        <v>270</v>
      </c>
      <c r="B1794" s="2" t="s">
        <v>1146</v>
      </c>
      <c r="C1794" s="5" t="s">
        <v>3061</v>
      </c>
      <c r="D1794" s="2" t="s">
        <v>3062</v>
      </c>
    </row>
    <row r="1795" spans="1:4" ht="12.95" customHeight="1" x14ac:dyDescent="0.25">
      <c r="A1795" s="2" t="s">
        <v>270</v>
      </c>
      <c r="B1795" s="2" t="s">
        <v>1146</v>
      </c>
      <c r="C1795" s="5" t="s">
        <v>3063</v>
      </c>
      <c r="D1795" s="2" t="s">
        <v>3064</v>
      </c>
    </row>
    <row r="1796" spans="1:4" ht="12.95" customHeight="1" x14ac:dyDescent="0.25">
      <c r="A1796" s="2" t="s">
        <v>270</v>
      </c>
      <c r="B1796" s="2" t="s">
        <v>1146</v>
      </c>
      <c r="C1796" s="5" t="s">
        <v>3065</v>
      </c>
      <c r="D1796" s="2" t="s">
        <v>3066</v>
      </c>
    </row>
    <row r="1797" spans="1:4" ht="12.95" customHeight="1" x14ac:dyDescent="0.25">
      <c r="A1797" s="2" t="s">
        <v>270</v>
      </c>
      <c r="B1797" s="2" t="s">
        <v>1146</v>
      </c>
      <c r="C1797" s="5" t="s">
        <v>3067</v>
      </c>
      <c r="D1797" s="2" t="s">
        <v>3068</v>
      </c>
    </row>
    <row r="1798" spans="1:4" ht="12.95" customHeight="1" x14ac:dyDescent="0.25">
      <c r="A1798" s="2" t="s">
        <v>270</v>
      </c>
      <c r="B1798" s="2" t="s">
        <v>1146</v>
      </c>
      <c r="C1798" s="5" t="s">
        <v>3069</v>
      </c>
      <c r="D1798" s="2" t="s">
        <v>3070</v>
      </c>
    </row>
    <row r="1799" spans="1:4" ht="12.95" customHeight="1" x14ac:dyDescent="0.25">
      <c r="A1799" s="2" t="s">
        <v>270</v>
      </c>
      <c r="B1799" s="2" t="s">
        <v>1146</v>
      </c>
      <c r="C1799" s="5" t="s">
        <v>3071</v>
      </c>
      <c r="D1799" s="2" t="s">
        <v>3072</v>
      </c>
    </row>
    <row r="1800" spans="1:4" ht="12.95" customHeight="1" x14ac:dyDescent="0.25">
      <c r="A1800" s="2" t="s">
        <v>270</v>
      </c>
      <c r="B1800" s="2" t="s">
        <v>1146</v>
      </c>
      <c r="C1800" s="5" t="s">
        <v>3073</v>
      </c>
      <c r="D1800" s="2" t="s">
        <v>3074</v>
      </c>
    </row>
    <row r="1801" spans="1:4" ht="12.95" customHeight="1" x14ac:dyDescent="0.25">
      <c r="A1801" s="2" t="s">
        <v>270</v>
      </c>
      <c r="B1801" s="2" t="s">
        <v>1146</v>
      </c>
      <c r="C1801" s="5" t="s">
        <v>3075</v>
      </c>
      <c r="D1801" s="2" t="s">
        <v>3076</v>
      </c>
    </row>
    <row r="1802" spans="1:4" ht="12.95" customHeight="1" x14ac:dyDescent="0.25">
      <c r="A1802" s="2" t="s">
        <v>270</v>
      </c>
      <c r="B1802" s="2" t="s">
        <v>1146</v>
      </c>
      <c r="C1802" s="5" t="s">
        <v>3077</v>
      </c>
      <c r="D1802" s="2" t="s">
        <v>3078</v>
      </c>
    </row>
    <row r="1803" spans="1:4" ht="12.95" customHeight="1" x14ac:dyDescent="0.25">
      <c r="A1803" s="2" t="s">
        <v>270</v>
      </c>
      <c r="B1803" s="2" t="s">
        <v>1146</v>
      </c>
      <c r="C1803" s="5" t="s">
        <v>3079</v>
      </c>
      <c r="D1803" s="2" t="s">
        <v>3080</v>
      </c>
    </row>
    <row r="1804" spans="1:4" ht="12.95" customHeight="1" x14ac:dyDescent="0.25">
      <c r="A1804" s="2" t="s">
        <v>270</v>
      </c>
      <c r="B1804" s="2" t="s">
        <v>1146</v>
      </c>
      <c r="C1804" s="5" t="s">
        <v>3081</v>
      </c>
      <c r="D1804" s="2" t="s">
        <v>3082</v>
      </c>
    </row>
    <row r="1805" spans="1:4" ht="12.95" customHeight="1" x14ac:dyDescent="0.25">
      <c r="A1805" s="2" t="s">
        <v>270</v>
      </c>
      <c r="B1805" s="2" t="s">
        <v>1146</v>
      </c>
      <c r="C1805" s="5" t="s">
        <v>3083</v>
      </c>
      <c r="D1805" s="2" t="s">
        <v>3084</v>
      </c>
    </row>
    <row r="1806" spans="1:4" ht="12.95" customHeight="1" x14ac:dyDescent="0.25">
      <c r="A1806" s="2" t="s">
        <v>270</v>
      </c>
      <c r="B1806" s="2" t="s">
        <v>1146</v>
      </c>
      <c r="C1806" s="5" t="s">
        <v>3085</v>
      </c>
      <c r="D1806" s="2" t="s">
        <v>3086</v>
      </c>
    </row>
    <row r="1807" spans="1:4" ht="12.95" customHeight="1" x14ac:dyDescent="0.25">
      <c r="A1807" s="2" t="s">
        <v>270</v>
      </c>
      <c r="B1807" s="2" t="s">
        <v>1146</v>
      </c>
      <c r="C1807" s="5" t="s">
        <v>3087</v>
      </c>
      <c r="D1807" s="2" t="s">
        <v>3088</v>
      </c>
    </row>
    <row r="1808" spans="1:4" ht="12.95" customHeight="1" x14ac:dyDescent="0.25">
      <c r="A1808" s="2" t="s">
        <v>270</v>
      </c>
      <c r="B1808" s="2" t="s">
        <v>1146</v>
      </c>
      <c r="C1808" s="5" t="s">
        <v>3089</v>
      </c>
      <c r="D1808" s="2" t="s">
        <v>3090</v>
      </c>
    </row>
    <row r="1809" spans="1:4" ht="12.95" customHeight="1" x14ac:dyDescent="0.25">
      <c r="A1809" s="2" t="s">
        <v>270</v>
      </c>
      <c r="B1809" s="2" t="s">
        <v>1146</v>
      </c>
      <c r="C1809" s="5" t="s">
        <v>3091</v>
      </c>
      <c r="D1809" s="2" t="s">
        <v>3092</v>
      </c>
    </row>
    <row r="1810" spans="1:4" ht="12.95" customHeight="1" x14ac:dyDescent="0.25">
      <c r="A1810" s="2" t="s">
        <v>270</v>
      </c>
      <c r="B1810" s="2" t="s">
        <v>1146</v>
      </c>
      <c r="C1810" s="5" t="s">
        <v>3093</v>
      </c>
      <c r="D1810" s="2" t="s">
        <v>3094</v>
      </c>
    </row>
    <row r="1811" spans="1:4" ht="12.95" customHeight="1" x14ac:dyDescent="0.25">
      <c r="A1811" s="2" t="s">
        <v>270</v>
      </c>
      <c r="B1811" s="2" t="s">
        <v>1146</v>
      </c>
      <c r="C1811" s="5" t="s">
        <v>3095</v>
      </c>
      <c r="D1811" s="2" t="s">
        <v>3096</v>
      </c>
    </row>
    <row r="1812" spans="1:4" ht="12.95" customHeight="1" x14ac:dyDescent="0.25">
      <c r="A1812" s="2" t="s">
        <v>270</v>
      </c>
      <c r="B1812" s="2" t="s">
        <v>1146</v>
      </c>
      <c r="C1812" s="5" t="s">
        <v>3097</v>
      </c>
      <c r="D1812" s="2" t="s">
        <v>3098</v>
      </c>
    </row>
    <row r="1813" spans="1:4" ht="12.95" customHeight="1" x14ac:dyDescent="0.25">
      <c r="A1813" s="2" t="s">
        <v>270</v>
      </c>
      <c r="B1813" s="2" t="s">
        <v>1146</v>
      </c>
      <c r="C1813" s="5" t="s">
        <v>3099</v>
      </c>
      <c r="D1813" s="2" t="s">
        <v>3100</v>
      </c>
    </row>
    <row r="1814" spans="1:4" ht="12.95" customHeight="1" x14ac:dyDescent="0.25">
      <c r="A1814" s="2" t="s">
        <v>270</v>
      </c>
      <c r="B1814" s="2" t="s">
        <v>1146</v>
      </c>
      <c r="C1814" s="5" t="s">
        <v>3101</v>
      </c>
      <c r="D1814" s="2" t="s">
        <v>3102</v>
      </c>
    </row>
    <row r="1815" spans="1:4" ht="12.95" customHeight="1" x14ac:dyDescent="0.25">
      <c r="A1815" s="2" t="s">
        <v>270</v>
      </c>
      <c r="B1815" s="2" t="s">
        <v>1146</v>
      </c>
      <c r="C1815" s="5" t="s">
        <v>3103</v>
      </c>
      <c r="D1815" s="2" t="s">
        <v>3104</v>
      </c>
    </row>
    <row r="1816" spans="1:4" ht="12.95" customHeight="1" x14ac:dyDescent="0.25">
      <c r="A1816" s="2" t="s">
        <v>270</v>
      </c>
      <c r="B1816" s="2" t="s">
        <v>1146</v>
      </c>
      <c r="C1816" s="5" t="s">
        <v>3105</v>
      </c>
      <c r="D1816" s="2" t="s">
        <v>3106</v>
      </c>
    </row>
    <row r="1817" spans="1:4" ht="12.95" customHeight="1" x14ac:dyDescent="0.25">
      <c r="A1817" s="2" t="s">
        <v>270</v>
      </c>
      <c r="B1817" s="2" t="s">
        <v>1146</v>
      </c>
      <c r="C1817" s="5" t="s">
        <v>3107</v>
      </c>
      <c r="D1817" s="2" t="s">
        <v>3108</v>
      </c>
    </row>
    <row r="1818" spans="1:4" ht="12.95" customHeight="1" x14ac:dyDescent="0.25">
      <c r="A1818" s="2" t="s">
        <v>270</v>
      </c>
      <c r="B1818" s="2" t="s">
        <v>1146</v>
      </c>
      <c r="C1818" s="5" t="s">
        <v>3109</v>
      </c>
      <c r="D1818" s="2" t="s">
        <v>3110</v>
      </c>
    </row>
    <row r="1819" spans="1:4" ht="12.95" customHeight="1" x14ac:dyDescent="0.25">
      <c r="A1819" s="2" t="s">
        <v>270</v>
      </c>
      <c r="B1819" s="2" t="s">
        <v>1146</v>
      </c>
      <c r="C1819" s="5" t="s">
        <v>3111</v>
      </c>
      <c r="D1819" s="2" t="s">
        <v>3112</v>
      </c>
    </row>
    <row r="1820" spans="1:4" ht="12.95" customHeight="1" x14ac:dyDescent="0.25">
      <c r="A1820" s="2" t="s">
        <v>270</v>
      </c>
      <c r="B1820" s="2" t="s">
        <v>1146</v>
      </c>
      <c r="C1820" s="5" t="s">
        <v>3113</v>
      </c>
      <c r="D1820" s="2" t="s">
        <v>3114</v>
      </c>
    </row>
    <row r="1821" spans="1:4" ht="12.95" customHeight="1" x14ac:dyDescent="0.25">
      <c r="A1821" s="2" t="s">
        <v>272</v>
      </c>
      <c r="B1821" s="2" t="s">
        <v>1146</v>
      </c>
      <c r="C1821" s="5" t="s">
        <v>1102</v>
      </c>
      <c r="D1821" s="2" t="s">
        <v>1103</v>
      </c>
    </row>
    <row r="1822" spans="1:4" ht="12.95" customHeight="1" x14ac:dyDescent="0.25">
      <c r="A1822" s="2" t="s">
        <v>272</v>
      </c>
      <c r="B1822" s="2" t="s">
        <v>1146</v>
      </c>
      <c r="C1822" s="5" t="s">
        <v>1084</v>
      </c>
      <c r="D1822" s="2" t="s">
        <v>1085</v>
      </c>
    </row>
    <row r="1823" spans="1:4" ht="12.95" customHeight="1" x14ac:dyDescent="0.25">
      <c r="A1823" s="2" t="s">
        <v>272</v>
      </c>
      <c r="B1823" s="2" t="s">
        <v>1146</v>
      </c>
      <c r="C1823" s="5" t="s">
        <v>1086</v>
      </c>
      <c r="D1823" s="2" t="s">
        <v>1087</v>
      </c>
    </row>
    <row r="1824" spans="1:4" ht="12.95" customHeight="1" x14ac:dyDescent="0.25">
      <c r="A1824" s="2" t="s">
        <v>272</v>
      </c>
      <c r="B1824" s="2" t="s">
        <v>1146</v>
      </c>
      <c r="C1824" s="5" t="s">
        <v>1090</v>
      </c>
      <c r="D1824" s="2" t="s">
        <v>3115</v>
      </c>
    </row>
    <row r="1825" spans="1:4" ht="12.95" customHeight="1" x14ac:dyDescent="0.25">
      <c r="A1825" s="2" t="s">
        <v>272</v>
      </c>
      <c r="B1825" s="2" t="s">
        <v>1146</v>
      </c>
      <c r="C1825" s="5" t="s">
        <v>1092</v>
      </c>
      <c r="D1825" s="2" t="s">
        <v>3116</v>
      </c>
    </row>
    <row r="1826" spans="1:4" ht="12.95" customHeight="1" x14ac:dyDescent="0.25">
      <c r="A1826" s="2" t="s">
        <v>272</v>
      </c>
      <c r="B1826" s="2" t="s">
        <v>1146</v>
      </c>
      <c r="C1826" s="5" t="s">
        <v>1094</v>
      </c>
      <c r="D1826" s="2" t="s">
        <v>3117</v>
      </c>
    </row>
    <row r="1827" spans="1:4" ht="12.95" customHeight="1" x14ac:dyDescent="0.25">
      <c r="A1827" s="2" t="s">
        <v>272</v>
      </c>
      <c r="B1827" s="2" t="s">
        <v>1146</v>
      </c>
      <c r="C1827" s="5" t="s">
        <v>1096</v>
      </c>
      <c r="D1827" s="2" t="s">
        <v>3118</v>
      </c>
    </row>
    <row r="1828" spans="1:4" ht="12.95" customHeight="1" x14ac:dyDescent="0.25">
      <c r="A1828" s="2" t="s">
        <v>272</v>
      </c>
      <c r="B1828" s="2" t="s">
        <v>1146</v>
      </c>
      <c r="C1828" s="5" t="s">
        <v>1098</v>
      </c>
      <c r="D1828" s="2" t="s">
        <v>3119</v>
      </c>
    </row>
    <row r="1829" spans="1:4" ht="12.95" customHeight="1" x14ac:dyDescent="0.25">
      <c r="A1829" s="2" t="s">
        <v>272</v>
      </c>
      <c r="B1829" s="2" t="s">
        <v>1146</v>
      </c>
      <c r="C1829" s="5" t="s">
        <v>1100</v>
      </c>
      <c r="D1829" s="2" t="s">
        <v>3120</v>
      </c>
    </row>
    <row r="1830" spans="1:4" ht="12.95" customHeight="1" x14ac:dyDescent="0.25">
      <c r="A1830" s="2" t="s">
        <v>272</v>
      </c>
      <c r="B1830" s="2" t="s">
        <v>1146</v>
      </c>
      <c r="C1830" s="5" t="s">
        <v>1109</v>
      </c>
      <c r="D1830" s="2" t="s">
        <v>3121</v>
      </c>
    </row>
    <row r="1831" spans="1:4" ht="12.95" customHeight="1" x14ac:dyDescent="0.25">
      <c r="A1831" s="2" t="s">
        <v>272</v>
      </c>
      <c r="B1831" s="2" t="s">
        <v>1146</v>
      </c>
      <c r="C1831" s="5" t="s">
        <v>1119</v>
      </c>
      <c r="D1831" s="2" t="s">
        <v>3122</v>
      </c>
    </row>
    <row r="1832" spans="1:4" ht="12.95" customHeight="1" x14ac:dyDescent="0.25">
      <c r="A1832" s="2" t="s">
        <v>272</v>
      </c>
      <c r="B1832" s="2" t="s">
        <v>1146</v>
      </c>
      <c r="C1832" s="5" t="s">
        <v>1121</v>
      </c>
      <c r="D1832" s="2" t="s">
        <v>3123</v>
      </c>
    </row>
    <row r="1833" spans="1:4" ht="12.95" customHeight="1" x14ac:dyDescent="0.25">
      <c r="A1833" s="2" t="s">
        <v>272</v>
      </c>
      <c r="B1833" s="2" t="s">
        <v>1146</v>
      </c>
      <c r="C1833" s="5" t="s">
        <v>1123</v>
      </c>
      <c r="D1833" s="2" t="s">
        <v>3124</v>
      </c>
    </row>
    <row r="1834" spans="1:4" ht="12.95" customHeight="1" x14ac:dyDescent="0.25">
      <c r="A1834" s="2" t="s">
        <v>272</v>
      </c>
      <c r="B1834" s="2" t="s">
        <v>1146</v>
      </c>
      <c r="C1834" s="5" t="s">
        <v>1125</v>
      </c>
      <c r="D1834" s="2" t="s">
        <v>3125</v>
      </c>
    </row>
    <row r="1835" spans="1:4" ht="12.95" customHeight="1" x14ac:dyDescent="0.25">
      <c r="A1835" s="2" t="s">
        <v>275</v>
      </c>
      <c r="B1835" s="2" t="s">
        <v>1146</v>
      </c>
      <c r="C1835" s="5" t="s">
        <v>1084</v>
      </c>
      <c r="D1835" s="2" t="s">
        <v>3126</v>
      </c>
    </row>
    <row r="1836" spans="1:4" ht="12.95" customHeight="1" x14ac:dyDescent="0.25">
      <c r="A1836" s="2" t="s">
        <v>275</v>
      </c>
      <c r="B1836" s="2" t="s">
        <v>1146</v>
      </c>
      <c r="C1836" s="5" t="s">
        <v>1086</v>
      </c>
      <c r="D1836" s="2" t="s">
        <v>3127</v>
      </c>
    </row>
    <row r="1837" spans="1:4" ht="12.95" customHeight="1" x14ac:dyDescent="0.25">
      <c r="A1837" s="2" t="s">
        <v>275</v>
      </c>
      <c r="B1837" s="2" t="s">
        <v>1146</v>
      </c>
      <c r="C1837" s="5" t="s">
        <v>1090</v>
      </c>
      <c r="D1837" s="2" t="s">
        <v>1179</v>
      </c>
    </row>
    <row r="1838" spans="1:4" ht="12.95" customHeight="1" x14ac:dyDescent="0.25">
      <c r="A1838" s="2" t="s">
        <v>275</v>
      </c>
      <c r="B1838" s="2" t="s">
        <v>1146</v>
      </c>
      <c r="C1838" s="5" t="s">
        <v>1092</v>
      </c>
      <c r="D1838" s="2" t="s">
        <v>1180</v>
      </c>
    </row>
    <row r="1839" spans="1:4" ht="12.95" customHeight="1" x14ac:dyDescent="0.25">
      <c r="A1839" s="2" t="s">
        <v>277</v>
      </c>
      <c r="B1839" s="2" t="s">
        <v>1272</v>
      </c>
      <c r="C1839" s="5" t="s">
        <v>1090</v>
      </c>
      <c r="D1839" s="2" t="s">
        <v>1179</v>
      </c>
    </row>
    <row r="1840" spans="1:4" ht="12.95" customHeight="1" x14ac:dyDescent="0.25">
      <c r="A1840" s="2" t="s">
        <v>277</v>
      </c>
      <c r="B1840" s="2" t="s">
        <v>1272</v>
      </c>
      <c r="C1840" s="5" t="s">
        <v>1092</v>
      </c>
      <c r="D1840" s="2" t="s">
        <v>1180</v>
      </c>
    </row>
    <row r="1841" spans="1:4" ht="12.95" customHeight="1" x14ac:dyDescent="0.25">
      <c r="A1841" s="2" t="s">
        <v>279</v>
      </c>
      <c r="B1841" s="2" t="s">
        <v>1272</v>
      </c>
      <c r="C1841" s="5" t="s">
        <v>1102</v>
      </c>
      <c r="D1841" s="2" t="s">
        <v>1103</v>
      </c>
    </row>
    <row r="1842" spans="1:4" ht="12.95" customHeight="1" x14ac:dyDescent="0.25">
      <c r="A1842" s="2" t="s">
        <v>281</v>
      </c>
      <c r="B1842" s="2" t="s">
        <v>1146</v>
      </c>
      <c r="C1842" s="5" t="s">
        <v>1102</v>
      </c>
      <c r="D1842" s="2" t="s">
        <v>1103</v>
      </c>
    </row>
    <row r="1843" spans="1:4" ht="12.95" customHeight="1" x14ac:dyDescent="0.25">
      <c r="A1843" s="2" t="s">
        <v>281</v>
      </c>
      <c r="B1843" s="2" t="s">
        <v>1146</v>
      </c>
      <c r="C1843" s="5" t="s">
        <v>1084</v>
      </c>
      <c r="D1843" s="2" t="s">
        <v>3128</v>
      </c>
    </row>
    <row r="1844" spans="1:4" ht="12.95" customHeight="1" x14ac:dyDescent="0.25">
      <c r="A1844" s="2" t="s">
        <v>281</v>
      </c>
      <c r="B1844" s="2" t="s">
        <v>1146</v>
      </c>
      <c r="C1844" s="5" t="s">
        <v>1086</v>
      </c>
      <c r="D1844" s="2" t="s">
        <v>3127</v>
      </c>
    </row>
    <row r="1845" spans="1:4" ht="12.95" customHeight="1" x14ac:dyDescent="0.25">
      <c r="A1845" s="2" t="s">
        <v>281</v>
      </c>
      <c r="B1845" s="2" t="s">
        <v>1146</v>
      </c>
      <c r="C1845" s="5" t="s">
        <v>1090</v>
      </c>
      <c r="D1845" s="2" t="s">
        <v>3129</v>
      </c>
    </row>
    <row r="1846" spans="1:4" ht="12.95" customHeight="1" x14ac:dyDescent="0.25">
      <c r="A1846" s="2" t="s">
        <v>281</v>
      </c>
      <c r="B1846" s="2" t="s">
        <v>1146</v>
      </c>
      <c r="C1846" s="5" t="s">
        <v>1092</v>
      </c>
      <c r="D1846" s="2" t="s">
        <v>3130</v>
      </c>
    </row>
    <row r="1847" spans="1:4" ht="12.95" customHeight="1" x14ac:dyDescent="0.25">
      <c r="A1847" s="2" t="s">
        <v>281</v>
      </c>
      <c r="B1847" s="2" t="s">
        <v>1146</v>
      </c>
      <c r="C1847" s="5" t="s">
        <v>1094</v>
      </c>
      <c r="D1847" s="2" t="s">
        <v>3131</v>
      </c>
    </row>
    <row r="1848" spans="1:4" ht="12.95" customHeight="1" x14ac:dyDescent="0.25">
      <c r="A1848" s="2" t="s">
        <v>281</v>
      </c>
      <c r="B1848" s="2" t="s">
        <v>1146</v>
      </c>
      <c r="C1848" s="5" t="s">
        <v>1096</v>
      </c>
      <c r="D1848" s="2" t="s">
        <v>3132</v>
      </c>
    </row>
    <row r="1849" spans="1:4" ht="12.95" customHeight="1" x14ac:dyDescent="0.25">
      <c r="A1849" s="2" t="s">
        <v>281</v>
      </c>
      <c r="B1849" s="2" t="s">
        <v>1146</v>
      </c>
      <c r="C1849" s="5" t="s">
        <v>1098</v>
      </c>
      <c r="D1849" s="2" t="s">
        <v>3133</v>
      </c>
    </row>
    <row r="1850" spans="1:4" ht="12.95" customHeight="1" x14ac:dyDescent="0.25">
      <c r="A1850" s="2" t="s">
        <v>281</v>
      </c>
      <c r="B1850" s="2" t="s">
        <v>1146</v>
      </c>
      <c r="C1850" s="5" t="s">
        <v>1100</v>
      </c>
      <c r="D1850" s="2" t="s">
        <v>3134</v>
      </c>
    </row>
    <row r="1851" spans="1:4" ht="12.95" customHeight="1" x14ac:dyDescent="0.25">
      <c r="A1851" s="2" t="s">
        <v>281</v>
      </c>
      <c r="B1851" s="2" t="s">
        <v>1146</v>
      </c>
      <c r="C1851" s="5" t="s">
        <v>1111</v>
      </c>
      <c r="D1851" s="2" t="s">
        <v>3135</v>
      </c>
    </row>
    <row r="1852" spans="1:4" ht="12.95" customHeight="1" x14ac:dyDescent="0.25">
      <c r="A1852" s="2" t="s">
        <v>285</v>
      </c>
      <c r="B1852" s="2" t="s">
        <v>1146</v>
      </c>
      <c r="C1852" s="5" t="s">
        <v>1102</v>
      </c>
      <c r="D1852" s="2" t="s">
        <v>1103</v>
      </c>
    </row>
    <row r="1853" spans="1:4" ht="12.95" customHeight="1" x14ac:dyDescent="0.25">
      <c r="A1853" s="2" t="s">
        <v>285</v>
      </c>
      <c r="B1853" s="2" t="s">
        <v>1146</v>
      </c>
      <c r="C1853" s="5" t="s">
        <v>1090</v>
      </c>
      <c r="D1853" s="2" t="s">
        <v>3136</v>
      </c>
    </row>
    <row r="1854" spans="1:4" ht="12.95" customHeight="1" x14ac:dyDescent="0.25">
      <c r="A1854" s="2" t="s">
        <v>285</v>
      </c>
      <c r="B1854" s="2" t="s">
        <v>1146</v>
      </c>
      <c r="C1854" s="5" t="s">
        <v>1092</v>
      </c>
      <c r="D1854" s="2" t="s">
        <v>3137</v>
      </c>
    </row>
    <row r="1855" spans="1:4" ht="12.95" customHeight="1" x14ac:dyDescent="0.25">
      <c r="A1855" s="2" t="s">
        <v>285</v>
      </c>
      <c r="B1855" s="2" t="s">
        <v>1146</v>
      </c>
      <c r="C1855" s="5" t="s">
        <v>1094</v>
      </c>
      <c r="D1855" s="2" t="s">
        <v>3138</v>
      </c>
    </row>
    <row r="1856" spans="1:4" ht="12.95" customHeight="1" x14ac:dyDescent="0.25">
      <c r="A1856" s="2" t="s">
        <v>285</v>
      </c>
      <c r="B1856" s="2" t="s">
        <v>1146</v>
      </c>
      <c r="C1856" s="5" t="s">
        <v>1096</v>
      </c>
      <c r="D1856" s="2" t="s">
        <v>3139</v>
      </c>
    </row>
    <row r="1857" spans="1:4" ht="12.95" customHeight="1" x14ac:dyDescent="0.25">
      <c r="A1857" s="2" t="s">
        <v>285</v>
      </c>
      <c r="B1857" s="2" t="s">
        <v>1146</v>
      </c>
      <c r="C1857" s="5" t="s">
        <v>1098</v>
      </c>
      <c r="D1857" s="2" t="s">
        <v>3140</v>
      </c>
    </row>
    <row r="1858" spans="1:4" ht="12.95" customHeight="1" x14ac:dyDescent="0.25">
      <c r="A1858" s="2" t="s">
        <v>285</v>
      </c>
      <c r="B1858" s="2" t="s">
        <v>1146</v>
      </c>
      <c r="C1858" s="5" t="s">
        <v>1100</v>
      </c>
      <c r="D1858" s="2" t="s">
        <v>3141</v>
      </c>
    </row>
    <row r="1859" spans="1:4" ht="12.95" customHeight="1" x14ac:dyDescent="0.25">
      <c r="A1859" s="2" t="s">
        <v>285</v>
      </c>
      <c r="B1859" s="2" t="s">
        <v>1146</v>
      </c>
      <c r="C1859" s="5" t="s">
        <v>1109</v>
      </c>
      <c r="D1859" s="2" t="s">
        <v>3142</v>
      </c>
    </row>
    <row r="1860" spans="1:4" ht="12.95" customHeight="1" x14ac:dyDescent="0.25">
      <c r="A1860" s="2" t="s">
        <v>285</v>
      </c>
      <c r="B1860" s="2" t="s">
        <v>1146</v>
      </c>
      <c r="C1860" s="5" t="s">
        <v>1119</v>
      </c>
      <c r="D1860" s="2" t="s">
        <v>3143</v>
      </c>
    </row>
    <row r="1861" spans="1:4" ht="12.95" customHeight="1" x14ac:dyDescent="0.25">
      <c r="A1861" s="2" t="s">
        <v>285</v>
      </c>
      <c r="B1861" s="2" t="s">
        <v>1146</v>
      </c>
      <c r="C1861" s="5" t="s">
        <v>1121</v>
      </c>
      <c r="D1861" s="2" t="s">
        <v>3144</v>
      </c>
    </row>
    <row r="1862" spans="1:4" ht="12.95" customHeight="1" x14ac:dyDescent="0.25">
      <c r="A1862" s="2" t="s">
        <v>285</v>
      </c>
      <c r="B1862" s="2" t="s">
        <v>1146</v>
      </c>
      <c r="C1862" s="5" t="s">
        <v>1123</v>
      </c>
      <c r="D1862" s="2" t="s">
        <v>3145</v>
      </c>
    </row>
    <row r="1863" spans="1:4" ht="12.95" customHeight="1" x14ac:dyDescent="0.25">
      <c r="A1863" s="2" t="s">
        <v>285</v>
      </c>
      <c r="B1863" s="2" t="s">
        <v>1146</v>
      </c>
      <c r="C1863" s="5" t="s">
        <v>1125</v>
      </c>
      <c r="D1863" s="2" t="s">
        <v>3146</v>
      </c>
    </row>
    <row r="1864" spans="1:4" ht="12.95" customHeight="1" x14ac:dyDescent="0.25">
      <c r="A1864" s="2" t="s">
        <v>285</v>
      </c>
      <c r="B1864" s="2" t="s">
        <v>1146</v>
      </c>
      <c r="C1864" s="5" t="s">
        <v>1127</v>
      </c>
      <c r="D1864" s="2" t="s">
        <v>3147</v>
      </c>
    </row>
    <row r="1865" spans="1:4" ht="12.95" customHeight="1" x14ac:dyDescent="0.25">
      <c r="A1865" s="2" t="s">
        <v>285</v>
      </c>
      <c r="B1865" s="2" t="s">
        <v>1146</v>
      </c>
      <c r="C1865" s="5" t="s">
        <v>1129</v>
      </c>
      <c r="D1865" s="2" t="s">
        <v>3148</v>
      </c>
    </row>
    <row r="1866" spans="1:4" ht="12.95" customHeight="1" x14ac:dyDescent="0.25">
      <c r="A1866" s="2" t="s">
        <v>285</v>
      </c>
      <c r="B1866" s="2" t="s">
        <v>1146</v>
      </c>
      <c r="C1866" s="5" t="s">
        <v>1131</v>
      </c>
      <c r="D1866" s="2" t="s">
        <v>3149</v>
      </c>
    </row>
    <row r="1867" spans="1:4" ht="12.95" customHeight="1" x14ac:dyDescent="0.25">
      <c r="A1867" s="2" t="s">
        <v>285</v>
      </c>
      <c r="B1867" s="2" t="s">
        <v>1146</v>
      </c>
      <c r="C1867" s="5" t="s">
        <v>1133</v>
      </c>
      <c r="D1867" s="2" t="s">
        <v>3150</v>
      </c>
    </row>
    <row r="1868" spans="1:4" ht="12.95" customHeight="1" x14ac:dyDescent="0.25">
      <c r="A1868" s="2" t="s">
        <v>293</v>
      </c>
      <c r="B1868" s="2" t="s">
        <v>1146</v>
      </c>
      <c r="C1868" s="5" t="s">
        <v>1090</v>
      </c>
      <c r="D1868" s="2" t="s">
        <v>3151</v>
      </c>
    </row>
    <row r="1869" spans="1:4" ht="12.95" customHeight="1" x14ac:dyDescent="0.25">
      <c r="A1869" s="2" t="s">
        <v>293</v>
      </c>
      <c r="B1869" s="2" t="s">
        <v>1146</v>
      </c>
      <c r="C1869" s="5" t="s">
        <v>1092</v>
      </c>
      <c r="D1869" s="2" t="s">
        <v>3152</v>
      </c>
    </row>
    <row r="1870" spans="1:4" ht="12.95" customHeight="1" x14ac:dyDescent="0.25">
      <c r="A1870" s="2" t="s">
        <v>293</v>
      </c>
      <c r="B1870" s="2" t="s">
        <v>1146</v>
      </c>
      <c r="C1870" s="5" t="s">
        <v>1096</v>
      </c>
      <c r="D1870" s="2" t="s">
        <v>3153</v>
      </c>
    </row>
    <row r="1871" spans="1:4" ht="12.95" customHeight="1" x14ac:dyDescent="0.25">
      <c r="A1871" s="2" t="s">
        <v>293</v>
      </c>
      <c r="B1871" s="2" t="s">
        <v>1146</v>
      </c>
      <c r="C1871" s="5" t="s">
        <v>1098</v>
      </c>
      <c r="D1871" s="2" t="s">
        <v>3154</v>
      </c>
    </row>
    <row r="1872" spans="1:4" ht="12.95" customHeight="1" x14ac:dyDescent="0.25">
      <c r="A1872" s="2" t="s">
        <v>293</v>
      </c>
      <c r="B1872" s="2" t="s">
        <v>1146</v>
      </c>
      <c r="C1872" s="5" t="s">
        <v>1100</v>
      </c>
      <c r="D1872" s="2" t="s">
        <v>3155</v>
      </c>
    </row>
    <row r="1873" spans="1:4" ht="12.95" customHeight="1" x14ac:dyDescent="0.25">
      <c r="A1873" s="2" t="s">
        <v>293</v>
      </c>
      <c r="B1873" s="2" t="s">
        <v>1146</v>
      </c>
      <c r="C1873" s="5" t="s">
        <v>1119</v>
      </c>
      <c r="D1873" s="2" t="s">
        <v>3156</v>
      </c>
    </row>
    <row r="1874" spans="1:4" ht="12.95" customHeight="1" x14ac:dyDescent="0.25">
      <c r="A1874" s="2" t="s">
        <v>293</v>
      </c>
      <c r="B1874" s="2" t="s">
        <v>1146</v>
      </c>
      <c r="C1874" s="5" t="s">
        <v>1121</v>
      </c>
      <c r="D1874" s="2" t="s">
        <v>3157</v>
      </c>
    </row>
    <row r="1875" spans="1:4" ht="12.95" customHeight="1" x14ac:dyDescent="0.25">
      <c r="A1875" s="2" t="s">
        <v>293</v>
      </c>
      <c r="B1875" s="2" t="s">
        <v>1146</v>
      </c>
      <c r="C1875" s="5" t="s">
        <v>1123</v>
      </c>
      <c r="D1875" s="2" t="s">
        <v>3158</v>
      </c>
    </row>
    <row r="1876" spans="1:4" ht="12.95" customHeight="1" x14ac:dyDescent="0.25">
      <c r="A1876" s="2" t="s">
        <v>293</v>
      </c>
      <c r="B1876" s="2" t="s">
        <v>1146</v>
      </c>
      <c r="C1876" s="5" t="s">
        <v>1125</v>
      </c>
      <c r="D1876" s="2" t="s">
        <v>3159</v>
      </c>
    </row>
    <row r="1877" spans="1:4" ht="12.95" customHeight="1" x14ac:dyDescent="0.25">
      <c r="A1877" s="2" t="s">
        <v>293</v>
      </c>
      <c r="B1877" s="2" t="s">
        <v>1146</v>
      </c>
      <c r="C1877" s="5" t="s">
        <v>1127</v>
      </c>
      <c r="D1877" s="2" t="s">
        <v>3160</v>
      </c>
    </row>
    <row r="1878" spans="1:4" ht="12.95" customHeight="1" x14ac:dyDescent="0.25">
      <c r="A1878" s="2" t="s">
        <v>293</v>
      </c>
      <c r="B1878" s="2" t="s">
        <v>1146</v>
      </c>
      <c r="C1878" s="5" t="s">
        <v>1129</v>
      </c>
      <c r="D1878" s="2" t="s">
        <v>3161</v>
      </c>
    </row>
    <row r="1879" spans="1:4" ht="12.95" customHeight="1" x14ac:dyDescent="0.25">
      <c r="A1879" s="2" t="s">
        <v>293</v>
      </c>
      <c r="B1879" s="2" t="s">
        <v>1146</v>
      </c>
      <c r="C1879" s="5" t="s">
        <v>1133</v>
      </c>
      <c r="D1879" s="2" t="s">
        <v>3162</v>
      </c>
    </row>
    <row r="1880" spans="1:4" ht="12.95" customHeight="1" x14ac:dyDescent="0.25">
      <c r="A1880" s="2" t="s">
        <v>293</v>
      </c>
      <c r="B1880" s="2" t="s">
        <v>1146</v>
      </c>
      <c r="C1880" s="5" t="s">
        <v>1135</v>
      </c>
      <c r="D1880" s="2" t="s">
        <v>3163</v>
      </c>
    </row>
    <row r="1881" spans="1:4" ht="12.95" customHeight="1" x14ac:dyDescent="0.25">
      <c r="A1881" s="2" t="s">
        <v>293</v>
      </c>
      <c r="B1881" s="2" t="s">
        <v>1146</v>
      </c>
      <c r="C1881" s="5" t="s">
        <v>1137</v>
      </c>
      <c r="D1881" s="2" t="s">
        <v>3164</v>
      </c>
    </row>
    <row r="1882" spans="1:4" ht="12.95" customHeight="1" x14ac:dyDescent="0.25">
      <c r="A1882" s="2" t="s">
        <v>293</v>
      </c>
      <c r="B1882" s="2" t="s">
        <v>1146</v>
      </c>
      <c r="C1882" s="5" t="s">
        <v>1139</v>
      </c>
      <c r="D1882" s="2" t="s">
        <v>3165</v>
      </c>
    </row>
    <row r="1883" spans="1:4" ht="12.95" customHeight="1" x14ac:dyDescent="0.25">
      <c r="A1883" s="2" t="s">
        <v>293</v>
      </c>
      <c r="B1883" s="2" t="s">
        <v>1146</v>
      </c>
      <c r="C1883" s="5" t="s">
        <v>1141</v>
      </c>
      <c r="D1883" s="2" t="s">
        <v>3166</v>
      </c>
    </row>
    <row r="1884" spans="1:4" ht="12.95" customHeight="1" x14ac:dyDescent="0.25">
      <c r="A1884" s="2" t="s">
        <v>293</v>
      </c>
      <c r="B1884" s="2" t="s">
        <v>1146</v>
      </c>
      <c r="C1884" s="5" t="s">
        <v>1295</v>
      </c>
      <c r="D1884" s="2" t="s">
        <v>3167</v>
      </c>
    </row>
    <row r="1885" spans="1:4" ht="12.95" customHeight="1" x14ac:dyDescent="0.25">
      <c r="A1885" s="2" t="s">
        <v>293</v>
      </c>
      <c r="B1885" s="2" t="s">
        <v>1146</v>
      </c>
      <c r="C1885" s="5" t="s">
        <v>1187</v>
      </c>
      <c r="D1885" s="2" t="s">
        <v>3168</v>
      </c>
    </row>
    <row r="1886" spans="1:4" ht="12.95" customHeight="1" x14ac:dyDescent="0.25">
      <c r="A1886" s="2" t="s">
        <v>293</v>
      </c>
      <c r="B1886" s="2" t="s">
        <v>1146</v>
      </c>
      <c r="C1886" s="5" t="s">
        <v>1189</v>
      </c>
      <c r="D1886" s="2" t="s">
        <v>3169</v>
      </c>
    </row>
    <row r="1887" spans="1:4" ht="12.95" customHeight="1" x14ac:dyDescent="0.25">
      <c r="A1887" s="2" t="s">
        <v>293</v>
      </c>
      <c r="B1887" s="2" t="s">
        <v>1146</v>
      </c>
      <c r="C1887" s="5" t="s">
        <v>1191</v>
      </c>
      <c r="D1887" s="2" t="s">
        <v>3170</v>
      </c>
    </row>
    <row r="1888" spans="1:4" ht="12.95" customHeight="1" x14ac:dyDescent="0.25">
      <c r="A1888" s="2" t="s">
        <v>293</v>
      </c>
      <c r="B1888" s="2" t="s">
        <v>1146</v>
      </c>
      <c r="C1888" s="5" t="s">
        <v>1193</v>
      </c>
      <c r="D1888" s="2" t="s">
        <v>3171</v>
      </c>
    </row>
    <row r="1889" spans="1:4" ht="12.95" customHeight="1" x14ac:dyDescent="0.25">
      <c r="A1889" s="2" t="s">
        <v>293</v>
      </c>
      <c r="B1889" s="2" t="s">
        <v>1146</v>
      </c>
      <c r="C1889" s="5" t="s">
        <v>3172</v>
      </c>
      <c r="D1889" s="2" t="s">
        <v>3173</v>
      </c>
    </row>
    <row r="1890" spans="1:4" ht="12.95" customHeight="1" x14ac:dyDescent="0.25">
      <c r="A1890" s="2" t="s">
        <v>293</v>
      </c>
      <c r="B1890" s="2" t="s">
        <v>1146</v>
      </c>
      <c r="C1890" s="5" t="s">
        <v>3174</v>
      </c>
      <c r="D1890" s="2" t="s">
        <v>3175</v>
      </c>
    </row>
    <row r="1891" spans="1:4" ht="12.95" customHeight="1" x14ac:dyDescent="0.25">
      <c r="A1891" s="2" t="s">
        <v>293</v>
      </c>
      <c r="B1891" s="2" t="s">
        <v>1146</v>
      </c>
      <c r="C1891" s="5" t="s">
        <v>3176</v>
      </c>
      <c r="D1891" s="2" t="s">
        <v>3177</v>
      </c>
    </row>
    <row r="1892" spans="1:4" ht="12.95" customHeight="1" x14ac:dyDescent="0.25">
      <c r="A1892" s="2" t="s">
        <v>293</v>
      </c>
      <c r="B1892" s="2" t="s">
        <v>1146</v>
      </c>
      <c r="C1892" s="5" t="s">
        <v>3178</v>
      </c>
      <c r="D1892" s="2" t="s">
        <v>3179</v>
      </c>
    </row>
    <row r="1893" spans="1:4" ht="12.95" customHeight="1" x14ac:dyDescent="0.25">
      <c r="A1893" s="2" t="s">
        <v>293</v>
      </c>
      <c r="B1893" s="2" t="s">
        <v>1146</v>
      </c>
      <c r="C1893" s="5" t="s">
        <v>3180</v>
      </c>
      <c r="D1893" s="2" t="s">
        <v>3181</v>
      </c>
    </row>
    <row r="1894" spans="1:4" ht="12.95" customHeight="1" x14ac:dyDescent="0.25">
      <c r="A1894" s="2" t="s">
        <v>293</v>
      </c>
      <c r="B1894" s="2" t="s">
        <v>1146</v>
      </c>
      <c r="C1894" s="5" t="s">
        <v>1297</v>
      </c>
      <c r="D1894" s="2" t="s">
        <v>3182</v>
      </c>
    </row>
    <row r="1895" spans="1:4" ht="12.95" customHeight="1" x14ac:dyDescent="0.25">
      <c r="A1895" s="2" t="s">
        <v>293</v>
      </c>
      <c r="B1895" s="2" t="s">
        <v>1146</v>
      </c>
      <c r="C1895" s="5" t="s">
        <v>1195</v>
      </c>
      <c r="D1895" s="2" t="s">
        <v>3183</v>
      </c>
    </row>
    <row r="1896" spans="1:4" ht="12.95" customHeight="1" x14ac:dyDescent="0.25">
      <c r="A1896" s="2" t="s">
        <v>293</v>
      </c>
      <c r="B1896" s="2" t="s">
        <v>1146</v>
      </c>
      <c r="C1896" s="5" t="s">
        <v>1197</v>
      </c>
      <c r="D1896" s="2" t="s">
        <v>3184</v>
      </c>
    </row>
    <row r="1897" spans="1:4" ht="12.95" customHeight="1" x14ac:dyDescent="0.25">
      <c r="A1897" s="2" t="s">
        <v>293</v>
      </c>
      <c r="B1897" s="2" t="s">
        <v>1146</v>
      </c>
      <c r="C1897" s="5" t="s">
        <v>1199</v>
      </c>
      <c r="D1897" s="2" t="s">
        <v>3185</v>
      </c>
    </row>
    <row r="1898" spans="1:4" ht="12.95" customHeight="1" x14ac:dyDescent="0.25">
      <c r="A1898" s="2" t="s">
        <v>293</v>
      </c>
      <c r="B1898" s="2" t="s">
        <v>1146</v>
      </c>
      <c r="C1898" s="5" t="s">
        <v>1201</v>
      </c>
      <c r="D1898" s="2" t="s">
        <v>3186</v>
      </c>
    </row>
    <row r="1899" spans="1:4" ht="12.95" customHeight="1" x14ac:dyDescent="0.25">
      <c r="A1899" s="2" t="s">
        <v>293</v>
      </c>
      <c r="B1899" s="2" t="s">
        <v>1146</v>
      </c>
      <c r="C1899" s="5" t="s">
        <v>3187</v>
      </c>
      <c r="D1899" s="2" t="s">
        <v>3188</v>
      </c>
    </row>
    <row r="1900" spans="1:4" ht="12.95" customHeight="1" x14ac:dyDescent="0.25">
      <c r="A1900" s="2" t="s">
        <v>293</v>
      </c>
      <c r="B1900" s="2" t="s">
        <v>1146</v>
      </c>
      <c r="C1900" s="5" t="s">
        <v>3189</v>
      </c>
      <c r="D1900" s="2" t="s">
        <v>3190</v>
      </c>
    </row>
    <row r="1901" spans="1:4" ht="12.95" customHeight="1" x14ac:dyDescent="0.25">
      <c r="A1901" s="2" t="s">
        <v>293</v>
      </c>
      <c r="B1901" s="2" t="s">
        <v>1146</v>
      </c>
      <c r="C1901" s="5" t="s">
        <v>3191</v>
      </c>
      <c r="D1901" s="2" t="s">
        <v>3192</v>
      </c>
    </row>
    <row r="1902" spans="1:4" ht="12.95" customHeight="1" x14ac:dyDescent="0.25">
      <c r="A1902" s="2" t="s">
        <v>293</v>
      </c>
      <c r="B1902" s="2" t="s">
        <v>1146</v>
      </c>
      <c r="C1902" s="5" t="s">
        <v>3193</v>
      </c>
      <c r="D1902" s="2" t="s">
        <v>3194</v>
      </c>
    </row>
    <row r="1903" spans="1:4" ht="12.95" customHeight="1" x14ac:dyDescent="0.25">
      <c r="A1903" s="2" t="s">
        <v>293</v>
      </c>
      <c r="B1903" s="2" t="s">
        <v>1146</v>
      </c>
      <c r="C1903" s="5" t="s">
        <v>3195</v>
      </c>
      <c r="D1903" s="2" t="s">
        <v>3196</v>
      </c>
    </row>
    <row r="1904" spans="1:4" ht="12.95" customHeight="1" x14ac:dyDescent="0.25">
      <c r="A1904" s="2" t="s">
        <v>293</v>
      </c>
      <c r="B1904" s="2" t="s">
        <v>1146</v>
      </c>
      <c r="C1904" s="5" t="s">
        <v>1299</v>
      </c>
      <c r="D1904" s="2" t="s">
        <v>3197</v>
      </c>
    </row>
    <row r="1905" spans="1:4" ht="12.95" customHeight="1" x14ac:dyDescent="0.25">
      <c r="A1905" s="2" t="s">
        <v>293</v>
      </c>
      <c r="B1905" s="2" t="s">
        <v>1146</v>
      </c>
      <c r="C1905" s="5" t="s">
        <v>1203</v>
      </c>
      <c r="D1905" s="2" t="s">
        <v>3198</v>
      </c>
    </row>
    <row r="1906" spans="1:4" ht="12.95" customHeight="1" x14ac:dyDescent="0.25">
      <c r="A1906" s="2" t="s">
        <v>293</v>
      </c>
      <c r="B1906" s="2" t="s">
        <v>1146</v>
      </c>
      <c r="C1906" s="5" t="s">
        <v>1205</v>
      </c>
      <c r="D1906" s="2" t="s">
        <v>3199</v>
      </c>
    </row>
    <row r="1907" spans="1:4" ht="12.95" customHeight="1" x14ac:dyDescent="0.25">
      <c r="A1907" s="2" t="s">
        <v>293</v>
      </c>
      <c r="B1907" s="2" t="s">
        <v>1146</v>
      </c>
      <c r="C1907" s="5" t="s">
        <v>1209</v>
      </c>
      <c r="D1907" s="2" t="s">
        <v>3200</v>
      </c>
    </row>
    <row r="1908" spans="1:4" ht="12.95" customHeight="1" x14ac:dyDescent="0.25">
      <c r="A1908" s="2" t="s">
        <v>293</v>
      </c>
      <c r="B1908" s="2" t="s">
        <v>1146</v>
      </c>
      <c r="C1908" s="5" t="s">
        <v>3201</v>
      </c>
      <c r="D1908" s="2" t="s">
        <v>3202</v>
      </c>
    </row>
    <row r="1909" spans="1:4" ht="12.95" customHeight="1" x14ac:dyDescent="0.25">
      <c r="A1909" s="2" t="s">
        <v>293</v>
      </c>
      <c r="B1909" s="2" t="s">
        <v>1146</v>
      </c>
      <c r="C1909" s="5" t="s">
        <v>3203</v>
      </c>
      <c r="D1909" s="2" t="s">
        <v>3204</v>
      </c>
    </row>
    <row r="1910" spans="1:4" ht="12.95" customHeight="1" x14ac:dyDescent="0.25">
      <c r="A1910" s="2" t="s">
        <v>293</v>
      </c>
      <c r="B1910" s="2" t="s">
        <v>1146</v>
      </c>
      <c r="C1910" s="5" t="s">
        <v>3205</v>
      </c>
      <c r="D1910" s="2" t="s">
        <v>3206</v>
      </c>
    </row>
    <row r="1911" spans="1:4" ht="12.95" customHeight="1" x14ac:dyDescent="0.25">
      <c r="A1911" s="2" t="s">
        <v>293</v>
      </c>
      <c r="B1911" s="2" t="s">
        <v>1146</v>
      </c>
      <c r="C1911" s="5" t="s">
        <v>3207</v>
      </c>
      <c r="D1911" s="2" t="s">
        <v>3208</v>
      </c>
    </row>
    <row r="1912" spans="1:4" ht="12.95" customHeight="1" x14ac:dyDescent="0.25">
      <c r="A1912" s="2" t="s">
        <v>293</v>
      </c>
      <c r="B1912" s="2" t="s">
        <v>1146</v>
      </c>
      <c r="C1912" s="5" t="s">
        <v>3209</v>
      </c>
      <c r="D1912" s="2" t="s">
        <v>3210</v>
      </c>
    </row>
    <row r="1913" spans="1:4" ht="12.95" customHeight="1" x14ac:dyDescent="0.25">
      <c r="A1913" s="2" t="s">
        <v>293</v>
      </c>
      <c r="B1913" s="2" t="s">
        <v>1146</v>
      </c>
      <c r="C1913" s="5" t="s">
        <v>1301</v>
      </c>
      <c r="D1913" s="2" t="s">
        <v>3211</v>
      </c>
    </row>
    <row r="1914" spans="1:4" ht="12.95" customHeight="1" x14ac:dyDescent="0.25">
      <c r="A1914" s="2" t="s">
        <v>293</v>
      </c>
      <c r="B1914" s="2" t="s">
        <v>1146</v>
      </c>
      <c r="C1914" s="5" t="s">
        <v>1211</v>
      </c>
      <c r="D1914" s="2" t="s">
        <v>3212</v>
      </c>
    </row>
    <row r="1915" spans="1:4" ht="12.95" customHeight="1" x14ac:dyDescent="0.25">
      <c r="A1915" s="2" t="s">
        <v>293</v>
      </c>
      <c r="B1915" s="2" t="s">
        <v>1146</v>
      </c>
      <c r="C1915" s="5" t="s">
        <v>1215</v>
      </c>
      <c r="D1915" s="2" t="s">
        <v>3213</v>
      </c>
    </row>
    <row r="1916" spans="1:4" ht="12.95" customHeight="1" x14ac:dyDescent="0.25">
      <c r="A1916" s="2" t="s">
        <v>293</v>
      </c>
      <c r="B1916" s="2" t="s">
        <v>1146</v>
      </c>
      <c r="C1916" s="5" t="s">
        <v>1217</v>
      </c>
      <c r="D1916" s="2" t="s">
        <v>3214</v>
      </c>
    </row>
    <row r="1917" spans="1:4" ht="12.95" customHeight="1" x14ac:dyDescent="0.25">
      <c r="A1917" s="2" t="s">
        <v>293</v>
      </c>
      <c r="B1917" s="2" t="s">
        <v>1146</v>
      </c>
      <c r="C1917" s="5" t="s">
        <v>3215</v>
      </c>
      <c r="D1917" s="2" t="s">
        <v>3216</v>
      </c>
    </row>
    <row r="1918" spans="1:4" ht="12.95" customHeight="1" x14ac:dyDescent="0.25">
      <c r="A1918" s="2" t="s">
        <v>293</v>
      </c>
      <c r="B1918" s="2" t="s">
        <v>1146</v>
      </c>
      <c r="C1918" s="5" t="s">
        <v>3217</v>
      </c>
      <c r="D1918" s="2" t="s">
        <v>3218</v>
      </c>
    </row>
    <row r="1919" spans="1:4" ht="12.95" customHeight="1" x14ac:dyDescent="0.25">
      <c r="A1919" s="2" t="s">
        <v>298</v>
      </c>
      <c r="B1919" s="2" t="s">
        <v>1146</v>
      </c>
      <c r="C1919" s="5" t="s">
        <v>1084</v>
      </c>
      <c r="D1919" s="2" t="s">
        <v>1085</v>
      </c>
    </row>
    <row r="1920" spans="1:4" ht="12.95" customHeight="1" x14ac:dyDescent="0.25">
      <c r="A1920" s="2" t="s">
        <v>298</v>
      </c>
      <c r="B1920" s="2" t="s">
        <v>1146</v>
      </c>
      <c r="C1920" s="5" t="s">
        <v>1086</v>
      </c>
      <c r="D1920" s="2" t="s">
        <v>1087</v>
      </c>
    </row>
    <row r="1921" spans="1:4" ht="12.95" customHeight="1" x14ac:dyDescent="0.25">
      <c r="A1921" s="2" t="s">
        <v>298</v>
      </c>
      <c r="B1921" s="2" t="s">
        <v>1146</v>
      </c>
      <c r="C1921" s="5" t="s">
        <v>1088</v>
      </c>
      <c r="D1921" s="2" t="s">
        <v>1089</v>
      </c>
    </row>
    <row r="1922" spans="1:4" ht="12.95" customHeight="1" x14ac:dyDescent="0.25">
      <c r="A1922" s="2" t="s">
        <v>298</v>
      </c>
      <c r="B1922" s="2" t="s">
        <v>1146</v>
      </c>
      <c r="C1922" s="5" t="s">
        <v>1090</v>
      </c>
      <c r="D1922" s="2" t="s">
        <v>3219</v>
      </c>
    </row>
    <row r="1923" spans="1:4" ht="12.95" customHeight="1" x14ac:dyDescent="0.25">
      <c r="A1923" s="2" t="s">
        <v>298</v>
      </c>
      <c r="B1923" s="2" t="s">
        <v>1146</v>
      </c>
      <c r="C1923" s="5" t="s">
        <v>1092</v>
      </c>
      <c r="D1923" s="2" t="s">
        <v>3220</v>
      </c>
    </row>
    <row r="1924" spans="1:4" ht="12.95" customHeight="1" x14ac:dyDescent="0.25">
      <c r="A1924" s="2" t="s">
        <v>298</v>
      </c>
      <c r="B1924" s="2" t="s">
        <v>1146</v>
      </c>
      <c r="C1924" s="5" t="s">
        <v>1094</v>
      </c>
      <c r="D1924" s="2" t="s">
        <v>3221</v>
      </c>
    </row>
    <row r="1925" spans="1:4" ht="12.95" customHeight="1" x14ac:dyDescent="0.25">
      <c r="A1925" s="2" t="s">
        <v>298</v>
      </c>
      <c r="B1925" s="2" t="s">
        <v>1146</v>
      </c>
      <c r="C1925" s="5" t="s">
        <v>1096</v>
      </c>
      <c r="D1925" s="2" t="s">
        <v>3222</v>
      </c>
    </row>
    <row r="1926" spans="1:4" ht="12.95" customHeight="1" x14ac:dyDescent="0.25">
      <c r="A1926" s="2" t="s">
        <v>298</v>
      </c>
      <c r="B1926" s="2" t="s">
        <v>1146</v>
      </c>
      <c r="C1926" s="5" t="s">
        <v>1098</v>
      </c>
      <c r="D1926" s="2" t="s">
        <v>3223</v>
      </c>
    </row>
    <row r="1927" spans="1:4" ht="12.95" customHeight="1" x14ac:dyDescent="0.25">
      <c r="A1927" s="2" t="s">
        <v>298</v>
      </c>
      <c r="B1927" s="2" t="s">
        <v>1146</v>
      </c>
      <c r="C1927" s="5" t="s">
        <v>1100</v>
      </c>
      <c r="D1927" s="2" t="s">
        <v>3224</v>
      </c>
    </row>
    <row r="1928" spans="1:4" ht="12.95" customHeight="1" x14ac:dyDescent="0.25">
      <c r="A1928" s="2" t="s">
        <v>298</v>
      </c>
      <c r="B1928" s="2" t="s">
        <v>1146</v>
      </c>
      <c r="C1928" s="5" t="s">
        <v>1109</v>
      </c>
      <c r="D1928" s="2" t="s">
        <v>3225</v>
      </c>
    </row>
    <row r="1929" spans="1:4" ht="12.95" customHeight="1" x14ac:dyDescent="0.25">
      <c r="A1929" s="2" t="s">
        <v>298</v>
      </c>
      <c r="B1929" s="2" t="s">
        <v>1146</v>
      </c>
      <c r="C1929" s="5" t="s">
        <v>1119</v>
      </c>
      <c r="D1929" s="2" t="s">
        <v>3226</v>
      </c>
    </row>
    <row r="1930" spans="1:4" ht="12.95" customHeight="1" x14ac:dyDescent="0.25">
      <c r="A1930" s="2" t="s">
        <v>298</v>
      </c>
      <c r="B1930" s="2" t="s">
        <v>1146</v>
      </c>
      <c r="C1930" s="5" t="s">
        <v>1121</v>
      </c>
      <c r="D1930" s="2" t="s">
        <v>3227</v>
      </c>
    </row>
    <row r="1931" spans="1:4" ht="12.95" customHeight="1" x14ac:dyDescent="0.25">
      <c r="A1931" s="2" t="s">
        <v>298</v>
      </c>
      <c r="B1931" s="2" t="s">
        <v>1146</v>
      </c>
      <c r="C1931" s="5" t="s">
        <v>1123</v>
      </c>
      <c r="D1931" s="2" t="s">
        <v>3228</v>
      </c>
    </row>
    <row r="1932" spans="1:4" ht="12.95" customHeight="1" x14ac:dyDescent="0.25">
      <c r="A1932" s="2" t="s">
        <v>298</v>
      </c>
      <c r="B1932" s="2" t="s">
        <v>1146</v>
      </c>
      <c r="C1932" s="5" t="s">
        <v>1125</v>
      </c>
      <c r="D1932" s="2" t="s">
        <v>3229</v>
      </c>
    </row>
    <row r="1933" spans="1:4" ht="12.95" customHeight="1" x14ac:dyDescent="0.25">
      <c r="A1933" s="2" t="s">
        <v>298</v>
      </c>
      <c r="B1933" s="2" t="s">
        <v>1146</v>
      </c>
      <c r="C1933" s="5" t="s">
        <v>1127</v>
      </c>
      <c r="D1933" s="2" t="s">
        <v>1177</v>
      </c>
    </row>
    <row r="1934" spans="1:4" ht="12.95" customHeight="1" x14ac:dyDescent="0.25">
      <c r="A1934" s="2" t="s">
        <v>302</v>
      </c>
      <c r="B1934" s="2" t="s">
        <v>1146</v>
      </c>
      <c r="C1934" s="5" t="s">
        <v>1084</v>
      </c>
      <c r="D1934" s="2" t="s">
        <v>1085</v>
      </c>
    </row>
    <row r="1935" spans="1:4" ht="12.95" customHeight="1" x14ac:dyDescent="0.25">
      <c r="A1935" s="2" t="s">
        <v>302</v>
      </c>
      <c r="B1935" s="2" t="s">
        <v>1146</v>
      </c>
      <c r="C1935" s="5" t="s">
        <v>1086</v>
      </c>
      <c r="D1935" s="2" t="s">
        <v>1087</v>
      </c>
    </row>
    <row r="1936" spans="1:4" ht="12.95" customHeight="1" x14ac:dyDescent="0.25">
      <c r="A1936" s="2" t="s">
        <v>302</v>
      </c>
      <c r="B1936" s="2" t="s">
        <v>1146</v>
      </c>
      <c r="C1936" s="5" t="s">
        <v>1088</v>
      </c>
      <c r="D1936" s="2" t="s">
        <v>1089</v>
      </c>
    </row>
    <row r="1937" spans="1:4" ht="12.95" customHeight="1" x14ac:dyDescent="0.25">
      <c r="A1937" s="2" t="s">
        <v>302</v>
      </c>
      <c r="B1937" s="2" t="s">
        <v>1146</v>
      </c>
      <c r="C1937" s="5" t="s">
        <v>1090</v>
      </c>
      <c r="D1937" s="2" t="s">
        <v>3219</v>
      </c>
    </row>
    <row r="1938" spans="1:4" ht="12.95" customHeight="1" x14ac:dyDescent="0.25">
      <c r="A1938" s="2" t="s">
        <v>302</v>
      </c>
      <c r="B1938" s="2" t="s">
        <v>1146</v>
      </c>
      <c r="C1938" s="5" t="s">
        <v>1092</v>
      </c>
      <c r="D1938" s="2" t="s">
        <v>3220</v>
      </c>
    </row>
    <row r="1939" spans="1:4" ht="12.95" customHeight="1" x14ac:dyDescent="0.25">
      <c r="A1939" s="2" t="s">
        <v>302</v>
      </c>
      <c r="B1939" s="2" t="s">
        <v>1146</v>
      </c>
      <c r="C1939" s="5" t="s">
        <v>1094</v>
      </c>
      <c r="D1939" s="2" t="s">
        <v>3221</v>
      </c>
    </row>
    <row r="1940" spans="1:4" ht="12.95" customHeight="1" x14ac:dyDescent="0.25">
      <c r="A1940" s="2" t="s">
        <v>302</v>
      </c>
      <c r="B1940" s="2" t="s">
        <v>1146</v>
      </c>
      <c r="C1940" s="5" t="s">
        <v>1096</v>
      </c>
      <c r="D1940" s="2" t="s">
        <v>3222</v>
      </c>
    </row>
    <row r="1941" spans="1:4" ht="12.95" customHeight="1" x14ac:dyDescent="0.25">
      <c r="A1941" s="2" t="s">
        <v>302</v>
      </c>
      <c r="B1941" s="2" t="s">
        <v>1146</v>
      </c>
      <c r="C1941" s="5" t="s">
        <v>1098</v>
      </c>
      <c r="D1941" s="2" t="s">
        <v>3223</v>
      </c>
    </row>
    <row r="1942" spans="1:4" ht="12.95" customHeight="1" x14ac:dyDescent="0.25">
      <c r="A1942" s="2" t="s">
        <v>302</v>
      </c>
      <c r="B1942" s="2" t="s">
        <v>1146</v>
      </c>
      <c r="C1942" s="5" t="s">
        <v>1100</v>
      </c>
      <c r="D1942" s="2" t="s">
        <v>3224</v>
      </c>
    </row>
    <row r="1943" spans="1:4" ht="12.95" customHeight="1" x14ac:dyDescent="0.25">
      <c r="A1943" s="2" t="s">
        <v>302</v>
      </c>
      <c r="B1943" s="2" t="s">
        <v>1146</v>
      </c>
      <c r="C1943" s="5" t="s">
        <v>1109</v>
      </c>
      <c r="D1943" s="2" t="s">
        <v>3225</v>
      </c>
    </row>
    <row r="1944" spans="1:4" ht="12.95" customHeight="1" x14ac:dyDescent="0.25">
      <c r="A1944" s="2" t="s">
        <v>302</v>
      </c>
      <c r="B1944" s="2" t="s">
        <v>1146</v>
      </c>
      <c r="C1944" s="5" t="s">
        <v>1119</v>
      </c>
      <c r="D1944" s="2" t="s">
        <v>3226</v>
      </c>
    </row>
    <row r="1945" spans="1:4" ht="12.95" customHeight="1" x14ac:dyDescent="0.25">
      <c r="A1945" s="2" t="s">
        <v>302</v>
      </c>
      <c r="B1945" s="2" t="s">
        <v>1146</v>
      </c>
      <c r="C1945" s="5" t="s">
        <v>1121</v>
      </c>
      <c r="D1945" s="2" t="s">
        <v>3227</v>
      </c>
    </row>
    <row r="1946" spans="1:4" ht="12.95" customHeight="1" x14ac:dyDescent="0.25">
      <c r="A1946" s="2" t="s">
        <v>302</v>
      </c>
      <c r="B1946" s="2" t="s">
        <v>1146</v>
      </c>
      <c r="C1946" s="5" t="s">
        <v>1123</v>
      </c>
      <c r="D1946" s="2" t="s">
        <v>3228</v>
      </c>
    </row>
    <row r="1947" spans="1:4" ht="12.95" customHeight="1" x14ac:dyDescent="0.25">
      <c r="A1947" s="2" t="s">
        <v>302</v>
      </c>
      <c r="B1947" s="2" t="s">
        <v>1146</v>
      </c>
      <c r="C1947" s="5" t="s">
        <v>1125</v>
      </c>
      <c r="D1947" s="2" t="s">
        <v>3229</v>
      </c>
    </row>
    <row r="1948" spans="1:4" ht="12.95" customHeight="1" x14ac:dyDescent="0.25">
      <c r="A1948" s="2" t="s">
        <v>302</v>
      </c>
      <c r="B1948" s="2" t="s">
        <v>1146</v>
      </c>
      <c r="C1948" s="5" t="s">
        <v>1127</v>
      </c>
      <c r="D1948" s="2" t="s">
        <v>1177</v>
      </c>
    </row>
    <row r="1949" spans="1:4" ht="12.95" customHeight="1" x14ac:dyDescent="0.25">
      <c r="A1949" s="2" t="s">
        <v>305</v>
      </c>
      <c r="B1949" s="2" t="s">
        <v>1146</v>
      </c>
      <c r="C1949" s="5" t="s">
        <v>1084</v>
      </c>
      <c r="D1949" s="2" t="s">
        <v>1085</v>
      </c>
    </row>
    <row r="1950" spans="1:4" ht="12.95" customHeight="1" x14ac:dyDescent="0.25">
      <c r="A1950" s="2" t="s">
        <v>305</v>
      </c>
      <c r="B1950" s="2" t="s">
        <v>1146</v>
      </c>
      <c r="C1950" s="5" t="s">
        <v>1086</v>
      </c>
      <c r="D1950" s="2" t="s">
        <v>1087</v>
      </c>
    </row>
    <row r="1951" spans="1:4" ht="12.95" customHeight="1" x14ac:dyDescent="0.25">
      <c r="A1951" s="2" t="s">
        <v>305</v>
      </c>
      <c r="B1951" s="2" t="s">
        <v>1146</v>
      </c>
      <c r="C1951" s="5" t="s">
        <v>1088</v>
      </c>
      <c r="D1951" s="2" t="s">
        <v>1089</v>
      </c>
    </row>
    <row r="1952" spans="1:4" ht="12.95" customHeight="1" x14ac:dyDescent="0.25">
      <c r="A1952" s="2" t="s">
        <v>305</v>
      </c>
      <c r="B1952" s="2" t="s">
        <v>1146</v>
      </c>
      <c r="C1952" s="5" t="s">
        <v>1090</v>
      </c>
      <c r="D1952" s="2" t="s">
        <v>3219</v>
      </c>
    </row>
    <row r="1953" spans="1:4" ht="12.95" customHeight="1" x14ac:dyDescent="0.25">
      <c r="A1953" s="2" t="s">
        <v>305</v>
      </c>
      <c r="B1953" s="2" t="s">
        <v>1146</v>
      </c>
      <c r="C1953" s="5" t="s">
        <v>1092</v>
      </c>
      <c r="D1953" s="2" t="s">
        <v>3220</v>
      </c>
    </row>
    <row r="1954" spans="1:4" ht="12.95" customHeight="1" x14ac:dyDescent="0.25">
      <c r="A1954" s="2" t="s">
        <v>305</v>
      </c>
      <c r="B1954" s="2" t="s">
        <v>1146</v>
      </c>
      <c r="C1954" s="5" t="s">
        <v>1094</v>
      </c>
      <c r="D1954" s="2" t="s">
        <v>3221</v>
      </c>
    </row>
    <row r="1955" spans="1:4" ht="12.95" customHeight="1" x14ac:dyDescent="0.25">
      <c r="A1955" s="2" t="s">
        <v>305</v>
      </c>
      <c r="B1955" s="2" t="s">
        <v>1146</v>
      </c>
      <c r="C1955" s="5" t="s">
        <v>1096</v>
      </c>
      <c r="D1955" s="2" t="s">
        <v>3222</v>
      </c>
    </row>
    <row r="1956" spans="1:4" ht="12.95" customHeight="1" x14ac:dyDescent="0.25">
      <c r="A1956" s="2" t="s">
        <v>305</v>
      </c>
      <c r="B1956" s="2" t="s">
        <v>1146</v>
      </c>
      <c r="C1956" s="5" t="s">
        <v>1098</v>
      </c>
      <c r="D1956" s="2" t="s">
        <v>3223</v>
      </c>
    </row>
    <row r="1957" spans="1:4" ht="12.95" customHeight="1" x14ac:dyDescent="0.25">
      <c r="A1957" s="2" t="s">
        <v>305</v>
      </c>
      <c r="B1957" s="2" t="s">
        <v>1146</v>
      </c>
      <c r="C1957" s="5" t="s">
        <v>1100</v>
      </c>
      <c r="D1957" s="2" t="s">
        <v>3224</v>
      </c>
    </row>
    <row r="1958" spans="1:4" ht="12.95" customHeight="1" x14ac:dyDescent="0.25">
      <c r="A1958" s="2" t="s">
        <v>305</v>
      </c>
      <c r="B1958" s="2" t="s">
        <v>1146</v>
      </c>
      <c r="C1958" s="5" t="s">
        <v>1109</v>
      </c>
      <c r="D1958" s="2" t="s">
        <v>3225</v>
      </c>
    </row>
    <row r="1959" spans="1:4" ht="12.95" customHeight="1" x14ac:dyDescent="0.25">
      <c r="A1959" s="2" t="s">
        <v>305</v>
      </c>
      <c r="B1959" s="2" t="s">
        <v>1146</v>
      </c>
      <c r="C1959" s="5" t="s">
        <v>1119</v>
      </c>
      <c r="D1959" s="2" t="s">
        <v>3226</v>
      </c>
    </row>
    <row r="1960" spans="1:4" ht="12.95" customHeight="1" x14ac:dyDescent="0.25">
      <c r="A1960" s="2" t="s">
        <v>305</v>
      </c>
      <c r="B1960" s="2" t="s">
        <v>1146</v>
      </c>
      <c r="C1960" s="5" t="s">
        <v>1121</v>
      </c>
      <c r="D1960" s="2" t="s">
        <v>3227</v>
      </c>
    </row>
    <row r="1961" spans="1:4" ht="12.95" customHeight="1" x14ac:dyDescent="0.25">
      <c r="A1961" s="2" t="s">
        <v>305</v>
      </c>
      <c r="B1961" s="2" t="s">
        <v>1146</v>
      </c>
      <c r="C1961" s="5" t="s">
        <v>1123</v>
      </c>
      <c r="D1961" s="2" t="s">
        <v>3228</v>
      </c>
    </row>
    <row r="1962" spans="1:4" ht="12.95" customHeight="1" x14ac:dyDescent="0.25">
      <c r="A1962" s="2" t="s">
        <v>305</v>
      </c>
      <c r="B1962" s="2" t="s">
        <v>1146</v>
      </c>
      <c r="C1962" s="5" t="s">
        <v>1125</v>
      </c>
      <c r="D1962" s="2" t="s">
        <v>3229</v>
      </c>
    </row>
    <row r="1963" spans="1:4" ht="12.95" customHeight="1" x14ac:dyDescent="0.25">
      <c r="A1963" s="2" t="s">
        <v>305</v>
      </c>
      <c r="B1963" s="2" t="s">
        <v>1146</v>
      </c>
      <c r="C1963" s="5" t="s">
        <v>1127</v>
      </c>
      <c r="D1963" s="2" t="s">
        <v>1177</v>
      </c>
    </row>
    <row r="1964" spans="1:4" ht="12.95" customHeight="1" x14ac:dyDescent="0.25">
      <c r="A1964" s="2" t="s">
        <v>308</v>
      </c>
      <c r="B1964" s="2" t="s">
        <v>1146</v>
      </c>
      <c r="C1964" s="5" t="s">
        <v>1084</v>
      </c>
      <c r="D1964" s="2" t="s">
        <v>1085</v>
      </c>
    </row>
    <row r="1965" spans="1:4" ht="12.95" customHeight="1" x14ac:dyDescent="0.25">
      <c r="A1965" s="2" t="s">
        <v>308</v>
      </c>
      <c r="B1965" s="2" t="s">
        <v>1146</v>
      </c>
      <c r="C1965" s="5" t="s">
        <v>1086</v>
      </c>
      <c r="D1965" s="2" t="s">
        <v>1087</v>
      </c>
    </row>
    <row r="1966" spans="1:4" ht="12.95" customHeight="1" x14ac:dyDescent="0.25">
      <c r="A1966" s="2" t="s">
        <v>308</v>
      </c>
      <c r="B1966" s="2" t="s">
        <v>1146</v>
      </c>
      <c r="C1966" s="5" t="s">
        <v>1088</v>
      </c>
      <c r="D1966" s="2" t="s">
        <v>1089</v>
      </c>
    </row>
    <row r="1967" spans="1:4" ht="12.95" customHeight="1" x14ac:dyDescent="0.25">
      <c r="A1967" s="2" t="s">
        <v>308</v>
      </c>
      <c r="B1967" s="2" t="s">
        <v>1146</v>
      </c>
      <c r="C1967" s="5" t="s">
        <v>1090</v>
      </c>
      <c r="D1967" s="2" t="s">
        <v>3219</v>
      </c>
    </row>
    <row r="1968" spans="1:4" ht="12.95" customHeight="1" x14ac:dyDescent="0.25">
      <c r="A1968" s="2" t="s">
        <v>308</v>
      </c>
      <c r="B1968" s="2" t="s">
        <v>1146</v>
      </c>
      <c r="C1968" s="5" t="s">
        <v>1092</v>
      </c>
      <c r="D1968" s="2" t="s">
        <v>3220</v>
      </c>
    </row>
    <row r="1969" spans="1:4" ht="12.95" customHeight="1" x14ac:dyDescent="0.25">
      <c r="A1969" s="2" t="s">
        <v>308</v>
      </c>
      <c r="B1969" s="2" t="s">
        <v>1146</v>
      </c>
      <c r="C1969" s="5" t="s">
        <v>1094</v>
      </c>
      <c r="D1969" s="2" t="s">
        <v>3221</v>
      </c>
    </row>
    <row r="1970" spans="1:4" ht="12.95" customHeight="1" x14ac:dyDescent="0.25">
      <c r="A1970" s="2" t="s">
        <v>308</v>
      </c>
      <c r="B1970" s="2" t="s">
        <v>1146</v>
      </c>
      <c r="C1970" s="5" t="s">
        <v>1096</v>
      </c>
      <c r="D1970" s="2" t="s">
        <v>3222</v>
      </c>
    </row>
    <row r="1971" spans="1:4" ht="12.95" customHeight="1" x14ac:dyDescent="0.25">
      <c r="A1971" s="2" t="s">
        <v>308</v>
      </c>
      <c r="B1971" s="2" t="s">
        <v>1146</v>
      </c>
      <c r="C1971" s="5" t="s">
        <v>1098</v>
      </c>
      <c r="D1971" s="2" t="s">
        <v>3223</v>
      </c>
    </row>
    <row r="1972" spans="1:4" ht="12.95" customHeight="1" x14ac:dyDescent="0.25">
      <c r="A1972" s="2" t="s">
        <v>308</v>
      </c>
      <c r="B1972" s="2" t="s">
        <v>1146</v>
      </c>
      <c r="C1972" s="5" t="s">
        <v>1100</v>
      </c>
      <c r="D1972" s="2" t="s">
        <v>3224</v>
      </c>
    </row>
    <row r="1973" spans="1:4" ht="12.95" customHeight="1" x14ac:dyDescent="0.25">
      <c r="A1973" s="2" t="s">
        <v>308</v>
      </c>
      <c r="B1973" s="2" t="s">
        <v>1146</v>
      </c>
      <c r="C1973" s="5" t="s">
        <v>1109</v>
      </c>
      <c r="D1973" s="2" t="s">
        <v>3225</v>
      </c>
    </row>
    <row r="1974" spans="1:4" ht="12.95" customHeight="1" x14ac:dyDescent="0.25">
      <c r="A1974" s="2" t="s">
        <v>308</v>
      </c>
      <c r="B1974" s="2" t="s">
        <v>1146</v>
      </c>
      <c r="C1974" s="5" t="s">
        <v>1119</v>
      </c>
      <c r="D1974" s="2" t="s">
        <v>3226</v>
      </c>
    </row>
    <row r="1975" spans="1:4" ht="12.95" customHeight="1" x14ac:dyDescent="0.25">
      <c r="A1975" s="2" t="s">
        <v>308</v>
      </c>
      <c r="B1975" s="2" t="s">
        <v>1146</v>
      </c>
      <c r="C1975" s="5" t="s">
        <v>1121</v>
      </c>
      <c r="D1975" s="2" t="s">
        <v>3227</v>
      </c>
    </row>
    <row r="1976" spans="1:4" ht="12.95" customHeight="1" x14ac:dyDescent="0.25">
      <c r="A1976" s="2" t="s">
        <v>308</v>
      </c>
      <c r="B1976" s="2" t="s">
        <v>1146</v>
      </c>
      <c r="C1976" s="5" t="s">
        <v>1123</v>
      </c>
      <c r="D1976" s="2" t="s">
        <v>3228</v>
      </c>
    </row>
    <row r="1977" spans="1:4" ht="12.95" customHeight="1" x14ac:dyDescent="0.25">
      <c r="A1977" s="2" t="s">
        <v>308</v>
      </c>
      <c r="B1977" s="2" t="s">
        <v>1146</v>
      </c>
      <c r="C1977" s="5" t="s">
        <v>1125</v>
      </c>
      <c r="D1977" s="2" t="s">
        <v>3229</v>
      </c>
    </row>
    <row r="1978" spans="1:4" ht="12.95" customHeight="1" x14ac:dyDescent="0.25">
      <c r="A1978" s="2" t="s">
        <v>308</v>
      </c>
      <c r="B1978" s="2" t="s">
        <v>1146</v>
      </c>
      <c r="C1978" s="5" t="s">
        <v>1127</v>
      </c>
      <c r="D1978" s="2" t="s">
        <v>1177</v>
      </c>
    </row>
    <row r="1979" spans="1:4" ht="12.95" customHeight="1" x14ac:dyDescent="0.25">
      <c r="A1979" s="2" t="s">
        <v>311</v>
      </c>
      <c r="B1979" s="2" t="s">
        <v>1146</v>
      </c>
      <c r="C1979" s="5" t="s">
        <v>1084</v>
      </c>
      <c r="D1979" s="2" t="s">
        <v>1085</v>
      </c>
    </row>
    <row r="1980" spans="1:4" ht="12.95" customHeight="1" x14ac:dyDescent="0.25">
      <c r="A1980" s="2" t="s">
        <v>311</v>
      </c>
      <c r="B1980" s="2" t="s">
        <v>1146</v>
      </c>
      <c r="C1980" s="5" t="s">
        <v>1086</v>
      </c>
      <c r="D1980" s="2" t="s">
        <v>1087</v>
      </c>
    </row>
    <row r="1981" spans="1:4" ht="12.95" customHeight="1" x14ac:dyDescent="0.25">
      <c r="A1981" s="2" t="s">
        <v>311</v>
      </c>
      <c r="B1981" s="2" t="s">
        <v>1146</v>
      </c>
      <c r="C1981" s="5" t="s">
        <v>1088</v>
      </c>
      <c r="D1981" s="2" t="s">
        <v>1089</v>
      </c>
    </row>
    <row r="1982" spans="1:4" ht="12.95" customHeight="1" x14ac:dyDescent="0.25">
      <c r="A1982" s="2" t="s">
        <v>311</v>
      </c>
      <c r="B1982" s="2" t="s">
        <v>1146</v>
      </c>
      <c r="C1982" s="5" t="s">
        <v>1090</v>
      </c>
      <c r="D1982" s="2" t="s">
        <v>3219</v>
      </c>
    </row>
    <row r="1983" spans="1:4" ht="12.95" customHeight="1" x14ac:dyDescent="0.25">
      <c r="A1983" s="2" t="s">
        <v>311</v>
      </c>
      <c r="B1983" s="2" t="s">
        <v>1146</v>
      </c>
      <c r="C1983" s="5" t="s">
        <v>1092</v>
      </c>
      <c r="D1983" s="2" t="s">
        <v>3220</v>
      </c>
    </row>
    <row r="1984" spans="1:4" ht="12.95" customHeight="1" x14ac:dyDescent="0.25">
      <c r="A1984" s="2" t="s">
        <v>311</v>
      </c>
      <c r="B1984" s="2" t="s">
        <v>1146</v>
      </c>
      <c r="C1984" s="5" t="s">
        <v>1094</v>
      </c>
      <c r="D1984" s="2" t="s">
        <v>3221</v>
      </c>
    </row>
    <row r="1985" spans="1:4" ht="12.95" customHeight="1" x14ac:dyDescent="0.25">
      <c r="A1985" s="2" t="s">
        <v>311</v>
      </c>
      <c r="B1985" s="2" t="s">
        <v>1146</v>
      </c>
      <c r="C1985" s="5" t="s">
        <v>1096</v>
      </c>
      <c r="D1985" s="2" t="s">
        <v>3222</v>
      </c>
    </row>
    <row r="1986" spans="1:4" ht="12.95" customHeight="1" x14ac:dyDescent="0.25">
      <c r="A1986" s="2" t="s">
        <v>311</v>
      </c>
      <c r="B1986" s="2" t="s">
        <v>1146</v>
      </c>
      <c r="C1986" s="5" t="s">
        <v>1098</v>
      </c>
      <c r="D1986" s="2" t="s">
        <v>3223</v>
      </c>
    </row>
    <row r="1987" spans="1:4" ht="12.95" customHeight="1" x14ac:dyDescent="0.25">
      <c r="A1987" s="2" t="s">
        <v>311</v>
      </c>
      <c r="B1987" s="2" t="s">
        <v>1146</v>
      </c>
      <c r="C1987" s="5" t="s">
        <v>1100</v>
      </c>
      <c r="D1987" s="2" t="s">
        <v>3224</v>
      </c>
    </row>
    <row r="1988" spans="1:4" ht="12.95" customHeight="1" x14ac:dyDescent="0.25">
      <c r="A1988" s="2" t="s">
        <v>311</v>
      </c>
      <c r="B1988" s="2" t="s">
        <v>1146</v>
      </c>
      <c r="C1988" s="5" t="s">
        <v>1109</v>
      </c>
      <c r="D1988" s="2" t="s">
        <v>3225</v>
      </c>
    </row>
    <row r="1989" spans="1:4" ht="12.95" customHeight="1" x14ac:dyDescent="0.25">
      <c r="A1989" s="2" t="s">
        <v>311</v>
      </c>
      <c r="B1989" s="2" t="s">
        <v>1146</v>
      </c>
      <c r="C1989" s="5" t="s">
        <v>1119</v>
      </c>
      <c r="D1989" s="2" t="s">
        <v>3226</v>
      </c>
    </row>
    <row r="1990" spans="1:4" ht="12.95" customHeight="1" x14ac:dyDescent="0.25">
      <c r="A1990" s="2" t="s">
        <v>311</v>
      </c>
      <c r="B1990" s="2" t="s">
        <v>1146</v>
      </c>
      <c r="C1990" s="5" t="s">
        <v>1121</v>
      </c>
      <c r="D1990" s="2" t="s">
        <v>3227</v>
      </c>
    </row>
    <row r="1991" spans="1:4" ht="12.95" customHeight="1" x14ac:dyDescent="0.25">
      <c r="A1991" s="2" t="s">
        <v>311</v>
      </c>
      <c r="B1991" s="2" t="s">
        <v>1146</v>
      </c>
      <c r="C1991" s="5" t="s">
        <v>1123</v>
      </c>
      <c r="D1991" s="2" t="s">
        <v>3228</v>
      </c>
    </row>
    <row r="1992" spans="1:4" ht="12.95" customHeight="1" x14ac:dyDescent="0.25">
      <c r="A1992" s="2" t="s">
        <v>311</v>
      </c>
      <c r="B1992" s="2" t="s">
        <v>1146</v>
      </c>
      <c r="C1992" s="5" t="s">
        <v>1125</v>
      </c>
      <c r="D1992" s="2" t="s">
        <v>3229</v>
      </c>
    </row>
    <row r="1993" spans="1:4" ht="12.95" customHeight="1" x14ac:dyDescent="0.25">
      <c r="A1993" s="2" t="s">
        <v>311</v>
      </c>
      <c r="B1993" s="2" t="s">
        <v>1146</v>
      </c>
      <c r="C1993" s="5" t="s">
        <v>1127</v>
      </c>
      <c r="D1993" s="2" t="s">
        <v>1177</v>
      </c>
    </row>
    <row r="1994" spans="1:4" ht="12.95" customHeight="1" x14ac:dyDescent="0.25">
      <c r="A1994" s="2" t="s">
        <v>314</v>
      </c>
      <c r="B1994" s="2" t="s">
        <v>1146</v>
      </c>
      <c r="C1994" s="5" t="s">
        <v>1084</v>
      </c>
      <c r="D1994" s="2" t="s">
        <v>1085</v>
      </c>
    </row>
    <row r="1995" spans="1:4" ht="12.95" customHeight="1" x14ac:dyDescent="0.25">
      <c r="A1995" s="2" t="s">
        <v>314</v>
      </c>
      <c r="B1995" s="2" t="s">
        <v>1146</v>
      </c>
      <c r="C1995" s="5" t="s">
        <v>1086</v>
      </c>
      <c r="D1995" s="2" t="s">
        <v>1087</v>
      </c>
    </row>
    <row r="1996" spans="1:4" ht="12.95" customHeight="1" x14ac:dyDescent="0.25">
      <c r="A1996" s="2" t="s">
        <v>314</v>
      </c>
      <c r="B1996" s="2" t="s">
        <v>1146</v>
      </c>
      <c r="C1996" s="5" t="s">
        <v>1088</v>
      </c>
      <c r="D1996" s="2" t="s">
        <v>1089</v>
      </c>
    </row>
    <row r="1997" spans="1:4" ht="12.95" customHeight="1" x14ac:dyDescent="0.25">
      <c r="A1997" s="2" t="s">
        <v>314</v>
      </c>
      <c r="B1997" s="2" t="s">
        <v>1146</v>
      </c>
      <c r="C1997" s="5" t="s">
        <v>1090</v>
      </c>
      <c r="D1997" s="2" t="s">
        <v>3219</v>
      </c>
    </row>
    <row r="1998" spans="1:4" ht="12.95" customHeight="1" x14ac:dyDescent="0.25">
      <c r="A1998" s="2" t="s">
        <v>314</v>
      </c>
      <c r="B1998" s="2" t="s">
        <v>1146</v>
      </c>
      <c r="C1998" s="5" t="s">
        <v>1092</v>
      </c>
      <c r="D1998" s="2" t="s">
        <v>3220</v>
      </c>
    </row>
    <row r="1999" spans="1:4" ht="12.95" customHeight="1" x14ac:dyDescent="0.25">
      <c r="A1999" s="2" t="s">
        <v>314</v>
      </c>
      <c r="B1999" s="2" t="s">
        <v>1146</v>
      </c>
      <c r="C1999" s="5" t="s">
        <v>1094</v>
      </c>
      <c r="D1999" s="2" t="s">
        <v>3221</v>
      </c>
    </row>
    <row r="2000" spans="1:4" ht="12.95" customHeight="1" x14ac:dyDescent="0.25">
      <c r="A2000" s="2" t="s">
        <v>314</v>
      </c>
      <c r="B2000" s="2" t="s">
        <v>1146</v>
      </c>
      <c r="C2000" s="5" t="s">
        <v>1096</v>
      </c>
      <c r="D2000" s="2" t="s">
        <v>3222</v>
      </c>
    </row>
    <row r="2001" spans="1:4" ht="12.95" customHeight="1" x14ac:dyDescent="0.25">
      <c r="A2001" s="2" t="s">
        <v>314</v>
      </c>
      <c r="B2001" s="2" t="s">
        <v>1146</v>
      </c>
      <c r="C2001" s="5" t="s">
        <v>1098</v>
      </c>
      <c r="D2001" s="2" t="s">
        <v>3223</v>
      </c>
    </row>
    <row r="2002" spans="1:4" ht="12.95" customHeight="1" x14ac:dyDescent="0.25">
      <c r="A2002" s="2" t="s">
        <v>314</v>
      </c>
      <c r="B2002" s="2" t="s">
        <v>1146</v>
      </c>
      <c r="C2002" s="5" t="s">
        <v>1100</v>
      </c>
      <c r="D2002" s="2" t="s">
        <v>3224</v>
      </c>
    </row>
    <row r="2003" spans="1:4" ht="12.95" customHeight="1" x14ac:dyDescent="0.25">
      <c r="A2003" s="2" t="s">
        <v>314</v>
      </c>
      <c r="B2003" s="2" t="s">
        <v>1146</v>
      </c>
      <c r="C2003" s="5" t="s">
        <v>1109</v>
      </c>
      <c r="D2003" s="2" t="s">
        <v>3225</v>
      </c>
    </row>
    <row r="2004" spans="1:4" ht="12.95" customHeight="1" x14ac:dyDescent="0.25">
      <c r="A2004" s="2" t="s">
        <v>314</v>
      </c>
      <c r="B2004" s="2" t="s">
        <v>1146</v>
      </c>
      <c r="C2004" s="5" t="s">
        <v>1119</v>
      </c>
      <c r="D2004" s="2" t="s">
        <v>3226</v>
      </c>
    </row>
    <row r="2005" spans="1:4" ht="12.95" customHeight="1" x14ac:dyDescent="0.25">
      <c r="A2005" s="2" t="s">
        <v>314</v>
      </c>
      <c r="B2005" s="2" t="s">
        <v>1146</v>
      </c>
      <c r="C2005" s="5" t="s">
        <v>1121</v>
      </c>
      <c r="D2005" s="2" t="s">
        <v>3227</v>
      </c>
    </row>
    <row r="2006" spans="1:4" ht="12.95" customHeight="1" x14ac:dyDescent="0.25">
      <c r="A2006" s="2" t="s">
        <v>314</v>
      </c>
      <c r="B2006" s="2" t="s">
        <v>1146</v>
      </c>
      <c r="C2006" s="5" t="s">
        <v>1123</v>
      </c>
      <c r="D2006" s="2" t="s">
        <v>3228</v>
      </c>
    </row>
    <row r="2007" spans="1:4" ht="12.95" customHeight="1" x14ac:dyDescent="0.25">
      <c r="A2007" s="2" t="s">
        <v>314</v>
      </c>
      <c r="B2007" s="2" t="s">
        <v>1146</v>
      </c>
      <c r="C2007" s="5" t="s">
        <v>1125</v>
      </c>
      <c r="D2007" s="2" t="s">
        <v>3229</v>
      </c>
    </row>
    <row r="2008" spans="1:4" ht="12.95" customHeight="1" x14ac:dyDescent="0.25">
      <c r="A2008" s="2" t="s">
        <v>314</v>
      </c>
      <c r="B2008" s="2" t="s">
        <v>1146</v>
      </c>
      <c r="C2008" s="5" t="s">
        <v>1127</v>
      </c>
      <c r="D2008" s="2" t="s">
        <v>1177</v>
      </c>
    </row>
    <row r="2009" spans="1:4" ht="12.95" customHeight="1" x14ac:dyDescent="0.25">
      <c r="A2009" s="2" t="s">
        <v>317</v>
      </c>
      <c r="B2009" s="2" t="s">
        <v>1146</v>
      </c>
      <c r="C2009" s="5" t="s">
        <v>1084</v>
      </c>
      <c r="D2009" s="2" t="s">
        <v>1085</v>
      </c>
    </row>
    <row r="2010" spans="1:4" ht="12.95" customHeight="1" x14ac:dyDescent="0.25">
      <c r="A2010" s="2" t="s">
        <v>317</v>
      </c>
      <c r="B2010" s="2" t="s">
        <v>1146</v>
      </c>
      <c r="C2010" s="5" t="s">
        <v>1086</v>
      </c>
      <c r="D2010" s="2" t="s">
        <v>1087</v>
      </c>
    </row>
    <row r="2011" spans="1:4" ht="12.95" customHeight="1" x14ac:dyDescent="0.25">
      <c r="A2011" s="2" t="s">
        <v>317</v>
      </c>
      <c r="B2011" s="2" t="s">
        <v>1146</v>
      </c>
      <c r="C2011" s="5" t="s">
        <v>1088</v>
      </c>
      <c r="D2011" s="2" t="s">
        <v>1089</v>
      </c>
    </row>
    <row r="2012" spans="1:4" ht="12.95" customHeight="1" x14ac:dyDescent="0.25">
      <c r="A2012" s="2" t="s">
        <v>317</v>
      </c>
      <c r="B2012" s="2" t="s">
        <v>1146</v>
      </c>
      <c r="C2012" s="5" t="s">
        <v>1090</v>
      </c>
      <c r="D2012" s="2" t="s">
        <v>3219</v>
      </c>
    </row>
    <row r="2013" spans="1:4" ht="12.95" customHeight="1" x14ac:dyDescent="0.25">
      <c r="A2013" s="2" t="s">
        <v>317</v>
      </c>
      <c r="B2013" s="2" t="s">
        <v>1146</v>
      </c>
      <c r="C2013" s="5" t="s">
        <v>1092</v>
      </c>
      <c r="D2013" s="2" t="s">
        <v>3220</v>
      </c>
    </row>
    <row r="2014" spans="1:4" ht="12.95" customHeight="1" x14ac:dyDescent="0.25">
      <c r="A2014" s="2" t="s">
        <v>317</v>
      </c>
      <c r="B2014" s="2" t="s">
        <v>1146</v>
      </c>
      <c r="C2014" s="5" t="s">
        <v>1094</v>
      </c>
      <c r="D2014" s="2" t="s">
        <v>3221</v>
      </c>
    </row>
    <row r="2015" spans="1:4" ht="12.95" customHeight="1" x14ac:dyDescent="0.25">
      <c r="A2015" s="2" t="s">
        <v>317</v>
      </c>
      <c r="B2015" s="2" t="s">
        <v>1146</v>
      </c>
      <c r="C2015" s="5" t="s">
        <v>1096</v>
      </c>
      <c r="D2015" s="2" t="s">
        <v>3222</v>
      </c>
    </row>
    <row r="2016" spans="1:4" ht="12.95" customHeight="1" x14ac:dyDescent="0.25">
      <c r="A2016" s="2" t="s">
        <v>317</v>
      </c>
      <c r="B2016" s="2" t="s">
        <v>1146</v>
      </c>
      <c r="C2016" s="5" t="s">
        <v>1098</v>
      </c>
      <c r="D2016" s="2" t="s">
        <v>3223</v>
      </c>
    </row>
    <row r="2017" spans="1:4" ht="12.95" customHeight="1" x14ac:dyDescent="0.25">
      <c r="A2017" s="2" t="s">
        <v>317</v>
      </c>
      <c r="B2017" s="2" t="s">
        <v>1146</v>
      </c>
      <c r="C2017" s="5" t="s">
        <v>1100</v>
      </c>
      <c r="D2017" s="2" t="s">
        <v>3224</v>
      </c>
    </row>
    <row r="2018" spans="1:4" ht="12.95" customHeight="1" x14ac:dyDescent="0.25">
      <c r="A2018" s="2" t="s">
        <v>317</v>
      </c>
      <c r="B2018" s="2" t="s">
        <v>1146</v>
      </c>
      <c r="C2018" s="5" t="s">
        <v>1109</v>
      </c>
      <c r="D2018" s="2" t="s">
        <v>3225</v>
      </c>
    </row>
    <row r="2019" spans="1:4" ht="12.95" customHeight="1" x14ac:dyDescent="0.25">
      <c r="A2019" s="2" t="s">
        <v>317</v>
      </c>
      <c r="B2019" s="2" t="s">
        <v>1146</v>
      </c>
      <c r="C2019" s="5" t="s">
        <v>1119</v>
      </c>
      <c r="D2019" s="2" t="s">
        <v>3226</v>
      </c>
    </row>
    <row r="2020" spans="1:4" ht="12.95" customHeight="1" x14ac:dyDescent="0.25">
      <c r="A2020" s="2" t="s">
        <v>317</v>
      </c>
      <c r="B2020" s="2" t="s">
        <v>1146</v>
      </c>
      <c r="C2020" s="5" t="s">
        <v>1121</v>
      </c>
      <c r="D2020" s="2" t="s">
        <v>3227</v>
      </c>
    </row>
    <row r="2021" spans="1:4" ht="12.95" customHeight="1" x14ac:dyDescent="0.25">
      <c r="A2021" s="2" t="s">
        <v>317</v>
      </c>
      <c r="B2021" s="2" t="s">
        <v>1146</v>
      </c>
      <c r="C2021" s="5" t="s">
        <v>1123</v>
      </c>
      <c r="D2021" s="2" t="s">
        <v>3228</v>
      </c>
    </row>
    <row r="2022" spans="1:4" ht="12.95" customHeight="1" x14ac:dyDescent="0.25">
      <c r="A2022" s="2" t="s">
        <v>317</v>
      </c>
      <c r="B2022" s="2" t="s">
        <v>1146</v>
      </c>
      <c r="C2022" s="5" t="s">
        <v>1125</v>
      </c>
      <c r="D2022" s="2" t="s">
        <v>3229</v>
      </c>
    </row>
    <row r="2023" spans="1:4" ht="12.95" customHeight="1" x14ac:dyDescent="0.25">
      <c r="A2023" s="2" t="s">
        <v>317</v>
      </c>
      <c r="B2023" s="2" t="s">
        <v>1146</v>
      </c>
      <c r="C2023" s="5" t="s">
        <v>1127</v>
      </c>
      <c r="D2023" s="2" t="s">
        <v>1177</v>
      </c>
    </row>
    <row r="2024" spans="1:4" ht="12.95" customHeight="1" x14ac:dyDescent="0.25">
      <c r="A2024" s="2" t="s">
        <v>320</v>
      </c>
      <c r="B2024" s="2" t="s">
        <v>1146</v>
      </c>
      <c r="C2024" s="5" t="s">
        <v>1084</v>
      </c>
      <c r="D2024" s="2" t="s">
        <v>1085</v>
      </c>
    </row>
    <row r="2025" spans="1:4" ht="12.95" customHeight="1" x14ac:dyDescent="0.25">
      <c r="A2025" s="2" t="s">
        <v>320</v>
      </c>
      <c r="B2025" s="2" t="s">
        <v>1146</v>
      </c>
      <c r="C2025" s="5" t="s">
        <v>1086</v>
      </c>
      <c r="D2025" s="2" t="s">
        <v>1087</v>
      </c>
    </row>
    <row r="2026" spans="1:4" ht="12.95" customHeight="1" x14ac:dyDescent="0.25">
      <c r="A2026" s="2" t="s">
        <v>320</v>
      </c>
      <c r="B2026" s="2" t="s">
        <v>1146</v>
      </c>
      <c r="C2026" s="5" t="s">
        <v>1088</v>
      </c>
      <c r="D2026" s="2" t="s">
        <v>1089</v>
      </c>
    </row>
    <row r="2027" spans="1:4" ht="12.95" customHeight="1" x14ac:dyDescent="0.25">
      <c r="A2027" s="2" t="s">
        <v>320</v>
      </c>
      <c r="B2027" s="2" t="s">
        <v>1146</v>
      </c>
      <c r="C2027" s="5" t="s">
        <v>1090</v>
      </c>
      <c r="D2027" s="2" t="s">
        <v>3219</v>
      </c>
    </row>
    <row r="2028" spans="1:4" ht="12.95" customHeight="1" x14ac:dyDescent="0.25">
      <c r="A2028" s="2" t="s">
        <v>320</v>
      </c>
      <c r="B2028" s="2" t="s">
        <v>1146</v>
      </c>
      <c r="C2028" s="5" t="s">
        <v>1092</v>
      </c>
      <c r="D2028" s="2" t="s">
        <v>3220</v>
      </c>
    </row>
    <row r="2029" spans="1:4" ht="12.95" customHeight="1" x14ac:dyDescent="0.25">
      <c r="A2029" s="2" t="s">
        <v>320</v>
      </c>
      <c r="B2029" s="2" t="s">
        <v>1146</v>
      </c>
      <c r="C2029" s="5" t="s">
        <v>1094</v>
      </c>
      <c r="D2029" s="2" t="s">
        <v>3221</v>
      </c>
    </row>
    <row r="2030" spans="1:4" ht="12.95" customHeight="1" x14ac:dyDescent="0.25">
      <c r="A2030" s="2" t="s">
        <v>320</v>
      </c>
      <c r="B2030" s="2" t="s">
        <v>1146</v>
      </c>
      <c r="C2030" s="5" t="s">
        <v>1096</v>
      </c>
      <c r="D2030" s="2" t="s">
        <v>3222</v>
      </c>
    </row>
    <row r="2031" spans="1:4" ht="12.95" customHeight="1" x14ac:dyDescent="0.25">
      <c r="A2031" s="2" t="s">
        <v>320</v>
      </c>
      <c r="B2031" s="2" t="s">
        <v>1146</v>
      </c>
      <c r="C2031" s="5" t="s">
        <v>1098</v>
      </c>
      <c r="D2031" s="2" t="s">
        <v>3223</v>
      </c>
    </row>
    <row r="2032" spans="1:4" ht="12.95" customHeight="1" x14ac:dyDescent="0.25">
      <c r="A2032" s="2" t="s">
        <v>320</v>
      </c>
      <c r="B2032" s="2" t="s">
        <v>1146</v>
      </c>
      <c r="C2032" s="5" t="s">
        <v>1100</v>
      </c>
      <c r="D2032" s="2" t="s">
        <v>3224</v>
      </c>
    </row>
    <row r="2033" spans="1:4" ht="12.95" customHeight="1" x14ac:dyDescent="0.25">
      <c r="A2033" s="2" t="s">
        <v>320</v>
      </c>
      <c r="B2033" s="2" t="s">
        <v>1146</v>
      </c>
      <c r="C2033" s="5" t="s">
        <v>1109</v>
      </c>
      <c r="D2033" s="2" t="s">
        <v>3225</v>
      </c>
    </row>
    <row r="2034" spans="1:4" ht="12.95" customHeight="1" x14ac:dyDescent="0.25">
      <c r="A2034" s="2" t="s">
        <v>320</v>
      </c>
      <c r="B2034" s="2" t="s">
        <v>1146</v>
      </c>
      <c r="C2034" s="5" t="s">
        <v>1119</v>
      </c>
      <c r="D2034" s="2" t="s">
        <v>3226</v>
      </c>
    </row>
    <row r="2035" spans="1:4" ht="12.95" customHeight="1" x14ac:dyDescent="0.25">
      <c r="A2035" s="2" t="s">
        <v>320</v>
      </c>
      <c r="B2035" s="2" t="s">
        <v>1146</v>
      </c>
      <c r="C2035" s="5" t="s">
        <v>1121</v>
      </c>
      <c r="D2035" s="2" t="s">
        <v>3227</v>
      </c>
    </row>
    <row r="2036" spans="1:4" ht="12.95" customHeight="1" x14ac:dyDescent="0.25">
      <c r="A2036" s="2" t="s">
        <v>320</v>
      </c>
      <c r="B2036" s="2" t="s">
        <v>1146</v>
      </c>
      <c r="C2036" s="5" t="s">
        <v>1123</v>
      </c>
      <c r="D2036" s="2" t="s">
        <v>3228</v>
      </c>
    </row>
    <row r="2037" spans="1:4" ht="12.95" customHeight="1" x14ac:dyDescent="0.25">
      <c r="A2037" s="2" t="s">
        <v>320</v>
      </c>
      <c r="B2037" s="2" t="s">
        <v>1146</v>
      </c>
      <c r="C2037" s="5" t="s">
        <v>1125</v>
      </c>
      <c r="D2037" s="2" t="s">
        <v>3229</v>
      </c>
    </row>
    <row r="2038" spans="1:4" ht="12.95" customHeight="1" x14ac:dyDescent="0.25">
      <c r="A2038" s="2" t="s">
        <v>320</v>
      </c>
      <c r="B2038" s="2" t="s">
        <v>1146</v>
      </c>
      <c r="C2038" s="5" t="s">
        <v>1127</v>
      </c>
      <c r="D2038" s="2" t="s">
        <v>1177</v>
      </c>
    </row>
    <row r="2039" spans="1:4" ht="12.95" customHeight="1" x14ac:dyDescent="0.25">
      <c r="A2039" s="2" t="s">
        <v>323</v>
      </c>
      <c r="B2039" s="2" t="s">
        <v>1146</v>
      </c>
      <c r="C2039" s="5" t="s">
        <v>1084</v>
      </c>
      <c r="D2039" s="2" t="s">
        <v>1085</v>
      </c>
    </row>
    <row r="2040" spans="1:4" ht="12.95" customHeight="1" x14ac:dyDescent="0.25">
      <c r="A2040" s="2" t="s">
        <v>323</v>
      </c>
      <c r="B2040" s="2" t="s">
        <v>1146</v>
      </c>
      <c r="C2040" s="5" t="s">
        <v>1086</v>
      </c>
      <c r="D2040" s="2" t="s">
        <v>1087</v>
      </c>
    </row>
    <row r="2041" spans="1:4" ht="12.95" customHeight="1" x14ac:dyDescent="0.25">
      <c r="A2041" s="2" t="s">
        <v>323</v>
      </c>
      <c r="B2041" s="2" t="s">
        <v>1146</v>
      </c>
      <c r="C2041" s="5" t="s">
        <v>1088</v>
      </c>
      <c r="D2041" s="2" t="s">
        <v>1089</v>
      </c>
    </row>
    <row r="2042" spans="1:4" ht="12.95" customHeight="1" x14ac:dyDescent="0.25">
      <c r="A2042" s="2" t="s">
        <v>323</v>
      </c>
      <c r="B2042" s="2" t="s">
        <v>1146</v>
      </c>
      <c r="C2042" s="5" t="s">
        <v>1090</v>
      </c>
      <c r="D2042" s="2" t="s">
        <v>3219</v>
      </c>
    </row>
    <row r="2043" spans="1:4" ht="12.95" customHeight="1" x14ac:dyDescent="0.25">
      <c r="A2043" s="2" t="s">
        <v>323</v>
      </c>
      <c r="B2043" s="2" t="s">
        <v>1146</v>
      </c>
      <c r="C2043" s="5" t="s">
        <v>1092</v>
      </c>
      <c r="D2043" s="2" t="s">
        <v>3220</v>
      </c>
    </row>
    <row r="2044" spans="1:4" ht="12.95" customHeight="1" x14ac:dyDescent="0.25">
      <c r="A2044" s="2" t="s">
        <v>323</v>
      </c>
      <c r="B2044" s="2" t="s">
        <v>1146</v>
      </c>
      <c r="C2044" s="5" t="s">
        <v>1094</v>
      </c>
      <c r="D2044" s="2" t="s">
        <v>3221</v>
      </c>
    </row>
    <row r="2045" spans="1:4" ht="12.95" customHeight="1" x14ac:dyDescent="0.25">
      <c r="A2045" s="2" t="s">
        <v>323</v>
      </c>
      <c r="B2045" s="2" t="s">
        <v>1146</v>
      </c>
      <c r="C2045" s="5" t="s">
        <v>1096</v>
      </c>
      <c r="D2045" s="2" t="s">
        <v>3222</v>
      </c>
    </row>
    <row r="2046" spans="1:4" ht="12.95" customHeight="1" x14ac:dyDescent="0.25">
      <c r="A2046" s="2" t="s">
        <v>323</v>
      </c>
      <c r="B2046" s="2" t="s">
        <v>1146</v>
      </c>
      <c r="C2046" s="5" t="s">
        <v>1098</v>
      </c>
      <c r="D2046" s="2" t="s">
        <v>3223</v>
      </c>
    </row>
    <row r="2047" spans="1:4" ht="12.95" customHeight="1" x14ac:dyDescent="0.25">
      <c r="A2047" s="2" t="s">
        <v>323</v>
      </c>
      <c r="B2047" s="2" t="s">
        <v>1146</v>
      </c>
      <c r="C2047" s="5" t="s">
        <v>1100</v>
      </c>
      <c r="D2047" s="2" t="s">
        <v>3224</v>
      </c>
    </row>
    <row r="2048" spans="1:4" ht="12.95" customHeight="1" x14ac:dyDescent="0.25">
      <c r="A2048" s="2" t="s">
        <v>323</v>
      </c>
      <c r="B2048" s="2" t="s">
        <v>1146</v>
      </c>
      <c r="C2048" s="5" t="s">
        <v>1109</v>
      </c>
      <c r="D2048" s="2" t="s">
        <v>3225</v>
      </c>
    </row>
    <row r="2049" spans="1:4" ht="12.95" customHeight="1" x14ac:dyDescent="0.25">
      <c r="A2049" s="2" t="s">
        <v>323</v>
      </c>
      <c r="B2049" s="2" t="s">
        <v>1146</v>
      </c>
      <c r="C2049" s="5" t="s">
        <v>1119</v>
      </c>
      <c r="D2049" s="2" t="s">
        <v>3226</v>
      </c>
    </row>
    <row r="2050" spans="1:4" ht="12.95" customHeight="1" x14ac:dyDescent="0.25">
      <c r="A2050" s="2" t="s">
        <v>323</v>
      </c>
      <c r="B2050" s="2" t="s">
        <v>1146</v>
      </c>
      <c r="C2050" s="5" t="s">
        <v>1121</v>
      </c>
      <c r="D2050" s="2" t="s">
        <v>3227</v>
      </c>
    </row>
    <row r="2051" spans="1:4" ht="12.95" customHeight="1" x14ac:dyDescent="0.25">
      <c r="A2051" s="2" t="s">
        <v>323</v>
      </c>
      <c r="B2051" s="2" t="s">
        <v>1146</v>
      </c>
      <c r="C2051" s="5" t="s">
        <v>1123</v>
      </c>
      <c r="D2051" s="2" t="s">
        <v>3228</v>
      </c>
    </row>
    <row r="2052" spans="1:4" ht="12.95" customHeight="1" x14ac:dyDescent="0.25">
      <c r="A2052" s="2" t="s">
        <v>323</v>
      </c>
      <c r="B2052" s="2" t="s">
        <v>1146</v>
      </c>
      <c r="C2052" s="5" t="s">
        <v>1125</v>
      </c>
      <c r="D2052" s="2" t="s">
        <v>3229</v>
      </c>
    </row>
    <row r="2053" spans="1:4" ht="12.95" customHeight="1" x14ac:dyDescent="0.25">
      <c r="A2053" s="2" t="s">
        <v>323</v>
      </c>
      <c r="B2053" s="2" t="s">
        <v>1146</v>
      </c>
      <c r="C2053" s="5" t="s">
        <v>1127</v>
      </c>
      <c r="D2053" s="2" t="s">
        <v>1177</v>
      </c>
    </row>
    <row r="2054" spans="1:4" ht="12.95" customHeight="1" x14ac:dyDescent="0.25">
      <c r="A2054" s="2" t="s">
        <v>326</v>
      </c>
      <c r="B2054" s="2" t="s">
        <v>1146</v>
      </c>
      <c r="C2054" s="5" t="s">
        <v>1084</v>
      </c>
      <c r="D2054" s="2" t="s">
        <v>1085</v>
      </c>
    </row>
    <row r="2055" spans="1:4" ht="12.95" customHeight="1" x14ac:dyDescent="0.25">
      <c r="A2055" s="2" t="s">
        <v>326</v>
      </c>
      <c r="B2055" s="2" t="s">
        <v>1146</v>
      </c>
      <c r="C2055" s="5" t="s">
        <v>1086</v>
      </c>
      <c r="D2055" s="2" t="s">
        <v>1087</v>
      </c>
    </row>
    <row r="2056" spans="1:4" ht="12.95" customHeight="1" x14ac:dyDescent="0.25">
      <c r="A2056" s="2" t="s">
        <v>326</v>
      </c>
      <c r="B2056" s="2" t="s">
        <v>1146</v>
      </c>
      <c r="C2056" s="5" t="s">
        <v>1088</v>
      </c>
      <c r="D2056" s="2" t="s">
        <v>1089</v>
      </c>
    </row>
    <row r="2057" spans="1:4" ht="12.95" customHeight="1" x14ac:dyDescent="0.25">
      <c r="A2057" s="2" t="s">
        <v>326</v>
      </c>
      <c r="B2057" s="2" t="s">
        <v>1146</v>
      </c>
      <c r="C2057" s="5" t="s">
        <v>1090</v>
      </c>
      <c r="D2057" s="2" t="s">
        <v>3219</v>
      </c>
    </row>
    <row r="2058" spans="1:4" ht="12.95" customHeight="1" x14ac:dyDescent="0.25">
      <c r="A2058" s="2" t="s">
        <v>326</v>
      </c>
      <c r="B2058" s="2" t="s">
        <v>1146</v>
      </c>
      <c r="C2058" s="5" t="s">
        <v>1092</v>
      </c>
      <c r="D2058" s="2" t="s">
        <v>3220</v>
      </c>
    </row>
    <row r="2059" spans="1:4" ht="12.95" customHeight="1" x14ac:dyDescent="0.25">
      <c r="A2059" s="2" t="s">
        <v>326</v>
      </c>
      <c r="B2059" s="2" t="s">
        <v>1146</v>
      </c>
      <c r="C2059" s="5" t="s">
        <v>1094</v>
      </c>
      <c r="D2059" s="2" t="s">
        <v>3221</v>
      </c>
    </row>
    <row r="2060" spans="1:4" ht="12.95" customHeight="1" x14ac:dyDescent="0.25">
      <c r="A2060" s="2" t="s">
        <v>326</v>
      </c>
      <c r="B2060" s="2" t="s">
        <v>1146</v>
      </c>
      <c r="C2060" s="5" t="s">
        <v>1096</v>
      </c>
      <c r="D2060" s="2" t="s">
        <v>3222</v>
      </c>
    </row>
    <row r="2061" spans="1:4" ht="12.95" customHeight="1" x14ac:dyDescent="0.25">
      <c r="A2061" s="2" t="s">
        <v>326</v>
      </c>
      <c r="B2061" s="2" t="s">
        <v>1146</v>
      </c>
      <c r="C2061" s="5" t="s">
        <v>1098</v>
      </c>
      <c r="D2061" s="2" t="s">
        <v>3223</v>
      </c>
    </row>
    <row r="2062" spans="1:4" ht="12.95" customHeight="1" x14ac:dyDescent="0.25">
      <c r="A2062" s="2" t="s">
        <v>326</v>
      </c>
      <c r="B2062" s="2" t="s">
        <v>1146</v>
      </c>
      <c r="C2062" s="5" t="s">
        <v>1100</v>
      </c>
      <c r="D2062" s="2" t="s">
        <v>3224</v>
      </c>
    </row>
    <row r="2063" spans="1:4" ht="12.95" customHeight="1" x14ac:dyDescent="0.25">
      <c r="A2063" s="2" t="s">
        <v>326</v>
      </c>
      <c r="B2063" s="2" t="s">
        <v>1146</v>
      </c>
      <c r="C2063" s="5" t="s">
        <v>1109</v>
      </c>
      <c r="D2063" s="2" t="s">
        <v>3225</v>
      </c>
    </row>
    <row r="2064" spans="1:4" ht="12.95" customHeight="1" x14ac:dyDescent="0.25">
      <c r="A2064" s="2" t="s">
        <v>326</v>
      </c>
      <c r="B2064" s="2" t="s">
        <v>1146</v>
      </c>
      <c r="C2064" s="5" t="s">
        <v>1119</v>
      </c>
      <c r="D2064" s="2" t="s">
        <v>3226</v>
      </c>
    </row>
    <row r="2065" spans="1:4" ht="12.95" customHeight="1" x14ac:dyDescent="0.25">
      <c r="A2065" s="2" t="s">
        <v>326</v>
      </c>
      <c r="B2065" s="2" t="s">
        <v>1146</v>
      </c>
      <c r="C2065" s="5" t="s">
        <v>1121</v>
      </c>
      <c r="D2065" s="2" t="s">
        <v>3227</v>
      </c>
    </row>
    <row r="2066" spans="1:4" ht="12.95" customHeight="1" x14ac:dyDescent="0.25">
      <c r="A2066" s="2" t="s">
        <v>326</v>
      </c>
      <c r="B2066" s="2" t="s">
        <v>1146</v>
      </c>
      <c r="C2066" s="5" t="s">
        <v>1123</v>
      </c>
      <c r="D2066" s="2" t="s">
        <v>3228</v>
      </c>
    </row>
    <row r="2067" spans="1:4" ht="12.95" customHeight="1" x14ac:dyDescent="0.25">
      <c r="A2067" s="2" t="s">
        <v>326</v>
      </c>
      <c r="B2067" s="2" t="s">
        <v>1146</v>
      </c>
      <c r="C2067" s="5" t="s">
        <v>1125</v>
      </c>
      <c r="D2067" s="2" t="s">
        <v>3229</v>
      </c>
    </row>
    <row r="2068" spans="1:4" ht="12.95" customHeight="1" x14ac:dyDescent="0.25">
      <c r="A2068" s="2" t="s">
        <v>326</v>
      </c>
      <c r="B2068" s="2" t="s">
        <v>1146</v>
      </c>
      <c r="C2068" s="5" t="s">
        <v>1127</v>
      </c>
      <c r="D2068" s="2" t="s">
        <v>1177</v>
      </c>
    </row>
    <row r="2069" spans="1:4" ht="12.95" customHeight="1" x14ac:dyDescent="0.25">
      <c r="A2069" s="2" t="s">
        <v>329</v>
      </c>
      <c r="B2069" s="2" t="s">
        <v>1146</v>
      </c>
      <c r="C2069" s="5" t="s">
        <v>1084</v>
      </c>
      <c r="D2069" s="2" t="s">
        <v>1085</v>
      </c>
    </row>
    <row r="2070" spans="1:4" ht="12.95" customHeight="1" x14ac:dyDescent="0.25">
      <c r="A2070" s="2" t="s">
        <v>329</v>
      </c>
      <c r="B2070" s="2" t="s">
        <v>1146</v>
      </c>
      <c r="C2070" s="5" t="s">
        <v>1086</v>
      </c>
      <c r="D2070" s="2" t="s">
        <v>1087</v>
      </c>
    </row>
    <row r="2071" spans="1:4" ht="12.95" customHeight="1" x14ac:dyDescent="0.25">
      <c r="A2071" s="2" t="s">
        <v>329</v>
      </c>
      <c r="B2071" s="2" t="s">
        <v>1146</v>
      </c>
      <c r="C2071" s="5" t="s">
        <v>1088</v>
      </c>
      <c r="D2071" s="2" t="s">
        <v>1089</v>
      </c>
    </row>
    <row r="2072" spans="1:4" ht="12.95" customHeight="1" x14ac:dyDescent="0.25">
      <c r="A2072" s="2" t="s">
        <v>329</v>
      </c>
      <c r="B2072" s="2" t="s">
        <v>1146</v>
      </c>
      <c r="C2072" s="5" t="s">
        <v>1090</v>
      </c>
      <c r="D2072" s="2" t="s">
        <v>3219</v>
      </c>
    </row>
    <row r="2073" spans="1:4" ht="12.95" customHeight="1" x14ac:dyDescent="0.25">
      <c r="A2073" s="2" t="s">
        <v>329</v>
      </c>
      <c r="B2073" s="2" t="s">
        <v>1146</v>
      </c>
      <c r="C2073" s="5" t="s">
        <v>1092</v>
      </c>
      <c r="D2073" s="2" t="s">
        <v>3220</v>
      </c>
    </row>
    <row r="2074" spans="1:4" ht="12.95" customHeight="1" x14ac:dyDescent="0.25">
      <c r="A2074" s="2" t="s">
        <v>329</v>
      </c>
      <c r="B2074" s="2" t="s">
        <v>1146</v>
      </c>
      <c r="C2074" s="5" t="s">
        <v>1094</v>
      </c>
      <c r="D2074" s="2" t="s">
        <v>3221</v>
      </c>
    </row>
    <row r="2075" spans="1:4" ht="12.95" customHeight="1" x14ac:dyDescent="0.25">
      <c r="A2075" s="2" t="s">
        <v>329</v>
      </c>
      <c r="B2075" s="2" t="s">
        <v>1146</v>
      </c>
      <c r="C2075" s="5" t="s">
        <v>1096</v>
      </c>
      <c r="D2075" s="2" t="s">
        <v>3222</v>
      </c>
    </row>
    <row r="2076" spans="1:4" ht="12.95" customHeight="1" x14ac:dyDescent="0.25">
      <c r="A2076" s="2" t="s">
        <v>329</v>
      </c>
      <c r="B2076" s="2" t="s">
        <v>1146</v>
      </c>
      <c r="C2076" s="5" t="s">
        <v>1098</v>
      </c>
      <c r="D2076" s="2" t="s">
        <v>3223</v>
      </c>
    </row>
    <row r="2077" spans="1:4" ht="12.95" customHeight="1" x14ac:dyDescent="0.25">
      <c r="A2077" s="2" t="s">
        <v>329</v>
      </c>
      <c r="B2077" s="2" t="s">
        <v>1146</v>
      </c>
      <c r="C2077" s="5" t="s">
        <v>1100</v>
      </c>
      <c r="D2077" s="2" t="s">
        <v>3224</v>
      </c>
    </row>
    <row r="2078" spans="1:4" ht="12.95" customHeight="1" x14ac:dyDescent="0.25">
      <c r="A2078" s="2" t="s">
        <v>329</v>
      </c>
      <c r="B2078" s="2" t="s">
        <v>1146</v>
      </c>
      <c r="C2078" s="5" t="s">
        <v>1109</v>
      </c>
      <c r="D2078" s="2" t="s">
        <v>3225</v>
      </c>
    </row>
    <row r="2079" spans="1:4" ht="12.95" customHeight="1" x14ac:dyDescent="0.25">
      <c r="A2079" s="2" t="s">
        <v>329</v>
      </c>
      <c r="B2079" s="2" t="s">
        <v>1146</v>
      </c>
      <c r="C2079" s="5" t="s">
        <v>1119</v>
      </c>
      <c r="D2079" s="2" t="s">
        <v>3226</v>
      </c>
    </row>
    <row r="2080" spans="1:4" ht="12.95" customHeight="1" x14ac:dyDescent="0.25">
      <c r="A2080" s="2" t="s">
        <v>329</v>
      </c>
      <c r="B2080" s="2" t="s">
        <v>1146</v>
      </c>
      <c r="C2080" s="5" t="s">
        <v>1121</v>
      </c>
      <c r="D2080" s="2" t="s">
        <v>3227</v>
      </c>
    </row>
    <row r="2081" spans="1:4" ht="12.95" customHeight="1" x14ac:dyDescent="0.25">
      <c r="A2081" s="2" t="s">
        <v>329</v>
      </c>
      <c r="B2081" s="2" t="s">
        <v>1146</v>
      </c>
      <c r="C2081" s="5" t="s">
        <v>1123</v>
      </c>
      <c r="D2081" s="2" t="s">
        <v>3228</v>
      </c>
    </row>
    <row r="2082" spans="1:4" ht="12.95" customHeight="1" x14ac:dyDescent="0.25">
      <c r="A2082" s="2" t="s">
        <v>329</v>
      </c>
      <c r="B2082" s="2" t="s">
        <v>1146</v>
      </c>
      <c r="C2082" s="5" t="s">
        <v>1125</v>
      </c>
      <c r="D2082" s="2" t="s">
        <v>3229</v>
      </c>
    </row>
    <row r="2083" spans="1:4" ht="12.95" customHeight="1" x14ac:dyDescent="0.25">
      <c r="A2083" s="2" t="s">
        <v>329</v>
      </c>
      <c r="B2083" s="2" t="s">
        <v>1146</v>
      </c>
      <c r="C2083" s="5" t="s">
        <v>1127</v>
      </c>
      <c r="D2083" s="2" t="s">
        <v>1177</v>
      </c>
    </row>
    <row r="2084" spans="1:4" ht="12.95" customHeight="1" x14ac:dyDescent="0.25">
      <c r="A2084" s="2" t="s">
        <v>332</v>
      </c>
      <c r="B2084" s="2" t="s">
        <v>1146</v>
      </c>
      <c r="C2084" s="5" t="s">
        <v>1084</v>
      </c>
      <c r="D2084" s="2" t="s">
        <v>1085</v>
      </c>
    </row>
    <row r="2085" spans="1:4" ht="12.95" customHeight="1" x14ac:dyDescent="0.25">
      <c r="A2085" s="2" t="s">
        <v>332</v>
      </c>
      <c r="B2085" s="2" t="s">
        <v>1146</v>
      </c>
      <c r="C2085" s="5" t="s">
        <v>1086</v>
      </c>
      <c r="D2085" s="2" t="s">
        <v>1087</v>
      </c>
    </row>
    <row r="2086" spans="1:4" ht="12.95" customHeight="1" x14ac:dyDescent="0.25">
      <c r="A2086" s="2" t="s">
        <v>332</v>
      </c>
      <c r="B2086" s="2" t="s">
        <v>1146</v>
      </c>
      <c r="C2086" s="5" t="s">
        <v>1088</v>
      </c>
      <c r="D2086" s="2" t="s">
        <v>1089</v>
      </c>
    </row>
    <row r="2087" spans="1:4" ht="12.95" customHeight="1" x14ac:dyDescent="0.25">
      <c r="A2087" s="2" t="s">
        <v>332</v>
      </c>
      <c r="B2087" s="2" t="s">
        <v>1146</v>
      </c>
      <c r="C2087" s="5" t="s">
        <v>1090</v>
      </c>
      <c r="D2087" s="2" t="s">
        <v>3219</v>
      </c>
    </row>
    <row r="2088" spans="1:4" ht="12.95" customHeight="1" x14ac:dyDescent="0.25">
      <c r="A2088" s="2" t="s">
        <v>332</v>
      </c>
      <c r="B2088" s="2" t="s">
        <v>1146</v>
      </c>
      <c r="C2088" s="5" t="s">
        <v>1092</v>
      </c>
      <c r="D2088" s="2" t="s">
        <v>3220</v>
      </c>
    </row>
    <row r="2089" spans="1:4" ht="12.95" customHeight="1" x14ac:dyDescent="0.25">
      <c r="A2089" s="2" t="s">
        <v>332</v>
      </c>
      <c r="B2089" s="2" t="s">
        <v>1146</v>
      </c>
      <c r="C2089" s="5" t="s">
        <v>1094</v>
      </c>
      <c r="D2089" s="2" t="s">
        <v>3221</v>
      </c>
    </row>
    <row r="2090" spans="1:4" ht="12.95" customHeight="1" x14ac:dyDescent="0.25">
      <c r="A2090" s="2" t="s">
        <v>332</v>
      </c>
      <c r="B2090" s="2" t="s">
        <v>1146</v>
      </c>
      <c r="C2090" s="5" t="s">
        <v>1096</v>
      </c>
      <c r="D2090" s="2" t="s">
        <v>3222</v>
      </c>
    </row>
    <row r="2091" spans="1:4" ht="12.95" customHeight="1" x14ac:dyDescent="0.25">
      <c r="A2091" s="2" t="s">
        <v>332</v>
      </c>
      <c r="B2091" s="2" t="s">
        <v>1146</v>
      </c>
      <c r="C2091" s="5" t="s">
        <v>1098</v>
      </c>
      <c r="D2091" s="2" t="s">
        <v>3223</v>
      </c>
    </row>
    <row r="2092" spans="1:4" ht="12.95" customHeight="1" x14ac:dyDescent="0.25">
      <c r="A2092" s="2" t="s">
        <v>332</v>
      </c>
      <c r="B2092" s="2" t="s">
        <v>1146</v>
      </c>
      <c r="C2092" s="5" t="s">
        <v>1100</v>
      </c>
      <c r="D2092" s="2" t="s">
        <v>3224</v>
      </c>
    </row>
    <row r="2093" spans="1:4" ht="12.95" customHeight="1" x14ac:dyDescent="0.25">
      <c r="A2093" s="2" t="s">
        <v>332</v>
      </c>
      <c r="B2093" s="2" t="s">
        <v>1146</v>
      </c>
      <c r="C2093" s="5" t="s">
        <v>1109</v>
      </c>
      <c r="D2093" s="2" t="s">
        <v>3225</v>
      </c>
    </row>
    <row r="2094" spans="1:4" ht="12.95" customHeight="1" x14ac:dyDescent="0.25">
      <c r="A2094" s="2" t="s">
        <v>332</v>
      </c>
      <c r="B2094" s="2" t="s">
        <v>1146</v>
      </c>
      <c r="C2094" s="5" t="s">
        <v>1119</v>
      </c>
      <c r="D2094" s="2" t="s">
        <v>3226</v>
      </c>
    </row>
    <row r="2095" spans="1:4" ht="12.95" customHeight="1" x14ac:dyDescent="0.25">
      <c r="A2095" s="2" t="s">
        <v>332</v>
      </c>
      <c r="B2095" s="2" t="s">
        <v>1146</v>
      </c>
      <c r="C2095" s="5" t="s">
        <v>1121</v>
      </c>
      <c r="D2095" s="2" t="s">
        <v>3227</v>
      </c>
    </row>
    <row r="2096" spans="1:4" ht="12.95" customHeight="1" x14ac:dyDescent="0.25">
      <c r="A2096" s="2" t="s">
        <v>332</v>
      </c>
      <c r="B2096" s="2" t="s">
        <v>1146</v>
      </c>
      <c r="C2096" s="5" t="s">
        <v>1123</v>
      </c>
      <c r="D2096" s="2" t="s">
        <v>3228</v>
      </c>
    </row>
    <row r="2097" spans="1:4" ht="12.95" customHeight="1" x14ac:dyDescent="0.25">
      <c r="A2097" s="2" t="s">
        <v>332</v>
      </c>
      <c r="B2097" s="2" t="s">
        <v>1146</v>
      </c>
      <c r="C2097" s="5" t="s">
        <v>1125</v>
      </c>
      <c r="D2097" s="2" t="s">
        <v>3229</v>
      </c>
    </row>
    <row r="2098" spans="1:4" ht="12.95" customHeight="1" x14ac:dyDescent="0.25">
      <c r="A2098" s="2" t="s">
        <v>332</v>
      </c>
      <c r="B2098" s="2" t="s">
        <v>1146</v>
      </c>
      <c r="C2098" s="5" t="s">
        <v>1127</v>
      </c>
      <c r="D2098" s="2" t="s">
        <v>1177</v>
      </c>
    </row>
    <row r="2099" spans="1:4" ht="12.95" customHeight="1" x14ac:dyDescent="0.25">
      <c r="A2099" s="2" t="s">
        <v>335</v>
      </c>
      <c r="B2099" s="2" t="s">
        <v>1146</v>
      </c>
      <c r="C2099" s="5" t="s">
        <v>1084</v>
      </c>
      <c r="D2099" s="2" t="s">
        <v>1085</v>
      </c>
    </row>
    <row r="2100" spans="1:4" ht="12.95" customHeight="1" x14ac:dyDescent="0.25">
      <c r="A2100" s="2" t="s">
        <v>335</v>
      </c>
      <c r="B2100" s="2" t="s">
        <v>1146</v>
      </c>
      <c r="C2100" s="5" t="s">
        <v>1086</v>
      </c>
      <c r="D2100" s="2" t="s">
        <v>1087</v>
      </c>
    </row>
    <row r="2101" spans="1:4" ht="12.95" customHeight="1" x14ac:dyDescent="0.25">
      <c r="A2101" s="2" t="s">
        <v>335</v>
      </c>
      <c r="B2101" s="2" t="s">
        <v>1146</v>
      </c>
      <c r="C2101" s="5" t="s">
        <v>1088</v>
      </c>
      <c r="D2101" s="2" t="s">
        <v>1089</v>
      </c>
    </row>
    <row r="2102" spans="1:4" ht="12.95" customHeight="1" x14ac:dyDescent="0.25">
      <c r="A2102" s="2" t="s">
        <v>335</v>
      </c>
      <c r="B2102" s="2" t="s">
        <v>1146</v>
      </c>
      <c r="C2102" s="5" t="s">
        <v>1090</v>
      </c>
      <c r="D2102" s="2" t="s">
        <v>3219</v>
      </c>
    </row>
    <row r="2103" spans="1:4" ht="12.95" customHeight="1" x14ac:dyDescent="0.25">
      <c r="A2103" s="2" t="s">
        <v>335</v>
      </c>
      <c r="B2103" s="2" t="s">
        <v>1146</v>
      </c>
      <c r="C2103" s="5" t="s">
        <v>1092</v>
      </c>
      <c r="D2103" s="2" t="s">
        <v>3220</v>
      </c>
    </row>
    <row r="2104" spans="1:4" ht="12.95" customHeight="1" x14ac:dyDescent="0.25">
      <c r="A2104" s="2" t="s">
        <v>335</v>
      </c>
      <c r="B2104" s="2" t="s">
        <v>1146</v>
      </c>
      <c r="C2104" s="5" t="s">
        <v>1094</v>
      </c>
      <c r="D2104" s="2" t="s">
        <v>3221</v>
      </c>
    </row>
    <row r="2105" spans="1:4" ht="12.95" customHeight="1" x14ac:dyDescent="0.25">
      <c r="A2105" s="2" t="s">
        <v>335</v>
      </c>
      <c r="B2105" s="2" t="s">
        <v>1146</v>
      </c>
      <c r="C2105" s="5" t="s">
        <v>1096</v>
      </c>
      <c r="D2105" s="2" t="s">
        <v>3222</v>
      </c>
    </row>
    <row r="2106" spans="1:4" ht="12.95" customHeight="1" x14ac:dyDescent="0.25">
      <c r="A2106" s="2" t="s">
        <v>335</v>
      </c>
      <c r="B2106" s="2" t="s">
        <v>1146</v>
      </c>
      <c r="C2106" s="5" t="s">
        <v>1098</v>
      </c>
      <c r="D2106" s="2" t="s">
        <v>3223</v>
      </c>
    </row>
    <row r="2107" spans="1:4" ht="12.95" customHeight="1" x14ac:dyDescent="0.25">
      <c r="A2107" s="2" t="s">
        <v>335</v>
      </c>
      <c r="B2107" s="2" t="s">
        <v>1146</v>
      </c>
      <c r="C2107" s="5" t="s">
        <v>1100</v>
      </c>
      <c r="D2107" s="2" t="s">
        <v>3224</v>
      </c>
    </row>
    <row r="2108" spans="1:4" ht="12.95" customHeight="1" x14ac:dyDescent="0.25">
      <c r="A2108" s="2" t="s">
        <v>335</v>
      </c>
      <c r="B2108" s="2" t="s">
        <v>1146</v>
      </c>
      <c r="C2108" s="5" t="s">
        <v>1109</v>
      </c>
      <c r="D2108" s="2" t="s">
        <v>3225</v>
      </c>
    </row>
    <row r="2109" spans="1:4" ht="12.95" customHeight="1" x14ac:dyDescent="0.25">
      <c r="A2109" s="2" t="s">
        <v>335</v>
      </c>
      <c r="B2109" s="2" t="s">
        <v>1146</v>
      </c>
      <c r="C2109" s="5" t="s">
        <v>1119</v>
      </c>
      <c r="D2109" s="2" t="s">
        <v>3226</v>
      </c>
    </row>
    <row r="2110" spans="1:4" ht="12.95" customHeight="1" x14ac:dyDescent="0.25">
      <c r="A2110" s="2" t="s">
        <v>335</v>
      </c>
      <c r="B2110" s="2" t="s">
        <v>1146</v>
      </c>
      <c r="C2110" s="5" t="s">
        <v>1121</v>
      </c>
      <c r="D2110" s="2" t="s">
        <v>3227</v>
      </c>
    </row>
    <row r="2111" spans="1:4" ht="12.95" customHeight="1" x14ac:dyDescent="0.25">
      <c r="A2111" s="2" t="s">
        <v>335</v>
      </c>
      <c r="B2111" s="2" t="s">
        <v>1146</v>
      </c>
      <c r="C2111" s="5" t="s">
        <v>1123</v>
      </c>
      <c r="D2111" s="2" t="s">
        <v>3228</v>
      </c>
    </row>
    <row r="2112" spans="1:4" ht="12.95" customHeight="1" x14ac:dyDescent="0.25">
      <c r="A2112" s="2" t="s">
        <v>335</v>
      </c>
      <c r="B2112" s="2" t="s">
        <v>1146</v>
      </c>
      <c r="C2112" s="5" t="s">
        <v>1125</v>
      </c>
      <c r="D2112" s="2" t="s">
        <v>3229</v>
      </c>
    </row>
    <row r="2113" spans="1:4" ht="12.95" customHeight="1" x14ac:dyDescent="0.25">
      <c r="A2113" s="2" t="s">
        <v>335</v>
      </c>
      <c r="B2113" s="2" t="s">
        <v>1146</v>
      </c>
      <c r="C2113" s="5" t="s">
        <v>1127</v>
      </c>
      <c r="D2113" s="2" t="s">
        <v>1177</v>
      </c>
    </row>
    <row r="2114" spans="1:4" ht="12.95" customHeight="1" x14ac:dyDescent="0.25">
      <c r="A2114" s="2" t="s">
        <v>338</v>
      </c>
      <c r="B2114" s="2" t="s">
        <v>1146</v>
      </c>
      <c r="C2114" s="5" t="s">
        <v>1084</v>
      </c>
      <c r="D2114" s="2" t="s">
        <v>1085</v>
      </c>
    </row>
    <row r="2115" spans="1:4" ht="12.95" customHeight="1" x14ac:dyDescent="0.25">
      <c r="A2115" s="2" t="s">
        <v>338</v>
      </c>
      <c r="B2115" s="2" t="s">
        <v>1146</v>
      </c>
      <c r="C2115" s="5" t="s">
        <v>1086</v>
      </c>
      <c r="D2115" s="2" t="s">
        <v>1087</v>
      </c>
    </row>
    <row r="2116" spans="1:4" ht="12.95" customHeight="1" x14ac:dyDescent="0.25">
      <c r="A2116" s="2" t="s">
        <v>338</v>
      </c>
      <c r="B2116" s="2" t="s">
        <v>1146</v>
      </c>
      <c r="C2116" s="5" t="s">
        <v>1088</v>
      </c>
      <c r="D2116" s="2" t="s">
        <v>1089</v>
      </c>
    </row>
    <row r="2117" spans="1:4" ht="12.95" customHeight="1" x14ac:dyDescent="0.25">
      <c r="A2117" s="2" t="s">
        <v>338</v>
      </c>
      <c r="B2117" s="2" t="s">
        <v>1146</v>
      </c>
      <c r="C2117" s="5" t="s">
        <v>1090</v>
      </c>
      <c r="D2117" s="2" t="s">
        <v>3219</v>
      </c>
    </row>
    <row r="2118" spans="1:4" ht="12.95" customHeight="1" x14ac:dyDescent="0.25">
      <c r="A2118" s="2" t="s">
        <v>338</v>
      </c>
      <c r="B2118" s="2" t="s">
        <v>1146</v>
      </c>
      <c r="C2118" s="5" t="s">
        <v>1092</v>
      </c>
      <c r="D2118" s="2" t="s">
        <v>3220</v>
      </c>
    </row>
    <row r="2119" spans="1:4" ht="12.95" customHeight="1" x14ac:dyDescent="0.25">
      <c r="A2119" s="2" t="s">
        <v>338</v>
      </c>
      <c r="B2119" s="2" t="s">
        <v>1146</v>
      </c>
      <c r="C2119" s="5" t="s">
        <v>1094</v>
      </c>
      <c r="D2119" s="2" t="s">
        <v>3221</v>
      </c>
    </row>
    <row r="2120" spans="1:4" ht="12.95" customHeight="1" x14ac:dyDescent="0.25">
      <c r="A2120" s="2" t="s">
        <v>338</v>
      </c>
      <c r="B2120" s="2" t="s">
        <v>1146</v>
      </c>
      <c r="C2120" s="5" t="s">
        <v>1096</v>
      </c>
      <c r="D2120" s="2" t="s">
        <v>3222</v>
      </c>
    </row>
    <row r="2121" spans="1:4" ht="12.95" customHeight="1" x14ac:dyDescent="0.25">
      <c r="A2121" s="2" t="s">
        <v>338</v>
      </c>
      <c r="B2121" s="2" t="s">
        <v>1146</v>
      </c>
      <c r="C2121" s="5" t="s">
        <v>1098</v>
      </c>
      <c r="D2121" s="2" t="s">
        <v>3223</v>
      </c>
    </row>
    <row r="2122" spans="1:4" ht="12.95" customHeight="1" x14ac:dyDescent="0.25">
      <c r="A2122" s="2" t="s">
        <v>338</v>
      </c>
      <c r="B2122" s="2" t="s">
        <v>1146</v>
      </c>
      <c r="C2122" s="5" t="s">
        <v>1100</v>
      </c>
      <c r="D2122" s="2" t="s">
        <v>3224</v>
      </c>
    </row>
    <row r="2123" spans="1:4" ht="12.95" customHeight="1" x14ac:dyDescent="0.25">
      <c r="A2123" s="2" t="s">
        <v>338</v>
      </c>
      <c r="B2123" s="2" t="s">
        <v>1146</v>
      </c>
      <c r="C2123" s="5" t="s">
        <v>1109</v>
      </c>
      <c r="D2123" s="2" t="s">
        <v>3225</v>
      </c>
    </row>
    <row r="2124" spans="1:4" ht="12.95" customHeight="1" x14ac:dyDescent="0.25">
      <c r="A2124" s="2" t="s">
        <v>338</v>
      </c>
      <c r="B2124" s="2" t="s">
        <v>1146</v>
      </c>
      <c r="C2124" s="5" t="s">
        <v>1119</v>
      </c>
      <c r="D2124" s="2" t="s">
        <v>3226</v>
      </c>
    </row>
    <row r="2125" spans="1:4" ht="12.95" customHeight="1" x14ac:dyDescent="0.25">
      <c r="A2125" s="2" t="s">
        <v>338</v>
      </c>
      <c r="B2125" s="2" t="s">
        <v>1146</v>
      </c>
      <c r="C2125" s="5" t="s">
        <v>1121</v>
      </c>
      <c r="D2125" s="2" t="s">
        <v>3227</v>
      </c>
    </row>
    <row r="2126" spans="1:4" ht="12.95" customHeight="1" x14ac:dyDescent="0.25">
      <c r="A2126" s="2" t="s">
        <v>338</v>
      </c>
      <c r="B2126" s="2" t="s">
        <v>1146</v>
      </c>
      <c r="C2126" s="5" t="s">
        <v>1123</v>
      </c>
      <c r="D2126" s="2" t="s">
        <v>3228</v>
      </c>
    </row>
    <row r="2127" spans="1:4" ht="12.95" customHeight="1" x14ac:dyDescent="0.25">
      <c r="A2127" s="2" t="s">
        <v>338</v>
      </c>
      <c r="B2127" s="2" t="s">
        <v>1146</v>
      </c>
      <c r="C2127" s="5" t="s">
        <v>1125</v>
      </c>
      <c r="D2127" s="2" t="s">
        <v>3229</v>
      </c>
    </row>
    <row r="2128" spans="1:4" ht="12.95" customHeight="1" x14ac:dyDescent="0.25">
      <c r="A2128" s="2" t="s">
        <v>338</v>
      </c>
      <c r="B2128" s="2" t="s">
        <v>1146</v>
      </c>
      <c r="C2128" s="5" t="s">
        <v>1127</v>
      </c>
      <c r="D2128" s="2" t="s">
        <v>1177</v>
      </c>
    </row>
    <row r="2129" spans="1:4" ht="12.95" customHeight="1" x14ac:dyDescent="0.25">
      <c r="A2129" s="2" t="s">
        <v>341</v>
      </c>
      <c r="B2129" s="2" t="s">
        <v>1146</v>
      </c>
      <c r="C2129" s="5" t="s">
        <v>1084</v>
      </c>
      <c r="D2129" s="2" t="s">
        <v>1153</v>
      </c>
    </row>
    <row r="2130" spans="1:4" ht="12.95" customHeight="1" x14ac:dyDescent="0.25">
      <c r="A2130" s="2" t="s">
        <v>341</v>
      </c>
      <c r="B2130" s="2" t="s">
        <v>1146</v>
      </c>
      <c r="C2130" s="5" t="s">
        <v>1086</v>
      </c>
      <c r="D2130" s="2" t="s">
        <v>1087</v>
      </c>
    </row>
    <row r="2131" spans="1:4" ht="12.95" customHeight="1" x14ac:dyDescent="0.25">
      <c r="A2131" s="2" t="s">
        <v>341</v>
      </c>
      <c r="B2131" s="2" t="s">
        <v>1146</v>
      </c>
      <c r="C2131" s="5" t="s">
        <v>1090</v>
      </c>
      <c r="D2131" s="2" t="s">
        <v>3230</v>
      </c>
    </row>
    <row r="2132" spans="1:4" ht="12.95" customHeight="1" x14ac:dyDescent="0.25">
      <c r="A2132" s="2" t="s">
        <v>341</v>
      </c>
      <c r="B2132" s="2" t="s">
        <v>1146</v>
      </c>
      <c r="C2132" s="5" t="s">
        <v>1092</v>
      </c>
      <c r="D2132" s="2" t="s">
        <v>3231</v>
      </c>
    </row>
    <row r="2133" spans="1:4" ht="12.95" customHeight="1" x14ac:dyDescent="0.25">
      <c r="A2133" s="2" t="s">
        <v>341</v>
      </c>
      <c r="B2133" s="2" t="s">
        <v>1146</v>
      </c>
      <c r="C2133" s="5" t="s">
        <v>1111</v>
      </c>
      <c r="D2133" s="2" t="s">
        <v>3232</v>
      </c>
    </row>
    <row r="2134" spans="1:4" ht="12.95" customHeight="1" x14ac:dyDescent="0.25">
      <c r="A2134" s="2" t="s">
        <v>346</v>
      </c>
      <c r="B2134" s="2" t="s">
        <v>1146</v>
      </c>
      <c r="C2134" s="5" t="s">
        <v>1102</v>
      </c>
      <c r="D2134" s="2" t="s">
        <v>1103</v>
      </c>
    </row>
    <row r="2135" spans="1:4" ht="12.95" customHeight="1" x14ac:dyDescent="0.25">
      <c r="A2135" s="2" t="s">
        <v>346</v>
      </c>
      <c r="B2135" s="2" t="s">
        <v>1146</v>
      </c>
      <c r="C2135" s="5" t="s">
        <v>1088</v>
      </c>
      <c r="D2135" s="2" t="s">
        <v>1089</v>
      </c>
    </row>
    <row r="2136" spans="1:4" ht="12.95" customHeight="1" x14ac:dyDescent="0.25">
      <c r="A2136" s="2" t="s">
        <v>351</v>
      </c>
      <c r="B2136" s="2" t="s">
        <v>1272</v>
      </c>
      <c r="C2136" s="5" t="s">
        <v>1084</v>
      </c>
      <c r="D2136" s="2" t="s">
        <v>1153</v>
      </c>
    </row>
    <row r="2137" spans="1:4" ht="12.95" customHeight="1" x14ac:dyDescent="0.25">
      <c r="A2137" s="2" t="s">
        <v>351</v>
      </c>
      <c r="B2137" s="2" t="s">
        <v>1272</v>
      </c>
      <c r="C2137" s="5" t="s">
        <v>1086</v>
      </c>
      <c r="D2137" s="2" t="s">
        <v>1147</v>
      </c>
    </row>
    <row r="2138" spans="1:4" ht="12.95" customHeight="1" x14ac:dyDescent="0.25">
      <c r="A2138" s="2" t="s">
        <v>351</v>
      </c>
      <c r="B2138" s="2" t="s">
        <v>1272</v>
      </c>
      <c r="C2138" s="5" t="s">
        <v>1088</v>
      </c>
      <c r="D2138" s="2" t="s">
        <v>1089</v>
      </c>
    </row>
    <row r="2139" spans="1:4" ht="12.95" customHeight="1" x14ac:dyDescent="0.25">
      <c r="A2139" s="2" t="s">
        <v>354</v>
      </c>
      <c r="B2139" s="2" t="s">
        <v>1272</v>
      </c>
      <c r="C2139" s="5" t="s">
        <v>1088</v>
      </c>
      <c r="D2139" s="2" t="s">
        <v>1089</v>
      </c>
    </row>
    <row r="2140" spans="1:4" ht="12.95" customHeight="1" x14ac:dyDescent="0.25">
      <c r="A2140" s="2" t="s">
        <v>357</v>
      </c>
      <c r="B2140" s="2" t="s">
        <v>1146</v>
      </c>
      <c r="C2140" s="5" t="s">
        <v>3172</v>
      </c>
      <c r="D2140" s="2" t="s">
        <v>3233</v>
      </c>
    </row>
    <row r="2141" spans="1:4" ht="12.95" customHeight="1" x14ac:dyDescent="0.25">
      <c r="A2141" s="2" t="s">
        <v>357</v>
      </c>
      <c r="B2141" s="2" t="s">
        <v>1146</v>
      </c>
      <c r="C2141" s="5" t="s">
        <v>3234</v>
      </c>
      <c r="D2141" s="2" t="s">
        <v>3235</v>
      </c>
    </row>
    <row r="2142" spans="1:4" ht="12.95" customHeight="1" x14ac:dyDescent="0.25">
      <c r="A2142" s="2" t="s">
        <v>357</v>
      </c>
      <c r="B2142" s="2" t="s">
        <v>1146</v>
      </c>
      <c r="C2142" s="5" t="s">
        <v>3236</v>
      </c>
      <c r="D2142" s="2" t="s">
        <v>3237</v>
      </c>
    </row>
    <row r="2143" spans="1:4" ht="12.95" customHeight="1" x14ac:dyDescent="0.25">
      <c r="A2143" s="2" t="s">
        <v>357</v>
      </c>
      <c r="B2143" s="2" t="s">
        <v>1146</v>
      </c>
      <c r="C2143" s="5" t="s">
        <v>3238</v>
      </c>
      <c r="D2143" s="2" t="s">
        <v>3239</v>
      </c>
    </row>
    <row r="2144" spans="1:4" ht="12.95" customHeight="1" x14ac:dyDescent="0.25">
      <c r="A2144" s="2" t="s">
        <v>357</v>
      </c>
      <c r="B2144" s="2" t="s">
        <v>1146</v>
      </c>
      <c r="C2144" s="5" t="s">
        <v>1316</v>
      </c>
      <c r="D2144" s="2" t="s">
        <v>1317</v>
      </c>
    </row>
    <row r="2145" spans="1:4" ht="12.95" customHeight="1" x14ac:dyDescent="0.25">
      <c r="A2145" s="2" t="s">
        <v>357</v>
      </c>
      <c r="B2145" s="2" t="s">
        <v>1146</v>
      </c>
      <c r="C2145" s="5" t="s">
        <v>1318</v>
      </c>
      <c r="D2145" s="2" t="s">
        <v>1319</v>
      </c>
    </row>
    <row r="2146" spans="1:4" ht="12.95" customHeight="1" x14ac:dyDescent="0.25">
      <c r="A2146" s="2" t="s">
        <v>357</v>
      </c>
      <c r="B2146" s="2" t="s">
        <v>1146</v>
      </c>
      <c r="C2146" s="5" t="s">
        <v>1320</v>
      </c>
      <c r="D2146" s="2" t="s">
        <v>1321</v>
      </c>
    </row>
    <row r="2147" spans="1:4" ht="12.95" customHeight="1" x14ac:dyDescent="0.25">
      <c r="A2147" s="2" t="s">
        <v>357</v>
      </c>
      <c r="B2147" s="2" t="s">
        <v>1146</v>
      </c>
      <c r="C2147" s="5" t="s">
        <v>3240</v>
      </c>
      <c r="D2147" s="2" t="s">
        <v>3241</v>
      </c>
    </row>
    <row r="2148" spans="1:4" ht="12.95" customHeight="1" x14ac:dyDescent="0.25">
      <c r="A2148" s="2" t="s">
        <v>361</v>
      </c>
      <c r="B2148" s="2" t="s">
        <v>1146</v>
      </c>
      <c r="C2148" s="5" t="s">
        <v>1102</v>
      </c>
      <c r="D2148" s="2" t="s">
        <v>1103</v>
      </c>
    </row>
    <row r="2149" spans="1:4" ht="12.95" customHeight="1" x14ac:dyDescent="0.25">
      <c r="A2149" s="2" t="s">
        <v>361</v>
      </c>
      <c r="B2149" s="2" t="s">
        <v>1146</v>
      </c>
      <c r="C2149" s="5" t="s">
        <v>1292</v>
      </c>
      <c r="D2149" s="2" t="s">
        <v>1293</v>
      </c>
    </row>
    <row r="2150" spans="1:4" ht="12.95" customHeight="1" x14ac:dyDescent="0.25">
      <c r="A2150" s="2" t="s">
        <v>361</v>
      </c>
      <c r="B2150" s="2" t="s">
        <v>1146</v>
      </c>
      <c r="C2150" s="5" t="s">
        <v>1098</v>
      </c>
      <c r="D2150" s="2" t="s">
        <v>1294</v>
      </c>
    </row>
    <row r="2151" spans="1:4" ht="12.95" customHeight="1" x14ac:dyDescent="0.25">
      <c r="A2151" s="2" t="s">
        <v>361</v>
      </c>
      <c r="B2151" s="2" t="s">
        <v>1146</v>
      </c>
      <c r="C2151" s="5" t="s">
        <v>1295</v>
      </c>
      <c r="D2151" s="2" t="s">
        <v>1296</v>
      </c>
    </row>
    <row r="2152" spans="1:4" ht="12.95" customHeight="1" x14ac:dyDescent="0.25">
      <c r="A2152" s="2" t="s">
        <v>361</v>
      </c>
      <c r="B2152" s="2" t="s">
        <v>1146</v>
      </c>
      <c r="C2152" s="5" t="s">
        <v>1297</v>
      </c>
      <c r="D2152" s="2" t="s">
        <v>1298</v>
      </c>
    </row>
    <row r="2153" spans="1:4" ht="12.95" customHeight="1" x14ac:dyDescent="0.25">
      <c r="A2153" s="2" t="s">
        <v>361</v>
      </c>
      <c r="B2153" s="2" t="s">
        <v>1146</v>
      </c>
      <c r="C2153" s="5" t="s">
        <v>1299</v>
      </c>
      <c r="D2153" s="2" t="s">
        <v>1300</v>
      </c>
    </row>
    <row r="2154" spans="1:4" ht="12.95" customHeight="1" x14ac:dyDescent="0.25">
      <c r="A2154" s="2" t="s">
        <v>361</v>
      </c>
      <c r="B2154" s="2" t="s">
        <v>1146</v>
      </c>
      <c r="C2154" s="5" t="s">
        <v>1301</v>
      </c>
      <c r="D2154" s="2" t="s">
        <v>1302</v>
      </c>
    </row>
    <row r="2155" spans="1:4" ht="12.95" customHeight="1" x14ac:dyDescent="0.25">
      <c r="A2155" s="2" t="s">
        <v>361</v>
      </c>
      <c r="B2155" s="2" t="s">
        <v>1146</v>
      </c>
      <c r="C2155" s="5" t="s">
        <v>1303</v>
      </c>
      <c r="D2155" s="2" t="s">
        <v>1304</v>
      </c>
    </row>
    <row r="2156" spans="1:4" ht="12.95" customHeight="1" x14ac:dyDescent="0.25">
      <c r="A2156" s="2" t="s">
        <v>361</v>
      </c>
      <c r="B2156" s="2" t="s">
        <v>1146</v>
      </c>
      <c r="C2156" s="5" t="s">
        <v>1305</v>
      </c>
      <c r="D2156" s="2" t="s">
        <v>1306</v>
      </c>
    </row>
    <row r="2157" spans="1:4" ht="12.95" customHeight="1" x14ac:dyDescent="0.25">
      <c r="A2157" s="2" t="s">
        <v>361</v>
      </c>
      <c r="B2157" s="2" t="s">
        <v>1146</v>
      </c>
      <c r="C2157" s="5" t="s">
        <v>1307</v>
      </c>
      <c r="D2157" s="2" t="s">
        <v>1308</v>
      </c>
    </row>
    <row r="2158" spans="1:4" ht="12.95" customHeight="1" x14ac:dyDescent="0.25">
      <c r="A2158" s="2" t="s">
        <v>361</v>
      </c>
      <c r="B2158" s="2" t="s">
        <v>1146</v>
      </c>
      <c r="C2158" s="5" t="s">
        <v>1309</v>
      </c>
      <c r="D2158" s="2" t="s">
        <v>1310</v>
      </c>
    </row>
    <row r="2159" spans="1:4" ht="12.95" customHeight="1" x14ac:dyDescent="0.25">
      <c r="A2159" s="2" t="s">
        <v>361</v>
      </c>
      <c r="B2159" s="2" t="s">
        <v>1146</v>
      </c>
      <c r="C2159" s="5" t="s">
        <v>1311</v>
      </c>
      <c r="D2159" s="2" t="s">
        <v>1312</v>
      </c>
    </row>
    <row r="2160" spans="1:4" ht="12.95" customHeight="1" x14ac:dyDescent="0.25">
      <c r="A2160" s="2" t="s">
        <v>363</v>
      </c>
      <c r="B2160" s="2" t="s">
        <v>1146</v>
      </c>
      <c r="C2160" s="5" t="s">
        <v>1102</v>
      </c>
      <c r="D2160" s="2" t="s">
        <v>1103</v>
      </c>
    </row>
    <row r="2161" spans="1:4" ht="12.95" customHeight="1" x14ac:dyDescent="0.25">
      <c r="A2161" s="2" t="s">
        <v>365</v>
      </c>
      <c r="B2161" s="2" t="s">
        <v>1146</v>
      </c>
      <c r="C2161" s="5" t="s">
        <v>1301</v>
      </c>
      <c r="D2161" s="2" t="s">
        <v>1313</v>
      </c>
    </row>
    <row r="2162" spans="1:4" ht="12.95" customHeight="1" x14ac:dyDescent="0.25">
      <c r="A2162" s="2" t="s">
        <v>365</v>
      </c>
      <c r="B2162" s="2" t="s">
        <v>1146</v>
      </c>
      <c r="C2162" s="5" t="s">
        <v>1314</v>
      </c>
      <c r="D2162" s="2" t="s">
        <v>1315</v>
      </c>
    </row>
    <row r="2163" spans="1:4" ht="12.95" customHeight="1" x14ac:dyDescent="0.25">
      <c r="A2163" s="2" t="s">
        <v>365</v>
      </c>
      <c r="B2163" s="2" t="s">
        <v>1146</v>
      </c>
      <c r="C2163" s="5" t="s">
        <v>1316</v>
      </c>
      <c r="D2163" s="2" t="s">
        <v>1317</v>
      </c>
    </row>
    <row r="2164" spans="1:4" ht="12.95" customHeight="1" x14ac:dyDescent="0.25">
      <c r="A2164" s="2" t="s">
        <v>365</v>
      </c>
      <c r="B2164" s="2" t="s">
        <v>1146</v>
      </c>
      <c r="C2164" s="5" t="s">
        <v>1318</v>
      </c>
      <c r="D2164" s="2" t="s">
        <v>1319</v>
      </c>
    </row>
    <row r="2165" spans="1:4" ht="12.95" customHeight="1" x14ac:dyDescent="0.25">
      <c r="A2165" s="2" t="s">
        <v>365</v>
      </c>
      <c r="B2165" s="2" t="s">
        <v>1146</v>
      </c>
      <c r="C2165" s="5" t="s">
        <v>1320</v>
      </c>
      <c r="D2165" s="2" t="s">
        <v>1321</v>
      </c>
    </row>
    <row r="2166" spans="1:4" ht="12.95" customHeight="1" x14ac:dyDescent="0.25">
      <c r="A2166" s="2" t="s">
        <v>365</v>
      </c>
      <c r="B2166" s="2" t="s">
        <v>1146</v>
      </c>
      <c r="C2166" s="5" t="s">
        <v>1322</v>
      </c>
      <c r="D2166" s="2" t="s">
        <v>1323</v>
      </c>
    </row>
    <row r="2167" spans="1:4" ht="12.95" customHeight="1" x14ac:dyDescent="0.25">
      <c r="A2167" s="2" t="s">
        <v>365</v>
      </c>
      <c r="B2167" s="2" t="s">
        <v>1146</v>
      </c>
      <c r="C2167" s="5" t="s">
        <v>1324</v>
      </c>
      <c r="D2167" s="2" t="s">
        <v>1325</v>
      </c>
    </row>
    <row r="2168" spans="1:4" ht="12.95" customHeight="1" x14ac:dyDescent="0.25">
      <c r="A2168" s="2" t="s">
        <v>365</v>
      </c>
      <c r="B2168" s="2" t="s">
        <v>1146</v>
      </c>
      <c r="C2168" s="5" t="s">
        <v>1326</v>
      </c>
      <c r="D2168" s="2" t="s">
        <v>1327</v>
      </c>
    </row>
    <row r="2169" spans="1:4" ht="12.95" customHeight="1" x14ac:dyDescent="0.25">
      <c r="A2169" s="2" t="s">
        <v>369</v>
      </c>
      <c r="B2169" s="2" t="s">
        <v>1146</v>
      </c>
      <c r="C2169" s="5" t="s">
        <v>1301</v>
      </c>
      <c r="D2169" s="2" t="s">
        <v>1313</v>
      </c>
    </row>
    <row r="2170" spans="1:4" ht="12.95" customHeight="1" x14ac:dyDescent="0.25">
      <c r="A2170" s="2" t="s">
        <v>369</v>
      </c>
      <c r="B2170" s="2" t="s">
        <v>1146</v>
      </c>
      <c r="C2170" s="5" t="s">
        <v>1314</v>
      </c>
      <c r="D2170" s="2" t="s">
        <v>1315</v>
      </c>
    </row>
    <row r="2171" spans="1:4" ht="12.95" customHeight="1" x14ac:dyDescent="0.25">
      <c r="A2171" s="2" t="s">
        <v>369</v>
      </c>
      <c r="B2171" s="2" t="s">
        <v>1146</v>
      </c>
      <c r="C2171" s="5" t="s">
        <v>1316</v>
      </c>
      <c r="D2171" s="2" t="s">
        <v>1317</v>
      </c>
    </row>
    <row r="2172" spans="1:4" ht="12.95" customHeight="1" x14ac:dyDescent="0.25">
      <c r="A2172" s="2" t="s">
        <v>369</v>
      </c>
      <c r="B2172" s="2" t="s">
        <v>1146</v>
      </c>
      <c r="C2172" s="5" t="s">
        <v>1318</v>
      </c>
      <c r="D2172" s="2" t="s">
        <v>1319</v>
      </c>
    </row>
    <row r="2173" spans="1:4" ht="12.95" customHeight="1" x14ac:dyDescent="0.25">
      <c r="A2173" s="2" t="s">
        <v>369</v>
      </c>
      <c r="B2173" s="2" t="s">
        <v>1146</v>
      </c>
      <c r="C2173" s="5" t="s">
        <v>1320</v>
      </c>
      <c r="D2173" s="2" t="s">
        <v>1321</v>
      </c>
    </row>
    <row r="2174" spans="1:4" ht="12.95" customHeight="1" x14ac:dyDescent="0.25">
      <c r="A2174" s="2" t="s">
        <v>369</v>
      </c>
      <c r="B2174" s="2" t="s">
        <v>1146</v>
      </c>
      <c r="C2174" s="5" t="s">
        <v>1322</v>
      </c>
      <c r="D2174" s="2" t="s">
        <v>1323</v>
      </c>
    </row>
    <row r="2175" spans="1:4" ht="12.95" customHeight="1" x14ac:dyDescent="0.25">
      <c r="A2175" s="2" t="s">
        <v>369</v>
      </c>
      <c r="B2175" s="2" t="s">
        <v>1146</v>
      </c>
      <c r="C2175" s="5" t="s">
        <v>1324</v>
      </c>
      <c r="D2175" s="2" t="s">
        <v>1325</v>
      </c>
    </row>
    <row r="2176" spans="1:4" ht="12.95" customHeight="1" x14ac:dyDescent="0.25">
      <c r="A2176" s="2" t="s">
        <v>369</v>
      </c>
      <c r="B2176" s="2" t="s">
        <v>1146</v>
      </c>
      <c r="C2176" s="5" t="s">
        <v>1326</v>
      </c>
      <c r="D2176" s="2" t="s">
        <v>1327</v>
      </c>
    </row>
    <row r="2177" spans="1:4" ht="12.95" customHeight="1" x14ac:dyDescent="0.25">
      <c r="A2177" s="2" t="s">
        <v>373</v>
      </c>
      <c r="B2177" s="2" t="s">
        <v>1113</v>
      </c>
      <c r="C2177" s="5" t="s">
        <v>1090</v>
      </c>
      <c r="D2177" s="2" t="s">
        <v>1179</v>
      </c>
    </row>
    <row r="2178" spans="1:4" ht="12.95" customHeight="1" x14ac:dyDescent="0.25">
      <c r="A2178" s="2" t="s">
        <v>373</v>
      </c>
      <c r="B2178" s="2" t="s">
        <v>1113</v>
      </c>
      <c r="C2178" s="5" t="s">
        <v>1092</v>
      </c>
      <c r="D2178" s="2" t="s">
        <v>1180</v>
      </c>
    </row>
    <row r="2179" spans="1:4" ht="12.95" customHeight="1" x14ac:dyDescent="0.25">
      <c r="A2179" s="2" t="s">
        <v>375</v>
      </c>
      <c r="B2179" s="2" t="s">
        <v>1083</v>
      </c>
      <c r="C2179" s="5" t="s">
        <v>1088</v>
      </c>
      <c r="D2179" s="2" t="s">
        <v>1089</v>
      </c>
    </row>
    <row r="2180" spans="1:4" ht="12.95" customHeight="1" x14ac:dyDescent="0.25">
      <c r="A2180" s="2" t="s">
        <v>378</v>
      </c>
      <c r="B2180" s="2" t="s">
        <v>1146</v>
      </c>
      <c r="C2180" s="5" t="s">
        <v>1084</v>
      </c>
      <c r="D2180" s="2" t="s">
        <v>1153</v>
      </c>
    </row>
    <row r="2181" spans="1:4" ht="12.95" customHeight="1" x14ac:dyDescent="0.25">
      <c r="A2181" s="2" t="s">
        <v>378</v>
      </c>
      <c r="B2181" s="2" t="s">
        <v>1146</v>
      </c>
      <c r="C2181" s="5" t="s">
        <v>1086</v>
      </c>
      <c r="D2181" s="2" t="s">
        <v>1147</v>
      </c>
    </row>
    <row r="2182" spans="1:4" ht="12.95" customHeight="1" x14ac:dyDescent="0.25">
      <c r="A2182" s="2" t="s">
        <v>378</v>
      </c>
      <c r="B2182" s="2" t="s">
        <v>1146</v>
      </c>
      <c r="C2182" s="5" t="s">
        <v>1088</v>
      </c>
      <c r="D2182" s="2" t="s">
        <v>1089</v>
      </c>
    </row>
    <row r="2183" spans="1:4" ht="12.95" customHeight="1" x14ac:dyDescent="0.25">
      <c r="A2183" s="2" t="s">
        <v>378</v>
      </c>
      <c r="B2183" s="2" t="s">
        <v>1146</v>
      </c>
      <c r="C2183" s="5" t="s">
        <v>1090</v>
      </c>
      <c r="D2183" s="2" t="s">
        <v>3242</v>
      </c>
    </row>
    <row r="2184" spans="1:4" ht="12.95" customHeight="1" x14ac:dyDescent="0.25">
      <c r="A2184" s="2" t="s">
        <v>378</v>
      </c>
      <c r="B2184" s="2" t="s">
        <v>1146</v>
      </c>
      <c r="C2184" s="5" t="s">
        <v>1092</v>
      </c>
      <c r="D2184" s="2" t="s">
        <v>1271</v>
      </c>
    </row>
    <row r="2185" spans="1:4" ht="12.95" customHeight="1" x14ac:dyDescent="0.25">
      <c r="A2185" s="2" t="s">
        <v>381</v>
      </c>
      <c r="B2185" s="2" t="s">
        <v>1146</v>
      </c>
      <c r="C2185" s="5" t="s">
        <v>1090</v>
      </c>
      <c r="D2185" s="2" t="s">
        <v>3243</v>
      </c>
    </row>
    <row r="2186" spans="1:4" ht="12.95" customHeight="1" x14ac:dyDescent="0.25">
      <c r="A2186" s="2" t="s">
        <v>381</v>
      </c>
      <c r="B2186" s="2" t="s">
        <v>1146</v>
      </c>
      <c r="C2186" s="5" t="s">
        <v>1092</v>
      </c>
      <c r="D2186" s="2" t="s">
        <v>3244</v>
      </c>
    </row>
    <row r="2187" spans="1:4" ht="12.95" customHeight="1" x14ac:dyDescent="0.25">
      <c r="A2187" s="2" t="s">
        <v>386</v>
      </c>
      <c r="B2187" s="2" t="s">
        <v>1146</v>
      </c>
      <c r="C2187" s="5" t="s">
        <v>1102</v>
      </c>
      <c r="D2187" s="2" t="s">
        <v>1103</v>
      </c>
    </row>
    <row r="2188" spans="1:4" ht="12.95" customHeight="1" x14ac:dyDescent="0.25">
      <c r="A2188" s="2" t="s">
        <v>386</v>
      </c>
      <c r="B2188" s="2" t="s">
        <v>1146</v>
      </c>
      <c r="C2188" s="5" t="s">
        <v>1088</v>
      </c>
      <c r="D2188" s="2" t="s">
        <v>1089</v>
      </c>
    </row>
    <row r="2189" spans="1:4" ht="12.95" customHeight="1" x14ac:dyDescent="0.25">
      <c r="A2189" s="2" t="s">
        <v>388</v>
      </c>
      <c r="B2189" s="2" t="s">
        <v>1146</v>
      </c>
      <c r="C2189" s="5" t="s">
        <v>1102</v>
      </c>
      <c r="D2189" s="2" t="s">
        <v>1103</v>
      </c>
    </row>
    <row r="2190" spans="1:4" ht="12.95" customHeight="1" x14ac:dyDescent="0.25">
      <c r="A2190" s="2" t="s">
        <v>388</v>
      </c>
      <c r="B2190" s="2" t="s">
        <v>1146</v>
      </c>
      <c r="C2190" s="5" t="s">
        <v>1090</v>
      </c>
      <c r="D2190" s="2" t="s">
        <v>3245</v>
      </c>
    </row>
    <row r="2191" spans="1:4" ht="12.95" customHeight="1" x14ac:dyDescent="0.25">
      <c r="A2191" s="2" t="s">
        <v>388</v>
      </c>
      <c r="B2191" s="2" t="s">
        <v>1146</v>
      </c>
      <c r="C2191" s="5" t="s">
        <v>1092</v>
      </c>
      <c r="D2191" s="2" t="s">
        <v>3246</v>
      </c>
    </row>
    <row r="2192" spans="1:4" ht="12.95" customHeight="1" x14ac:dyDescent="0.25">
      <c r="A2192" s="2" t="s">
        <v>388</v>
      </c>
      <c r="B2192" s="2" t="s">
        <v>1146</v>
      </c>
      <c r="C2192" s="5" t="s">
        <v>1094</v>
      </c>
      <c r="D2192" s="2" t="s">
        <v>3247</v>
      </c>
    </row>
    <row r="2193" spans="1:4" ht="12.95" customHeight="1" x14ac:dyDescent="0.25">
      <c r="A2193" s="2" t="s">
        <v>388</v>
      </c>
      <c r="B2193" s="2" t="s">
        <v>1146</v>
      </c>
      <c r="C2193" s="5" t="s">
        <v>1096</v>
      </c>
      <c r="D2193" s="2" t="s">
        <v>3248</v>
      </c>
    </row>
    <row r="2194" spans="1:4" ht="12.95" customHeight="1" x14ac:dyDescent="0.25">
      <c r="A2194" s="2" t="s">
        <v>388</v>
      </c>
      <c r="B2194" s="2" t="s">
        <v>1146</v>
      </c>
      <c r="C2194" s="5" t="s">
        <v>1098</v>
      </c>
      <c r="D2194" s="2" t="s">
        <v>3249</v>
      </c>
    </row>
    <row r="2195" spans="1:4" ht="12.95" customHeight="1" x14ac:dyDescent="0.25">
      <c r="A2195" s="2" t="s">
        <v>388</v>
      </c>
      <c r="B2195" s="2" t="s">
        <v>1146</v>
      </c>
      <c r="C2195" s="5" t="s">
        <v>1100</v>
      </c>
      <c r="D2195" s="2" t="s">
        <v>3250</v>
      </c>
    </row>
    <row r="2196" spans="1:4" ht="12.95" customHeight="1" x14ac:dyDescent="0.25">
      <c r="A2196" s="2" t="s">
        <v>388</v>
      </c>
      <c r="B2196" s="2" t="s">
        <v>1146</v>
      </c>
      <c r="C2196" s="5" t="s">
        <v>1109</v>
      </c>
      <c r="D2196" s="2" t="s">
        <v>3251</v>
      </c>
    </row>
    <row r="2197" spans="1:4" ht="12.95" customHeight="1" x14ac:dyDescent="0.25">
      <c r="A2197" s="2" t="s">
        <v>388</v>
      </c>
      <c r="B2197" s="2" t="s">
        <v>1146</v>
      </c>
      <c r="C2197" s="5" t="s">
        <v>1119</v>
      </c>
      <c r="D2197" s="2" t="s">
        <v>3252</v>
      </c>
    </row>
    <row r="2198" spans="1:4" ht="12.95" customHeight="1" x14ac:dyDescent="0.25">
      <c r="A2198" s="2" t="s">
        <v>388</v>
      </c>
      <c r="B2198" s="2" t="s">
        <v>1146</v>
      </c>
      <c r="C2198" s="5" t="s">
        <v>1121</v>
      </c>
      <c r="D2198" s="2" t="s">
        <v>3253</v>
      </c>
    </row>
    <row r="2199" spans="1:4" ht="12.95" customHeight="1" x14ac:dyDescent="0.25">
      <c r="A2199" s="2" t="s">
        <v>388</v>
      </c>
      <c r="B2199" s="2" t="s">
        <v>1146</v>
      </c>
      <c r="C2199" s="5" t="s">
        <v>1123</v>
      </c>
      <c r="D2199" s="2" t="s">
        <v>3254</v>
      </c>
    </row>
    <row r="2200" spans="1:4" ht="12.95" customHeight="1" x14ac:dyDescent="0.25">
      <c r="A2200" s="2" t="s">
        <v>395</v>
      </c>
      <c r="B2200" s="2" t="s">
        <v>1178</v>
      </c>
      <c r="C2200" s="5" t="s">
        <v>1090</v>
      </c>
      <c r="D2200" s="2" t="s">
        <v>3255</v>
      </c>
    </row>
    <row r="2201" spans="1:4" ht="12.95" customHeight="1" x14ac:dyDescent="0.25">
      <c r="A2201" s="2" t="s">
        <v>395</v>
      </c>
      <c r="B2201" s="2" t="s">
        <v>1178</v>
      </c>
      <c r="C2201" s="5" t="s">
        <v>1092</v>
      </c>
      <c r="D2201" s="2" t="s">
        <v>3256</v>
      </c>
    </row>
    <row r="2202" spans="1:4" ht="12.95" customHeight="1" x14ac:dyDescent="0.25">
      <c r="A2202" s="2" t="s">
        <v>395</v>
      </c>
      <c r="B2202" s="2" t="s">
        <v>1178</v>
      </c>
      <c r="C2202" s="5" t="s">
        <v>1094</v>
      </c>
      <c r="D2202" s="2" t="s">
        <v>3257</v>
      </c>
    </row>
    <row r="2203" spans="1:4" ht="12.95" customHeight="1" x14ac:dyDescent="0.25">
      <c r="A2203" s="2" t="s">
        <v>395</v>
      </c>
      <c r="B2203" s="2" t="s">
        <v>1178</v>
      </c>
      <c r="C2203" s="5" t="s">
        <v>1096</v>
      </c>
      <c r="D2203" s="2" t="s">
        <v>3258</v>
      </c>
    </row>
    <row r="2204" spans="1:4" ht="12.95" customHeight="1" x14ac:dyDescent="0.25">
      <c r="A2204" s="2" t="s">
        <v>401</v>
      </c>
      <c r="B2204" s="2" t="s">
        <v>1083</v>
      </c>
      <c r="C2204" s="5" t="s">
        <v>1102</v>
      </c>
      <c r="D2204" s="2" t="s">
        <v>1103</v>
      </c>
    </row>
    <row r="2205" spans="1:4" ht="12.95" customHeight="1" x14ac:dyDescent="0.25">
      <c r="A2205" s="2" t="s">
        <v>401</v>
      </c>
      <c r="B2205" s="2" t="s">
        <v>1083</v>
      </c>
      <c r="C2205" s="5" t="s">
        <v>1084</v>
      </c>
      <c r="D2205" s="2" t="s">
        <v>1153</v>
      </c>
    </row>
    <row r="2206" spans="1:4" ht="12.95" customHeight="1" x14ac:dyDescent="0.25">
      <c r="A2206" s="2" t="s">
        <v>401</v>
      </c>
      <c r="B2206" s="2" t="s">
        <v>1083</v>
      </c>
      <c r="C2206" s="5" t="s">
        <v>1086</v>
      </c>
      <c r="D2206" s="2" t="s">
        <v>1147</v>
      </c>
    </row>
    <row r="2207" spans="1:4" ht="12.95" customHeight="1" x14ac:dyDescent="0.25">
      <c r="A2207" s="2" t="s">
        <v>401</v>
      </c>
      <c r="B2207" s="2" t="s">
        <v>1083</v>
      </c>
      <c r="C2207" s="5" t="s">
        <v>1088</v>
      </c>
      <c r="D2207" s="2" t="s">
        <v>1089</v>
      </c>
    </row>
    <row r="2208" spans="1:4" ht="12.95" customHeight="1" x14ac:dyDescent="0.25">
      <c r="A2208" s="2" t="s">
        <v>404</v>
      </c>
      <c r="B2208" s="2" t="s">
        <v>1083</v>
      </c>
      <c r="C2208" s="5" t="s">
        <v>1102</v>
      </c>
      <c r="D2208" s="2" t="s">
        <v>1103</v>
      </c>
    </row>
    <row r="2209" spans="1:4" ht="12.95" customHeight="1" x14ac:dyDescent="0.25">
      <c r="A2209" s="2" t="s">
        <v>404</v>
      </c>
      <c r="B2209" s="2" t="s">
        <v>1083</v>
      </c>
      <c r="C2209" s="5" t="s">
        <v>1084</v>
      </c>
      <c r="D2209" s="2" t="s">
        <v>1085</v>
      </c>
    </row>
    <row r="2210" spans="1:4" ht="12.95" customHeight="1" x14ac:dyDescent="0.25">
      <c r="A2210" s="2" t="s">
        <v>404</v>
      </c>
      <c r="B2210" s="2" t="s">
        <v>1083</v>
      </c>
      <c r="C2210" s="5" t="s">
        <v>1086</v>
      </c>
      <c r="D2210" s="2" t="s">
        <v>1087</v>
      </c>
    </row>
    <row r="2211" spans="1:4" ht="12.95" customHeight="1" x14ac:dyDescent="0.25">
      <c r="A2211" s="2" t="s">
        <v>404</v>
      </c>
      <c r="B2211" s="2" t="s">
        <v>1083</v>
      </c>
      <c r="C2211" s="5" t="s">
        <v>1090</v>
      </c>
      <c r="D2211" s="2" t="s">
        <v>3259</v>
      </c>
    </row>
    <row r="2212" spans="1:4" ht="12.95" customHeight="1" x14ac:dyDescent="0.25">
      <c r="A2212" s="2" t="s">
        <v>404</v>
      </c>
      <c r="B2212" s="2" t="s">
        <v>1083</v>
      </c>
      <c r="C2212" s="5" t="s">
        <v>1092</v>
      </c>
      <c r="D2212" s="2" t="s">
        <v>3260</v>
      </c>
    </row>
    <row r="2213" spans="1:4" ht="12.95" customHeight="1" x14ac:dyDescent="0.25">
      <c r="A2213" s="2" t="s">
        <v>404</v>
      </c>
      <c r="B2213" s="2" t="s">
        <v>1083</v>
      </c>
      <c r="C2213" s="5" t="s">
        <v>1094</v>
      </c>
      <c r="D2213" s="2" t="s">
        <v>3261</v>
      </c>
    </row>
    <row r="2214" spans="1:4" ht="12.95" customHeight="1" x14ac:dyDescent="0.25">
      <c r="A2214" s="2" t="s">
        <v>404</v>
      </c>
      <c r="B2214" s="2" t="s">
        <v>1083</v>
      </c>
      <c r="C2214" s="5" t="s">
        <v>1096</v>
      </c>
      <c r="D2214" s="2" t="s">
        <v>3262</v>
      </c>
    </row>
    <row r="2215" spans="1:4" ht="12.95" customHeight="1" x14ac:dyDescent="0.25">
      <c r="A2215" s="2" t="s">
        <v>404</v>
      </c>
      <c r="B2215" s="2" t="s">
        <v>1083</v>
      </c>
      <c r="C2215" s="5" t="s">
        <v>1098</v>
      </c>
      <c r="D2215" s="2" t="s">
        <v>3263</v>
      </c>
    </row>
    <row r="2216" spans="1:4" ht="12.95" customHeight="1" x14ac:dyDescent="0.25">
      <c r="A2216" s="2" t="s">
        <v>407</v>
      </c>
      <c r="B2216" s="2" t="s">
        <v>1113</v>
      </c>
      <c r="C2216" s="5" t="s">
        <v>1286</v>
      </c>
      <c r="D2216" s="2" t="s">
        <v>1085</v>
      </c>
    </row>
    <row r="2217" spans="1:4" ht="12.95" customHeight="1" x14ac:dyDescent="0.25">
      <c r="A2217" s="2" t="s">
        <v>407</v>
      </c>
      <c r="B2217" s="2" t="s">
        <v>1113</v>
      </c>
      <c r="C2217" s="5" t="s">
        <v>1084</v>
      </c>
      <c r="D2217" s="2" t="s">
        <v>1085</v>
      </c>
    </row>
    <row r="2218" spans="1:4" ht="12.95" customHeight="1" x14ac:dyDescent="0.25">
      <c r="A2218" s="2" t="s">
        <v>407</v>
      </c>
      <c r="B2218" s="2" t="s">
        <v>1113</v>
      </c>
      <c r="C2218" s="5" t="s">
        <v>1090</v>
      </c>
      <c r="D2218" s="2" t="s">
        <v>3264</v>
      </c>
    </row>
    <row r="2219" spans="1:4" ht="12.95" customHeight="1" x14ac:dyDescent="0.25">
      <c r="A2219" s="2" t="s">
        <v>407</v>
      </c>
      <c r="B2219" s="2" t="s">
        <v>1113</v>
      </c>
      <c r="C2219" s="5" t="s">
        <v>1092</v>
      </c>
      <c r="D2219" s="2" t="s">
        <v>3265</v>
      </c>
    </row>
    <row r="2220" spans="1:4" ht="12.95" customHeight="1" x14ac:dyDescent="0.25">
      <c r="A2220" s="2" t="s">
        <v>407</v>
      </c>
      <c r="B2220" s="2" t="s">
        <v>1113</v>
      </c>
      <c r="C2220" s="5" t="s">
        <v>1094</v>
      </c>
      <c r="D2220" s="2" t="s">
        <v>3266</v>
      </c>
    </row>
    <row r="2221" spans="1:4" ht="12.95" customHeight="1" x14ac:dyDescent="0.25">
      <c r="A2221" s="2" t="s">
        <v>407</v>
      </c>
      <c r="B2221" s="2" t="s">
        <v>1113</v>
      </c>
      <c r="C2221" s="5" t="s">
        <v>1100</v>
      </c>
      <c r="D2221" s="2" t="s">
        <v>3267</v>
      </c>
    </row>
    <row r="2222" spans="1:4" ht="12.95" customHeight="1" x14ac:dyDescent="0.25">
      <c r="A2222" s="2" t="s">
        <v>407</v>
      </c>
      <c r="B2222" s="2" t="s">
        <v>1113</v>
      </c>
      <c r="C2222" s="5" t="s">
        <v>1109</v>
      </c>
      <c r="D2222" s="2" t="s">
        <v>3268</v>
      </c>
    </row>
    <row r="2223" spans="1:4" ht="12.95" customHeight="1" x14ac:dyDescent="0.25">
      <c r="A2223" s="2" t="s">
        <v>407</v>
      </c>
      <c r="B2223" s="2" t="s">
        <v>1113</v>
      </c>
      <c r="C2223" s="5" t="s">
        <v>1119</v>
      </c>
      <c r="D2223" s="2" t="s">
        <v>3269</v>
      </c>
    </row>
    <row r="2224" spans="1:4" ht="12.95" customHeight="1" x14ac:dyDescent="0.25">
      <c r="A2224" s="2" t="s">
        <v>407</v>
      </c>
      <c r="B2224" s="2" t="s">
        <v>1113</v>
      </c>
      <c r="C2224" s="5" t="s">
        <v>1121</v>
      </c>
      <c r="D2224" s="2" t="s">
        <v>3270</v>
      </c>
    </row>
    <row r="2225" spans="1:4" ht="12.95" customHeight="1" x14ac:dyDescent="0.25">
      <c r="A2225" s="2" t="s">
        <v>407</v>
      </c>
      <c r="B2225" s="2" t="s">
        <v>1113</v>
      </c>
      <c r="C2225" s="5" t="s">
        <v>1123</v>
      </c>
      <c r="D2225" s="2" t="s">
        <v>3271</v>
      </c>
    </row>
    <row r="2226" spans="1:4" ht="12.95" customHeight="1" x14ac:dyDescent="0.25">
      <c r="A2226" s="2" t="s">
        <v>407</v>
      </c>
      <c r="B2226" s="2" t="s">
        <v>1113</v>
      </c>
      <c r="C2226" s="5" t="s">
        <v>1127</v>
      </c>
      <c r="D2226" s="2" t="s">
        <v>3272</v>
      </c>
    </row>
    <row r="2227" spans="1:4" ht="12.95" customHeight="1" x14ac:dyDescent="0.25">
      <c r="A2227" s="2" t="s">
        <v>407</v>
      </c>
      <c r="B2227" s="2" t="s">
        <v>1113</v>
      </c>
      <c r="C2227" s="5" t="s">
        <v>1129</v>
      </c>
      <c r="D2227" s="2" t="s">
        <v>3273</v>
      </c>
    </row>
    <row r="2228" spans="1:4" ht="12.95" customHeight="1" x14ac:dyDescent="0.25">
      <c r="A2228" s="2" t="s">
        <v>407</v>
      </c>
      <c r="B2228" s="2" t="s">
        <v>1113</v>
      </c>
      <c r="C2228" s="5" t="s">
        <v>1131</v>
      </c>
      <c r="D2228" s="2" t="s">
        <v>3274</v>
      </c>
    </row>
    <row r="2229" spans="1:4" ht="12.95" customHeight="1" x14ac:dyDescent="0.25">
      <c r="A2229" s="2" t="s">
        <v>407</v>
      </c>
      <c r="B2229" s="2" t="s">
        <v>1113</v>
      </c>
      <c r="C2229" s="5" t="s">
        <v>1139</v>
      </c>
      <c r="D2229" s="2" t="s">
        <v>3275</v>
      </c>
    </row>
    <row r="2230" spans="1:4" ht="12.95" customHeight="1" x14ac:dyDescent="0.25">
      <c r="A2230" s="2" t="s">
        <v>407</v>
      </c>
      <c r="B2230" s="2" t="s">
        <v>1113</v>
      </c>
      <c r="C2230" s="5" t="s">
        <v>1141</v>
      </c>
      <c r="D2230" s="2" t="s">
        <v>3276</v>
      </c>
    </row>
    <row r="2231" spans="1:4" ht="12.95" customHeight="1" x14ac:dyDescent="0.25">
      <c r="A2231" s="2" t="s">
        <v>407</v>
      </c>
      <c r="B2231" s="2" t="s">
        <v>1113</v>
      </c>
      <c r="C2231" s="5" t="s">
        <v>1295</v>
      </c>
      <c r="D2231" s="2" t="s">
        <v>3277</v>
      </c>
    </row>
    <row r="2232" spans="1:4" ht="12.95" customHeight="1" x14ac:dyDescent="0.25">
      <c r="A2232" s="2" t="s">
        <v>407</v>
      </c>
      <c r="B2232" s="2" t="s">
        <v>1113</v>
      </c>
      <c r="C2232" s="5" t="s">
        <v>1187</v>
      </c>
      <c r="D2232" s="2" t="s">
        <v>3278</v>
      </c>
    </row>
    <row r="2233" spans="1:4" ht="12.95" customHeight="1" x14ac:dyDescent="0.25">
      <c r="A2233" s="2" t="s">
        <v>407</v>
      </c>
      <c r="B2233" s="2" t="s">
        <v>1113</v>
      </c>
      <c r="C2233" s="5" t="s">
        <v>1189</v>
      </c>
      <c r="D2233" s="2" t="s">
        <v>3279</v>
      </c>
    </row>
    <row r="2234" spans="1:4" ht="12.95" customHeight="1" x14ac:dyDescent="0.25">
      <c r="A2234" s="2" t="s">
        <v>407</v>
      </c>
      <c r="B2234" s="2" t="s">
        <v>1113</v>
      </c>
      <c r="C2234" s="5" t="s">
        <v>1191</v>
      </c>
      <c r="D2234" s="2" t="s">
        <v>3280</v>
      </c>
    </row>
    <row r="2235" spans="1:4" ht="12.95" customHeight="1" x14ac:dyDescent="0.25">
      <c r="A2235" s="2" t="s">
        <v>407</v>
      </c>
      <c r="B2235" s="2" t="s">
        <v>1113</v>
      </c>
      <c r="C2235" s="5" t="s">
        <v>1193</v>
      </c>
      <c r="D2235" s="2" t="s">
        <v>3281</v>
      </c>
    </row>
    <row r="2236" spans="1:4" ht="12.95" customHeight="1" x14ac:dyDescent="0.25">
      <c r="A2236" s="2" t="s">
        <v>407</v>
      </c>
      <c r="B2236" s="2" t="s">
        <v>1113</v>
      </c>
      <c r="C2236" s="5" t="s">
        <v>3172</v>
      </c>
      <c r="D2236" s="2" t="s">
        <v>3282</v>
      </c>
    </row>
    <row r="2237" spans="1:4" ht="12.95" customHeight="1" x14ac:dyDescent="0.25">
      <c r="A2237" s="2" t="s">
        <v>407</v>
      </c>
      <c r="B2237" s="2" t="s">
        <v>1113</v>
      </c>
      <c r="C2237" s="5" t="s">
        <v>3174</v>
      </c>
      <c r="D2237" s="2" t="s">
        <v>3283</v>
      </c>
    </row>
    <row r="2238" spans="1:4" ht="12.95" customHeight="1" x14ac:dyDescent="0.25">
      <c r="A2238" s="2" t="s">
        <v>407</v>
      </c>
      <c r="B2238" s="2" t="s">
        <v>1113</v>
      </c>
      <c r="C2238" s="5" t="s">
        <v>3180</v>
      </c>
      <c r="D2238" s="2" t="s">
        <v>3284</v>
      </c>
    </row>
    <row r="2239" spans="1:4" ht="12.95" customHeight="1" x14ac:dyDescent="0.25">
      <c r="A2239" s="2" t="s">
        <v>407</v>
      </c>
      <c r="B2239" s="2" t="s">
        <v>1113</v>
      </c>
      <c r="C2239" s="5" t="s">
        <v>1297</v>
      </c>
      <c r="D2239" s="2" t="s">
        <v>3285</v>
      </c>
    </row>
    <row r="2240" spans="1:4" ht="12.95" customHeight="1" x14ac:dyDescent="0.25">
      <c r="A2240" s="2" t="s">
        <v>407</v>
      </c>
      <c r="B2240" s="2" t="s">
        <v>1113</v>
      </c>
      <c r="C2240" s="5" t="s">
        <v>1195</v>
      </c>
      <c r="D2240" s="2" t="s">
        <v>3286</v>
      </c>
    </row>
    <row r="2241" spans="1:4" ht="12.95" customHeight="1" x14ac:dyDescent="0.25">
      <c r="A2241" s="2" t="s">
        <v>407</v>
      </c>
      <c r="B2241" s="2" t="s">
        <v>1113</v>
      </c>
      <c r="C2241" s="5" t="s">
        <v>1197</v>
      </c>
      <c r="D2241" s="2" t="s">
        <v>3287</v>
      </c>
    </row>
    <row r="2242" spans="1:4" ht="12.95" customHeight="1" x14ac:dyDescent="0.25">
      <c r="A2242" s="2" t="s">
        <v>407</v>
      </c>
      <c r="B2242" s="2" t="s">
        <v>1113</v>
      </c>
      <c r="C2242" s="5" t="s">
        <v>1199</v>
      </c>
      <c r="D2242" s="2" t="s">
        <v>3288</v>
      </c>
    </row>
    <row r="2243" spans="1:4" ht="12.95" customHeight="1" x14ac:dyDescent="0.25">
      <c r="A2243" s="2" t="s">
        <v>407</v>
      </c>
      <c r="B2243" s="2" t="s">
        <v>1113</v>
      </c>
      <c r="C2243" s="5" t="s">
        <v>1201</v>
      </c>
      <c r="D2243" s="2" t="s">
        <v>3289</v>
      </c>
    </row>
    <row r="2244" spans="1:4" ht="12.95" customHeight="1" x14ac:dyDescent="0.25">
      <c r="A2244" s="2" t="s">
        <v>407</v>
      </c>
      <c r="B2244" s="2" t="s">
        <v>1113</v>
      </c>
      <c r="C2244" s="5" t="s">
        <v>3187</v>
      </c>
      <c r="D2244" s="2" t="s">
        <v>3290</v>
      </c>
    </row>
    <row r="2245" spans="1:4" ht="12.95" customHeight="1" x14ac:dyDescent="0.25">
      <c r="A2245" s="2" t="s">
        <v>407</v>
      </c>
      <c r="B2245" s="2" t="s">
        <v>1113</v>
      </c>
      <c r="C2245" s="5" t="s">
        <v>3189</v>
      </c>
      <c r="D2245" s="2" t="s">
        <v>3291</v>
      </c>
    </row>
    <row r="2246" spans="1:4" ht="12.95" customHeight="1" x14ac:dyDescent="0.25">
      <c r="A2246" s="2" t="s">
        <v>407</v>
      </c>
      <c r="B2246" s="2" t="s">
        <v>1113</v>
      </c>
      <c r="C2246" s="5" t="s">
        <v>3191</v>
      </c>
      <c r="D2246" s="2" t="s">
        <v>3292</v>
      </c>
    </row>
    <row r="2247" spans="1:4" ht="12.95" customHeight="1" x14ac:dyDescent="0.25">
      <c r="A2247" s="2" t="s">
        <v>407</v>
      </c>
      <c r="B2247" s="2" t="s">
        <v>1113</v>
      </c>
      <c r="C2247" s="5" t="s">
        <v>3193</v>
      </c>
      <c r="D2247" s="2" t="s">
        <v>3293</v>
      </c>
    </row>
    <row r="2248" spans="1:4" ht="12.95" customHeight="1" x14ac:dyDescent="0.25">
      <c r="A2248" s="2" t="s">
        <v>407</v>
      </c>
      <c r="B2248" s="2" t="s">
        <v>1113</v>
      </c>
      <c r="C2248" s="5" t="s">
        <v>3195</v>
      </c>
      <c r="D2248" s="2" t="s">
        <v>3294</v>
      </c>
    </row>
    <row r="2249" spans="1:4" ht="12.95" customHeight="1" x14ac:dyDescent="0.25">
      <c r="A2249" s="2" t="s">
        <v>407</v>
      </c>
      <c r="B2249" s="2" t="s">
        <v>1113</v>
      </c>
      <c r="C2249" s="5" t="s">
        <v>1299</v>
      </c>
      <c r="D2249" s="2" t="s">
        <v>3295</v>
      </c>
    </row>
    <row r="2250" spans="1:4" ht="12.95" customHeight="1" x14ac:dyDescent="0.25">
      <c r="A2250" s="2" t="s">
        <v>407</v>
      </c>
      <c r="B2250" s="2" t="s">
        <v>1113</v>
      </c>
      <c r="C2250" s="5" t="s">
        <v>1203</v>
      </c>
      <c r="D2250" s="2" t="s">
        <v>3296</v>
      </c>
    </row>
    <row r="2251" spans="1:4" ht="12.95" customHeight="1" x14ac:dyDescent="0.25">
      <c r="A2251" s="2" t="s">
        <v>407</v>
      </c>
      <c r="B2251" s="2" t="s">
        <v>1113</v>
      </c>
      <c r="C2251" s="5" t="s">
        <v>1205</v>
      </c>
      <c r="D2251" s="2" t="s">
        <v>3297</v>
      </c>
    </row>
    <row r="2252" spans="1:4" ht="12.95" customHeight="1" x14ac:dyDescent="0.25">
      <c r="A2252" s="2" t="s">
        <v>407</v>
      </c>
      <c r="B2252" s="2" t="s">
        <v>1113</v>
      </c>
      <c r="C2252" s="5" t="s">
        <v>1207</v>
      </c>
      <c r="D2252" s="2" t="s">
        <v>3298</v>
      </c>
    </row>
    <row r="2253" spans="1:4" ht="12.95" customHeight="1" x14ac:dyDescent="0.25">
      <c r="A2253" s="2" t="s">
        <v>407</v>
      </c>
      <c r="B2253" s="2" t="s">
        <v>1113</v>
      </c>
      <c r="C2253" s="5" t="s">
        <v>1209</v>
      </c>
      <c r="D2253" s="2" t="s">
        <v>3299</v>
      </c>
    </row>
    <row r="2254" spans="1:4" ht="12.95" customHeight="1" x14ac:dyDescent="0.25">
      <c r="A2254" s="2" t="s">
        <v>407</v>
      </c>
      <c r="B2254" s="2" t="s">
        <v>1113</v>
      </c>
      <c r="C2254" s="5" t="s">
        <v>3201</v>
      </c>
      <c r="D2254" s="2" t="s">
        <v>3300</v>
      </c>
    </row>
    <row r="2255" spans="1:4" ht="12.95" customHeight="1" x14ac:dyDescent="0.25">
      <c r="A2255" s="2" t="s">
        <v>407</v>
      </c>
      <c r="B2255" s="2" t="s">
        <v>1113</v>
      </c>
      <c r="C2255" s="5" t="s">
        <v>3203</v>
      </c>
      <c r="D2255" s="2" t="s">
        <v>3301</v>
      </c>
    </row>
    <row r="2256" spans="1:4" ht="12.95" customHeight="1" x14ac:dyDescent="0.25">
      <c r="A2256" s="2" t="s">
        <v>407</v>
      </c>
      <c r="B2256" s="2" t="s">
        <v>1113</v>
      </c>
      <c r="C2256" s="5" t="s">
        <v>3205</v>
      </c>
      <c r="D2256" s="2" t="s">
        <v>3302</v>
      </c>
    </row>
    <row r="2257" spans="1:4" ht="12.95" customHeight="1" x14ac:dyDescent="0.25">
      <c r="A2257" s="2" t="s">
        <v>407</v>
      </c>
      <c r="B2257" s="2" t="s">
        <v>1113</v>
      </c>
      <c r="C2257" s="5" t="s">
        <v>3207</v>
      </c>
      <c r="D2257" s="2" t="s">
        <v>3303</v>
      </c>
    </row>
    <row r="2258" spans="1:4" ht="12.95" customHeight="1" x14ac:dyDescent="0.25">
      <c r="A2258" s="2" t="s">
        <v>407</v>
      </c>
      <c r="B2258" s="2" t="s">
        <v>1113</v>
      </c>
      <c r="C2258" s="5" t="s">
        <v>3209</v>
      </c>
      <c r="D2258" s="2" t="s">
        <v>3304</v>
      </c>
    </row>
    <row r="2259" spans="1:4" ht="12.95" customHeight="1" x14ac:dyDescent="0.25">
      <c r="A2259" s="2" t="s">
        <v>407</v>
      </c>
      <c r="B2259" s="2" t="s">
        <v>1113</v>
      </c>
      <c r="C2259" s="5" t="s">
        <v>1301</v>
      </c>
      <c r="D2259" s="2" t="s">
        <v>3305</v>
      </c>
    </row>
    <row r="2260" spans="1:4" ht="12.95" customHeight="1" x14ac:dyDescent="0.25">
      <c r="A2260" s="2" t="s">
        <v>407</v>
      </c>
      <c r="B2260" s="2" t="s">
        <v>1113</v>
      </c>
      <c r="C2260" s="5" t="s">
        <v>1211</v>
      </c>
      <c r="D2260" s="2" t="s">
        <v>3306</v>
      </c>
    </row>
    <row r="2261" spans="1:4" ht="12.95" customHeight="1" x14ac:dyDescent="0.25">
      <c r="A2261" s="2" t="s">
        <v>407</v>
      </c>
      <c r="B2261" s="2" t="s">
        <v>1113</v>
      </c>
      <c r="C2261" s="5" t="s">
        <v>1213</v>
      </c>
      <c r="D2261" s="2" t="s">
        <v>3307</v>
      </c>
    </row>
    <row r="2262" spans="1:4" ht="12.95" customHeight="1" x14ac:dyDescent="0.25">
      <c r="A2262" s="2" t="s">
        <v>407</v>
      </c>
      <c r="B2262" s="2" t="s">
        <v>1113</v>
      </c>
      <c r="C2262" s="5" t="s">
        <v>1215</v>
      </c>
      <c r="D2262" s="2" t="s">
        <v>3308</v>
      </c>
    </row>
    <row r="2263" spans="1:4" ht="12.95" customHeight="1" x14ac:dyDescent="0.25">
      <c r="A2263" s="2" t="s">
        <v>407</v>
      </c>
      <c r="B2263" s="2" t="s">
        <v>1113</v>
      </c>
      <c r="C2263" s="5" t="s">
        <v>1217</v>
      </c>
      <c r="D2263" s="2" t="s">
        <v>3309</v>
      </c>
    </row>
    <row r="2264" spans="1:4" ht="12.95" customHeight="1" x14ac:dyDescent="0.25">
      <c r="A2264" s="2" t="s">
        <v>407</v>
      </c>
      <c r="B2264" s="2" t="s">
        <v>1113</v>
      </c>
      <c r="C2264" s="5" t="s">
        <v>3215</v>
      </c>
      <c r="D2264" s="2" t="s">
        <v>3310</v>
      </c>
    </row>
    <row r="2265" spans="1:4" ht="12.95" customHeight="1" x14ac:dyDescent="0.25">
      <c r="A2265" s="2" t="s">
        <v>407</v>
      </c>
      <c r="B2265" s="2" t="s">
        <v>1113</v>
      </c>
      <c r="C2265" s="5" t="s">
        <v>3217</v>
      </c>
      <c r="D2265" s="2" t="s">
        <v>3311</v>
      </c>
    </row>
    <row r="2266" spans="1:4" ht="12.95" customHeight="1" x14ac:dyDescent="0.25">
      <c r="A2266" s="2" t="s">
        <v>407</v>
      </c>
      <c r="B2266" s="2" t="s">
        <v>1113</v>
      </c>
      <c r="C2266" s="5" t="s">
        <v>3312</v>
      </c>
      <c r="D2266" s="2" t="s">
        <v>3313</v>
      </c>
    </row>
    <row r="2267" spans="1:4" ht="12.95" customHeight="1" x14ac:dyDescent="0.25">
      <c r="A2267" s="2" t="s">
        <v>407</v>
      </c>
      <c r="B2267" s="2" t="s">
        <v>1113</v>
      </c>
      <c r="C2267" s="5" t="s">
        <v>3314</v>
      </c>
      <c r="D2267" s="2" t="s">
        <v>3315</v>
      </c>
    </row>
    <row r="2268" spans="1:4" ht="12.95" customHeight="1" x14ac:dyDescent="0.25">
      <c r="A2268" s="2" t="s">
        <v>407</v>
      </c>
      <c r="B2268" s="2" t="s">
        <v>1113</v>
      </c>
      <c r="C2268" s="5" t="s">
        <v>3316</v>
      </c>
      <c r="D2268" s="2" t="s">
        <v>3317</v>
      </c>
    </row>
    <row r="2269" spans="1:4" ht="12.95" customHeight="1" x14ac:dyDescent="0.25">
      <c r="A2269" s="2" t="s">
        <v>407</v>
      </c>
      <c r="B2269" s="2" t="s">
        <v>1113</v>
      </c>
      <c r="C2269" s="5" t="s">
        <v>1303</v>
      </c>
      <c r="D2269" s="2" t="s">
        <v>3318</v>
      </c>
    </row>
    <row r="2270" spans="1:4" ht="12.95" customHeight="1" x14ac:dyDescent="0.25">
      <c r="A2270" s="2" t="s">
        <v>407</v>
      </c>
      <c r="B2270" s="2" t="s">
        <v>1113</v>
      </c>
      <c r="C2270" s="5" t="s">
        <v>1219</v>
      </c>
      <c r="D2270" s="2" t="s">
        <v>3319</v>
      </c>
    </row>
    <row r="2271" spans="1:4" ht="12.95" customHeight="1" x14ac:dyDescent="0.25">
      <c r="A2271" s="2" t="s">
        <v>407</v>
      </c>
      <c r="B2271" s="2" t="s">
        <v>1113</v>
      </c>
      <c r="C2271" s="5" t="s">
        <v>1221</v>
      </c>
      <c r="D2271" s="2" t="s">
        <v>3320</v>
      </c>
    </row>
    <row r="2272" spans="1:4" ht="12.95" customHeight="1" x14ac:dyDescent="0.25">
      <c r="A2272" s="2" t="s">
        <v>407</v>
      </c>
      <c r="B2272" s="2" t="s">
        <v>1113</v>
      </c>
      <c r="C2272" s="5" t="s">
        <v>1223</v>
      </c>
      <c r="D2272" s="2" t="s">
        <v>3321</v>
      </c>
    </row>
    <row r="2273" spans="1:4" ht="12.95" customHeight="1" x14ac:dyDescent="0.25">
      <c r="A2273" s="2" t="s">
        <v>407</v>
      </c>
      <c r="B2273" s="2" t="s">
        <v>1113</v>
      </c>
      <c r="C2273" s="5" t="s">
        <v>1225</v>
      </c>
      <c r="D2273" s="2" t="s">
        <v>3322</v>
      </c>
    </row>
    <row r="2274" spans="1:4" ht="12.95" customHeight="1" x14ac:dyDescent="0.25">
      <c r="A2274" s="2" t="s">
        <v>407</v>
      </c>
      <c r="B2274" s="2" t="s">
        <v>1113</v>
      </c>
      <c r="C2274" s="5" t="s">
        <v>3323</v>
      </c>
      <c r="D2274" s="2" t="s">
        <v>3324</v>
      </c>
    </row>
    <row r="2275" spans="1:4" ht="12.95" customHeight="1" x14ac:dyDescent="0.25">
      <c r="A2275" s="2" t="s">
        <v>407</v>
      </c>
      <c r="B2275" s="2" t="s">
        <v>1113</v>
      </c>
      <c r="C2275" s="5" t="s">
        <v>3325</v>
      </c>
      <c r="D2275" s="2" t="s">
        <v>3326</v>
      </c>
    </row>
    <row r="2276" spans="1:4" ht="12.95" customHeight="1" x14ac:dyDescent="0.25">
      <c r="A2276" s="2" t="s">
        <v>407</v>
      </c>
      <c r="B2276" s="2" t="s">
        <v>1113</v>
      </c>
      <c r="C2276" s="5" t="s">
        <v>3327</v>
      </c>
      <c r="D2276" s="2" t="s">
        <v>3328</v>
      </c>
    </row>
    <row r="2277" spans="1:4" ht="12.95" customHeight="1" x14ac:dyDescent="0.25">
      <c r="A2277" s="2" t="s">
        <v>407</v>
      </c>
      <c r="B2277" s="2" t="s">
        <v>1113</v>
      </c>
      <c r="C2277" s="5" t="s">
        <v>1305</v>
      </c>
      <c r="D2277" s="2" t="s">
        <v>3329</v>
      </c>
    </row>
    <row r="2278" spans="1:4" ht="12.95" customHeight="1" x14ac:dyDescent="0.25">
      <c r="A2278" s="2" t="s">
        <v>407</v>
      </c>
      <c r="B2278" s="2" t="s">
        <v>1113</v>
      </c>
      <c r="C2278" s="5" t="s">
        <v>1227</v>
      </c>
      <c r="D2278" s="2" t="s">
        <v>3330</v>
      </c>
    </row>
    <row r="2279" spans="1:4" ht="12.95" customHeight="1" x14ac:dyDescent="0.25">
      <c r="A2279" s="2" t="s">
        <v>407</v>
      </c>
      <c r="B2279" s="2" t="s">
        <v>1113</v>
      </c>
      <c r="C2279" s="5" t="s">
        <v>1229</v>
      </c>
      <c r="D2279" s="2" t="s">
        <v>3331</v>
      </c>
    </row>
    <row r="2280" spans="1:4" ht="12.95" customHeight="1" x14ac:dyDescent="0.25">
      <c r="A2280" s="2" t="s">
        <v>407</v>
      </c>
      <c r="B2280" s="2" t="s">
        <v>1113</v>
      </c>
      <c r="C2280" s="5" t="s">
        <v>1231</v>
      </c>
      <c r="D2280" s="2" t="s">
        <v>3332</v>
      </c>
    </row>
    <row r="2281" spans="1:4" ht="12.95" customHeight="1" x14ac:dyDescent="0.25">
      <c r="A2281" s="2" t="s">
        <v>407</v>
      </c>
      <c r="B2281" s="2" t="s">
        <v>1113</v>
      </c>
      <c r="C2281" s="5" t="s">
        <v>1233</v>
      </c>
      <c r="D2281" s="2" t="s">
        <v>3333</v>
      </c>
    </row>
    <row r="2282" spans="1:4" ht="12.95" customHeight="1" x14ac:dyDescent="0.25">
      <c r="A2282" s="2" t="s">
        <v>407</v>
      </c>
      <c r="B2282" s="2" t="s">
        <v>1113</v>
      </c>
      <c r="C2282" s="5" t="s">
        <v>3234</v>
      </c>
      <c r="D2282" s="2" t="s">
        <v>3334</v>
      </c>
    </row>
    <row r="2283" spans="1:4" ht="12.95" customHeight="1" x14ac:dyDescent="0.25">
      <c r="A2283" s="2" t="s">
        <v>407</v>
      </c>
      <c r="B2283" s="2" t="s">
        <v>1113</v>
      </c>
      <c r="C2283" s="5" t="s">
        <v>3335</v>
      </c>
      <c r="D2283" s="2" t="s">
        <v>3336</v>
      </c>
    </row>
    <row r="2284" spans="1:4" ht="12.95" customHeight="1" x14ac:dyDescent="0.25">
      <c r="A2284" s="2" t="s">
        <v>407</v>
      </c>
      <c r="B2284" s="2" t="s">
        <v>1113</v>
      </c>
      <c r="C2284" s="5" t="s">
        <v>3337</v>
      </c>
      <c r="D2284" s="2" t="s">
        <v>3338</v>
      </c>
    </row>
    <row r="2285" spans="1:4" ht="12.95" customHeight="1" x14ac:dyDescent="0.25">
      <c r="A2285" s="2" t="s">
        <v>407</v>
      </c>
      <c r="B2285" s="2" t="s">
        <v>1113</v>
      </c>
      <c r="C2285" s="5" t="s">
        <v>1307</v>
      </c>
      <c r="D2285" s="2" t="s">
        <v>3339</v>
      </c>
    </row>
    <row r="2286" spans="1:4" ht="12.95" customHeight="1" x14ac:dyDescent="0.25">
      <c r="A2286" s="2" t="s">
        <v>407</v>
      </c>
      <c r="B2286" s="2" t="s">
        <v>1113</v>
      </c>
      <c r="C2286" s="5" t="s">
        <v>1235</v>
      </c>
      <c r="D2286" s="2" t="s">
        <v>3340</v>
      </c>
    </row>
    <row r="2287" spans="1:4" ht="12.95" customHeight="1" x14ac:dyDescent="0.25">
      <c r="A2287" s="2" t="s">
        <v>407</v>
      </c>
      <c r="B2287" s="2" t="s">
        <v>1113</v>
      </c>
      <c r="C2287" s="5" t="s">
        <v>1237</v>
      </c>
      <c r="D2287" s="2" t="s">
        <v>3341</v>
      </c>
    </row>
    <row r="2288" spans="1:4" ht="12.95" customHeight="1" x14ac:dyDescent="0.25">
      <c r="A2288" s="2" t="s">
        <v>407</v>
      </c>
      <c r="B2288" s="2" t="s">
        <v>1113</v>
      </c>
      <c r="C2288" s="5" t="s">
        <v>1239</v>
      </c>
      <c r="D2288" s="2" t="s">
        <v>3342</v>
      </c>
    </row>
    <row r="2289" spans="1:4" ht="12.95" customHeight="1" x14ac:dyDescent="0.25">
      <c r="A2289" s="2" t="s">
        <v>407</v>
      </c>
      <c r="B2289" s="2" t="s">
        <v>1113</v>
      </c>
      <c r="C2289" s="5" t="s">
        <v>1241</v>
      </c>
      <c r="D2289" s="2" t="s">
        <v>3343</v>
      </c>
    </row>
    <row r="2290" spans="1:4" ht="12.95" customHeight="1" x14ac:dyDescent="0.25">
      <c r="A2290" s="2" t="s">
        <v>407</v>
      </c>
      <c r="B2290" s="2" t="s">
        <v>1113</v>
      </c>
      <c r="C2290" s="5" t="s">
        <v>3344</v>
      </c>
      <c r="D2290" s="2" t="s">
        <v>3345</v>
      </c>
    </row>
    <row r="2291" spans="1:4" ht="12.95" customHeight="1" x14ac:dyDescent="0.25">
      <c r="A2291" s="2" t="s">
        <v>407</v>
      </c>
      <c r="B2291" s="2" t="s">
        <v>1113</v>
      </c>
      <c r="C2291" s="5" t="s">
        <v>3346</v>
      </c>
      <c r="D2291" s="2" t="s">
        <v>3347</v>
      </c>
    </row>
    <row r="2292" spans="1:4" ht="12.95" customHeight="1" x14ac:dyDescent="0.25">
      <c r="A2292" s="2" t="s">
        <v>407</v>
      </c>
      <c r="B2292" s="2" t="s">
        <v>1113</v>
      </c>
      <c r="C2292" s="5" t="s">
        <v>3348</v>
      </c>
      <c r="D2292" s="2" t="s">
        <v>3349</v>
      </c>
    </row>
    <row r="2293" spans="1:4" ht="12.95" customHeight="1" x14ac:dyDescent="0.25">
      <c r="A2293" s="2" t="s">
        <v>407</v>
      </c>
      <c r="B2293" s="2" t="s">
        <v>1113</v>
      </c>
      <c r="C2293" s="5" t="s">
        <v>3350</v>
      </c>
      <c r="D2293" s="2" t="s">
        <v>3351</v>
      </c>
    </row>
    <row r="2294" spans="1:4" ht="12.95" customHeight="1" x14ac:dyDescent="0.25">
      <c r="A2294" s="2" t="s">
        <v>407</v>
      </c>
      <c r="B2294" s="2" t="s">
        <v>1113</v>
      </c>
      <c r="C2294" s="5" t="s">
        <v>3352</v>
      </c>
      <c r="D2294" s="2" t="s">
        <v>3353</v>
      </c>
    </row>
    <row r="2295" spans="1:4" ht="12.95" customHeight="1" x14ac:dyDescent="0.25">
      <c r="A2295" s="2" t="s">
        <v>407</v>
      </c>
      <c r="B2295" s="2" t="s">
        <v>1113</v>
      </c>
      <c r="C2295" s="5" t="s">
        <v>1309</v>
      </c>
      <c r="D2295" s="2" t="s">
        <v>3354</v>
      </c>
    </row>
    <row r="2296" spans="1:4" ht="12.95" customHeight="1" x14ac:dyDescent="0.25">
      <c r="A2296" s="2" t="s">
        <v>407</v>
      </c>
      <c r="B2296" s="2" t="s">
        <v>1113</v>
      </c>
      <c r="C2296" s="5" t="s">
        <v>1243</v>
      </c>
      <c r="D2296" s="2" t="s">
        <v>3355</v>
      </c>
    </row>
    <row r="2297" spans="1:4" ht="12.95" customHeight="1" x14ac:dyDescent="0.25">
      <c r="A2297" s="2" t="s">
        <v>407</v>
      </c>
      <c r="B2297" s="2" t="s">
        <v>1113</v>
      </c>
      <c r="C2297" s="5" t="s">
        <v>1245</v>
      </c>
      <c r="D2297" s="2" t="s">
        <v>3356</v>
      </c>
    </row>
    <row r="2298" spans="1:4" ht="12.95" customHeight="1" x14ac:dyDescent="0.25">
      <c r="A2298" s="2" t="s">
        <v>407</v>
      </c>
      <c r="B2298" s="2" t="s">
        <v>1113</v>
      </c>
      <c r="C2298" s="5" t="s">
        <v>1247</v>
      </c>
      <c r="D2298" s="2" t="s">
        <v>3357</v>
      </c>
    </row>
    <row r="2299" spans="1:4" ht="12.95" customHeight="1" x14ac:dyDescent="0.25">
      <c r="A2299" s="2" t="s">
        <v>407</v>
      </c>
      <c r="B2299" s="2" t="s">
        <v>1113</v>
      </c>
      <c r="C2299" s="5" t="s">
        <v>1249</v>
      </c>
      <c r="D2299" s="2" t="s">
        <v>3358</v>
      </c>
    </row>
    <row r="2300" spans="1:4" ht="12.95" customHeight="1" x14ac:dyDescent="0.25">
      <c r="A2300" s="2" t="s">
        <v>407</v>
      </c>
      <c r="B2300" s="2" t="s">
        <v>1113</v>
      </c>
      <c r="C2300" s="5" t="s">
        <v>3359</v>
      </c>
      <c r="D2300" s="2" t="s">
        <v>3360</v>
      </c>
    </row>
    <row r="2301" spans="1:4" ht="12.95" customHeight="1" x14ac:dyDescent="0.25">
      <c r="A2301" s="2" t="s">
        <v>407</v>
      </c>
      <c r="B2301" s="2" t="s">
        <v>1113</v>
      </c>
      <c r="C2301" s="5" t="s">
        <v>3361</v>
      </c>
      <c r="D2301" s="2" t="s">
        <v>3362</v>
      </c>
    </row>
    <row r="2302" spans="1:4" ht="12.95" customHeight="1" x14ac:dyDescent="0.25">
      <c r="A2302" s="2" t="s">
        <v>407</v>
      </c>
      <c r="B2302" s="2" t="s">
        <v>1113</v>
      </c>
      <c r="C2302" s="5" t="s">
        <v>3363</v>
      </c>
      <c r="D2302" s="2" t="s">
        <v>1143</v>
      </c>
    </row>
    <row r="2303" spans="1:4" ht="12.95" customHeight="1" x14ac:dyDescent="0.25">
      <c r="A2303" s="2" t="s">
        <v>410</v>
      </c>
      <c r="B2303" s="2" t="s">
        <v>1113</v>
      </c>
      <c r="C2303" s="5" t="s">
        <v>1088</v>
      </c>
      <c r="D2303" s="2" t="s">
        <v>1089</v>
      </c>
    </row>
    <row r="2304" spans="1:4" ht="12.95" customHeight="1" x14ac:dyDescent="0.25">
      <c r="A2304" s="2" t="s">
        <v>413</v>
      </c>
      <c r="B2304" s="2" t="s">
        <v>1083</v>
      </c>
      <c r="C2304" s="5" t="s">
        <v>1102</v>
      </c>
      <c r="D2304" s="2" t="s">
        <v>1103</v>
      </c>
    </row>
    <row r="2305" spans="1:4" ht="12.95" customHeight="1" x14ac:dyDescent="0.25">
      <c r="A2305" s="2" t="s">
        <v>413</v>
      </c>
      <c r="B2305" s="2" t="s">
        <v>1083</v>
      </c>
      <c r="C2305" s="5" t="s">
        <v>1084</v>
      </c>
      <c r="D2305" s="2" t="s">
        <v>1085</v>
      </c>
    </row>
    <row r="2306" spans="1:4" ht="12.95" customHeight="1" x14ac:dyDescent="0.25">
      <c r="A2306" s="2" t="s">
        <v>413</v>
      </c>
      <c r="B2306" s="2" t="s">
        <v>1083</v>
      </c>
      <c r="C2306" s="5" t="s">
        <v>1086</v>
      </c>
      <c r="D2306" s="2" t="s">
        <v>1087</v>
      </c>
    </row>
    <row r="2307" spans="1:4" ht="12.95" customHeight="1" x14ac:dyDescent="0.25">
      <c r="A2307" s="2" t="s">
        <v>413</v>
      </c>
      <c r="B2307" s="2" t="s">
        <v>1083</v>
      </c>
      <c r="C2307" s="5" t="s">
        <v>1088</v>
      </c>
      <c r="D2307" s="2" t="s">
        <v>1089</v>
      </c>
    </row>
    <row r="2308" spans="1:4" ht="12.95" customHeight="1" x14ac:dyDescent="0.25">
      <c r="A2308" s="2" t="s">
        <v>413</v>
      </c>
      <c r="B2308" s="2" t="s">
        <v>1083</v>
      </c>
      <c r="C2308" s="5" t="s">
        <v>1292</v>
      </c>
      <c r="D2308" s="2" t="s">
        <v>1165</v>
      </c>
    </row>
    <row r="2309" spans="1:4" ht="12.95" customHeight="1" x14ac:dyDescent="0.25">
      <c r="A2309" s="2" t="s">
        <v>413</v>
      </c>
      <c r="B2309" s="2" t="s">
        <v>1083</v>
      </c>
      <c r="C2309" s="5" t="s">
        <v>1090</v>
      </c>
      <c r="D2309" s="2" t="s">
        <v>3364</v>
      </c>
    </row>
    <row r="2310" spans="1:4" ht="12.95" customHeight="1" x14ac:dyDescent="0.25">
      <c r="A2310" s="2" t="s">
        <v>413</v>
      </c>
      <c r="B2310" s="2" t="s">
        <v>1083</v>
      </c>
      <c r="C2310" s="5" t="s">
        <v>1092</v>
      </c>
      <c r="D2310" s="2" t="s">
        <v>3365</v>
      </c>
    </row>
    <row r="2311" spans="1:4" ht="12.95" customHeight="1" x14ac:dyDescent="0.25">
      <c r="A2311" s="2" t="s">
        <v>413</v>
      </c>
      <c r="B2311" s="2" t="s">
        <v>1083</v>
      </c>
      <c r="C2311" s="5" t="s">
        <v>1094</v>
      </c>
      <c r="D2311" s="2" t="s">
        <v>3366</v>
      </c>
    </row>
    <row r="2312" spans="1:4" ht="12.95" customHeight="1" x14ac:dyDescent="0.25">
      <c r="A2312" s="2" t="s">
        <v>413</v>
      </c>
      <c r="B2312" s="2" t="s">
        <v>1083</v>
      </c>
      <c r="C2312" s="5" t="s">
        <v>1096</v>
      </c>
      <c r="D2312" s="2" t="s">
        <v>3367</v>
      </c>
    </row>
    <row r="2313" spans="1:4" ht="12.95" customHeight="1" x14ac:dyDescent="0.25">
      <c r="A2313" s="2" t="s">
        <v>413</v>
      </c>
      <c r="B2313" s="2" t="s">
        <v>1083</v>
      </c>
      <c r="C2313" s="5" t="s">
        <v>1098</v>
      </c>
      <c r="D2313" s="2" t="s">
        <v>3368</v>
      </c>
    </row>
    <row r="2314" spans="1:4" ht="12.95" customHeight="1" x14ac:dyDescent="0.25">
      <c r="A2314" s="2" t="s">
        <v>413</v>
      </c>
      <c r="B2314" s="2" t="s">
        <v>1083</v>
      </c>
      <c r="C2314" s="5" t="s">
        <v>1100</v>
      </c>
      <c r="D2314" s="2" t="s">
        <v>3369</v>
      </c>
    </row>
    <row r="2315" spans="1:4" ht="12.95" customHeight="1" x14ac:dyDescent="0.25">
      <c r="A2315" s="2" t="s">
        <v>413</v>
      </c>
      <c r="B2315" s="2" t="s">
        <v>1083</v>
      </c>
      <c r="C2315" s="5" t="s">
        <v>1109</v>
      </c>
      <c r="D2315" s="2" t="s">
        <v>3370</v>
      </c>
    </row>
    <row r="2316" spans="1:4" ht="12.95" customHeight="1" x14ac:dyDescent="0.25">
      <c r="A2316" s="2" t="s">
        <v>413</v>
      </c>
      <c r="B2316" s="2" t="s">
        <v>1083</v>
      </c>
      <c r="C2316" s="5" t="s">
        <v>1119</v>
      </c>
      <c r="D2316" s="2" t="s">
        <v>3371</v>
      </c>
    </row>
    <row r="2317" spans="1:4" ht="12.95" customHeight="1" x14ac:dyDescent="0.25">
      <c r="A2317" s="2" t="s">
        <v>413</v>
      </c>
      <c r="B2317" s="2" t="s">
        <v>1083</v>
      </c>
      <c r="C2317" s="5" t="s">
        <v>1111</v>
      </c>
      <c r="D2317" s="2" t="s">
        <v>1143</v>
      </c>
    </row>
    <row r="2318" spans="1:4" ht="12.95" customHeight="1" x14ac:dyDescent="0.25">
      <c r="A2318" s="2" t="s">
        <v>416</v>
      </c>
      <c r="B2318" s="2" t="s">
        <v>1083</v>
      </c>
      <c r="C2318" s="5" t="s">
        <v>1088</v>
      </c>
      <c r="D2318" s="2" t="s">
        <v>1089</v>
      </c>
    </row>
    <row r="2319" spans="1:4" ht="12.95" customHeight="1" x14ac:dyDescent="0.25">
      <c r="A2319" s="2" t="s">
        <v>419</v>
      </c>
      <c r="B2319" s="2" t="s">
        <v>1083</v>
      </c>
      <c r="C2319" s="5" t="s">
        <v>1102</v>
      </c>
      <c r="D2319" s="2" t="s">
        <v>1103</v>
      </c>
    </row>
    <row r="2320" spans="1:4" ht="12.95" customHeight="1" x14ac:dyDescent="0.25">
      <c r="A2320" s="2" t="s">
        <v>419</v>
      </c>
      <c r="B2320" s="2" t="s">
        <v>1083</v>
      </c>
      <c r="C2320" s="5" t="s">
        <v>1084</v>
      </c>
      <c r="D2320" s="2" t="s">
        <v>1153</v>
      </c>
    </row>
    <row r="2321" spans="1:4" ht="12.95" customHeight="1" x14ac:dyDescent="0.25">
      <c r="A2321" s="2" t="s">
        <v>419</v>
      </c>
      <c r="B2321" s="2" t="s">
        <v>1083</v>
      </c>
      <c r="C2321" s="5" t="s">
        <v>1086</v>
      </c>
      <c r="D2321" s="2" t="s">
        <v>1147</v>
      </c>
    </row>
    <row r="2322" spans="1:4" ht="12.95" customHeight="1" x14ac:dyDescent="0.25">
      <c r="A2322" s="2" t="s">
        <v>419</v>
      </c>
      <c r="B2322" s="2" t="s">
        <v>1083</v>
      </c>
      <c r="C2322" s="5" t="s">
        <v>1088</v>
      </c>
      <c r="D2322" s="2" t="s">
        <v>1089</v>
      </c>
    </row>
    <row r="2323" spans="1:4" ht="12.95" customHeight="1" x14ac:dyDescent="0.25">
      <c r="A2323" s="2" t="s">
        <v>422</v>
      </c>
      <c r="B2323" s="2" t="s">
        <v>1083</v>
      </c>
      <c r="C2323" s="5" t="s">
        <v>1102</v>
      </c>
      <c r="D2323" s="2" t="s">
        <v>1103</v>
      </c>
    </row>
    <row r="2324" spans="1:4" ht="12.95" customHeight="1" x14ac:dyDescent="0.25">
      <c r="A2324" s="2" t="s">
        <v>422</v>
      </c>
      <c r="B2324" s="2" t="s">
        <v>1083</v>
      </c>
      <c r="C2324" s="5" t="s">
        <v>1084</v>
      </c>
      <c r="D2324" s="2" t="s">
        <v>1153</v>
      </c>
    </row>
    <row r="2325" spans="1:4" ht="12.95" customHeight="1" x14ac:dyDescent="0.25">
      <c r="A2325" s="2" t="s">
        <v>422</v>
      </c>
      <c r="B2325" s="2" t="s">
        <v>1083</v>
      </c>
      <c r="C2325" s="5" t="s">
        <v>1086</v>
      </c>
      <c r="D2325" s="2" t="s">
        <v>1147</v>
      </c>
    </row>
    <row r="2326" spans="1:4" ht="12.95" customHeight="1" x14ac:dyDescent="0.25">
      <c r="A2326" s="2" t="s">
        <v>422</v>
      </c>
      <c r="B2326" s="2" t="s">
        <v>1083</v>
      </c>
      <c r="C2326" s="5" t="s">
        <v>1090</v>
      </c>
      <c r="D2326" s="2" t="s">
        <v>1179</v>
      </c>
    </row>
    <row r="2327" spans="1:4" ht="12.95" customHeight="1" x14ac:dyDescent="0.25">
      <c r="A2327" s="2" t="s">
        <v>422</v>
      </c>
      <c r="B2327" s="2" t="s">
        <v>1083</v>
      </c>
      <c r="C2327" s="5" t="s">
        <v>1092</v>
      </c>
      <c r="D2327" s="2" t="s">
        <v>1180</v>
      </c>
    </row>
    <row r="2328" spans="1:4" ht="12.95" customHeight="1" x14ac:dyDescent="0.25">
      <c r="A2328" s="2" t="s">
        <v>425</v>
      </c>
      <c r="B2328" s="2" t="s">
        <v>1083</v>
      </c>
      <c r="C2328" s="5" t="s">
        <v>1084</v>
      </c>
      <c r="D2328" s="2" t="s">
        <v>1085</v>
      </c>
    </row>
    <row r="2329" spans="1:4" ht="12.95" customHeight="1" x14ac:dyDescent="0.25">
      <c r="A2329" s="2" t="s">
        <v>425</v>
      </c>
      <c r="B2329" s="2" t="s">
        <v>1083</v>
      </c>
      <c r="C2329" s="5" t="s">
        <v>1086</v>
      </c>
      <c r="D2329" s="2" t="s">
        <v>1087</v>
      </c>
    </row>
    <row r="2330" spans="1:4" ht="12.95" customHeight="1" x14ac:dyDescent="0.25">
      <c r="A2330" s="2" t="s">
        <v>425</v>
      </c>
      <c r="B2330" s="2" t="s">
        <v>1083</v>
      </c>
      <c r="C2330" s="5" t="s">
        <v>1088</v>
      </c>
      <c r="D2330" s="2" t="s">
        <v>1089</v>
      </c>
    </row>
    <row r="2331" spans="1:4" ht="12.95" customHeight="1" x14ac:dyDescent="0.25">
      <c r="A2331" s="2" t="s">
        <v>425</v>
      </c>
      <c r="B2331" s="2" t="s">
        <v>1083</v>
      </c>
      <c r="C2331" s="5" t="s">
        <v>1090</v>
      </c>
      <c r="D2331" s="2" t="s">
        <v>3372</v>
      </c>
    </row>
    <row r="2332" spans="1:4" ht="12.95" customHeight="1" x14ac:dyDescent="0.25">
      <c r="A2332" s="2" t="s">
        <v>425</v>
      </c>
      <c r="B2332" s="2" t="s">
        <v>1083</v>
      </c>
      <c r="C2332" s="5" t="s">
        <v>1092</v>
      </c>
      <c r="D2332" s="2" t="s">
        <v>3373</v>
      </c>
    </row>
    <row r="2333" spans="1:4" ht="12.95" customHeight="1" x14ac:dyDescent="0.25">
      <c r="A2333" s="2" t="s">
        <v>425</v>
      </c>
      <c r="B2333" s="2" t="s">
        <v>1083</v>
      </c>
      <c r="C2333" s="5" t="s">
        <v>1094</v>
      </c>
      <c r="D2333" s="2" t="s">
        <v>3374</v>
      </c>
    </row>
    <row r="2334" spans="1:4" ht="12.95" customHeight="1" x14ac:dyDescent="0.25">
      <c r="A2334" s="2" t="s">
        <v>428</v>
      </c>
      <c r="B2334" s="2" t="s">
        <v>1113</v>
      </c>
      <c r="C2334" s="5" t="s">
        <v>1286</v>
      </c>
      <c r="D2334" s="2" t="s">
        <v>1085</v>
      </c>
    </row>
    <row r="2335" spans="1:4" ht="12.95" customHeight="1" x14ac:dyDescent="0.25">
      <c r="A2335" s="2" t="s">
        <v>428</v>
      </c>
      <c r="B2335" s="2" t="s">
        <v>1113</v>
      </c>
      <c r="C2335" s="5" t="s">
        <v>1084</v>
      </c>
      <c r="D2335" s="2" t="s">
        <v>1085</v>
      </c>
    </row>
    <row r="2336" spans="1:4" ht="12.95" customHeight="1" x14ac:dyDescent="0.25">
      <c r="A2336" s="2" t="s">
        <v>428</v>
      </c>
      <c r="B2336" s="2" t="s">
        <v>1113</v>
      </c>
      <c r="C2336" s="5" t="s">
        <v>3375</v>
      </c>
      <c r="D2336" s="2" t="s">
        <v>3376</v>
      </c>
    </row>
    <row r="2337" spans="1:4" ht="12.95" customHeight="1" x14ac:dyDescent="0.25">
      <c r="A2337" s="2" t="s">
        <v>428</v>
      </c>
      <c r="B2337" s="2" t="s">
        <v>1113</v>
      </c>
      <c r="C2337" s="5" t="s">
        <v>3377</v>
      </c>
      <c r="D2337" s="2" t="s">
        <v>3378</v>
      </c>
    </row>
    <row r="2338" spans="1:4" ht="12.95" customHeight="1" x14ac:dyDescent="0.25">
      <c r="A2338" s="2" t="s">
        <v>428</v>
      </c>
      <c r="B2338" s="2" t="s">
        <v>1113</v>
      </c>
      <c r="C2338" s="5" t="s">
        <v>3379</v>
      </c>
      <c r="D2338" s="2" t="s">
        <v>3380</v>
      </c>
    </row>
    <row r="2339" spans="1:4" ht="12.95" customHeight="1" x14ac:dyDescent="0.25">
      <c r="A2339" s="2" t="s">
        <v>428</v>
      </c>
      <c r="B2339" s="2" t="s">
        <v>1113</v>
      </c>
      <c r="C2339" s="5" t="s">
        <v>3381</v>
      </c>
      <c r="D2339" s="2" t="s">
        <v>3382</v>
      </c>
    </row>
    <row r="2340" spans="1:4" ht="12.95" customHeight="1" x14ac:dyDescent="0.25">
      <c r="A2340" s="2" t="s">
        <v>428</v>
      </c>
      <c r="B2340" s="2" t="s">
        <v>1113</v>
      </c>
      <c r="C2340" s="5" t="s">
        <v>3383</v>
      </c>
      <c r="D2340" s="2" t="s">
        <v>3384</v>
      </c>
    </row>
    <row r="2341" spans="1:4" ht="12.95" customHeight="1" x14ac:dyDescent="0.25">
      <c r="A2341" s="2" t="s">
        <v>428</v>
      </c>
      <c r="B2341" s="2" t="s">
        <v>1113</v>
      </c>
      <c r="C2341" s="5" t="s">
        <v>3385</v>
      </c>
      <c r="D2341" s="2" t="s">
        <v>3386</v>
      </c>
    </row>
    <row r="2342" spans="1:4" ht="12.95" customHeight="1" x14ac:dyDescent="0.25">
      <c r="A2342" s="2" t="s">
        <v>428</v>
      </c>
      <c r="B2342" s="2" t="s">
        <v>1113</v>
      </c>
      <c r="C2342" s="5" t="s">
        <v>3387</v>
      </c>
      <c r="D2342" s="2" t="s">
        <v>3388</v>
      </c>
    </row>
    <row r="2343" spans="1:4" ht="12.95" customHeight="1" x14ac:dyDescent="0.25">
      <c r="A2343" s="2" t="s">
        <v>428</v>
      </c>
      <c r="B2343" s="2" t="s">
        <v>1113</v>
      </c>
      <c r="C2343" s="5" t="s">
        <v>3389</v>
      </c>
      <c r="D2343" s="2" t="s">
        <v>3390</v>
      </c>
    </row>
    <row r="2344" spans="1:4" ht="12.95" customHeight="1" x14ac:dyDescent="0.25">
      <c r="A2344" s="2" t="s">
        <v>428</v>
      </c>
      <c r="B2344" s="2" t="s">
        <v>1113</v>
      </c>
      <c r="C2344" s="5" t="s">
        <v>3391</v>
      </c>
      <c r="D2344" s="2" t="s">
        <v>3271</v>
      </c>
    </row>
    <row r="2345" spans="1:4" ht="12.95" customHeight="1" x14ac:dyDescent="0.25">
      <c r="A2345" s="2" t="s">
        <v>428</v>
      </c>
      <c r="B2345" s="2" t="s">
        <v>1113</v>
      </c>
      <c r="C2345" s="5" t="s">
        <v>3392</v>
      </c>
      <c r="D2345" s="2" t="s">
        <v>3393</v>
      </c>
    </row>
    <row r="2346" spans="1:4" ht="12.95" customHeight="1" x14ac:dyDescent="0.25">
      <c r="A2346" s="2" t="s">
        <v>428</v>
      </c>
      <c r="B2346" s="2" t="s">
        <v>1113</v>
      </c>
      <c r="C2346" s="5" t="s">
        <v>3394</v>
      </c>
      <c r="D2346" s="2" t="s">
        <v>3395</v>
      </c>
    </row>
    <row r="2347" spans="1:4" ht="12.95" customHeight="1" x14ac:dyDescent="0.25">
      <c r="A2347" s="2" t="s">
        <v>428</v>
      </c>
      <c r="B2347" s="2" t="s">
        <v>1113</v>
      </c>
      <c r="C2347" s="5" t="s">
        <v>3396</v>
      </c>
      <c r="D2347" s="2" t="s">
        <v>3397</v>
      </c>
    </row>
    <row r="2348" spans="1:4" ht="12.95" customHeight="1" x14ac:dyDescent="0.25">
      <c r="A2348" s="2" t="s">
        <v>428</v>
      </c>
      <c r="B2348" s="2" t="s">
        <v>1113</v>
      </c>
      <c r="C2348" s="5" t="s">
        <v>3398</v>
      </c>
      <c r="D2348" s="2" t="s">
        <v>3399</v>
      </c>
    </row>
    <row r="2349" spans="1:4" ht="12.95" customHeight="1" x14ac:dyDescent="0.25">
      <c r="A2349" s="2" t="s">
        <v>428</v>
      </c>
      <c r="B2349" s="2" t="s">
        <v>1113</v>
      </c>
      <c r="C2349" s="5" t="s">
        <v>3400</v>
      </c>
      <c r="D2349" s="2" t="s">
        <v>3401</v>
      </c>
    </row>
    <row r="2350" spans="1:4" ht="12.95" customHeight="1" x14ac:dyDescent="0.25">
      <c r="A2350" s="2" t="s">
        <v>428</v>
      </c>
      <c r="B2350" s="2" t="s">
        <v>1113</v>
      </c>
      <c r="C2350" s="5" t="s">
        <v>3402</v>
      </c>
      <c r="D2350" s="2" t="s">
        <v>3403</v>
      </c>
    </row>
    <row r="2351" spans="1:4" ht="12.95" customHeight="1" x14ac:dyDescent="0.25">
      <c r="A2351" s="2" t="s">
        <v>428</v>
      </c>
      <c r="B2351" s="2" t="s">
        <v>1113</v>
      </c>
      <c r="C2351" s="5" t="s">
        <v>3404</v>
      </c>
      <c r="D2351" s="2" t="s">
        <v>3405</v>
      </c>
    </row>
    <row r="2352" spans="1:4" ht="12.95" customHeight="1" x14ac:dyDescent="0.25">
      <c r="A2352" s="2" t="s">
        <v>428</v>
      </c>
      <c r="B2352" s="2" t="s">
        <v>1113</v>
      </c>
      <c r="C2352" s="5" t="s">
        <v>3406</v>
      </c>
      <c r="D2352" s="2" t="s">
        <v>3407</v>
      </c>
    </row>
    <row r="2353" spans="1:4" ht="12.95" customHeight="1" x14ac:dyDescent="0.25">
      <c r="A2353" s="2" t="s">
        <v>428</v>
      </c>
      <c r="B2353" s="2" t="s">
        <v>1113</v>
      </c>
      <c r="C2353" s="5" t="s">
        <v>3408</v>
      </c>
      <c r="D2353" s="2" t="s">
        <v>3409</v>
      </c>
    </row>
    <row r="2354" spans="1:4" ht="12.95" customHeight="1" x14ac:dyDescent="0.25">
      <c r="A2354" s="2" t="s">
        <v>428</v>
      </c>
      <c r="B2354" s="2" t="s">
        <v>1113</v>
      </c>
      <c r="C2354" s="5" t="s">
        <v>3410</v>
      </c>
      <c r="D2354" s="2" t="s">
        <v>3411</v>
      </c>
    </row>
    <row r="2355" spans="1:4" ht="12.95" customHeight="1" x14ac:dyDescent="0.25">
      <c r="A2355" s="2" t="s">
        <v>428</v>
      </c>
      <c r="B2355" s="2" t="s">
        <v>1113</v>
      </c>
      <c r="C2355" s="5" t="s">
        <v>3412</v>
      </c>
      <c r="D2355" s="2" t="s">
        <v>3413</v>
      </c>
    </row>
    <row r="2356" spans="1:4" ht="12.95" customHeight="1" x14ac:dyDescent="0.25">
      <c r="A2356" s="2" t="s">
        <v>428</v>
      </c>
      <c r="B2356" s="2" t="s">
        <v>1113</v>
      </c>
      <c r="C2356" s="5" t="s">
        <v>3414</v>
      </c>
      <c r="D2356" s="2" t="s">
        <v>3415</v>
      </c>
    </row>
    <row r="2357" spans="1:4" ht="12.95" customHeight="1" x14ac:dyDescent="0.25">
      <c r="A2357" s="2" t="s">
        <v>428</v>
      </c>
      <c r="B2357" s="2" t="s">
        <v>1113</v>
      </c>
      <c r="C2357" s="5" t="s">
        <v>3416</v>
      </c>
      <c r="D2357" s="2" t="s">
        <v>3417</v>
      </c>
    </row>
    <row r="2358" spans="1:4" ht="12.95" customHeight="1" x14ac:dyDescent="0.25">
      <c r="A2358" s="2" t="s">
        <v>428</v>
      </c>
      <c r="B2358" s="2" t="s">
        <v>1113</v>
      </c>
      <c r="C2358" s="5" t="s">
        <v>3418</v>
      </c>
      <c r="D2358" s="2" t="s">
        <v>3419</v>
      </c>
    </row>
    <row r="2359" spans="1:4" ht="12.95" customHeight="1" x14ac:dyDescent="0.25">
      <c r="A2359" s="2" t="s">
        <v>428</v>
      </c>
      <c r="B2359" s="2" t="s">
        <v>1113</v>
      </c>
      <c r="C2359" s="5" t="s">
        <v>3420</v>
      </c>
      <c r="D2359" s="2" t="s">
        <v>3421</v>
      </c>
    </row>
    <row r="2360" spans="1:4" ht="12.95" customHeight="1" x14ac:dyDescent="0.25">
      <c r="A2360" s="2" t="s">
        <v>428</v>
      </c>
      <c r="B2360" s="2" t="s">
        <v>1113</v>
      </c>
      <c r="C2360" s="5" t="s">
        <v>3422</v>
      </c>
      <c r="D2360" s="2" t="s">
        <v>3423</v>
      </c>
    </row>
    <row r="2361" spans="1:4" ht="12.95" customHeight="1" x14ac:dyDescent="0.25">
      <c r="A2361" s="2" t="s">
        <v>428</v>
      </c>
      <c r="B2361" s="2" t="s">
        <v>1113</v>
      </c>
      <c r="C2361" s="5" t="s">
        <v>3424</v>
      </c>
      <c r="D2361" s="2" t="s">
        <v>3425</v>
      </c>
    </row>
    <row r="2362" spans="1:4" ht="12.95" customHeight="1" x14ac:dyDescent="0.25">
      <c r="A2362" s="2" t="s">
        <v>428</v>
      </c>
      <c r="B2362" s="2" t="s">
        <v>1113</v>
      </c>
      <c r="C2362" s="5" t="s">
        <v>3426</v>
      </c>
      <c r="D2362" s="2" t="s">
        <v>3427</v>
      </c>
    </row>
    <row r="2363" spans="1:4" ht="12.95" customHeight="1" x14ac:dyDescent="0.25">
      <c r="A2363" s="2" t="s">
        <v>428</v>
      </c>
      <c r="B2363" s="2" t="s">
        <v>1113</v>
      </c>
      <c r="C2363" s="5" t="s">
        <v>3428</v>
      </c>
      <c r="D2363" s="2" t="s">
        <v>3429</v>
      </c>
    </row>
    <row r="2364" spans="1:4" ht="12.95" customHeight="1" x14ac:dyDescent="0.25">
      <c r="A2364" s="2" t="s">
        <v>428</v>
      </c>
      <c r="B2364" s="2" t="s">
        <v>1113</v>
      </c>
      <c r="C2364" s="5" t="s">
        <v>3430</v>
      </c>
      <c r="D2364" s="2" t="s">
        <v>3431</v>
      </c>
    </row>
    <row r="2365" spans="1:4" ht="12.95" customHeight="1" x14ac:dyDescent="0.25">
      <c r="A2365" s="2" t="s">
        <v>428</v>
      </c>
      <c r="B2365" s="2" t="s">
        <v>1113</v>
      </c>
      <c r="C2365" s="5" t="s">
        <v>3432</v>
      </c>
      <c r="D2365" s="2" t="s">
        <v>3433</v>
      </c>
    </row>
    <row r="2366" spans="1:4" ht="12.95" customHeight="1" x14ac:dyDescent="0.25">
      <c r="A2366" s="2" t="s">
        <v>428</v>
      </c>
      <c r="B2366" s="2" t="s">
        <v>1113</v>
      </c>
      <c r="C2366" s="5" t="s">
        <v>3434</v>
      </c>
      <c r="D2366" s="2" t="s">
        <v>3435</v>
      </c>
    </row>
    <row r="2367" spans="1:4" ht="12.95" customHeight="1" x14ac:dyDescent="0.25">
      <c r="A2367" s="2" t="s">
        <v>428</v>
      </c>
      <c r="B2367" s="2" t="s">
        <v>1113</v>
      </c>
      <c r="C2367" s="5" t="s">
        <v>3436</v>
      </c>
      <c r="D2367" s="2" t="s">
        <v>3437</v>
      </c>
    </row>
    <row r="2368" spans="1:4" ht="12.95" customHeight="1" x14ac:dyDescent="0.25">
      <c r="A2368" s="2" t="s">
        <v>428</v>
      </c>
      <c r="B2368" s="2" t="s">
        <v>1113</v>
      </c>
      <c r="C2368" s="5" t="s">
        <v>3438</v>
      </c>
      <c r="D2368" s="2" t="s">
        <v>3439</v>
      </c>
    </row>
    <row r="2369" spans="1:4" ht="12.95" customHeight="1" x14ac:dyDescent="0.25">
      <c r="A2369" s="2" t="s">
        <v>428</v>
      </c>
      <c r="B2369" s="2" t="s">
        <v>1113</v>
      </c>
      <c r="C2369" s="5" t="s">
        <v>3440</v>
      </c>
      <c r="D2369" s="2" t="s">
        <v>3441</v>
      </c>
    </row>
    <row r="2370" spans="1:4" ht="12.95" customHeight="1" x14ac:dyDescent="0.25">
      <c r="A2370" s="2" t="s">
        <v>428</v>
      </c>
      <c r="B2370" s="2" t="s">
        <v>1113</v>
      </c>
      <c r="C2370" s="5" t="s">
        <v>3442</v>
      </c>
      <c r="D2370" s="2" t="s">
        <v>3443</v>
      </c>
    </row>
    <row r="2371" spans="1:4" ht="12.95" customHeight="1" x14ac:dyDescent="0.25">
      <c r="A2371" s="2" t="s">
        <v>428</v>
      </c>
      <c r="B2371" s="2" t="s">
        <v>1113</v>
      </c>
      <c r="C2371" s="5" t="s">
        <v>3444</v>
      </c>
      <c r="D2371" s="2" t="s">
        <v>3445</v>
      </c>
    </row>
    <row r="2372" spans="1:4" ht="12.95" customHeight="1" x14ac:dyDescent="0.25">
      <c r="A2372" s="2" t="s">
        <v>428</v>
      </c>
      <c r="B2372" s="2" t="s">
        <v>1113</v>
      </c>
      <c r="C2372" s="5" t="s">
        <v>3446</v>
      </c>
      <c r="D2372" s="2" t="s">
        <v>3447</v>
      </c>
    </row>
    <row r="2373" spans="1:4" ht="12.95" customHeight="1" x14ac:dyDescent="0.25">
      <c r="A2373" s="2" t="s">
        <v>428</v>
      </c>
      <c r="B2373" s="2" t="s">
        <v>1113</v>
      </c>
      <c r="C2373" s="5" t="s">
        <v>3448</v>
      </c>
      <c r="D2373" s="2" t="s">
        <v>3449</v>
      </c>
    </row>
    <row r="2374" spans="1:4" ht="12.95" customHeight="1" x14ac:dyDescent="0.25">
      <c r="A2374" s="2" t="s">
        <v>428</v>
      </c>
      <c r="B2374" s="2" t="s">
        <v>1113</v>
      </c>
      <c r="C2374" s="5" t="s">
        <v>3450</v>
      </c>
      <c r="D2374" s="2" t="s">
        <v>3451</v>
      </c>
    </row>
    <row r="2375" spans="1:4" ht="12.95" customHeight="1" x14ac:dyDescent="0.25">
      <c r="A2375" s="2" t="s">
        <v>428</v>
      </c>
      <c r="B2375" s="2" t="s">
        <v>1113</v>
      </c>
      <c r="C2375" s="5" t="s">
        <v>3452</v>
      </c>
      <c r="D2375" s="2" t="s">
        <v>3453</v>
      </c>
    </row>
    <row r="2376" spans="1:4" ht="12.95" customHeight="1" x14ac:dyDescent="0.25">
      <c r="A2376" s="2" t="s">
        <v>428</v>
      </c>
      <c r="B2376" s="2" t="s">
        <v>1113</v>
      </c>
      <c r="C2376" s="5" t="s">
        <v>3454</v>
      </c>
      <c r="D2376" s="2" t="s">
        <v>3455</v>
      </c>
    </row>
    <row r="2377" spans="1:4" ht="12.95" customHeight="1" x14ac:dyDescent="0.25">
      <c r="A2377" s="2" t="s">
        <v>428</v>
      </c>
      <c r="B2377" s="2" t="s">
        <v>1113</v>
      </c>
      <c r="C2377" s="5" t="s">
        <v>3456</v>
      </c>
      <c r="D2377" s="2" t="s">
        <v>3457</v>
      </c>
    </row>
    <row r="2378" spans="1:4" ht="12.95" customHeight="1" x14ac:dyDescent="0.25">
      <c r="A2378" s="2" t="s">
        <v>428</v>
      </c>
      <c r="B2378" s="2" t="s">
        <v>1113</v>
      </c>
      <c r="C2378" s="5" t="s">
        <v>3458</v>
      </c>
      <c r="D2378" s="2" t="s">
        <v>3459</v>
      </c>
    </row>
    <row r="2379" spans="1:4" ht="12.95" customHeight="1" x14ac:dyDescent="0.25">
      <c r="A2379" s="2" t="s">
        <v>428</v>
      </c>
      <c r="B2379" s="2" t="s">
        <v>1113</v>
      </c>
      <c r="C2379" s="5" t="s">
        <v>3460</v>
      </c>
      <c r="D2379" s="2" t="s">
        <v>3461</v>
      </c>
    </row>
    <row r="2380" spans="1:4" ht="12.95" customHeight="1" x14ac:dyDescent="0.25">
      <c r="A2380" s="2" t="s">
        <v>428</v>
      </c>
      <c r="B2380" s="2" t="s">
        <v>1113</v>
      </c>
      <c r="C2380" s="5" t="s">
        <v>3462</v>
      </c>
      <c r="D2380" s="2" t="s">
        <v>3463</v>
      </c>
    </row>
    <row r="2381" spans="1:4" ht="12.95" customHeight="1" x14ac:dyDescent="0.25">
      <c r="A2381" s="2" t="s">
        <v>428</v>
      </c>
      <c r="B2381" s="2" t="s">
        <v>1113</v>
      </c>
      <c r="C2381" s="5" t="s">
        <v>3464</v>
      </c>
      <c r="D2381" s="2" t="s">
        <v>3465</v>
      </c>
    </row>
    <row r="2382" spans="1:4" ht="12.95" customHeight="1" x14ac:dyDescent="0.25">
      <c r="A2382" s="2" t="s">
        <v>428</v>
      </c>
      <c r="B2382" s="2" t="s">
        <v>1113</v>
      </c>
      <c r="C2382" s="5" t="s">
        <v>3466</v>
      </c>
      <c r="D2382" s="2" t="s">
        <v>3467</v>
      </c>
    </row>
    <row r="2383" spans="1:4" ht="12.95" customHeight="1" x14ac:dyDescent="0.25">
      <c r="A2383" s="2" t="s">
        <v>428</v>
      </c>
      <c r="B2383" s="2" t="s">
        <v>1113</v>
      </c>
      <c r="C2383" s="5" t="s">
        <v>3468</v>
      </c>
      <c r="D2383" s="2" t="s">
        <v>3469</v>
      </c>
    </row>
    <row r="2384" spans="1:4" ht="12.95" customHeight="1" x14ac:dyDescent="0.25">
      <c r="A2384" s="2" t="s">
        <v>428</v>
      </c>
      <c r="B2384" s="2" t="s">
        <v>1113</v>
      </c>
      <c r="C2384" s="5" t="s">
        <v>3470</v>
      </c>
      <c r="D2384" s="2" t="s">
        <v>3471</v>
      </c>
    </row>
    <row r="2385" spans="1:4" ht="12.95" customHeight="1" x14ac:dyDescent="0.25">
      <c r="A2385" s="2" t="s">
        <v>428</v>
      </c>
      <c r="B2385" s="2" t="s">
        <v>1113</v>
      </c>
      <c r="C2385" s="5" t="s">
        <v>3472</v>
      </c>
      <c r="D2385" s="2" t="s">
        <v>3473</v>
      </c>
    </row>
    <row r="2386" spans="1:4" ht="12.95" customHeight="1" x14ac:dyDescent="0.25">
      <c r="A2386" s="2" t="s">
        <v>428</v>
      </c>
      <c r="B2386" s="2" t="s">
        <v>1113</v>
      </c>
      <c r="C2386" s="5" t="s">
        <v>3474</v>
      </c>
      <c r="D2386" s="2" t="s">
        <v>3475</v>
      </c>
    </row>
    <row r="2387" spans="1:4" ht="12.95" customHeight="1" x14ac:dyDescent="0.25">
      <c r="A2387" s="2" t="s">
        <v>428</v>
      </c>
      <c r="B2387" s="2" t="s">
        <v>1113</v>
      </c>
      <c r="C2387" s="5" t="s">
        <v>3476</v>
      </c>
      <c r="D2387" s="2" t="s">
        <v>3477</v>
      </c>
    </row>
    <row r="2388" spans="1:4" ht="12.95" customHeight="1" x14ac:dyDescent="0.25">
      <c r="A2388" s="2" t="s">
        <v>428</v>
      </c>
      <c r="B2388" s="2" t="s">
        <v>1113</v>
      </c>
      <c r="C2388" s="5" t="s">
        <v>3478</v>
      </c>
      <c r="D2388" s="2" t="s">
        <v>3479</v>
      </c>
    </row>
    <row r="2389" spans="1:4" ht="12.95" customHeight="1" x14ac:dyDescent="0.25">
      <c r="A2389" s="2" t="s">
        <v>428</v>
      </c>
      <c r="B2389" s="2" t="s">
        <v>1113</v>
      </c>
      <c r="C2389" s="5" t="s">
        <v>3480</v>
      </c>
      <c r="D2389" s="2" t="s">
        <v>3481</v>
      </c>
    </row>
    <row r="2390" spans="1:4" ht="12.95" customHeight="1" x14ac:dyDescent="0.25">
      <c r="A2390" s="2" t="s">
        <v>428</v>
      </c>
      <c r="B2390" s="2" t="s">
        <v>1113</v>
      </c>
      <c r="C2390" s="5" t="s">
        <v>3482</v>
      </c>
      <c r="D2390" s="2" t="s">
        <v>3483</v>
      </c>
    </row>
    <row r="2391" spans="1:4" ht="12.95" customHeight="1" x14ac:dyDescent="0.25">
      <c r="A2391" s="2" t="s">
        <v>428</v>
      </c>
      <c r="B2391" s="2" t="s">
        <v>1113</v>
      </c>
      <c r="C2391" s="5" t="s">
        <v>3484</v>
      </c>
      <c r="D2391" s="2" t="s">
        <v>3485</v>
      </c>
    </row>
    <row r="2392" spans="1:4" ht="12.95" customHeight="1" x14ac:dyDescent="0.25">
      <c r="A2392" s="2" t="s">
        <v>428</v>
      </c>
      <c r="B2392" s="2" t="s">
        <v>1113</v>
      </c>
      <c r="C2392" s="5" t="s">
        <v>3486</v>
      </c>
      <c r="D2392" s="2" t="s">
        <v>3487</v>
      </c>
    </row>
    <row r="2393" spans="1:4" ht="12.95" customHeight="1" x14ac:dyDescent="0.25">
      <c r="A2393" s="2" t="s">
        <v>428</v>
      </c>
      <c r="B2393" s="2" t="s">
        <v>1113</v>
      </c>
      <c r="C2393" s="5" t="s">
        <v>3488</v>
      </c>
      <c r="D2393" s="2" t="s">
        <v>3489</v>
      </c>
    </row>
    <row r="2394" spans="1:4" ht="12.95" customHeight="1" x14ac:dyDescent="0.25">
      <c r="A2394" s="2" t="s">
        <v>428</v>
      </c>
      <c r="B2394" s="2" t="s">
        <v>1113</v>
      </c>
      <c r="C2394" s="5" t="s">
        <v>3490</v>
      </c>
      <c r="D2394" s="2" t="s">
        <v>3491</v>
      </c>
    </row>
    <row r="2395" spans="1:4" ht="12.95" customHeight="1" x14ac:dyDescent="0.25">
      <c r="A2395" s="2" t="s">
        <v>428</v>
      </c>
      <c r="B2395" s="2" t="s">
        <v>1113</v>
      </c>
      <c r="C2395" s="5" t="s">
        <v>3492</v>
      </c>
      <c r="D2395" s="2" t="s">
        <v>3493</v>
      </c>
    </row>
    <row r="2396" spans="1:4" ht="12.95" customHeight="1" x14ac:dyDescent="0.25">
      <c r="A2396" s="2" t="s">
        <v>428</v>
      </c>
      <c r="B2396" s="2" t="s">
        <v>1113</v>
      </c>
      <c r="C2396" s="5" t="s">
        <v>3494</v>
      </c>
      <c r="D2396" s="2" t="s">
        <v>3495</v>
      </c>
    </row>
    <row r="2397" spans="1:4" ht="12.95" customHeight="1" x14ac:dyDescent="0.25">
      <c r="A2397" s="2" t="s">
        <v>428</v>
      </c>
      <c r="B2397" s="2" t="s">
        <v>1113</v>
      </c>
      <c r="C2397" s="5" t="s">
        <v>3496</v>
      </c>
      <c r="D2397" s="2" t="s">
        <v>3497</v>
      </c>
    </row>
    <row r="2398" spans="1:4" ht="12.95" customHeight="1" x14ac:dyDescent="0.25">
      <c r="A2398" s="2" t="s">
        <v>428</v>
      </c>
      <c r="B2398" s="2" t="s">
        <v>1113</v>
      </c>
      <c r="C2398" s="5" t="s">
        <v>3498</v>
      </c>
      <c r="D2398" s="2" t="s">
        <v>3499</v>
      </c>
    </row>
    <row r="2399" spans="1:4" ht="12.95" customHeight="1" x14ac:dyDescent="0.25">
      <c r="A2399" s="2" t="s">
        <v>428</v>
      </c>
      <c r="B2399" s="2" t="s">
        <v>1113</v>
      </c>
      <c r="C2399" s="5" t="s">
        <v>3500</v>
      </c>
      <c r="D2399" s="2" t="s">
        <v>3501</v>
      </c>
    </row>
    <row r="2400" spans="1:4" ht="12.95" customHeight="1" x14ac:dyDescent="0.25">
      <c r="A2400" s="2" t="s">
        <v>428</v>
      </c>
      <c r="B2400" s="2" t="s">
        <v>1113</v>
      </c>
      <c r="C2400" s="5" t="s">
        <v>3502</v>
      </c>
      <c r="D2400" s="2" t="s">
        <v>3503</v>
      </c>
    </row>
    <row r="2401" spans="1:4" ht="12.95" customHeight="1" x14ac:dyDescent="0.25">
      <c r="A2401" s="2" t="s">
        <v>428</v>
      </c>
      <c r="B2401" s="2" t="s">
        <v>1113</v>
      </c>
      <c r="C2401" s="5" t="s">
        <v>3504</v>
      </c>
      <c r="D2401" s="2" t="s">
        <v>3505</v>
      </c>
    </row>
    <row r="2402" spans="1:4" ht="12.95" customHeight="1" x14ac:dyDescent="0.25">
      <c r="A2402" s="2" t="s">
        <v>428</v>
      </c>
      <c r="B2402" s="2" t="s">
        <v>1113</v>
      </c>
      <c r="C2402" s="5" t="s">
        <v>3506</v>
      </c>
      <c r="D2402" s="2" t="s">
        <v>3507</v>
      </c>
    </row>
    <row r="2403" spans="1:4" ht="12.95" customHeight="1" x14ac:dyDescent="0.25">
      <c r="A2403" s="2" t="s">
        <v>428</v>
      </c>
      <c r="B2403" s="2" t="s">
        <v>1113</v>
      </c>
      <c r="C2403" s="5" t="s">
        <v>3508</v>
      </c>
      <c r="D2403" s="2" t="s">
        <v>3509</v>
      </c>
    </row>
    <row r="2404" spans="1:4" ht="12.95" customHeight="1" x14ac:dyDescent="0.25">
      <c r="A2404" s="2" t="s">
        <v>428</v>
      </c>
      <c r="B2404" s="2" t="s">
        <v>1113</v>
      </c>
      <c r="C2404" s="5" t="s">
        <v>3510</v>
      </c>
      <c r="D2404" s="2" t="s">
        <v>3511</v>
      </c>
    </row>
    <row r="2405" spans="1:4" ht="12.95" customHeight="1" x14ac:dyDescent="0.25">
      <c r="A2405" s="2" t="s">
        <v>428</v>
      </c>
      <c r="B2405" s="2" t="s">
        <v>1113</v>
      </c>
      <c r="C2405" s="5" t="s">
        <v>3512</v>
      </c>
      <c r="D2405" s="2" t="s">
        <v>3513</v>
      </c>
    </row>
    <row r="2406" spans="1:4" ht="12.95" customHeight="1" x14ac:dyDescent="0.25">
      <c r="A2406" s="2" t="s">
        <v>428</v>
      </c>
      <c r="B2406" s="2" t="s">
        <v>1113</v>
      </c>
      <c r="C2406" s="5" t="s">
        <v>3514</v>
      </c>
      <c r="D2406" s="2" t="s">
        <v>3515</v>
      </c>
    </row>
    <row r="2407" spans="1:4" ht="12.95" customHeight="1" x14ac:dyDescent="0.25">
      <c r="A2407" s="2" t="s">
        <v>428</v>
      </c>
      <c r="B2407" s="2" t="s">
        <v>1113</v>
      </c>
      <c r="C2407" s="5" t="s">
        <v>3516</v>
      </c>
      <c r="D2407" s="2" t="s">
        <v>3429</v>
      </c>
    </row>
    <row r="2408" spans="1:4" ht="12.95" customHeight="1" x14ac:dyDescent="0.25">
      <c r="A2408" s="2" t="s">
        <v>428</v>
      </c>
      <c r="B2408" s="2" t="s">
        <v>1113</v>
      </c>
      <c r="C2408" s="5" t="s">
        <v>3517</v>
      </c>
      <c r="D2408" s="2" t="s">
        <v>3518</v>
      </c>
    </row>
    <row r="2409" spans="1:4" ht="12.95" customHeight="1" x14ac:dyDescent="0.25">
      <c r="A2409" s="2" t="s">
        <v>428</v>
      </c>
      <c r="B2409" s="2" t="s">
        <v>1113</v>
      </c>
      <c r="C2409" s="5" t="s">
        <v>3519</v>
      </c>
      <c r="D2409" s="2" t="s">
        <v>3520</v>
      </c>
    </row>
    <row r="2410" spans="1:4" ht="12.95" customHeight="1" x14ac:dyDescent="0.25">
      <c r="A2410" s="2" t="s">
        <v>428</v>
      </c>
      <c r="B2410" s="2" t="s">
        <v>1113</v>
      </c>
      <c r="C2410" s="5" t="s">
        <v>3521</v>
      </c>
      <c r="D2410" s="2" t="s">
        <v>3522</v>
      </c>
    </row>
    <row r="2411" spans="1:4" ht="12.95" customHeight="1" x14ac:dyDescent="0.25">
      <c r="A2411" s="2" t="s">
        <v>428</v>
      </c>
      <c r="B2411" s="2" t="s">
        <v>1113</v>
      </c>
      <c r="C2411" s="5" t="s">
        <v>3523</v>
      </c>
      <c r="D2411" s="2" t="s">
        <v>3524</v>
      </c>
    </row>
    <row r="2412" spans="1:4" ht="12.95" customHeight="1" x14ac:dyDescent="0.25">
      <c r="A2412" s="2" t="s">
        <v>428</v>
      </c>
      <c r="B2412" s="2" t="s">
        <v>1113</v>
      </c>
      <c r="C2412" s="5" t="s">
        <v>3525</v>
      </c>
      <c r="D2412" s="2" t="s">
        <v>3526</v>
      </c>
    </row>
    <row r="2413" spans="1:4" ht="12.95" customHeight="1" x14ac:dyDescent="0.25">
      <c r="A2413" s="2" t="s">
        <v>428</v>
      </c>
      <c r="B2413" s="2" t="s">
        <v>1113</v>
      </c>
      <c r="C2413" s="5" t="s">
        <v>3527</v>
      </c>
      <c r="D2413" s="2" t="s">
        <v>3528</v>
      </c>
    </row>
    <row r="2414" spans="1:4" ht="12.95" customHeight="1" x14ac:dyDescent="0.25">
      <c r="A2414" s="2" t="s">
        <v>428</v>
      </c>
      <c r="B2414" s="2" t="s">
        <v>1113</v>
      </c>
      <c r="C2414" s="5" t="s">
        <v>3529</v>
      </c>
      <c r="D2414" s="2" t="s">
        <v>3511</v>
      </c>
    </row>
    <row r="2415" spans="1:4" ht="12.95" customHeight="1" x14ac:dyDescent="0.25">
      <c r="A2415" s="2" t="s">
        <v>428</v>
      </c>
      <c r="B2415" s="2" t="s">
        <v>1113</v>
      </c>
      <c r="C2415" s="5" t="s">
        <v>3530</v>
      </c>
      <c r="D2415" s="2" t="s">
        <v>3531</v>
      </c>
    </row>
    <row r="2416" spans="1:4" ht="12.95" customHeight="1" x14ac:dyDescent="0.25">
      <c r="A2416" s="2" t="s">
        <v>428</v>
      </c>
      <c r="B2416" s="2" t="s">
        <v>1113</v>
      </c>
      <c r="C2416" s="5" t="s">
        <v>3532</v>
      </c>
      <c r="D2416" s="2" t="s">
        <v>3533</v>
      </c>
    </row>
    <row r="2417" spans="1:4" ht="12.95" customHeight="1" x14ac:dyDescent="0.25">
      <c r="A2417" s="2" t="s">
        <v>428</v>
      </c>
      <c r="B2417" s="2" t="s">
        <v>1113</v>
      </c>
      <c r="C2417" s="5" t="s">
        <v>3534</v>
      </c>
      <c r="D2417" s="2" t="s">
        <v>3535</v>
      </c>
    </row>
    <row r="2418" spans="1:4" ht="12.95" customHeight="1" x14ac:dyDescent="0.25">
      <c r="A2418" s="2" t="s">
        <v>428</v>
      </c>
      <c r="B2418" s="2" t="s">
        <v>1113</v>
      </c>
      <c r="C2418" s="5" t="s">
        <v>3536</v>
      </c>
      <c r="D2418" s="2" t="s">
        <v>3537</v>
      </c>
    </row>
    <row r="2419" spans="1:4" ht="12.95" customHeight="1" x14ac:dyDescent="0.25">
      <c r="A2419" s="2" t="s">
        <v>428</v>
      </c>
      <c r="B2419" s="2" t="s">
        <v>1113</v>
      </c>
      <c r="C2419" s="5" t="s">
        <v>3538</v>
      </c>
      <c r="D2419" s="2" t="s">
        <v>3539</v>
      </c>
    </row>
    <row r="2420" spans="1:4" ht="12.95" customHeight="1" x14ac:dyDescent="0.25">
      <c r="A2420" s="2" t="s">
        <v>428</v>
      </c>
      <c r="B2420" s="2" t="s">
        <v>1113</v>
      </c>
      <c r="C2420" s="5" t="s">
        <v>3540</v>
      </c>
      <c r="D2420" s="2" t="s">
        <v>3541</v>
      </c>
    </row>
    <row r="2421" spans="1:4" ht="12.95" customHeight="1" x14ac:dyDescent="0.25">
      <c r="A2421" s="2" t="s">
        <v>428</v>
      </c>
      <c r="B2421" s="2" t="s">
        <v>1113</v>
      </c>
      <c r="C2421" s="5" t="s">
        <v>3542</v>
      </c>
      <c r="D2421" s="2" t="s">
        <v>3543</v>
      </c>
    </row>
    <row r="2422" spans="1:4" ht="12.95" customHeight="1" x14ac:dyDescent="0.25">
      <c r="A2422" s="2" t="s">
        <v>428</v>
      </c>
      <c r="B2422" s="2" t="s">
        <v>1113</v>
      </c>
      <c r="C2422" s="5" t="s">
        <v>3544</v>
      </c>
      <c r="D2422" s="2" t="s">
        <v>3545</v>
      </c>
    </row>
    <row r="2423" spans="1:4" ht="12.95" customHeight="1" x14ac:dyDescent="0.25">
      <c r="A2423" s="2" t="s">
        <v>428</v>
      </c>
      <c r="B2423" s="2" t="s">
        <v>1113</v>
      </c>
      <c r="C2423" s="5" t="s">
        <v>3546</v>
      </c>
      <c r="D2423" s="2" t="s">
        <v>3547</v>
      </c>
    </row>
    <row r="2424" spans="1:4" ht="12.95" customHeight="1" x14ac:dyDescent="0.25">
      <c r="A2424" s="2" t="s">
        <v>428</v>
      </c>
      <c r="B2424" s="2" t="s">
        <v>1113</v>
      </c>
      <c r="C2424" s="5" t="s">
        <v>3548</v>
      </c>
      <c r="D2424" s="2" t="s">
        <v>3549</v>
      </c>
    </row>
    <row r="2425" spans="1:4" ht="12.95" customHeight="1" x14ac:dyDescent="0.25">
      <c r="A2425" s="2" t="s">
        <v>428</v>
      </c>
      <c r="B2425" s="2" t="s">
        <v>1113</v>
      </c>
      <c r="C2425" s="5" t="s">
        <v>3550</v>
      </c>
      <c r="D2425" s="2" t="s">
        <v>3551</v>
      </c>
    </row>
    <row r="2426" spans="1:4" ht="12.95" customHeight="1" x14ac:dyDescent="0.25">
      <c r="A2426" s="2" t="s">
        <v>428</v>
      </c>
      <c r="B2426" s="2" t="s">
        <v>1113</v>
      </c>
      <c r="C2426" s="5" t="s">
        <v>3552</v>
      </c>
      <c r="D2426" s="2" t="s">
        <v>3553</v>
      </c>
    </row>
    <row r="2427" spans="1:4" ht="12.95" customHeight="1" x14ac:dyDescent="0.25">
      <c r="A2427" s="2" t="s">
        <v>428</v>
      </c>
      <c r="B2427" s="2" t="s">
        <v>1113</v>
      </c>
      <c r="C2427" s="5" t="s">
        <v>3554</v>
      </c>
      <c r="D2427" s="2" t="s">
        <v>3555</v>
      </c>
    </row>
    <row r="2428" spans="1:4" ht="12.95" customHeight="1" x14ac:dyDescent="0.25">
      <c r="A2428" s="2" t="s">
        <v>428</v>
      </c>
      <c r="B2428" s="2" t="s">
        <v>1113</v>
      </c>
      <c r="C2428" s="5" t="s">
        <v>3556</v>
      </c>
      <c r="D2428" s="2" t="s">
        <v>3557</v>
      </c>
    </row>
    <row r="2429" spans="1:4" ht="12.95" customHeight="1" x14ac:dyDescent="0.25">
      <c r="A2429" s="2" t="s">
        <v>428</v>
      </c>
      <c r="B2429" s="2" t="s">
        <v>1113</v>
      </c>
      <c r="C2429" s="5" t="s">
        <v>3558</v>
      </c>
      <c r="D2429" s="2" t="s">
        <v>3559</v>
      </c>
    </row>
    <row r="2430" spans="1:4" ht="12.95" customHeight="1" x14ac:dyDescent="0.25">
      <c r="A2430" s="2" t="s">
        <v>428</v>
      </c>
      <c r="B2430" s="2" t="s">
        <v>1113</v>
      </c>
      <c r="C2430" s="5" t="s">
        <v>3560</v>
      </c>
      <c r="D2430" s="2" t="s">
        <v>3561</v>
      </c>
    </row>
    <row r="2431" spans="1:4" ht="12.95" customHeight="1" x14ac:dyDescent="0.25">
      <c r="A2431" s="2" t="s">
        <v>428</v>
      </c>
      <c r="B2431" s="2" t="s">
        <v>1113</v>
      </c>
      <c r="C2431" s="5" t="s">
        <v>3562</v>
      </c>
      <c r="D2431" s="2" t="s">
        <v>3563</v>
      </c>
    </row>
    <row r="2432" spans="1:4" ht="12.95" customHeight="1" x14ac:dyDescent="0.25">
      <c r="A2432" s="2" t="s">
        <v>428</v>
      </c>
      <c r="B2432" s="2" t="s">
        <v>1113</v>
      </c>
      <c r="C2432" s="5" t="s">
        <v>3564</v>
      </c>
      <c r="D2432" s="2" t="s">
        <v>3565</v>
      </c>
    </row>
    <row r="2433" spans="1:4" ht="12.95" customHeight="1" x14ac:dyDescent="0.25">
      <c r="A2433" s="2" t="s">
        <v>428</v>
      </c>
      <c r="B2433" s="2" t="s">
        <v>1113</v>
      </c>
      <c r="C2433" s="5" t="s">
        <v>3566</v>
      </c>
      <c r="D2433" s="2" t="s">
        <v>3567</v>
      </c>
    </row>
    <row r="2434" spans="1:4" ht="12.95" customHeight="1" x14ac:dyDescent="0.25">
      <c r="A2434" s="2" t="s">
        <v>428</v>
      </c>
      <c r="B2434" s="2" t="s">
        <v>1113</v>
      </c>
      <c r="C2434" s="5" t="s">
        <v>3568</v>
      </c>
      <c r="D2434" s="2" t="s">
        <v>3569</v>
      </c>
    </row>
    <row r="2435" spans="1:4" ht="12.95" customHeight="1" x14ac:dyDescent="0.25">
      <c r="A2435" s="2" t="s">
        <v>428</v>
      </c>
      <c r="B2435" s="2" t="s">
        <v>1113</v>
      </c>
      <c r="C2435" s="5" t="s">
        <v>3570</v>
      </c>
      <c r="D2435" s="2" t="s">
        <v>3571</v>
      </c>
    </row>
    <row r="2436" spans="1:4" ht="12.95" customHeight="1" x14ac:dyDescent="0.25">
      <c r="A2436" s="2" t="s">
        <v>428</v>
      </c>
      <c r="B2436" s="2" t="s">
        <v>1113</v>
      </c>
      <c r="C2436" s="5" t="s">
        <v>3572</v>
      </c>
      <c r="D2436" s="2" t="s">
        <v>3573</v>
      </c>
    </row>
    <row r="2437" spans="1:4" ht="12.95" customHeight="1" x14ac:dyDescent="0.25">
      <c r="A2437" s="2" t="s">
        <v>428</v>
      </c>
      <c r="B2437" s="2" t="s">
        <v>1113</v>
      </c>
      <c r="C2437" s="5" t="s">
        <v>3574</v>
      </c>
      <c r="D2437" s="2" t="s">
        <v>3575</v>
      </c>
    </row>
    <row r="2438" spans="1:4" ht="12.95" customHeight="1" x14ac:dyDescent="0.25">
      <c r="A2438" s="2" t="s">
        <v>428</v>
      </c>
      <c r="B2438" s="2" t="s">
        <v>1113</v>
      </c>
      <c r="C2438" s="5" t="s">
        <v>3576</v>
      </c>
      <c r="D2438" s="2" t="s">
        <v>3485</v>
      </c>
    </row>
    <row r="2439" spans="1:4" ht="12.95" customHeight="1" x14ac:dyDescent="0.25">
      <c r="A2439" s="2" t="s">
        <v>428</v>
      </c>
      <c r="B2439" s="2" t="s">
        <v>1113</v>
      </c>
      <c r="C2439" s="5" t="s">
        <v>3577</v>
      </c>
      <c r="D2439" s="2" t="s">
        <v>3578</v>
      </c>
    </row>
    <row r="2440" spans="1:4" ht="12.95" customHeight="1" x14ac:dyDescent="0.25">
      <c r="A2440" s="2" t="s">
        <v>428</v>
      </c>
      <c r="B2440" s="2" t="s">
        <v>1113</v>
      </c>
      <c r="C2440" s="5" t="s">
        <v>3579</v>
      </c>
      <c r="D2440" s="2" t="s">
        <v>3580</v>
      </c>
    </row>
    <row r="2441" spans="1:4" ht="12.95" customHeight="1" x14ac:dyDescent="0.25">
      <c r="A2441" s="2" t="s">
        <v>428</v>
      </c>
      <c r="B2441" s="2" t="s">
        <v>1113</v>
      </c>
      <c r="C2441" s="5" t="s">
        <v>3581</v>
      </c>
      <c r="D2441" s="2" t="s">
        <v>3582</v>
      </c>
    </row>
    <row r="2442" spans="1:4" ht="12.95" customHeight="1" x14ac:dyDescent="0.25">
      <c r="A2442" s="2" t="s">
        <v>428</v>
      </c>
      <c r="B2442" s="2" t="s">
        <v>1113</v>
      </c>
      <c r="C2442" s="5" t="s">
        <v>3583</v>
      </c>
      <c r="D2442" s="2" t="s">
        <v>3584</v>
      </c>
    </row>
    <row r="2443" spans="1:4" ht="12.95" customHeight="1" x14ac:dyDescent="0.25">
      <c r="A2443" s="2" t="s">
        <v>428</v>
      </c>
      <c r="B2443" s="2" t="s">
        <v>1113</v>
      </c>
      <c r="C2443" s="5" t="s">
        <v>3585</v>
      </c>
      <c r="D2443" s="2" t="s">
        <v>3586</v>
      </c>
    </row>
    <row r="2444" spans="1:4" ht="12.95" customHeight="1" x14ac:dyDescent="0.25">
      <c r="A2444" s="2" t="s">
        <v>428</v>
      </c>
      <c r="B2444" s="2" t="s">
        <v>1113</v>
      </c>
      <c r="C2444" s="5" t="s">
        <v>3587</v>
      </c>
      <c r="D2444" s="2" t="s">
        <v>3507</v>
      </c>
    </row>
    <row r="2445" spans="1:4" ht="12.95" customHeight="1" x14ac:dyDescent="0.25">
      <c r="A2445" s="2" t="s">
        <v>428</v>
      </c>
      <c r="B2445" s="2" t="s">
        <v>1113</v>
      </c>
      <c r="C2445" s="5" t="s">
        <v>3588</v>
      </c>
      <c r="D2445" s="2" t="s">
        <v>3509</v>
      </c>
    </row>
    <row r="2446" spans="1:4" ht="12.95" customHeight="1" x14ac:dyDescent="0.25">
      <c r="A2446" s="2" t="s">
        <v>428</v>
      </c>
      <c r="B2446" s="2" t="s">
        <v>1113</v>
      </c>
      <c r="C2446" s="5" t="s">
        <v>3589</v>
      </c>
      <c r="D2446" s="2" t="s">
        <v>3590</v>
      </c>
    </row>
    <row r="2447" spans="1:4" ht="12.95" customHeight="1" x14ac:dyDescent="0.25">
      <c r="A2447" s="2" t="s">
        <v>428</v>
      </c>
      <c r="B2447" s="2" t="s">
        <v>1113</v>
      </c>
      <c r="C2447" s="5" t="s">
        <v>3591</v>
      </c>
      <c r="D2447" s="2" t="s">
        <v>3592</v>
      </c>
    </row>
    <row r="2448" spans="1:4" ht="12.95" customHeight="1" x14ac:dyDescent="0.25">
      <c r="A2448" s="2" t="s">
        <v>428</v>
      </c>
      <c r="B2448" s="2" t="s">
        <v>1113</v>
      </c>
      <c r="C2448" s="5" t="s">
        <v>3593</v>
      </c>
      <c r="D2448" s="2" t="s">
        <v>3594</v>
      </c>
    </row>
    <row r="2449" spans="1:4" ht="12.95" customHeight="1" x14ac:dyDescent="0.25">
      <c r="A2449" s="2" t="s">
        <v>428</v>
      </c>
      <c r="B2449" s="2" t="s">
        <v>1113</v>
      </c>
      <c r="C2449" s="5" t="s">
        <v>3595</v>
      </c>
      <c r="D2449" s="2" t="s">
        <v>3596</v>
      </c>
    </row>
    <row r="2450" spans="1:4" ht="12.95" customHeight="1" x14ac:dyDescent="0.25">
      <c r="A2450" s="2" t="s">
        <v>428</v>
      </c>
      <c r="B2450" s="2" t="s">
        <v>1113</v>
      </c>
      <c r="C2450" s="5" t="s">
        <v>3597</v>
      </c>
      <c r="D2450" s="2" t="s">
        <v>3598</v>
      </c>
    </row>
    <row r="2451" spans="1:4" ht="12.95" customHeight="1" x14ac:dyDescent="0.25">
      <c r="A2451" s="2" t="s">
        <v>428</v>
      </c>
      <c r="B2451" s="2" t="s">
        <v>1113</v>
      </c>
      <c r="C2451" s="5" t="s">
        <v>3599</v>
      </c>
      <c r="D2451" s="2" t="s">
        <v>3600</v>
      </c>
    </row>
    <row r="2452" spans="1:4" ht="12.95" customHeight="1" x14ac:dyDescent="0.25">
      <c r="A2452" s="2" t="s">
        <v>428</v>
      </c>
      <c r="B2452" s="2" t="s">
        <v>1113</v>
      </c>
      <c r="C2452" s="5" t="s">
        <v>3601</v>
      </c>
      <c r="D2452" s="2" t="s">
        <v>3602</v>
      </c>
    </row>
    <row r="2453" spans="1:4" ht="12.95" customHeight="1" x14ac:dyDescent="0.25">
      <c r="A2453" s="2" t="s">
        <v>428</v>
      </c>
      <c r="B2453" s="2" t="s">
        <v>1113</v>
      </c>
      <c r="C2453" s="5" t="s">
        <v>3603</v>
      </c>
      <c r="D2453" s="2" t="s">
        <v>3604</v>
      </c>
    </row>
    <row r="2454" spans="1:4" ht="12.95" customHeight="1" x14ac:dyDescent="0.25">
      <c r="A2454" s="2" t="s">
        <v>428</v>
      </c>
      <c r="B2454" s="2" t="s">
        <v>1113</v>
      </c>
      <c r="C2454" s="5" t="s">
        <v>3605</v>
      </c>
      <c r="D2454" s="2" t="s">
        <v>3606</v>
      </c>
    </row>
    <row r="2455" spans="1:4" ht="12.95" customHeight="1" x14ac:dyDescent="0.25">
      <c r="A2455" s="2" t="s">
        <v>428</v>
      </c>
      <c r="B2455" s="2" t="s">
        <v>1113</v>
      </c>
      <c r="C2455" s="5" t="s">
        <v>3607</v>
      </c>
      <c r="D2455" s="2" t="s">
        <v>3608</v>
      </c>
    </row>
    <row r="2456" spans="1:4" ht="12.95" customHeight="1" x14ac:dyDescent="0.25">
      <c r="A2456" s="2" t="s">
        <v>428</v>
      </c>
      <c r="B2456" s="2" t="s">
        <v>1113</v>
      </c>
      <c r="C2456" s="5" t="s">
        <v>3609</v>
      </c>
      <c r="D2456" s="2" t="s">
        <v>3610</v>
      </c>
    </row>
    <row r="2457" spans="1:4" ht="12.95" customHeight="1" x14ac:dyDescent="0.25">
      <c r="A2457" s="2" t="s">
        <v>428</v>
      </c>
      <c r="B2457" s="2" t="s">
        <v>1113</v>
      </c>
      <c r="C2457" s="5" t="s">
        <v>3611</v>
      </c>
      <c r="D2457" s="2" t="s">
        <v>3612</v>
      </c>
    </row>
    <row r="2458" spans="1:4" ht="12.95" customHeight="1" x14ac:dyDescent="0.25">
      <c r="A2458" s="2" t="s">
        <v>428</v>
      </c>
      <c r="B2458" s="2" t="s">
        <v>1113</v>
      </c>
      <c r="C2458" s="5" t="s">
        <v>3613</v>
      </c>
      <c r="D2458" s="2" t="s">
        <v>3614</v>
      </c>
    </row>
    <row r="2459" spans="1:4" ht="12.95" customHeight="1" x14ac:dyDescent="0.25">
      <c r="A2459" s="2" t="s">
        <v>428</v>
      </c>
      <c r="B2459" s="2" t="s">
        <v>1113</v>
      </c>
      <c r="C2459" s="5" t="s">
        <v>3615</v>
      </c>
      <c r="D2459" s="2" t="s">
        <v>3616</v>
      </c>
    </row>
    <row r="2460" spans="1:4" ht="12.95" customHeight="1" x14ac:dyDescent="0.25">
      <c r="A2460" s="2" t="s">
        <v>428</v>
      </c>
      <c r="B2460" s="2" t="s">
        <v>1113</v>
      </c>
      <c r="C2460" s="5" t="s">
        <v>3617</v>
      </c>
      <c r="D2460" s="2" t="s">
        <v>3618</v>
      </c>
    </row>
    <row r="2461" spans="1:4" ht="12.95" customHeight="1" x14ac:dyDescent="0.25">
      <c r="A2461" s="2" t="s">
        <v>428</v>
      </c>
      <c r="B2461" s="2" t="s">
        <v>1113</v>
      </c>
      <c r="C2461" s="5" t="s">
        <v>3619</v>
      </c>
      <c r="D2461" s="2" t="s">
        <v>3620</v>
      </c>
    </row>
    <row r="2462" spans="1:4" ht="12.95" customHeight="1" x14ac:dyDescent="0.25">
      <c r="A2462" s="2" t="s">
        <v>428</v>
      </c>
      <c r="B2462" s="2" t="s">
        <v>1113</v>
      </c>
      <c r="C2462" s="5" t="s">
        <v>3621</v>
      </c>
      <c r="D2462" s="2" t="s">
        <v>3622</v>
      </c>
    </row>
    <row r="2463" spans="1:4" ht="12.95" customHeight="1" x14ac:dyDescent="0.25">
      <c r="A2463" s="2" t="s">
        <v>428</v>
      </c>
      <c r="B2463" s="2" t="s">
        <v>1113</v>
      </c>
      <c r="C2463" s="5" t="s">
        <v>3623</v>
      </c>
      <c r="D2463" s="2" t="s">
        <v>3449</v>
      </c>
    </row>
    <row r="2464" spans="1:4" ht="12.95" customHeight="1" x14ac:dyDescent="0.25">
      <c r="A2464" s="2" t="s">
        <v>428</v>
      </c>
      <c r="B2464" s="2" t="s">
        <v>1113</v>
      </c>
      <c r="C2464" s="5" t="s">
        <v>3624</v>
      </c>
      <c r="D2464" s="2" t="s">
        <v>3451</v>
      </c>
    </row>
    <row r="2465" spans="1:4" ht="12.95" customHeight="1" x14ac:dyDescent="0.25">
      <c r="A2465" s="2" t="s">
        <v>428</v>
      </c>
      <c r="B2465" s="2" t="s">
        <v>1113</v>
      </c>
      <c r="C2465" s="5" t="s">
        <v>3625</v>
      </c>
      <c r="D2465" s="2" t="s">
        <v>3626</v>
      </c>
    </row>
    <row r="2466" spans="1:4" ht="12.95" customHeight="1" x14ac:dyDescent="0.25">
      <c r="A2466" s="2" t="s">
        <v>428</v>
      </c>
      <c r="B2466" s="2" t="s">
        <v>1113</v>
      </c>
      <c r="C2466" s="5" t="s">
        <v>3627</v>
      </c>
      <c r="D2466" s="2" t="s">
        <v>3628</v>
      </c>
    </row>
    <row r="2467" spans="1:4" ht="12.95" customHeight="1" x14ac:dyDescent="0.25">
      <c r="A2467" s="2" t="s">
        <v>428</v>
      </c>
      <c r="B2467" s="2" t="s">
        <v>1113</v>
      </c>
      <c r="C2467" s="5" t="s">
        <v>3629</v>
      </c>
      <c r="D2467" s="2" t="s">
        <v>3630</v>
      </c>
    </row>
    <row r="2468" spans="1:4" ht="12.95" customHeight="1" x14ac:dyDescent="0.25">
      <c r="A2468" s="2" t="s">
        <v>428</v>
      </c>
      <c r="B2468" s="2" t="s">
        <v>1113</v>
      </c>
      <c r="C2468" s="5" t="s">
        <v>3631</v>
      </c>
      <c r="D2468" s="2" t="s">
        <v>3632</v>
      </c>
    </row>
    <row r="2469" spans="1:4" ht="12.95" customHeight="1" x14ac:dyDescent="0.25">
      <c r="A2469" s="2" t="s">
        <v>428</v>
      </c>
      <c r="B2469" s="2" t="s">
        <v>1113</v>
      </c>
      <c r="C2469" s="5" t="s">
        <v>3633</v>
      </c>
      <c r="D2469" s="2" t="s">
        <v>3634</v>
      </c>
    </row>
    <row r="2470" spans="1:4" ht="12.95" customHeight="1" x14ac:dyDescent="0.25">
      <c r="A2470" s="2" t="s">
        <v>428</v>
      </c>
      <c r="B2470" s="2" t="s">
        <v>1113</v>
      </c>
      <c r="C2470" s="5" t="s">
        <v>3635</v>
      </c>
      <c r="D2470" s="2" t="s">
        <v>3636</v>
      </c>
    </row>
    <row r="2471" spans="1:4" ht="12.95" customHeight="1" x14ac:dyDescent="0.25">
      <c r="A2471" s="2" t="s">
        <v>428</v>
      </c>
      <c r="B2471" s="2" t="s">
        <v>1113</v>
      </c>
      <c r="C2471" s="5" t="s">
        <v>3637</v>
      </c>
      <c r="D2471" s="2" t="s">
        <v>3638</v>
      </c>
    </row>
    <row r="2472" spans="1:4" ht="12.95" customHeight="1" x14ac:dyDescent="0.25">
      <c r="A2472" s="2" t="s">
        <v>428</v>
      </c>
      <c r="B2472" s="2" t="s">
        <v>1113</v>
      </c>
      <c r="C2472" s="5" t="s">
        <v>3639</v>
      </c>
      <c r="D2472" s="2" t="s">
        <v>3640</v>
      </c>
    </row>
    <row r="2473" spans="1:4" ht="12.95" customHeight="1" x14ac:dyDescent="0.25">
      <c r="A2473" s="2" t="s">
        <v>428</v>
      </c>
      <c r="B2473" s="2" t="s">
        <v>1113</v>
      </c>
      <c r="C2473" s="5" t="s">
        <v>3641</v>
      </c>
      <c r="D2473" s="2" t="s">
        <v>3455</v>
      </c>
    </row>
    <row r="2474" spans="1:4" ht="12.95" customHeight="1" x14ac:dyDescent="0.25">
      <c r="A2474" s="2" t="s">
        <v>428</v>
      </c>
      <c r="B2474" s="2" t="s">
        <v>1113</v>
      </c>
      <c r="C2474" s="5" t="s">
        <v>3642</v>
      </c>
      <c r="D2474" s="2" t="s">
        <v>3643</v>
      </c>
    </row>
    <row r="2475" spans="1:4" ht="12.95" customHeight="1" x14ac:dyDescent="0.25">
      <c r="A2475" s="2" t="s">
        <v>428</v>
      </c>
      <c r="B2475" s="2" t="s">
        <v>1113</v>
      </c>
      <c r="C2475" s="5" t="s">
        <v>3644</v>
      </c>
      <c r="D2475" s="2" t="s">
        <v>3459</v>
      </c>
    </row>
    <row r="2476" spans="1:4" ht="12.95" customHeight="1" x14ac:dyDescent="0.25">
      <c r="A2476" s="2" t="s">
        <v>428</v>
      </c>
      <c r="B2476" s="2" t="s">
        <v>1113</v>
      </c>
      <c r="C2476" s="5" t="s">
        <v>3645</v>
      </c>
      <c r="D2476" s="2" t="s">
        <v>3646</v>
      </c>
    </row>
    <row r="2477" spans="1:4" ht="12.95" customHeight="1" x14ac:dyDescent="0.25">
      <c r="A2477" s="2" t="s">
        <v>428</v>
      </c>
      <c r="B2477" s="2" t="s">
        <v>1113</v>
      </c>
      <c r="C2477" s="5" t="s">
        <v>3647</v>
      </c>
      <c r="D2477" s="2" t="s">
        <v>3648</v>
      </c>
    </row>
    <row r="2478" spans="1:4" ht="12.95" customHeight="1" x14ac:dyDescent="0.25">
      <c r="A2478" s="2" t="s">
        <v>428</v>
      </c>
      <c r="B2478" s="2" t="s">
        <v>1113</v>
      </c>
      <c r="C2478" s="5" t="s">
        <v>3649</v>
      </c>
      <c r="D2478" s="2" t="s">
        <v>3650</v>
      </c>
    </row>
    <row r="2479" spans="1:4" ht="12.95" customHeight="1" x14ac:dyDescent="0.25">
      <c r="A2479" s="2" t="s">
        <v>428</v>
      </c>
      <c r="B2479" s="2" t="s">
        <v>1113</v>
      </c>
      <c r="C2479" s="5" t="s">
        <v>3651</v>
      </c>
      <c r="D2479" s="2" t="s">
        <v>3269</v>
      </c>
    </row>
    <row r="2480" spans="1:4" ht="12.95" customHeight="1" x14ac:dyDescent="0.25">
      <c r="A2480" s="2" t="s">
        <v>428</v>
      </c>
      <c r="B2480" s="2" t="s">
        <v>1113</v>
      </c>
      <c r="C2480" s="5" t="s">
        <v>3652</v>
      </c>
      <c r="D2480" s="2" t="s">
        <v>3395</v>
      </c>
    </row>
    <row r="2481" spans="1:4" ht="12.95" customHeight="1" x14ac:dyDescent="0.25">
      <c r="A2481" s="2" t="s">
        <v>428</v>
      </c>
      <c r="B2481" s="2" t="s">
        <v>1113</v>
      </c>
      <c r="C2481" s="5" t="s">
        <v>3653</v>
      </c>
      <c r="D2481" s="2" t="s">
        <v>3397</v>
      </c>
    </row>
    <row r="2482" spans="1:4" ht="12.95" customHeight="1" x14ac:dyDescent="0.25">
      <c r="A2482" s="2" t="s">
        <v>428</v>
      </c>
      <c r="B2482" s="2" t="s">
        <v>1113</v>
      </c>
      <c r="C2482" s="5" t="s">
        <v>3654</v>
      </c>
      <c r="D2482" s="2" t="s">
        <v>3655</v>
      </c>
    </row>
    <row r="2483" spans="1:4" ht="12.95" customHeight="1" x14ac:dyDescent="0.25">
      <c r="A2483" s="2" t="s">
        <v>428</v>
      </c>
      <c r="B2483" s="2" t="s">
        <v>1113</v>
      </c>
      <c r="C2483" s="5" t="s">
        <v>3656</v>
      </c>
      <c r="D2483" s="2" t="s">
        <v>3657</v>
      </c>
    </row>
    <row r="2484" spans="1:4" ht="12.95" customHeight="1" x14ac:dyDescent="0.25">
      <c r="A2484" s="2" t="s">
        <v>428</v>
      </c>
      <c r="B2484" s="2" t="s">
        <v>1113</v>
      </c>
      <c r="C2484" s="5" t="s">
        <v>3658</v>
      </c>
      <c r="D2484" s="2" t="s">
        <v>3659</v>
      </c>
    </row>
    <row r="2485" spans="1:4" ht="12.95" customHeight="1" x14ac:dyDescent="0.25">
      <c r="A2485" s="2" t="s">
        <v>428</v>
      </c>
      <c r="B2485" s="2" t="s">
        <v>1113</v>
      </c>
      <c r="C2485" s="5" t="s">
        <v>3660</v>
      </c>
      <c r="D2485" s="2" t="s">
        <v>3661</v>
      </c>
    </row>
    <row r="2486" spans="1:4" ht="12.95" customHeight="1" x14ac:dyDescent="0.25">
      <c r="A2486" s="2" t="s">
        <v>428</v>
      </c>
      <c r="B2486" s="2" t="s">
        <v>1113</v>
      </c>
      <c r="C2486" s="5" t="s">
        <v>3662</v>
      </c>
      <c r="D2486" s="2" t="s">
        <v>3663</v>
      </c>
    </row>
    <row r="2487" spans="1:4" ht="12.95" customHeight="1" x14ac:dyDescent="0.25">
      <c r="A2487" s="2" t="s">
        <v>428</v>
      </c>
      <c r="B2487" s="2" t="s">
        <v>1113</v>
      </c>
      <c r="C2487" s="5" t="s">
        <v>3664</v>
      </c>
      <c r="D2487" s="2" t="s">
        <v>3665</v>
      </c>
    </row>
    <row r="2488" spans="1:4" ht="12.95" customHeight="1" x14ac:dyDescent="0.25">
      <c r="A2488" s="2" t="s">
        <v>428</v>
      </c>
      <c r="B2488" s="2" t="s">
        <v>1113</v>
      </c>
      <c r="C2488" s="5" t="s">
        <v>3666</v>
      </c>
      <c r="D2488" s="2" t="s">
        <v>3667</v>
      </c>
    </row>
    <row r="2489" spans="1:4" ht="12.95" customHeight="1" x14ac:dyDescent="0.25">
      <c r="A2489" s="2" t="s">
        <v>428</v>
      </c>
      <c r="B2489" s="2" t="s">
        <v>1113</v>
      </c>
      <c r="C2489" s="5" t="s">
        <v>3668</v>
      </c>
      <c r="D2489" s="2" t="s">
        <v>3669</v>
      </c>
    </row>
    <row r="2490" spans="1:4" ht="12.95" customHeight="1" x14ac:dyDescent="0.25">
      <c r="A2490" s="2" t="s">
        <v>428</v>
      </c>
      <c r="B2490" s="2" t="s">
        <v>1113</v>
      </c>
      <c r="C2490" s="5" t="s">
        <v>3670</v>
      </c>
      <c r="D2490" s="2" t="s">
        <v>3671</v>
      </c>
    </row>
    <row r="2491" spans="1:4" ht="12.95" customHeight="1" x14ac:dyDescent="0.25">
      <c r="A2491" s="2" t="s">
        <v>428</v>
      </c>
      <c r="B2491" s="2" t="s">
        <v>1113</v>
      </c>
      <c r="C2491" s="5" t="s">
        <v>3672</v>
      </c>
      <c r="D2491" s="2" t="s">
        <v>3673</v>
      </c>
    </row>
    <row r="2492" spans="1:4" ht="12.95" customHeight="1" x14ac:dyDescent="0.25">
      <c r="A2492" s="2" t="s">
        <v>428</v>
      </c>
      <c r="B2492" s="2" t="s">
        <v>1113</v>
      </c>
      <c r="C2492" s="5" t="s">
        <v>3674</v>
      </c>
      <c r="D2492" s="2" t="s">
        <v>3675</v>
      </c>
    </row>
    <row r="2493" spans="1:4" ht="12.95" customHeight="1" x14ac:dyDescent="0.25">
      <c r="A2493" s="2" t="s">
        <v>428</v>
      </c>
      <c r="B2493" s="2" t="s">
        <v>1113</v>
      </c>
      <c r="C2493" s="5" t="s">
        <v>3676</v>
      </c>
      <c r="D2493" s="2" t="s">
        <v>3677</v>
      </c>
    </row>
    <row r="2494" spans="1:4" ht="12.95" customHeight="1" x14ac:dyDescent="0.25">
      <c r="A2494" s="2" t="s">
        <v>428</v>
      </c>
      <c r="B2494" s="2" t="s">
        <v>1113</v>
      </c>
      <c r="C2494" s="5" t="s">
        <v>3678</v>
      </c>
      <c r="D2494" s="2" t="s">
        <v>3557</v>
      </c>
    </row>
    <row r="2495" spans="1:4" ht="12.95" customHeight="1" x14ac:dyDescent="0.25">
      <c r="A2495" s="2" t="s">
        <v>428</v>
      </c>
      <c r="B2495" s="2" t="s">
        <v>1113</v>
      </c>
      <c r="C2495" s="5" t="s">
        <v>3679</v>
      </c>
      <c r="D2495" s="2" t="s">
        <v>3680</v>
      </c>
    </row>
    <row r="2496" spans="1:4" ht="12.95" customHeight="1" x14ac:dyDescent="0.25">
      <c r="A2496" s="2" t="s">
        <v>428</v>
      </c>
      <c r="B2496" s="2" t="s">
        <v>1113</v>
      </c>
      <c r="C2496" s="5" t="s">
        <v>3681</v>
      </c>
      <c r="D2496" s="2" t="s">
        <v>3682</v>
      </c>
    </row>
    <row r="2497" spans="1:4" ht="12.95" customHeight="1" x14ac:dyDescent="0.25">
      <c r="A2497" s="2" t="s">
        <v>428</v>
      </c>
      <c r="B2497" s="2" t="s">
        <v>1113</v>
      </c>
      <c r="C2497" s="5" t="s">
        <v>3683</v>
      </c>
      <c r="D2497" s="2" t="s">
        <v>3684</v>
      </c>
    </row>
    <row r="2498" spans="1:4" ht="12.95" customHeight="1" x14ac:dyDescent="0.25">
      <c r="A2498" s="2" t="s">
        <v>428</v>
      </c>
      <c r="B2498" s="2" t="s">
        <v>1113</v>
      </c>
      <c r="C2498" s="5" t="s">
        <v>3685</v>
      </c>
      <c r="D2498" s="2" t="s">
        <v>3686</v>
      </c>
    </row>
    <row r="2499" spans="1:4" ht="12.95" customHeight="1" x14ac:dyDescent="0.25">
      <c r="A2499" s="2" t="s">
        <v>428</v>
      </c>
      <c r="B2499" s="2" t="s">
        <v>1113</v>
      </c>
      <c r="C2499" s="5" t="s">
        <v>3687</v>
      </c>
      <c r="D2499" s="2" t="s">
        <v>3485</v>
      </c>
    </row>
    <row r="2500" spans="1:4" ht="12.95" customHeight="1" x14ac:dyDescent="0.25">
      <c r="A2500" s="2" t="s">
        <v>428</v>
      </c>
      <c r="B2500" s="2" t="s">
        <v>1113</v>
      </c>
      <c r="C2500" s="5" t="s">
        <v>3688</v>
      </c>
      <c r="D2500" s="2" t="s">
        <v>3473</v>
      </c>
    </row>
    <row r="2501" spans="1:4" ht="12.95" customHeight="1" x14ac:dyDescent="0.25">
      <c r="A2501" s="2" t="s">
        <v>428</v>
      </c>
      <c r="B2501" s="2" t="s">
        <v>1113</v>
      </c>
      <c r="C2501" s="5" t="s">
        <v>3689</v>
      </c>
      <c r="D2501" s="2" t="s">
        <v>3690</v>
      </c>
    </row>
    <row r="2502" spans="1:4" ht="12.95" customHeight="1" x14ac:dyDescent="0.25">
      <c r="A2502" s="2" t="s">
        <v>428</v>
      </c>
      <c r="B2502" s="2" t="s">
        <v>1113</v>
      </c>
      <c r="C2502" s="5" t="s">
        <v>3691</v>
      </c>
      <c r="D2502" s="2" t="s">
        <v>3692</v>
      </c>
    </row>
    <row r="2503" spans="1:4" ht="12.95" customHeight="1" x14ac:dyDescent="0.25">
      <c r="A2503" s="2" t="s">
        <v>428</v>
      </c>
      <c r="B2503" s="2" t="s">
        <v>1113</v>
      </c>
      <c r="C2503" s="5" t="s">
        <v>3693</v>
      </c>
      <c r="D2503" s="2" t="s">
        <v>3395</v>
      </c>
    </row>
    <row r="2504" spans="1:4" ht="12.95" customHeight="1" x14ac:dyDescent="0.25">
      <c r="A2504" s="2" t="s">
        <v>428</v>
      </c>
      <c r="B2504" s="2" t="s">
        <v>1113</v>
      </c>
      <c r="C2504" s="5" t="s">
        <v>3694</v>
      </c>
      <c r="D2504" s="2" t="s">
        <v>3509</v>
      </c>
    </row>
    <row r="2505" spans="1:4" ht="12.95" customHeight="1" x14ac:dyDescent="0.25">
      <c r="A2505" s="2" t="s">
        <v>428</v>
      </c>
      <c r="B2505" s="2" t="s">
        <v>1113</v>
      </c>
      <c r="C2505" s="5" t="s">
        <v>3695</v>
      </c>
      <c r="D2505" s="2" t="s">
        <v>3696</v>
      </c>
    </row>
    <row r="2506" spans="1:4" ht="12.95" customHeight="1" x14ac:dyDescent="0.25">
      <c r="A2506" s="2" t="s">
        <v>428</v>
      </c>
      <c r="B2506" s="2" t="s">
        <v>1113</v>
      </c>
      <c r="C2506" s="5" t="s">
        <v>3697</v>
      </c>
      <c r="D2506" s="2" t="s">
        <v>3600</v>
      </c>
    </row>
    <row r="2507" spans="1:4" ht="12.95" customHeight="1" x14ac:dyDescent="0.25">
      <c r="A2507" s="2" t="s">
        <v>428</v>
      </c>
      <c r="B2507" s="2" t="s">
        <v>1113</v>
      </c>
      <c r="C2507" s="5" t="s">
        <v>3698</v>
      </c>
      <c r="D2507" s="2" t="s">
        <v>3699</v>
      </c>
    </row>
    <row r="2508" spans="1:4" ht="12.95" customHeight="1" x14ac:dyDescent="0.25">
      <c r="A2508" s="2" t="s">
        <v>428</v>
      </c>
      <c r="B2508" s="2" t="s">
        <v>1113</v>
      </c>
      <c r="C2508" s="5" t="s">
        <v>3700</v>
      </c>
      <c r="D2508" s="2" t="s">
        <v>3701</v>
      </c>
    </row>
    <row r="2509" spans="1:4" ht="12.95" customHeight="1" x14ac:dyDescent="0.25">
      <c r="A2509" s="2" t="s">
        <v>428</v>
      </c>
      <c r="B2509" s="2" t="s">
        <v>1113</v>
      </c>
      <c r="C2509" s="5" t="s">
        <v>3702</v>
      </c>
      <c r="D2509" s="2" t="s">
        <v>3703</v>
      </c>
    </row>
    <row r="2510" spans="1:4" ht="12.95" customHeight="1" x14ac:dyDescent="0.25">
      <c r="A2510" s="2" t="s">
        <v>428</v>
      </c>
      <c r="B2510" s="2" t="s">
        <v>1113</v>
      </c>
      <c r="C2510" s="5" t="s">
        <v>3704</v>
      </c>
      <c r="D2510" s="2" t="s">
        <v>3427</v>
      </c>
    </row>
    <row r="2511" spans="1:4" ht="12.95" customHeight="1" x14ac:dyDescent="0.25">
      <c r="A2511" s="2" t="s">
        <v>428</v>
      </c>
      <c r="B2511" s="2" t="s">
        <v>1113</v>
      </c>
      <c r="C2511" s="5" t="s">
        <v>3705</v>
      </c>
      <c r="D2511" s="2" t="s">
        <v>3429</v>
      </c>
    </row>
    <row r="2512" spans="1:4" ht="12.95" customHeight="1" x14ac:dyDescent="0.25">
      <c r="A2512" s="2" t="s">
        <v>428</v>
      </c>
      <c r="B2512" s="2" t="s">
        <v>1113</v>
      </c>
      <c r="C2512" s="5" t="s">
        <v>3706</v>
      </c>
      <c r="D2512" s="2" t="s">
        <v>3648</v>
      </c>
    </row>
    <row r="2513" spans="1:4" ht="12.95" customHeight="1" x14ac:dyDescent="0.25">
      <c r="A2513" s="2" t="s">
        <v>428</v>
      </c>
      <c r="B2513" s="2" t="s">
        <v>1113</v>
      </c>
      <c r="C2513" s="5" t="s">
        <v>3707</v>
      </c>
      <c r="D2513" s="2" t="s">
        <v>3708</v>
      </c>
    </row>
    <row r="2514" spans="1:4" ht="12.95" customHeight="1" x14ac:dyDescent="0.25">
      <c r="A2514" s="2" t="s">
        <v>428</v>
      </c>
      <c r="B2514" s="2" t="s">
        <v>1113</v>
      </c>
      <c r="C2514" s="5" t="s">
        <v>3709</v>
      </c>
      <c r="D2514" s="2" t="s">
        <v>3710</v>
      </c>
    </row>
    <row r="2515" spans="1:4" ht="12.95" customHeight="1" x14ac:dyDescent="0.25">
      <c r="A2515" s="2" t="s">
        <v>428</v>
      </c>
      <c r="B2515" s="2" t="s">
        <v>1113</v>
      </c>
      <c r="C2515" s="5" t="s">
        <v>3711</v>
      </c>
      <c r="D2515" s="2" t="s">
        <v>3712</v>
      </c>
    </row>
    <row r="2516" spans="1:4" ht="12.95" customHeight="1" x14ac:dyDescent="0.25">
      <c r="A2516" s="2" t="s">
        <v>428</v>
      </c>
      <c r="B2516" s="2" t="s">
        <v>1113</v>
      </c>
      <c r="C2516" s="5" t="s">
        <v>3713</v>
      </c>
      <c r="D2516" s="2" t="s">
        <v>3714</v>
      </c>
    </row>
    <row r="2517" spans="1:4" ht="12.95" customHeight="1" x14ac:dyDescent="0.25">
      <c r="A2517" s="2" t="s">
        <v>428</v>
      </c>
      <c r="B2517" s="2" t="s">
        <v>1113</v>
      </c>
      <c r="C2517" s="5" t="s">
        <v>3715</v>
      </c>
      <c r="D2517" s="2" t="s">
        <v>3716</v>
      </c>
    </row>
    <row r="2518" spans="1:4" ht="12.95" customHeight="1" x14ac:dyDescent="0.25">
      <c r="A2518" s="2" t="s">
        <v>428</v>
      </c>
      <c r="B2518" s="2" t="s">
        <v>1113</v>
      </c>
      <c r="C2518" s="5" t="s">
        <v>3717</v>
      </c>
      <c r="D2518" s="2" t="s">
        <v>3718</v>
      </c>
    </row>
    <row r="2519" spans="1:4" ht="12.95" customHeight="1" x14ac:dyDescent="0.25">
      <c r="A2519" s="2" t="s">
        <v>428</v>
      </c>
      <c r="B2519" s="2" t="s">
        <v>1113</v>
      </c>
      <c r="C2519" s="5" t="s">
        <v>3719</v>
      </c>
      <c r="D2519" s="2" t="s">
        <v>3720</v>
      </c>
    </row>
    <row r="2520" spans="1:4" ht="12.95" customHeight="1" x14ac:dyDescent="0.25">
      <c r="A2520" s="2" t="s">
        <v>428</v>
      </c>
      <c r="B2520" s="2" t="s">
        <v>1113</v>
      </c>
      <c r="C2520" s="5" t="s">
        <v>3721</v>
      </c>
      <c r="D2520" s="2" t="s">
        <v>3395</v>
      </c>
    </row>
    <row r="2521" spans="1:4" ht="12.95" customHeight="1" x14ac:dyDescent="0.25">
      <c r="A2521" s="2" t="s">
        <v>428</v>
      </c>
      <c r="B2521" s="2" t="s">
        <v>1113</v>
      </c>
      <c r="C2521" s="5" t="s">
        <v>3722</v>
      </c>
      <c r="D2521" s="2" t="s">
        <v>3397</v>
      </c>
    </row>
    <row r="2522" spans="1:4" ht="12.95" customHeight="1" x14ac:dyDescent="0.25">
      <c r="A2522" s="2" t="s">
        <v>428</v>
      </c>
      <c r="B2522" s="2" t="s">
        <v>1113</v>
      </c>
      <c r="C2522" s="5" t="s">
        <v>3723</v>
      </c>
      <c r="D2522" s="2" t="s">
        <v>3724</v>
      </c>
    </row>
    <row r="2523" spans="1:4" ht="12.95" customHeight="1" x14ac:dyDescent="0.25">
      <c r="A2523" s="2" t="s">
        <v>428</v>
      </c>
      <c r="B2523" s="2" t="s">
        <v>1113</v>
      </c>
      <c r="C2523" s="5" t="s">
        <v>3725</v>
      </c>
      <c r="D2523" s="2" t="s">
        <v>3726</v>
      </c>
    </row>
    <row r="2524" spans="1:4" ht="12.95" customHeight="1" x14ac:dyDescent="0.25">
      <c r="A2524" s="2" t="s">
        <v>428</v>
      </c>
      <c r="B2524" s="2" t="s">
        <v>1113</v>
      </c>
      <c r="C2524" s="5" t="s">
        <v>3727</v>
      </c>
      <c r="D2524" s="2" t="s">
        <v>3728</v>
      </c>
    </row>
    <row r="2525" spans="1:4" ht="12.95" customHeight="1" x14ac:dyDescent="0.25">
      <c r="A2525" s="2" t="s">
        <v>428</v>
      </c>
      <c r="B2525" s="2" t="s">
        <v>1113</v>
      </c>
      <c r="C2525" s="5" t="s">
        <v>3729</v>
      </c>
      <c r="D2525" s="2" t="s">
        <v>3730</v>
      </c>
    </row>
    <row r="2526" spans="1:4" ht="12.95" customHeight="1" x14ac:dyDescent="0.25">
      <c r="A2526" s="2" t="s">
        <v>428</v>
      </c>
      <c r="B2526" s="2" t="s">
        <v>1113</v>
      </c>
      <c r="C2526" s="5" t="s">
        <v>3731</v>
      </c>
      <c r="D2526" s="2" t="s">
        <v>3732</v>
      </c>
    </row>
    <row r="2527" spans="1:4" ht="12.95" customHeight="1" x14ac:dyDescent="0.25">
      <c r="A2527" s="2" t="s">
        <v>428</v>
      </c>
      <c r="B2527" s="2" t="s">
        <v>1113</v>
      </c>
      <c r="C2527" s="5" t="s">
        <v>3733</v>
      </c>
      <c r="D2527" s="2" t="s">
        <v>3734</v>
      </c>
    </row>
    <row r="2528" spans="1:4" ht="12.95" customHeight="1" x14ac:dyDescent="0.25">
      <c r="A2528" s="2" t="s">
        <v>428</v>
      </c>
      <c r="B2528" s="2" t="s">
        <v>1113</v>
      </c>
      <c r="C2528" s="5" t="s">
        <v>3735</v>
      </c>
      <c r="D2528" s="2" t="s">
        <v>3736</v>
      </c>
    </row>
    <row r="2529" spans="1:4" ht="12.95" customHeight="1" x14ac:dyDescent="0.25">
      <c r="A2529" s="2" t="s">
        <v>428</v>
      </c>
      <c r="B2529" s="2" t="s">
        <v>1113</v>
      </c>
      <c r="C2529" s="5" t="s">
        <v>3737</v>
      </c>
      <c r="D2529" s="2" t="s">
        <v>3738</v>
      </c>
    </row>
    <row r="2530" spans="1:4" ht="12.95" customHeight="1" x14ac:dyDescent="0.25">
      <c r="A2530" s="2" t="s">
        <v>428</v>
      </c>
      <c r="B2530" s="2" t="s">
        <v>1113</v>
      </c>
      <c r="C2530" s="5" t="s">
        <v>3739</v>
      </c>
      <c r="D2530" s="2" t="s">
        <v>3740</v>
      </c>
    </row>
    <row r="2531" spans="1:4" ht="12.95" customHeight="1" x14ac:dyDescent="0.25">
      <c r="A2531" s="2" t="s">
        <v>428</v>
      </c>
      <c r="B2531" s="2" t="s">
        <v>1113</v>
      </c>
      <c r="C2531" s="5" t="s">
        <v>3741</v>
      </c>
      <c r="D2531" s="2" t="s">
        <v>3742</v>
      </c>
    </row>
    <row r="2532" spans="1:4" ht="12.95" customHeight="1" x14ac:dyDescent="0.25">
      <c r="A2532" s="2" t="s">
        <v>428</v>
      </c>
      <c r="B2532" s="2" t="s">
        <v>1113</v>
      </c>
      <c r="C2532" s="5" t="s">
        <v>3743</v>
      </c>
      <c r="D2532" s="2" t="s">
        <v>3744</v>
      </c>
    </row>
    <row r="2533" spans="1:4" ht="12.95" customHeight="1" x14ac:dyDescent="0.25">
      <c r="A2533" s="2" t="s">
        <v>428</v>
      </c>
      <c r="B2533" s="2" t="s">
        <v>1113</v>
      </c>
      <c r="C2533" s="5" t="s">
        <v>3745</v>
      </c>
      <c r="D2533" s="2" t="s">
        <v>3746</v>
      </c>
    </row>
    <row r="2534" spans="1:4" ht="12.95" customHeight="1" x14ac:dyDescent="0.25">
      <c r="A2534" s="2" t="s">
        <v>428</v>
      </c>
      <c r="B2534" s="2" t="s">
        <v>1113</v>
      </c>
      <c r="C2534" s="5" t="s">
        <v>3747</v>
      </c>
      <c r="D2534" s="2" t="s">
        <v>3748</v>
      </c>
    </row>
    <row r="2535" spans="1:4" ht="12.95" customHeight="1" x14ac:dyDescent="0.25">
      <c r="A2535" s="2" t="s">
        <v>428</v>
      </c>
      <c r="B2535" s="2" t="s">
        <v>1113</v>
      </c>
      <c r="C2535" s="5" t="s">
        <v>3749</v>
      </c>
      <c r="D2535" s="2" t="s">
        <v>3750</v>
      </c>
    </row>
    <row r="2536" spans="1:4" ht="12.95" customHeight="1" x14ac:dyDescent="0.25">
      <c r="A2536" s="2" t="s">
        <v>428</v>
      </c>
      <c r="B2536" s="2" t="s">
        <v>1113</v>
      </c>
      <c r="C2536" s="5" t="s">
        <v>3751</v>
      </c>
      <c r="D2536" s="2" t="s">
        <v>3752</v>
      </c>
    </row>
    <row r="2537" spans="1:4" ht="12.95" customHeight="1" x14ac:dyDescent="0.25">
      <c r="A2537" s="2" t="s">
        <v>428</v>
      </c>
      <c r="B2537" s="2" t="s">
        <v>1113</v>
      </c>
      <c r="C2537" s="5" t="s">
        <v>3753</v>
      </c>
      <c r="D2537" s="2" t="s">
        <v>3754</v>
      </c>
    </row>
    <row r="2538" spans="1:4" ht="12.95" customHeight="1" x14ac:dyDescent="0.25">
      <c r="A2538" s="2" t="s">
        <v>428</v>
      </c>
      <c r="B2538" s="2" t="s">
        <v>1113</v>
      </c>
      <c r="C2538" s="5" t="s">
        <v>3755</v>
      </c>
      <c r="D2538" s="2" t="s">
        <v>3756</v>
      </c>
    </row>
    <row r="2539" spans="1:4" ht="12.95" customHeight="1" x14ac:dyDescent="0.25">
      <c r="A2539" s="2" t="s">
        <v>428</v>
      </c>
      <c r="B2539" s="2" t="s">
        <v>1113</v>
      </c>
      <c r="C2539" s="5" t="s">
        <v>3757</v>
      </c>
      <c r="D2539" s="2" t="s">
        <v>3758</v>
      </c>
    </row>
    <row r="2540" spans="1:4" ht="12.95" customHeight="1" x14ac:dyDescent="0.25">
      <c r="A2540" s="2" t="s">
        <v>428</v>
      </c>
      <c r="B2540" s="2" t="s">
        <v>1113</v>
      </c>
      <c r="C2540" s="5" t="s">
        <v>3759</v>
      </c>
      <c r="D2540" s="2" t="s">
        <v>3760</v>
      </c>
    </row>
    <row r="2541" spans="1:4" ht="12.95" customHeight="1" x14ac:dyDescent="0.25">
      <c r="A2541" s="2" t="s">
        <v>428</v>
      </c>
      <c r="B2541" s="2" t="s">
        <v>1113</v>
      </c>
      <c r="C2541" s="5" t="s">
        <v>3761</v>
      </c>
      <c r="D2541" s="2" t="s">
        <v>3762</v>
      </c>
    </row>
    <row r="2542" spans="1:4" ht="12.95" customHeight="1" x14ac:dyDescent="0.25">
      <c r="A2542" s="2" t="s">
        <v>428</v>
      </c>
      <c r="B2542" s="2" t="s">
        <v>1113</v>
      </c>
      <c r="C2542" s="5" t="s">
        <v>3763</v>
      </c>
      <c r="D2542" s="2" t="s">
        <v>3764</v>
      </c>
    </row>
    <row r="2543" spans="1:4" ht="12.95" customHeight="1" x14ac:dyDescent="0.25">
      <c r="A2543" s="2" t="s">
        <v>428</v>
      </c>
      <c r="B2543" s="2" t="s">
        <v>1113</v>
      </c>
      <c r="C2543" s="5" t="s">
        <v>3765</v>
      </c>
      <c r="D2543" s="2" t="s">
        <v>3766</v>
      </c>
    </row>
    <row r="2544" spans="1:4" ht="12.95" customHeight="1" x14ac:dyDescent="0.25">
      <c r="A2544" s="2" t="s">
        <v>428</v>
      </c>
      <c r="B2544" s="2" t="s">
        <v>1113</v>
      </c>
      <c r="C2544" s="5" t="s">
        <v>3767</v>
      </c>
      <c r="D2544" s="2" t="s">
        <v>140</v>
      </c>
    </row>
    <row r="2545" spans="1:4" ht="12.95" customHeight="1" x14ac:dyDescent="0.25">
      <c r="A2545" s="2" t="s">
        <v>428</v>
      </c>
      <c r="B2545" s="2" t="s">
        <v>1113</v>
      </c>
      <c r="C2545" s="5" t="s">
        <v>3768</v>
      </c>
      <c r="D2545" s="2" t="s">
        <v>3769</v>
      </c>
    </row>
    <row r="2546" spans="1:4" ht="12.95" customHeight="1" x14ac:dyDescent="0.25">
      <c r="A2546" s="2" t="s">
        <v>428</v>
      </c>
      <c r="B2546" s="2" t="s">
        <v>1113</v>
      </c>
      <c r="C2546" s="5" t="s">
        <v>3770</v>
      </c>
      <c r="D2546" s="2" t="s">
        <v>3771</v>
      </c>
    </row>
    <row r="2547" spans="1:4" ht="12.95" customHeight="1" x14ac:dyDescent="0.25">
      <c r="A2547" s="2" t="s">
        <v>428</v>
      </c>
      <c r="B2547" s="2" t="s">
        <v>1113</v>
      </c>
      <c r="C2547" s="5" t="s">
        <v>3772</v>
      </c>
      <c r="D2547" s="2" t="s">
        <v>3773</v>
      </c>
    </row>
    <row r="2548" spans="1:4" ht="12.95" customHeight="1" x14ac:dyDescent="0.25">
      <c r="A2548" s="2" t="s">
        <v>428</v>
      </c>
      <c r="B2548" s="2" t="s">
        <v>1113</v>
      </c>
      <c r="C2548" s="5" t="s">
        <v>3774</v>
      </c>
      <c r="D2548" s="2" t="s">
        <v>3775</v>
      </c>
    </row>
    <row r="2549" spans="1:4" ht="12.95" customHeight="1" x14ac:dyDescent="0.25">
      <c r="A2549" s="2" t="s">
        <v>428</v>
      </c>
      <c r="B2549" s="2" t="s">
        <v>1113</v>
      </c>
      <c r="C2549" s="5" t="s">
        <v>3776</v>
      </c>
      <c r="D2549" s="2" t="s">
        <v>3473</v>
      </c>
    </row>
    <row r="2550" spans="1:4" ht="12.95" customHeight="1" x14ac:dyDescent="0.25">
      <c r="A2550" s="2" t="s">
        <v>428</v>
      </c>
      <c r="B2550" s="2" t="s">
        <v>1113</v>
      </c>
      <c r="C2550" s="5" t="s">
        <v>3777</v>
      </c>
      <c r="D2550" s="2" t="s">
        <v>3778</v>
      </c>
    </row>
    <row r="2551" spans="1:4" ht="12.95" customHeight="1" x14ac:dyDescent="0.25">
      <c r="A2551" s="2" t="s">
        <v>428</v>
      </c>
      <c r="B2551" s="2" t="s">
        <v>1113</v>
      </c>
      <c r="C2551" s="5" t="s">
        <v>3779</v>
      </c>
      <c r="D2551" s="2" t="s">
        <v>3780</v>
      </c>
    </row>
    <row r="2552" spans="1:4" ht="12.95" customHeight="1" x14ac:dyDescent="0.25">
      <c r="A2552" s="2" t="s">
        <v>428</v>
      </c>
      <c r="B2552" s="2" t="s">
        <v>1113</v>
      </c>
      <c r="C2552" s="5" t="s">
        <v>3781</v>
      </c>
      <c r="D2552" s="2" t="s">
        <v>3782</v>
      </c>
    </row>
    <row r="2553" spans="1:4" ht="12.95" customHeight="1" x14ac:dyDescent="0.25">
      <c r="A2553" s="2" t="s">
        <v>428</v>
      </c>
      <c r="B2553" s="2" t="s">
        <v>1113</v>
      </c>
      <c r="C2553" s="5" t="s">
        <v>3783</v>
      </c>
      <c r="D2553" s="2" t="s">
        <v>3784</v>
      </c>
    </row>
    <row r="2554" spans="1:4" ht="12.95" customHeight="1" x14ac:dyDescent="0.25">
      <c r="A2554" s="2" t="s">
        <v>428</v>
      </c>
      <c r="B2554" s="2" t="s">
        <v>1113</v>
      </c>
      <c r="C2554" s="5" t="s">
        <v>3785</v>
      </c>
      <c r="D2554" s="2" t="s">
        <v>3786</v>
      </c>
    </row>
    <row r="2555" spans="1:4" ht="12.95" customHeight="1" x14ac:dyDescent="0.25">
      <c r="A2555" s="2" t="s">
        <v>428</v>
      </c>
      <c r="B2555" s="2" t="s">
        <v>1113</v>
      </c>
      <c r="C2555" s="5" t="s">
        <v>3787</v>
      </c>
      <c r="D2555" s="2" t="s">
        <v>3509</v>
      </c>
    </row>
    <row r="2556" spans="1:4" ht="12.95" customHeight="1" x14ac:dyDescent="0.25">
      <c r="A2556" s="2" t="s">
        <v>428</v>
      </c>
      <c r="B2556" s="2" t="s">
        <v>1113</v>
      </c>
      <c r="C2556" s="5" t="s">
        <v>3788</v>
      </c>
      <c r="D2556" s="2" t="s">
        <v>3789</v>
      </c>
    </row>
    <row r="2557" spans="1:4" ht="12.95" customHeight="1" x14ac:dyDescent="0.25">
      <c r="A2557" s="2" t="s">
        <v>428</v>
      </c>
      <c r="B2557" s="2" t="s">
        <v>1113</v>
      </c>
      <c r="C2557" s="5" t="s">
        <v>3790</v>
      </c>
      <c r="D2557" s="2" t="s">
        <v>3791</v>
      </c>
    </row>
    <row r="2558" spans="1:4" ht="12.95" customHeight="1" x14ac:dyDescent="0.25">
      <c r="A2558" s="2" t="s">
        <v>428</v>
      </c>
      <c r="B2558" s="2" t="s">
        <v>1113</v>
      </c>
      <c r="C2558" s="5" t="s">
        <v>3792</v>
      </c>
      <c r="D2558" s="2" t="s">
        <v>3793</v>
      </c>
    </row>
    <row r="2559" spans="1:4" ht="12.95" customHeight="1" x14ac:dyDescent="0.25">
      <c r="A2559" s="2" t="s">
        <v>428</v>
      </c>
      <c r="B2559" s="2" t="s">
        <v>1113</v>
      </c>
      <c r="C2559" s="5" t="s">
        <v>3794</v>
      </c>
      <c r="D2559" s="2" t="s">
        <v>3795</v>
      </c>
    </row>
    <row r="2560" spans="1:4" ht="12.95" customHeight="1" x14ac:dyDescent="0.25">
      <c r="A2560" s="2" t="s">
        <v>428</v>
      </c>
      <c r="B2560" s="2" t="s">
        <v>1113</v>
      </c>
      <c r="C2560" s="5" t="s">
        <v>3796</v>
      </c>
      <c r="D2560" s="2" t="s">
        <v>3797</v>
      </c>
    </row>
    <row r="2561" spans="1:4" ht="12.95" customHeight="1" x14ac:dyDescent="0.25">
      <c r="A2561" s="2" t="s">
        <v>428</v>
      </c>
      <c r="B2561" s="2" t="s">
        <v>1113</v>
      </c>
      <c r="C2561" s="5" t="s">
        <v>3798</v>
      </c>
      <c r="D2561" s="2" t="s">
        <v>3799</v>
      </c>
    </row>
    <row r="2562" spans="1:4" ht="12.95" customHeight="1" x14ac:dyDescent="0.25">
      <c r="A2562" s="2" t="s">
        <v>428</v>
      </c>
      <c r="B2562" s="2" t="s">
        <v>1113</v>
      </c>
      <c r="C2562" s="5" t="s">
        <v>3800</v>
      </c>
      <c r="D2562" s="2" t="s">
        <v>3801</v>
      </c>
    </row>
    <row r="2563" spans="1:4" ht="12.95" customHeight="1" x14ac:dyDescent="0.25">
      <c r="A2563" s="2" t="s">
        <v>428</v>
      </c>
      <c r="B2563" s="2" t="s">
        <v>1113</v>
      </c>
      <c r="C2563" s="5" t="s">
        <v>3802</v>
      </c>
      <c r="D2563" s="2" t="s">
        <v>3803</v>
      </c>
    </row>
    <row r="2564" spans="1:4" ht="12.95" customHeight="1" x14ac:dyDescent="0.25">
      <c r="A2564" s="2" t="s">
        <v>428</v>
      </c>
      <c r="B2564" s="2" t="s">
        <v>1113</v>
      </c>
      <c r="C2564" s="5" t="s">
        <v>3804</v>
      </c>
      <c r="D2564" s="2" t="s">
        <v>3805</v>
      </c>
    </row>
    <row r="2565" spans="1:4" ht="12.95" customHeight="1" x14ac:dyDescent="0.25">
      <c r="A2565" s="2" t="s">
        <v>428</v>
      </c>
      <c r="B2565" s="2" t="s">
        <v>1113</v>
      </c>
      <c r="C2565" s="5" t="s">
        <v>3806</v>
      </c>
      <c r="D2565" s="2" t="s">
        <v>3807</v>
      </c>
    </row>
    <row r="2566" spans="1:4" ht="12.95" customHeight="1" x14ac:dyDescent="0.25">
      <c r="A2566" s="2" t="s">
        <v>428</v>
      </c>
      <c r="B2566" s="2" t="s">
        <v>1113</v>
      </c>
      <c r="C2566" s="5" t="s">
        <v>3808</v>
      </c>
      <c r="D2566" s="2" t="s">
        <v>3809</v>
      </c>
    </row>
    <row r="2567" spans="1:4" ht="12.95" customHeight="1" x14ac:dyDescent="0.25">
      <c r="A2567" s="2" t="s">
        <v>428</v>
      </c>
      <c r="B2567" s="2" t="s">
        <v>1113</v>
      </c>
      <c r="C2567" s="5" t="s">
        <v>3810</v>
      </c>
      <c r="D2567" s="2" t="s">
        <v>3614</v>
      </c>
    </row>
    <row r="2568" spans="1:4" ht="12.95" customHeight="1" x14ac:dyDescent="0.25">
      <c r="A2568" s="2" t="s">
        <v>428</v>
      </c>
      <c r="B2568" s="2" t="s">
        <v>1113</v>
      </c>
      <c r="C2568" s="5" t="s">
        <v>3811</v>
      </c>
      <c r="D2568" s="2" t="s">
        <v>3812</v>
      </c>
    </row>
    <row r="2569" spans="1:4" ht="12.95" customHeight="1" x14ac:dyDescent="0.25">
      <c r="A2569" s="2" t="s">
        <v>428</v>
      </c>
      <c r="B2569" s="2" t="s">
        <v>1113</v>
      </c>
      <c r="C2569" s="5" t="s">
        <v>3813</v>
      </c>
      <c r="D2569" s="2" t="s">
        <v>3814</v>
      </c>
    </row>
    <row r="2570" spans="1:4" ht="12.95" customHeight="1" x14ac:dyDescent="0.25">
      <c r="A2570" s="2" t="s">
        <v>428</v>
      </c>
      <c r="B2570" s="2" t="s">
        <v>1113</v>
      </c>
      <c r="C2570" s="5" t="s">
        <v>3815</v>
      </c>
      <c r="D2570" s="2" t="s">
        <v>3816</v>
      </c>
    </row>
    <row r="2571" spans="1:4" ht="12.95" customHeight="1" x14ac:dyDescent="0.25">
      <c r="A2571" s="2" t="s">
        <v>428</v>
      </c>
      <c r="B2571" s="2" t="s">
        <v>1113</v>
      </c>
      <c r="C2571" s="5" t="s">
        <v>3817</v>
      </c>
      <c r="D2571" s="2" t="s">
        <v>3449</v>
      </c>
    </row>
    <row r="2572" spans="1:4" ht="12.95" customHeight="1" x14ac:dyDescent="0.25">
      <c r="A2572" s="2" t="s">
        <v>428</v>
      </c>
      <c r="B2572" s="2" t="s">
        <v>1113</v>
      </c>
      <c r="C2572" s="5" t="s">
        <v>3818</v>
      </c>
      <c r="D2572" s="2" t="s">
        <v>3451</v>
      </c>
    </row>
    <row r="2573" spans="1:4" ht="12.95" customHeight="1" x14ac:dyDescent="0.25">
      <c r="A2573" s="2" t="s">
        <v>428</v>
      </c>
      <c r="B2573" s="2" t="s">
        <v>1113</v>
      </c>
      <c r="C2573" s="5" t="s">
        <v>3819</v>
      </c>
      <c r="D2573" s="2" t="s">
        <v>3626</v>
      </c>
    </row>
    <row r="2574" spans="1:4" ht="12.95" customHeight="1" x14ac:dyDescent="0.25">
      <c r="A2574" s="2" t="s">
        <v>428</v>
      </c>
      <c r="B2574" s="2" t="s">
        <v>1113</v>
      </c>
      <c r="C2574" s="5" t="s">
        <v>3820</v>
      </c>
      <c r="D2574" s="2" t="s">
        <v>3628</v>
      </c>
    </row>
    <row r="2575" spans="1:4" ht="12.95" customHeight="1" x14ac:dyDescent="0.25">
      <c r="A2575" s="2" t="s">
        <v>428</v>
      </c>
      <c r="B2575" s="2" t="s">
        <v>1113</v>
      </c>
      <c r="C2575" s="5" t="s">
        <v>3821</v>
      </c>
      <c r="D2575" s="2" t="s">
        <v>3822</v>
      </c>
    </row>
    <row r="2576" spans="1:4" ht="12.95" customHeight="1" x14ac:dyDescent="0.25">
      <c r="A2576" s="2" t="s">
        <v>428</v>
      </c>
      <c r="B2576" s="2" t="s">
        <v>1113</v>
      </c>
      <c r="C2576" s="5" t="s">
        <v>3823</v>
      </c>
      <c r="D2576" s="2" t="s">
        <v>3632</v>
      </c>
    </row>
    <row r="2577" spans="1:4" ht="12.95" customHeight="1" x14ac:dyDescent="0.25">
      <c r="A2577" s="2" t="s">
        <v>428</v>
      </c>
      <c r="B2577" s="2" t="s">
        <v>1113</v>
      </c>
      <c r="C2577" s="5" t="s">
        <v>3824</v>
      </c>
      <c r="D2577" s="2" t="s">
        <v>3634</v>
      </c>
    </row>
    <row r="2578" spans="1:4" ht="12.95" customHeight="1" x14ac:dyDescent="0.25">
      <c r="A2578" s="2" t="s">
        <v>428</v>
      </c>
      <c r="B2578" s="2" t="s">
        <v>1113</v>
      </c>
      <c r="C2578" s="5" t="s">
        <v>3825</v>
      </c>
      <c r="D2578" s="2" t="s">
        <v>3636</v>
      </c>
    </row>
    <row r="2579" spans="1:4" ht="12.95" customHeight="1" x14ac:dyDescent="0.25">
      <c r="A2579" s="2" t="s">
        <v>428</v>
      </c>
      <c r="B2579" s="2" t="s">
        <v>1113</v>
      </c>
      <c r="C2579" s="5" t="s">
        <v>3826</v>
      </c>
      <c r="D2579" s="2" t="s">
        <v>3827</v>
      </c>
    </row>
    <row r="2580" spans="1:4" ht="12.95" customHeight="1" x14ac:dyDescent="0.25">
      <c r="A2580" s="2" t="s">
        <v>428</v>
      </c>
      <c r="B2580" s="2" t="s">
        <v>1113</v>
      </c>
      <c r="C2580" s="5" t="s">
        <v>3828</v>
      </c>
      <c r="D2580" s="2" t="s">
        <v>3640</v>
      </c>
    </row>
    <row r="2581" spans="1:4" ht="12.95" customHeight="1" x14ac:dyDescent="0.25">
      <c r="A2581" s="2" t="s">
        <v>428</v>
      </c>
      <c r="B2581" s="2" t="s">
        <v>1113</v>
      </c>
      <c r="C2581" s="5" t="s">
        <v>3829</v>
      </c>
      <c r="D2581" s="2" t="s">
        <v>3455</v>
      </c>
    </row>
    <row r="2582" spans="1:4" ht="12.95" customHeight="1" x14ac:dyDescent="0.25">
      <c r="A2582" s="2" t="s">
        <v>428</v>
      </c>
      <c r="B2582" s="2" t="s">
        <v>1113</v>
      </c>
      <c r="C2582" s="5" t="s">
        <v>3830</v>
      </c>
      <c r="D2582" s="2" t="s">
        <v>3643</v>
      </c>
    </row>
    <row r="2583" spans="1:4" ht="12.95" customHeight="1" x14ac:dyDescent="0.25">
      <c r="A2583" s="2" t="s">
        <v>428</v>
      </c>
      <c r="B2583" s="2" t="s">
        <v>1113</v>
      </c>
      <c r="C2583" s="5" t="s">
        <v>3831</v>
      </c>
      <c r="D2583" s="2" t="s">
        <v>3832</v>
      </c>
    </row>
    <row r="2584" spans="1:4" ht="12.95" customHeight="1" x14ac:dyDescent="0.25">
      <c r="A2584" s="2" t="s">
        <v>428</v>
      </c>
      <c r="B2584" s="2" t="s">
        <v>1113</v>
      </c>
      <c r="C2584" s="5" t="s">
        <v>3833</v>
      </c>
      <c r="D2584" s="2" t="s">
        <v>3646</v>
      </c>
    </row>
    <row r="2585" spans="1:4" ht="12.95" customHeight="1" x14ac:dyDescent="0.25">
      <c r="A2585" s="2" t="s">
        <v>428</v>
      </c>
      <c r="B2585" s="2" t="s">
        <v>1113</v>
      </c>
      <c r="C2585" s="5" t="s">
        <v>3834</v>
      </c>
      <c r="D2585" s="2" t="s">
        <v>3463</v>
      </c>
    </row>
    <row r="2586" spans="1:4" ht="12.95" customHeight="1" x14ac:dyDescent="0.25">
      <c r="A2586" s="2" t="s">
        <v>428</v>
      </c>
      <c r="B2586" s="2" t="s">
        <v>1113</v>
      </c>
      <c r="C2586" s="5" t="s">
        <v>3835</v>
      </c>
      <c r="D2586" s="2" t="s">
        <v>3836</v>
      </c>
    </row>
    <row r="2587" spans="1:4" ht="12.95" customHeight="1" x14ac:dyDescent="0.25">
      <c r="A2587" s="2" t="s">
        <v>428</v>
      </c>
      <c r="B2587" s="2" t="s">
        <v>1113</v>
      </c>
      <c r="C2587" s="5" t="s">
        <v>3837</v>
      </c>
      <c r="D2587" s="2" t="s">
        <v>3838</v>
      </c>
    </row>
    <row r="2588" spans="1:4" ht="12.95" customHeight="1" x14ac:dyDescent="0.25">
      <c r="A2588" s="2" t="s">
        <v>428</v>
      </c>
      <c r="B2588" s="2" t="s">
        <v>1113</v>
      </c>
      <c r="C2588" s="5" t="s">
        <v>3839</v>
      </c>
      <c r="D2588" s="2" t="s">
        <v>3840</v>
      </c>
    </row>
    <row r="2589" spans="1:4" ht="12.95" customHeight="1" x14ac:dyDescent="0.25">
      <c r="A2589" s="2" t="s">
        <v>428</v>
      </c>
      <c r="B2589" s="2" t="s">
        <v>1113</v>
      </c>
      <c r="C2589" s="5" t="s">
        <v>3841</v>
      </c>
      <c r="D2589" s="2" t="s">
        <v>3842</v>
      </c>
    </row>
    <row r="2590" spans="1:4" ht="12.95" customHeight="1" x14ac:dyDescent="0.25">
      <c r="A2590" s="2" t="s">
        <v>428</v>
      </c>
      <c r="B2590" s="2" t="s">
        <v>1113</v>
      </c>
      <c r="C2590" s="5" t="s">
        <v>3843</v>
      </c>
      <c r="D2590" s="2" t="s">
        <v>3844</v>
      </c>
    </row>
    <row r="2591" spans="1:4" ht="12.95" customHeight="1" x14ac:dyDescent="0.25">
      <c r="A2591" s="2" t="s">
        <v>428</v>
      </c>
      <c r="B2591" s="2" t="s">
        <v>1113</v>
      </c>
      <c r="C2591" s="5" t="s">
        <v>3845</v>
      </c>
      <c r="D2591" s="2" t="s">
        <v>3846</v>
      </c>
    </row>
    <row r="2592" spans="1:4" ht="12.95" customHeight="1" x14ac:dyDescent="0.25">
      <c r="A2592" s="2" t="s">
        <v>428</v>
      </c>
      <c r="B2592" s="2" t="s">
        <v>1113</v>
      </c>
      <c r="C2592" s="5" t="s">
        <v>3847</v>
      </c>
      <c r="D2592" s="2" t="s">
        <v>3848</v>
      </c>
    </row>
    <row r="2593" spans="1:4" ht="12.95" customHeight="1" x14ac:dyDescent="0.25">
      <c r="A2593" s="2" t="s">
        <v>428</v>
      </c>
      <c r="B2593" s="2" t="s">
        <v>1113</v>
      </c>
      <c r="C2593" s="5" t="s">
        <v>3849</v>
      </c>
      <c r="D2593" s="2" t="s">
        <v>3850</v>
      </c>
    </row>
    <row r="2594" spans="1:4" ht="12.95" customHeight="1" x14ac:dyDescent="0.25">
      <c r="A2594" s="2" t="s">
        <v>428</v>
      </c>
      <c r="B2594" s="2" t="s">
        <v>1113</v>
      </c>
      <c r="C2594" s="5" t="s">
        <v>3851</v>
      </c>
      <c r="D2594" s="2" t="s">
        <v>3852</v>
      </c>
    </row>
    <row r="2595" spans="1:4" ht="12.95" customHeight="1" x14ac:dyDescent="0.25">
      <c r="A2595" s="2" t="s">
        <v>428</v>
      </c>
      <c r="B2595" s="2" t="s">
        <v>1113</v>
      </c>
      <c r="C2595" s="5" t="s">
        <v>3853</v>
      </c>
      <c r="D2595" s="2" t="s">
        <v>3854</v>
      </c>
    </row>
    <row r="2596" spans="1:4" ht="12.95" customHeight="1" x14ac:dyDescent="0.25">
      <c r="A2596" s="2" t="s">
        <v>428</v>
      </c>
      <c r="B2596" s="2" t="s">
        <v>1113</v>
      </c>
      <c r="C2596" s="5" t="s">
        <v>3855</v>
      </c>
      <c r="D2596" s="2" t="s">
        <v>3395</v>
      </c>
    </row>
    <row r="2597" spans="1:4" ht="12.95" customHeight="1" x14ac:dyDescent="0.25">
      <c r="A2597" s="2" t="s">
        <v>428</v>
      </c>
      <c r="B2597" s="2" t="s">
        <v>1113</v>
      </c>
      <c r="C2597" s="5" t="s">
        <v>3856</v>
      </c>
      <c r="D2597" s="2" t="s">
        <v>3509</v>
      </c>
    </row>
    <row r="2598" spans="1:4" ht="12.95" customHeight="1" x14ac:dyDescent="0.25">
      <c r="A2598" s="2" t="s">
        <v>428</v>
      </c>
      <c r="B2598" s="2" t="s">
        <v>1113</v>
      </c>
      <c r="C2598" s="5" t="s">
        <v>3857</v>
      </c>
      <c r="D2598" s="2" t="s">
        <v>3858</v>
      </c>
    </row>
    <row r="2599" spans="1:4" ht="12.95" customHeight="1" x14ac:dyDescent="0.25">
      <c r="A2599" s="2" t="s">
        <v>428</v>
      </c>
      <c r="B2599" s="2" t="s">
        <v>1113</v>
      </c>
      <c r="C2599" s="5" t="s">
        <v>3859</v>
      </c>
      <c r="D2599" s="2" t="s">
        <v>3860</v>
      </c>
    </row>
    <row r="2600" spans="1:4" ht="12.95" customHeight="1" x14ac:dyDescent="0.25">
      <c r="A2600" s="2" t="s">
        <v>428</v>
      </c>
      <c r="B2600" s="2" t="s">
        <v>1113</v>
      </c>
      <c r="C2600" s="5" t="s">
        <v>3861</v>
      </c>
      <c r="D2600" s="2" t="s">
        <v>3862</v>
      </c>
    </row>
    <row r="2601" spans="1:4" ht="12.95" customHeight="1" x14ac:dyDescent="0.25">
      <c r="A2601" s="2" t="s">
        <v>428</v>
      </c>
      <c r="B2601" s="2" t="s">
        <v>1113</v>
      </c>
      <c r="C2601" s="5" t="s">
        <v>3863</v>
      </c>
      <c r="D2601" s="2" t="s">
        <v>3864</v>
      </c>
    </row>
    <row r="2602" spans="1:4" ht="12.95" customHeight="1" x14ac:dyDescent="0.25">
      <c r="A2602" s="2" t="s">
        <v>428</v>
      </c>
      <c r="B2602" s="2" t="s">
        <v>1113</v>
      </c>
      <c r="C2602" s="5" t="s">
        <v>3865</v>
      </c>
      <c r="D2602" s="2" t="s">
        <v>3866</v>
      </c>
    </row>
    <row r="2603" spans="1:4" ht="12.95" customHeight="1" x14ac:dyDescent="0.25">
      <c r="A2603" s="2" t="s">
        <v>428</v>
      </c>
      <c r="B2603" s="2" t="s">
        <v>1113</v>
      </c>
      <c r="C2603" s="5" t="s">
        <v>3867</v>
      </c>
      <c r="D2603" s="2" t="s">
        <v>3427</v>
      </c>
    </row>
    <row r="2604" spans="1:4" ht="12.95" customHeight="1" x14ac:dyDescent="0.25">
      <c r="A2604" s="2" t="s">
        <v>428</v>
      </c>
      <c r="B2604" s="2" t="s">
        <v>1113</v>
      </c>
      <c r="C2604" s="5" t="s">
        <v>3868</v>
      </c>
      <c r="D2604" s="2" t="s">
        <v>3429</v>
      </c>
    </row>
    <row r="2605" spans="1:4" ht="12.95" customHeight="1" x14ac:dyDescent="0.25">
      <c r="A2605" s="2" t="s">
        <v>428</v>
      </c>
      <c r="B2605" s="2" t="s">
        <v>1113</v>
      </c>
      <c r="C2605" s="5" t="s">
        <v>3869</v>
      </c>
      <c r="D2605" s="2" t="s">
        <v>3870</v>
      </c>
    </row>
    <row r="2606" spans="1:4" ht="12.95" customHeight="1" x14ac:dyDescent="0.25">
      <c r="A2606" s="2" t="s">
        <v>428</v>
      </c>
      <c r="B2606" s="2" t="s">
        <v>1113</v>
      </c>
      <c r="C2606" s="5" t="s">
        <v>3871</v>
      </c>
      <c r="D2606" s="2" t="s">
        <v>3872</v>
      </c>
    </row>
    <row r="2607" spans="1:4" ht="12.95" customHeight="1" x14ac:dyDescent="0.25">
      <c r="A2607" s="2" t="s">
        <v>428</v>
      </c>
      <c r="B2607" s="2" t="s">
        <v>1113</v>
      </c>
      <c r="C2607" s="5" t="s">
        <v>3873</v>
      </c>
      <c r="D2607" s="2" t="s">
        <v>3874</v>
      </c>
    </row>
    <row r="2608" spans="1:4" ht="12.95" customHeight="1" x14ac:dyDescent="0.25">
      <c r="A2608" s="2" t="s">
        <v>428</v>
      </c>
      <c r="B2608" s="2" t="s">
        <v>1113</v>
      </c>
      <c r="C2608" s="5" t="s">
        <v>3875</v>
      </c>
      <c r="D2608" s="2" t="s">
        <v>3876</v>
      </c>
    </row>
    <row r="2609" spans="1:4" ht="12.95" customHeight="1" x14ac:dyDescent="0.25">
      <c r="A2609" s="2" t="s">
        <v>428</v>
      </c>
      <c r="B2609" s="2" t="s">
        <v>1113</v>
      </c>
      <c r="C2609" s="5" t="s">
        <v>3877</v>
      </c>
      <c r="D2609" s="2" t="s">
        <v>3878</v>
      </c>
    </row>
    <row r="2610" spans="1:4" ht="12.95" customHeight="1" x14ac:dyDescent="0.25">
      <c r="A2610" s="2" t="s">
        <v>428</v>
      </c>
      <c r="B2610" s="2" t="s">
        <v>1113</v>
      </c>
      <c r="C2610" s="5" t="s">
        <v>3879</v>
      </c>
      <c r="D2610" s="2" t="s">
        <v>3880</v>
      </c>
    </row>
    <row r="2611" spans="1:4" ht="12.95" customHeight="1" x14ac:dyDescent="0.25">
      <c r="A2611" s="2" t="s">
        <v>428</v>
      </c>
      <c r="B2611" s="2" t="s">
        <v>1113</v>
      </c>
      <c r="C2611" s="5" t="s">
        <v>3881</v>
      </c>
      <c r="D2611" s="2" t="s">
        <v>3882</v>
      </c>
    </row>
    <row r="2612" spans="1:4" ht="12.95" customHeight="1" x14ac:dyDescent="0.25">
      <c r="A2612" s="2" t="s">
        <v>428</v>
      </c>
      <c r="B2612" s="2" t="s">
        <v>1113</v>
      </c>
      <c r="C2612" s="5" t="s">
        <v>1511</v>
      </c>
      <c r="D2612" s="2" t="s">
        <v>3883</v>
      </c>
    </row>
    <row r="2613" spans="1:4" ht="12.95" customHeight="1" x14ac:dyDescent="0.25">
      <c r="A2613" s="2" t="s">
        <v>428</v>
      </c>
      <c r="B2613" s="2" t="s">
        <v>1113</v>
      </c>
      <c r="C2613" s="5" t="s">
        <v>3884</v>
      </c>
      <c r="D2613" s="2" t="s">
        <v>3885</v>
      </c>
    </row>
    <row r="2614" spans="1:4" ht="12.95" customHeight="1" x14ac:dyDescent="0.25">
      <c r="A2614" s="2" t="s">
        <v>428</v>
      </c>
      <c r="B2614" s="2" t="s">
        <v>1113</v>
      </c>
      <c r="C2614" s="5" t="s">
        <v>3886</v>
      </c>
      <c r="D2614" s="2" t="s">
        <v>3887</v>
      </c>
    </row>
    <row r="2615" spans="1:4" ht="12.95" customHeight="1" x14ac:dyDescent="0.25">
      <c r="A2615" s="2" t="s">
        <v>428</v>
      </c>
      <c r="B2615" s="2" t="s">
        <v>1113</v>
      </c>
      <c r="C2615" s="5" t="s">
        <v>3888</v>
      </c>
      <c r="D2615" s="2" t="s">
        <v>3889</v>
      </c>
    </row>
    <row r="2616" spans="1:4" ht="12.95" customHeight="1" x14ac:dyDescent="0.25">
      <c r="A2616" s="2" t="s">
        <v>428</v>
      </c>
      <c r="B2616" s="2" t="s">
        <v>1113</v>
      </c>
      <c r="C2616" s="5" t="s">
        <v>3890</v>
      </c>
      <c r="D2616" s="2" t="s">
        <v>3891</v>
      </c>
    </row>
    <row r="2617" spans="1:4" ht="12.95" customHeight="1" x14ac:dyDescent="0.25">
      <c r="A2617" s="2" t="s">
        <v>428</v>
      </c>
      <c r="B2617" s="2" t="s">
        <v>1113</v>
      </c>
      <c r="C2617" s="5" t="s">
        <v>3892</v>
      </c>
      <c r="D2617" s="2" t="s">
        <v>3893</v>
      </c>
    </row>
    <row r="2618" spans="1:4" ht="12.95" customHeight="1" x14ac:dyDescent="0.25">
      <c r="A2618" s="2" t="s">
        <v>428</v>
      </c>
      <c r="B2618" s="2" t="s">
        <v>1113</v>
      </c>
      <c r="C2618" s="5" t="s">
        <v>1513</v>
      </c>
      <c r="D2618" s="2" t="s">
        <v>3894</v>
      </c>
    </row>
    <row r="2619" spans="1:4" ht="12.95" customHeight="1" x14ac:dyDescent="0.25">
      <c r="A2619" s="2" t="s">
        <v>428</v>
      </c>
      <c r="B2619" s="2" t="s">
        <v>1113</v>
      </c>
      <c r="C2619" s="5" t="s">
        <v>3895</v>
      </c>
      <c r="D2619" s="2" t="s">
        <v>3896</v>
      </c>
    </row>
    <row r="2620" spans="1:4" ht="12.95" customHeight="1" x14ac:dyDescent="0.25">
      <c r="A2620" s="2" t="s">
        <v>428</v>
      </c>
      <c r="B2620" s="2" t="s">
        <v>1113</v>
      </c>
      <c r="C2620" s="5" t="s">
        <v>3897</v>
      </c>
      <c r="D2620" s="2" t="s">
        <v>3898</v>
      </c>
    </row>
    <row r="2621" spans="1:4" ht="12.95" customHeight="1" x14ac:dyDescent="0.25">
      <c r="A2621" s="2" t="s">
        <v>428</v>
      </c>
      <c r="B2621" s="2" t="s">
        <v>1113</v>
      </c>
      <c r="C2621" s="5" t="s">
        <v>3899</v>
      </c>
      <c r="D2621" s="2" t="s">
        <v>3900</v>
      </c>
    </row>
    <row r="2622" spans="1:4" ht="12.95" customHeight="1" x14ac:dyDescent="0.25">
      <c r="A2622" s="2" t="s">
        <v>428</v>
      </c>
      <c r="B2622" s="2" t="s">
        <v>1113</v>
      </c>
      <c r="C2622" s="5" t="s">
        <v>3901</v>
      </c>
      <c r="D2622" s="2" t="s">
        <v>3902</v>
      </c>
    </row>
    <row r="2623" spans="1:4" ht="12.95" customHeight="1" x14ac:dyDescent="0.25">
      <c r="A2623" s="2" t="s">
        <v>428</v>
      </c>
      <c r="B2623" s="2" t="s">
        <v>1113</v>
      </c>
      <c r="C2623" s="5" t="s">
        <v>3903</v>
      </c>
      <c r="D2623" s="2" t="s">
        <v>3904</v>
      </c>
    </row>
    <row r="2624" spans="1:4" ht="12.95" customHeight="1" x14ac:dyDescent="0.25">
      <c r="A2624" s="2" t="s">
        <v>428</v>
      </c>
      <c r="B2624" s="2" t="s">
        <v>1113</v>
      </c>
      <c r="C2624" s="5" t="s">
        <v>3905</v>
      </c>
      <c r="D2624" s="2" t="s">
        <v>3906</v>
      </c>
    </row>
    <row r="2625" spans="1:4" ht="12.95" customHeight="1" x14ac:dyDescent="0.25">
      <c r="A2625" s="2" t="s">
        <v>428</v>
      </c>
      <c r="B2625" s="2" t="s">
        <v>1113</v>
      </c>
      <c r="C2625" s="5" t="s">
        <v>3907</v>
      </c>
      <c r="D2625" s="2" t="s">
        <v>3908</v>
      </c>
    </row>
    <row r="2626" spans="1:4" ht="12.95" customHeight="1" x14ac:dyDescent="0.25">
      <c r="A2626" s="2" t="s">
        <v>428</v>
      </c>
      <c r="B2626" s="2" t="s">
        <v>1113</v>
      </c>
      <c r="C2626" s="5" t="s">
        <v>3909</v>
      </c>
      <c r="D2626" s="2" t="s">
        <v>3507</v>
      </c>
    </row>
    <row r="2627" spans="1:4" ht="12.95" customHeight="1" x14ac:dyDescent="0.25">
      <c r="A2627" s="2" t="s">
        <v>428</v>
      </c>
      <c r="B2627" s="2" t="s">
        <v>1113</v>
      </c>
      <c r="C2627" s="5" t="s">
        <v>3910</v>
      </c>
      <c r="D2627" s="2" t="s">
        <v>3509</v>
      </c>
    </row>
    <row r="2628" spans="1:4" ht="12.95" customHeight="1" x14ac:dyDescent="0.25">
      <c r="A2628" s="2" t="s">
        <v>428</v>
      </c>
      <c r="B2628" s="2" t="s">
        <v>1113</v>
      </c>
      <c r="C2628" s="5" t="s">
        <v>3911</v>
      </c>
      <c r="D2628" s="2" t="s">
        <v>3912</v>
      </c>
    </row>
    <row r="2629" spans="1:4" ht="12.95" customHeight="1" x14ac:dyDescent="0.25">
      <c r="A2629" s="2" t="s">
        <v>428</v>
      </c>
      <c r="B2629" s="2" t="s">
        <v>1113</v>
      </c>
      <c r="C2629" s="5" t="s">
        <v>3913</v>
      </c>
      <c r="D2629" s="2" t="s">
        <v>3914</v>
      </c>
    </row>
    <row r="2630" spans="1:4" ht="12.95" customHeight="1" x14ac:dyDescent="0.25">
      <c r="A2630" s="2" t="s">
        <v>428</v>
      </c>
      <c r="B2630" s="2" t="s">
        <v>1113</v>
      </c>
      <c r="C2630" s="5" t="s">
        <v>3915</v>
      </c>
      <c r="D2630" s="2" t="s">
        <v>3916</v>
      </c>
    </row>
    <row r="2631" spans="1:4" ht="12.95" customHeight="1" x14ac:dyDescent="0.25">
      <c r="A2631" s="2" t="s">
        <v>428</v>
      </c>
      <c r="B2631" s="2" t="s">
        <v>1113</v>
      </c>
      <c r="C2631" s="5" t="s">
        <v>3917</v>
      </c>
      <c r="D2631" s="2" t="s">
        <v>3918</v>
      </c>
    </row>
    <row r="2632" spans="1:4" ht="12.95" customHeight="1" x14ac:dyDescent="0.25">
      <c r="A2632" s="2" t="s">
        <v>428</v>
      </c>
      <c r="B2632" s="2" t="s">
        <v>1113</v>
      </c>
      <c r="C2632" s="5" t="s">
        <v>3919</v>
      </c>
      <c r="D2632" s="2" t="s">
        <v>3427</v>
      </c>
    </row>
    <row r="2633" spans="1:4" ht="12.95" customHeight="1" x14ac:dyDescent="0.25">
      <c r="A2633" s="2" t="s">
        <v>428</v>
      </c>
      <c r="B2633" s="2" t="s">
        <v>1113</v>
      </c>
      <c r="C2633" s="5" t="s">
        <v>3920</v>
      </c>
      <c r="D2633" s="2" t="s">
        <v>3429</v>
      </c>
    </row>
    <row r="2634" spans="1:4" ht="12.95" customHeight="1" x14ac:dyDescent="0.25">
      <c r="A2634" s="2" t="s">
        <v>428</v>
      </c>
      <c r="B2634" s="2" t="s">
        <v>1113</v>
      </c>
      <c r="C2634" s="5" t="s">
        <v>3921</v>
      </c>
      <c r="D2634" s="2" t="s">
        <v>3922</v>
      </c>
    </row>
    <row r="2635" spans="1:4" ht="12.95" customHeight="1" x14ac:dyDescent="0.25">
      <c r="A2635" s="2" t="s">
        <v>428</v>
      </c>
      <c r="B2635" s="2" t="s">
        <v>1113</v>
      </c>
      <c r="C2635" s="5" t="s">
        <v>3923</v>
      </c>
      <c r="D2635" s="2" t="s">
        <v>3924</v>
      </c>
    </row>
    <row r="2636" spans="1:4" ht="12.95" customHeight="1" x14ac:dyDescent="0.25">
      <c r="A2636" s="2" t="s">
        <v>428</v>
      </c>
      <c r="B2636" s="2" t="s">
        <v>1113</v>
      </c>
      <c r="C2636" s="5" t="s">
        <v>3925</v>
      </c>
      <c r="D2636" s="2" t="s">
        <v>3926</v>
      </c>
    </row>
    <row r="2637" spans="1:4" ht="12.95" customHeight="1" x14ac:dyDescent="0.25">
      <c r="A2637" s="2" t="s">
        <v>428</v>
      </c>
      <c r="B2637" s="2" t="s">
        <v>1113</v>
      </c>
      <c r="C2637" s="5" t="s">
        <v>3927</v>
      </c>
      <c r="D2637" s="2" t="s">
        <v>3928</v>
      </c>
    </row>
    <row r="2638" spans="1:4" ht="12.95" customHeight="1" x14ac:dyDescent="0.25">
      <c r="A2638" s="2" t="s">
        <v>428</v>
      </c>
      <c r="B2638" s="2" t="s">
        <v>1113</v>
      </c>
      <c r="C2638" s="5" t="s">
        <v>3929</v>
      </c>
      <c r="D2638" s="2" t="s">
        <v>3930</v>
      </c>
    </row>
    <row r="2639" spans="1:4" ht="12.95" customHeight="1" x14ac:dyDescent="0.25">
      <c r="A2639" s="2" t="s">
        <v>428</v>
      </c>
      <c r="B2639" s="2" t="s">
        <v>1113</v>
      </c>
      <c r="C2639" s="5" t="s">
        <v>3931</v>
      </c>
      <c r="D2639" s="2" t="s">
        <v>3932</v>
      </c>
    </row>
    <row r="2640" spans="1:4" ht="12.95" customHeight="1" x14ac:dyDescent="0.25">
      <c r="A2640" s="2" t="s">
        <v>428</v>
      </c>
      <c r="B2640" s="2" t="s">
        <v>1113</v>
      </c>
      <c r="C2640" s="5" t="s">
        <v>3933</v>
      </c>
      <c r="D2640" s="2" t="s">
        <v>3934</v>
      </c>
    </row>
    <row r="2641" spans="1:4" ht="12.95" customHeight="1" x14ac:dyDescent="0.25">
      <c r="A2641" s="2" t="s">
        <v>428</v>
      </c>
      <c r="B2641" s="2" t="s">
        <v>1113</v>
      </c>
      <c r="C2641" s="5" t="s">
        <v>3935</v>
      </c>
      <c r="D2641" s="2" t="s">
        <v>3936</v>
      </c>
    </row>
    <row r="2642" spans="1:4" ht="12.95" customHeight="1" x14ac:dyDescent="0.25">
      <c r="A2642" s="2" t="s">
        <v>428</v>
      </c>
      <c r="B2642" s="2" t="s">
        <v>1113</v>
      </c>
      <c r="C2642" s="5" t="s">
        <v>3937</v>
      </c>
      <c r="D2642" s="2" t="s">
        <v>3938</v>
      </c>
    </row>
    <row r="2643" spans="1:4" ht="12.95" customHeight="1" x14ac:dyDescent="0.25">
      <c r="A2643" s="2" t="s">
        <v>428</v>
      </c>
      <c r="B2643" s="2" t="s">
        <v>1113</v>
      </c>
      <c r="C2643" s="5" t="s">
        <v>3939</v>
      </c>
      <c r="D2643" s="2" t="s">
        <v>3940</v>
      </c>
    </row>
    <row r="2644" spans="1:4" ht="12.95" customHeight="1" x14ac:dyDescent="0.25">
      <c r="A2644" s="2" t="s">
        <v>428</v>
      </c>
      <c r="B2644" s="2" t="s">
        <v>1113</v>
      </c>
      <c r="C2644" s="5" t="s">
        <v>3941</v>
      </c>
      <c r="D2644" s="2" t="s">
        <v>3942</v>
      </c>
    </row>
    <row r="2645" spans="1:4" ht="12.95" customHeight="1" x14ac:dyDescent="0.25">
      <c r="A2645" s="2" t="s">
        <v>428</v>
      </c>
      <c r="B2645" s="2" t="s">
        <v>1113</v>
      </c>
      <c r="C2645" s="5" t="s">
        <v>3943</v>
      </c>
      <c r="D2645" s="2" t="s">
        <v>3944</v>
      </c>
    </row>
    <row r="2646" spans="1:4" ht="12.95" customHeight="1" x14ac:dyDescent="0.25">
      <c r="A2646" s="2" t="s">
        <v>428</v>
      </c>
      <c r="B2646" s="2" t="s">
        <v>1113</v>
      </c>
      <c r="C2646" s="5" t="s">
        <v>3945</v>
      </c>
      <c r="D2646" s="2" t="s">
        <v>3946</v>
      </c>
    </row>
    <row r="2647" spans="1:4" ht="12.95" customHeight="1" x14ac:dyDescent="0.25">
      <c r="A2647" s="2" t="s">
        <v>428</v>
      </c>
      <c r="B2647" s="2" t="s">
        <v>1113</v>
      </c>
      <c r="C2647" s="5" t="s">
        <v>1681</v>
      </c>
      <c r="D2647" s="2" t="s">
        <v>3947</v>
      </c>
    </row>
    <row r="2648" spans="1:4" ht="12.95" customHeight="1" x14ac:dyDescent="0.25">
      <c r="A2648" s="2" t="s">
        <v>428</v>
      </c>
      <c r="B2648" s="2" t="s">
        <v>1113</v>
      </c>
      <c r="C2648" s="5" t="s">
        <v>3948</v>
      </c>
      <c r="D2648" s="2" t="s">
        <v>3949</v>
      </c>
    </row>
    <row r="2649" spans="1:4" ht="12.95" customHeight="1" x14ac:dyDescent="0.25">
      <c r="A2649" s="2" t="s">
        <v>428</v>
      </c>
      <c r="B2649" s="2" t="s">
        <v>1113</v>
      </c>
      <c r="C2649" s="5" t="s">
        <v>3950</v>
      </c>
      <c r="D2649" s="2" t="s">
        <v>3951</v>
      </c>
    </row>
    <row r="2650" spans="1:4" ht="12.95" customHeight="1" x14ac:dyDescent="0.25">
      <c r="A2650" s="2" t="s">
        <v>428</v>
      </c>
      <c r="B2650" s="2" t="s">
        <v>1113</v>
      </c>
      <c r="C2650" s="5" t="s">
        <v>3952</v>
      </c>
      <c r="D2650" s="2" t="s">
        <v>3953</v>
      </c>
    </row>
    <row r="2651" spans="1:4" ht="12.95" customHeight="1" x14ac:dyDescent="0.25">
      <c r="A2651" s="2" t="s">
        <v>428</v>
      </c>
      <c r="B2651" s="2" t="s">
        <v>1113</v>
      </c>
      <c r="C2651" s="5" t="s">
        <v>3954</v>
      </c>
      <c r="D2651" s="2" t="s">
        <v>3955</v>
      </c>
    </row>
    <row r="2652" spans="1:4" ht="12.95" customHeight="1" x14ac:dyDescent="0.25">
      <c r="A2652" s="2" t="s">
        <v>428</v>
      </c>
      <c r="B2652" s="2" t="s">
        <v>1113</v>
      </c>
      <c r="C2652" s="5" t="s">
        <v>3956</v>
      </c>
      <c r="D2652" s="2" t="s">
        <v>3957</v>
      </c>
    </row>
    <row r="2653" spans="1:4" ht="12.95" customHeight="1" x14ac:dyDescent="0.25">
      <c r="A2653" s="2" t="s">
        <v>428</v>
      </c>
      <c r="B2653" s="2" t="s">
        <v>1113</v>
      </c>
      <c r="C2653" s="5" t="s">
        <v>3958</v>
      </c>
      <c r="D2653" s="2" t="s">
        <v>3959</v>
      </c>
    </row>
    <row r="2654" spans="1:4" ht="12.95" customHeight="1" x14ac:dyDescent="0.25">
      <c r="A2654" s="2" t="s">
        <v>428</v>
      </c>
      <c r="B2654" s="2" t="s">
        <v>1113</v>
      </c>
      <c r="C2654" s="5" t="s">
        <v>3960</v>
      </c>
      <c r="D2654" s="2" t="s">
        <v>3961</v>
      </c>
    </row>
    <row r="2655" spans="1:4" ht="12.95" customHeight="1" x14ac:dyDescent="0.25">
      <c r="A2655" s="2" t="s">
        <v>428</v>
      </c>
      <c r="B2655" s="2" t="s">
        <v>1113</v>
      </c>
      <c r="C2655" s="5" t="s">
        <v>3962</v>
      </c>
      <c r="D2655" s="2" t="s">
        <v>3963</v>
      </c>
    </row>
    <row r="2656" spans="1:4" ht="12.95" customHeight="1" x14ac:dyDescent="0.25">
      <c r="A2656" s="2" t="s">
        <v>428</v>
      </c>
      <c r="B2656" s="2" t="s">
        <v>1113</v>
      </c>
      <c r="C2656" s="5" t="s">
        <v>3964</v>
      </c>
      <c r="D2656" s="2" t="s">
        <v>3965</v>
      </c>
    </row>
    <row r="2657" spans="1:4" ht="12.95" customHeight="1" x14ac:dyDescent="0.25">
      <c r="A2657" s="2" t="s">
        <v>428</v>
      </c>
      <c r="B2657" s="2" t="s">
        <v>1113</v>
      </c>
      <c r="C2657" s="5" t="s">
        <v>3966</v>
      </c>
      <c r="D2657" s="2" t="s">
        <v>3507</v>
      </c>
    </row>
    <row r="2658" spans="1:4" ht="12.95" customHeight="1" x14ac:dyDescent="0.25">
      <c r="A2658" s="2" t="s">
        <v>428</v>
      </c>
      <c r="B2658" s="2" t="s">
        <v>1113</v>
      </c>
      <c r="C2658" s="5" t="s">
        <v>3967</v>
      </c>
      <c r="D2658" s="2" t="s">
        <v>3509</v>
      </c>
    </row>
    <row r="2659" spans="1:4" ht="12.95" customHeight="1" x14ac:dyDescent="0.25">
      <c r="A2659" s="2" t="s">
        <v>428</v>
      </c>
      <c r="B2659" s="2" t="s">
        <v>1113</v>
      </c>
      <c r="C2659" s="5" t="s">
        <v>3968</v>
      </c>
      <c r="D2659" s="2" t="s">
        <v>3969</v>
      </c>
    </row>
    <row r="2660" spans="1:4" ht="12.95" customHeight="1" x14ac:dyDescent="0.25">
      <c r="A2660" s="2" t="s">
        <v>428</v>
      </c>
      <c r="B2660" s="2" t="s">
        <v>1113</v>
      </c>
      <c r="C2660" s="5" t="s">
        <v>3970</v>
      </c>
      <c r="D2660" s="2" t="s">
        <v>3971</v>
      </c>
    </row>
    <row r="2661" spans="1:4" ht="12.95" customHeight="1" x14ac:dyDescent="0.25">
      <c r="A2661" s="2" t="s">
        <v>428</v>
      </c>
      <c r="B2661" s="2" t="s">
        <v>1113</v>
      </c>
      <c r="C2661" s="5" t="s">
        <v>3972</v>
      </c>
      <c r="D2661" s="2" t="s">
        <v>3973</v>
      </c>
    </row>
    <row r="2662" spans="1:4" ht="12.95" customHeight="1" x14ac:dyDescent="0.25">
      <c r="A2662" s="2" t="s">
        <v>428</v>
      </c>
      <c r="B2662" s="2" t="s">
        <v>1113</v>
      </c>
      <c r="C2662" s="5" t="s">
        <v>3974</v>
      </c>
      <c r="D2662" s="2" t="s">
        <v>3975</v>
      </c>
    </row>
    <row r="2663" spans="1:4" ht="12.95" customHeight="1" x14ac:dyDescent="0.25">
      <c r="A2663" s="2" t="s">
        <v>428</v>
      </c>
      <c r="B2663" s="2" t="s">
        <v>1113</v>
      </c>
      <c r="C2663" s="5" t="s">
        <v>3976</v>
      </c>
      <c r="D2663" s="2" t="s">
        <v>3977</v>
      </c>
    </row>
    <row r="2664" spans="1:4" ht="12.95" customHeight="1" x14ac:dyDescent="0.25">
      <c r="A2664" s="2" t="s">
        <v>428</v>
      </c>
      <c r="B2664" s="2" t="s">
        <v>1113</v>
      </c>
      <c r="C2664" s="5" t="s">
        <v>3978</v>
      </c>
      <c r="D2664" s="2" t="s">
        <v>3427</v>
      </c>
    </row>
    <row r="2665" spans="1:4" ht="12.95" customHeight="1" x14ac:dyDescent="0.25">
      <c r="A2665" s="2" t="s">
        <v>428</v>
      </c>
      <c r="B2665" s="2" t="s">
        <v>1113</v>
      </c>
      <c r="C2665" s="5" t="s">
        <v>3979</v>
      </c>
      <c r="D2665" s="2" t="s">
        <v>3429</v>
      </c>
    </row>
    <row r="2666" spans="1:4" ht="12.95" customHeight="1" x14ac:dyDescent="0.25">
      <c r="A2666" s="2" t="s">
        <v>428</v>
      </c>
      <c r="B2666" s="2" t="s">
        <v>1113</v>
      </c>
      <c r="C2666" s="5" t="s">
        <v>3980</v>
      </c>
      <c r="D2666" s="2" t="s">
        <v>3981</v>
      </c>
    </row>
    <row r="2667" spans="1:4" ht="12.95" customHeight="1" x14ac:dyDescent="0.25">
      <c r="A2667" s="2" t="s">
        <v>428</v>
      </c>
      <c r="B2667" s="2" t="s">
        <v>1113</v>
      </c>
      <c r="C2667" s="5" t="s">
        <v>3982</v>
      </c>
      <c r="D2667" s="2" t="s">
        <v>3983</v>
      </c>
    </row>
    <row r="2668" spans="1:4" ht="12.95" customHeight="1" x14ac:dyDescent="0.25">
      <c r="A2668" s="2" t="s">
        <v>428</v>
      </c>
      <c r="B2668" s="2" t="s">
        <v>1113</v>
      </c>
      <c r="C2668" s="5" t="s">
        <v>3984</v>
      </c>
      <c r="D2668" s="2" t="s">
        <v>3985</v>
      </c>
    </row>
    <row r="2669" spans="1:4" ht="12.95" customHeight="1" x14ac:dyDescent="0.25">
      <c r="A2669" s="2" t="s">
        <v>428</v>
      </c>
      <c r="B2669" s="2" t="s">
        <v>1113</v>
      </c>
      <c r="C2669" s="5" t="s">
        <v>3986</v>
      </c>
      <c r="D2669" s="2" t="s">
        <v>3987</v>
      </c>
    </row>
    <row r="2670" spans="1:4" ht="12.95" customHeight="1" x14ac:dyDescent="0.25">
      <c r="A2670" s="2" t="s">
        <v>428</v>
      </c>
      <c r="B2670" s="2" t="s">
        <v>1113</v>
      </c>
      <c r="C2670" s="5" t="s">
        <v>3988</v>
      </c>
      <c r="D2670" s="2" t="s">
        <v>3989</v>
      </c>
    </row>
    <row r="2671" spans="1:4" ht="12.95" customHeight="1" x14ac:dyDescent="0.25">
      <c r="A2671" s="2" t="s">
        <v>428</v>
      </c>
      <c r="B2671" s="2" t="s">
        <v>1113</v>
      </c>
      <c r="C2671" s="5" t="s">
        <v>3990</v>
      </c>
      <c r="D2671" s="2" t="s">
        <v>3991</v>
      </c>
    </row>
    <row r="2672" spans="1:4" ht="12.95" customHeight="1" x14ac:dyDescent="0.25">
      <c r="A2672" s="2" t="s">
        <v>428</v>
      </c>
      <c r="B2672" s="2" t="s">
        <v>1113</v>
      </c>
      <c r="C2672" s="5" t="s">
        <v>3992</v>
      </c>
      <c r="D2672" s="2" t="s">
        <v>3993</v>
      </c>
    </row>
    <row r="2673" spans="1:4" ht="12.95" customHeight="1" x14ac:dyDescent="0.25">
      <c r="A2673" s="2" t="s">
        <v>428</v>
      </c>
      <c r="B2673" s="2" t="s">
        <v>1113</v>
      </c>
      <c r="C2673" s="5" t="s">
        <v>3994</v>
      </c>
      <c r="D2673" s="2" t="s">
        <v>3995</v>
      </c>
    </row>
    <row r="2674" spans="1:4" ht="12.95" customHeight="1" x14ac:dyDescent="0.25">
      <c r="A2674" s="2" t="s">
        <v>428</v>
      </c>
      <c r="B2674" s="2" t="s">
        <v>1113</v>
      </c>
      <c r="C2674" s="5" t="s">
        <v>3996</v>
      </c>
      <c r="D2674" s="2" t="s">
        <v>3997</v>
      </c>
    </row>
    <row r="2675" spans="1:4" ht="12.95" customHeight="1" x14ac:dyDescent="0.25">
      <c r="A2675" s="2" t="s">
        <v>428</v>
      </c>
      <c r="B2675" s="2" t="s">
        <v>1113</v>
      </c>
      <c r="C2675" s="5" t="s">
        <v>3998</v>
      </c>
      <c r="D2675" s="2" t="s">
        <v>3999</v>
      </c>
    </row>
    <row r="2676" spans="1:4" ht="12.95" customHeight="1" x14ac:dyDescent="0.25">
      <c r="A2676" s="2" t="s">
        <v>428</v>
      </c>
      <c r="B2676" s="2" t="s">
        <v>1113</v>
      </c>
      <c r="C2676" s="5" t="s">
        <v>4000</v>
      </c>
      <c r="D2676" s="2" t="s">
        <v>4001</v>
      </c>
    </row>
    <row r="2677" spans="1:4" ht="12.95" customHeight="1" x14ac:dyDescent="0.25">
      <c r="A2677" s="2" t="s">
        <v>428</v>
      </c>
      <c r="B2677" s="2" t="s">
        <v>1113</v>
      </c>
      <c r="C2677" s="5" t="s">
        <v>4002</v>
      </c>
      <c r="D2677" s="2" t="s">
        <v>4003</v>
      </c>
    </row>
    <row r="2678" spans="1:4" ht="12.95" customHeight="1" x14ac:dyDescent="0.25">
      <c r="A2678" s="2" t="s">
        <v>428</v>
      </c>
      <c r="B2678" s="2" t="s">
        <v>1113</v>
      </c>
      <c r="C2678" s="5" t="s">
        <v>4004</v>
      </c>
      <c r="D2678" s="2" t="s">
        <v>4005</v>
      </c>
    </row>
    <row r="2679" spans="1:4" ht="12.95" customHeight="1" x14ac:dyDescent="0.25">
      <c r="A2679" s="2" t="s">
        <v>428</v>
      </c>
      <c r="B2679" s="2" t="s">
        <v>1113</v>
      </c>
      <c r="C2679" s="5" t="s">
        <v>4006</v>
      </c>
      <c r="D2679" s="2" t="s">
        <v>4007</v>
      </c>
    </row>
    <row r="2680" spans="1:4" ht="12.95" customHeight="1" x14ac:dyDescent="0.25">
      <c r="A2680" s="2" t="s">
        <v>428</v>
      </c>
      <c r="B2680" s="2" t="s">
        <v>1113</v>
      </c>
      <c r="C2680" s="5" t="s">
        <v>4008</v>
      </c>
      <c r="D2680" s="2" t="s">
        <v>4009</v>
      </c>
    </row>
    <row r="2681" spans="1:4" ht="12.95" customHeight="1" x14ac:dyDescent="0.25">
      <c r="A2681" s="2" t="s">
        <v>428</v>
      </c>
      <c r="B2681" s="2" t="s">
        <v>1113</v>
      </c>
      <c r="C2681" s="5" t="s">
        <v>4010</v>
      </c>
      <c r="D2681" s="2" t="s">
        <v>4011</v>
      </c>
    </row>
    <row r="2682" spans="1:4" ht="12.95" customHeight="1" x14ac:dyDescent="0.25">
      <c r="A2682" s="2" t="s">
        <v>428</v>
      </c>
      <c r="B2682" s="2" t="s">
        <v>1113</v>
      </c>
      <c r="C2682" s="5" t="s">
        <v>4012</v>
      </c>
      <c r="D2682" s="2" t="s">
        <v>4013</v>
      </c>
    </row>
    <row r="2683" spans="1:4" ht="12.95" customHeight="1" x14ac:dyDescent="0.25">
      <c r="A2683" s="2" t="s">
        <v>428</v>
      </c>
      <c r="B2683" s="2" t="s">
        <v>1113</v>
      </c>
      <c r="C2683" s="5" t="s">
        <v>4014</v>
      </c>
      <c r="D2683" s="2" t="s">
        <v>3507</v>
      </c>
    </row>
    <row r="2684" spans="1:4" ht="12.95" customHeight="1" x14ac:dyDescent="0.25">
      <c r="A2684" s="2" t="s">
        <v>428</v>
      </c>
      <c r="B2684" s="2" t="s">
        <v>1113</v>
      </c>
      <c r="C2684" s="5" t="s">
        <v>4015</v>
      </c>
      <c r="D2684" s="2" t="s">
        <v>3509</v>
      </c>
    </row>
    <row r="2685" spans="1:4" ht="12.95" customHeight="1" x14ac:dyDescent="0.25">
      <c r="A2685" s="2" t="s">
        <v>428</v>
      </c>
      <c r="B2685" s="2" t="s">
        <v>1113</v>
      </c>
      <c r="C2685" s="5" t="s">
        <v>4016</v>
      </c>
      <c r="D2685" s="2" t="s">
        <v>4017</v>
      </c>
    </row>
    <row r="2686" spans="1:4" ht="12.95" customHeight="1" x14ac:dyDescent="0.25">
      <c r="A2686" s="2" t="s">
        <v>428</v>
      </c>
      <c r="B2686" s="2" t="s">
        <v>1113</v>
      </c>
      <c r="C2686" s="5" t="s">
        <v>4018</v>
      </c>
      <c r="D2686" s="2" t="s">
        <v>4019</v>
      </c>
    </row>
    <row r="2687" spans="1:4" ht="12.95" customHeight="1" x14ac:dyDescent="0.25">
      <c r="A2687" s="2" t="s">
        <v>428</v>
      </c>
      <c r="B2687" s="2" t="s">
        <v>1113</v>
      </c>
      <c r="C2687" s="5" t="s">
        <v>4020</v>
      </c>
      <c r="D2687" s="2" t="s">
        <v>4021</v>
      </c>
    </row>
    <row r="2688" spans="1:4" ht="12.95" customHeight="1" x14ac:dyDescent="0.25">
      <c r="A2688" s="2" t="s">
        <v>428</v>
      </c>
      <c r="B2688" s="2" t="s">
        <v>1113</v>
      </c>
      <c r="C2688" s="5" t="s">
        <v>4022</v>
      </c>
      <c r="D2688" s="2" t="s">
        <v>4023</v>
      </c>
    </row>
    <row r="2689" spans="1:4" ht="12.95" customHeight="1" x14ac:dyDescent="0.25">
      <c r="A2689" s="2" t="s">
        <v>428</v>
      </c>
      <c r="B2689" s="2" t="s">
        <v>1113</v>
      </c>
      <c r="C2689" s="5" t="s">
        <v>4024</v>
      </c>
      <c r="D2689" s="2" t="s">
        <v>3427</v>
      </c>
    </row>
    <row r="2690" spans="1:4" ht="12.95" customHeight="1" x14ac:dyDescent="0.25">
      <c r="A2690" s="2" t="s">
        <v>428</v>
      </c>
      <c r="B2690" s="2" t="s">
        <v>1113</v>
      </c>
      <c r="C2690" s="5" t="s">
        <v>4025</v>
      </c>
      <c r="D2690" s="2" t="s">
        <v>3429</v>
      </c>
    </row>
    <row r="2691" spans="1:4" ht="12.95" customHeight="1" x14ac:dyDescent="0.25">
      <c r="A2691" s="2" t="s">
        <v>428</v>
      </c>
      <c r="B2691" s="2" t="s">
        <v>1113</v>
      </c>
      <c r="C2691" s="5" t="s">
        <v>4026</v>
      </c>
      <c r="D2691" s="2" t="s">
        <v>4027</v>
      </c>
    </row>
    <row r="2692" spans="1:4" ht="12.95" customHeight="1" x14ac:dyDescent="0.25">
      <c r="A2692" s="2" t="s">
        <v>428</v>
      </c>
      <c r="B2692" s="2" t="s">
        <v>1113</v>
      </c>
      <c r="C2692" s="5" t="s">
        <v>4028</v>
      </c>
      <c r="D2692" s="2" t="s">
        <v>4029</v>
      </c>
    </row>
    <row r="2693" spans="1:4" ht="12.95" customHeight="1" x14ac:dyDescent="0.25">
      <c r="A2693" s="2" t="s">
        <v>428</v>
      </c>
      <c r="B2693" s="2" t="s">
        <v>1113</v>
      </c>
      <c r="C2693" s="5" t="s">
        <v>4030</v>
      </c>
      <c r="D2693" s="2" t="s">
        <v>4031</v>
      </c>
    </row>
    <row r="2694" spans="1:4" ht="12.95" customHeight="1" x14ac:dyDescent="0.25">
      <c r="A2694" s="2" t="s">
        <v>428</v>
      </c>
      <c r="B2694" s="2" t="s">
        <v>1113</v>
      </c>
      <c r="C2694" s="5" t="s">
        <v>4032</v>
      </c>
      <c r="D2694" s="2" t="s">
        <v>4033</v>
      </c>
    </row>
    <row r="2695" spans="1:4" ht="12.95" customHeight="1" x14ac:dyDescent="0.25">
      <c r="A2695" s="2" t="s">
        <v>428</v>
      </c>
      <c r="B2695" s="2" t="s">
        <v>1113</v>
      </c>
      <c r="C2695" s="5" t="s">
        <v>4034</v>
      </c>
      <c r="D2695" s="2" t="s">
        <v>4035</v>
      </c>
    </row>
    <row r="2696" spans="1:4" ht="12.95" customHeight="1" x14ac:dyDescent="0.25">
      <c r="A2696" s="2" t="s">
        <v>428</v>
      </c>
      <c r="B2696" s="2" t="s">
        <v>1113</v>
      </c>
      <c r="C2696" s="5" t="s">
        <v>4036</v>
      </c>
      <c r="D2696" s="2" t="s">
        <v>4037</v>
      </c>
    </row>
    <row r="2697" spans="1:4" ht="12.95" customHeight="1" x14ac:dyDescent="0.25">
      <c r="A2697" s="2" t="s">
        <v>428</v>
      </c>
      <c r="B2697" s="2" t="s">
        <v>1113</v>
      </c>
      <c r="C2697" s="5" t="s">
        <v>4038</v>
      </c>
      <c r="D2697" s="2" t="s">
        <v>4039</v>
      </c>
    </row>
    <row r="2698" spans="1:4" ht="12.95" customHeight="1" x14ac:dyDescent="0.25">
      <c r="A2698" s="2" t="s">
        <v>428</v>
      </c>
      <c r="B2698" s="2" t="s">
        <v>1113</v>
      </c>
      <c r="C2698" s="5" t="s">
        <v>4040</v>
      </c>
      <c r="D2698" s="2" t="s">
        <v>4041</v>
      </c>
    </row>
    <row r="2699" spans="1:4" ht="12.95" customHeight="1" x14ac:dyDescent="0.25">
      <c r="A2699" s="2" t="s">
        <v>428</v>
      </c>
      <c r="B2699" s="2" t="s">
        <v>1113</v>
      </c>
      <c r="C2699" s="5" t="s">
        <v>4042</v>
      </c>
      <c r="D2699" s="2" t="s">
        <v>4043</v>
      </c>
    </row>
    <row r="2700" spans="1:4" ht="12.95" customHeight="1" x14ac:dyDescent="0.25">
      <c r="A2700" s="2" t="s">
        <v>428</v>
      </c>
      <c r="B2700" s="2" t="s">
        <v>1113</v>
      </c>
      <c r="C2700" s="5" t="s">
        <v>4044</v>
      </c>
      <c r="D2700" s="2" t="s">
        <v>4045</v>
      </c>
    </row>
    <row r="2701" spans="1:4" ht="12.95" customHeight="1" x14ac:dyDescent="0.25">
      <c r="A2701" s="2" t="s">
        <v>428</v>
      </c>
      <c r="B2701" s="2" t="s">
        <v>1113</v>
      </c>
      <c r="C2701" s="5" t="s">
        <v>4046</v>
      </c>
      <c r="D2701" s="2" t="s">
        <v>4047</v>
      </c>
    </row>
    <row r="2702" spans="1:4" ht="12.95" customHeight="1" x14ac:dyDescent="0.25">
      <c r="A2702" s="2" t="s">
        <v>428</v>
      </c>
      <c r="B2702" s="2" t="s">
        <v>1113</v>
      </c>
      <c r="C2702" s="5" t="s">
        <v>4048</v>
      </c>
      <c r="D2702" s="2" t="s">
        <v>4049</v>
      </c>
    </row>
    <row r="2703" spans="1:4" ht="12.95" customHeight="1" x14ac:dyDescent="0.25">
      <c r="A2703" s="2" t="s">
        <v>428</v>
      </c>
      <c r="B2703" s="2" t="s">
        <v>1113</v>
      </c>
      <c r="C2703" s="5" t="s">
        <v>4050</v>
      </c>
      <c r="D2703" s="2" t="s">
        <v>4051</v>
      </c>
    </row>
    <row r="2704" spans="1:4" ht="12.95" customHeight="1" x14ac:dyDescent="0.25">
      <c r="A2704" s="2" t="s">
        <v>428</v>
      </c>
      <c r="B2704" s="2" t="s">
        <v>1113</v>
      </c>
      <c r="C2704" s="5" t="s">
        <v>4052</v>
      </c>
      <c r="D2704" s="2" t="s">
        <v>4053</v>
      </c>
    </row>
    <row r="2705" spans="1:4" ht="12.95" customHeight="1" x14ac:dyDescent="0.25">
      <c r="A2705" s="2" t="s">
        <v>428</v>
      </c>
      <c r="B2705" s="2" t="s">
        <v>1113</v>
      </c>
      <c r="C2705" s="5" t="s">
        <v>4054</v>
      </c>
      <c r="D2705" s="2" t="s">
        <v>4055</v>
      </c>
    </row>
    <row r="2706" spans="1:4" ht="12.95" customHeight="1" x14ac:dyDescent="0.25">
      <c r="A2706" s="2" t="s">
        <v>428</v>
      </c>
      <c r="B2706" s="2" t="s">
        <v>1113</v>
      </c>
      <c r="C2706" s="5" t="s">
        <v>4056</v>
      </c>
      <c r="D2706" s="2" t="s">
        <v>4057</v>
      </c>
    </row>
    <row r="2707" spans="1:4" ht="12.95" customHeight="1" x14ac:dyDescent="0.25">
      <c r="A2707" s="2" t="s">
        <v>428</v>
      </c>
      <c r="B2707" s="2" t="s">
        <v>1113</v>
      </c>
      <c r="C2707" s="5" t="s">
        <v>1775</v>
      </c>
      <c r="D2707" s="2" t="s">
        <v>4058</v>
      </c>
    </row>
    <row r="2708" spans="1:4" ht="12.95" customHeight="1" x14ac:dyDescent="0.25">
      <c r="A2708" s="2" t="s">
        <v>428</v>
      </c>
      <c r="B2708" s="2" t="s">
        <v>1113</v>
      </c>
      <c r="C2708" s="5" t="s">
        <v>4059</v>
      </c>
      <c r="D2708" s="2" t="s">
        <v>4060</v>
      </c>
    </row>
    <row r="2709" spans="1:4" ht="12.95" customHeight="1" x14ac:dyDescent="0.25">
      <c r="A2709" s="2" t="s">
        <v>428</v>
      </c>
      <c r="B2709" s="2" t="s">
        <v>1113</v>
      </c>
      <c r="C2709" s="5" t="s">
        <v>4061</v>
      </c>
      <c r="D2709" s="2" t="s">
        <v>4062</v>
      </c>
    </row>
    <row r="2710" spans="1:4" ht="12.95" customHeight="1" x14ac:dyDescent="0.25">
      <c r="A2710" s="2" t="s">
        <v>428</v>
      </c>
      <c r="B2710" s="2" t="s">
        <v>1113</v>
      </c>
      <c r="C2710" s="5" t="s">
        <v>4063</v>
      </c>
      <c r="D2710" s="2" t="s">
        <v>4064</v>
      </c>
    </row>
    <row r="2711" spans="1:4" ht="12.95" customHeight="1" x14ac:dyDescent="0.25">
      <c r="A2711" s="2" t="s">
        <v>428</v>
      </c>
      <c r="B2711" s="2" t="s">
        <v>1113</v>
      </c>
      <c r="C2711" s="5" t="s">
        <v>4065</v>
      </c>
      <c r="D2711" s="2" t="s">
        <v>4066</v>
      </c>
    </row>
    <row r="2712" spans="1:4" ht="12.95" customHeight="1" x14ac:dyDescent="0.25">
      <c r="A2712" s="2" t="s">
        <v>428</v>
      </c>
      <c r="B2712" s="2" t="s">
        <v>1113</v>
      </c>
      <c r="C2712" s="5" t="s">
        <v>4067</v>
      </c>
      <c r="D2712" s="2" t="s">
        <v>4068</v>
      </c>
    </row>
    <row r="2713" spans="1:4" ht="12.95" customHeight="1" x14ac:dyDescent="0.25">
      <c r="A2713" s="2" t="s">
        <v>428</v>
      </c>
      <c r="B2713" s="2" t="s">
        <v>1113</v>
      </c>
      <c r="C2713" s="5" t="s">
        <v>4069</v>
      </c>
      <c r="D2713" s="2" t="s">
        <v>4070</v>
      </c>
    </row>
    <row r="2714" spans="1:4" ht="12.95" customHeight="1" x14ac:dyDescent="0.25">
      <c r="A2714" s="2" t="s">
        <v>428</v>
      </c>
      <c r="B2714" s="2" t="s">
        <v>1113</v>
      </c>
      <c r="C2714" s="5" t="s">
        <v>4071</v>
      </c>
      <c r="D2714" s="2" t="s">
        <v>4072</v>
      </c>
    </row>
    <row r="2715" spans="1:4" ht="12.95" customHeight="1" x14ac:dyDescent="0.25">
      <c r="A2715" s="2" t="s">
        <v>428</v>
      </c>
      <c r="B2715" s="2" t="s">
        <v>1113</v>
      </c>
      <c r="C2715" s="5" t="s">
        <v>4073</v>
      </c>
      <c r="D2715" s="2" t="s">
        <v>4074</v>
      </c>
    </row>
    <row r="2716" spans="1:4" ht="12.95" customHeight="1" x14ac:dyDescent="0.25">
      <c r="A2716" s="2" t="s">
        <v>428</v>
      </c>
      <c r="B2716" s="2" t="s">
        <v>1113</v>
      </c>
      <c r="C2716" s="5" t="s">
        <v>4075</v>
      </c>
      <c r="D2716" s="2" t="s">
        <v>4076</v>
      </c>
    </row>
    <row r="2717" spans="1:4" ht="12.95" customHeight="1" x14ac:dyDescent="0.25">
      <c r="A2717" s="2" t="s">
        <v>428</v>
      </c>
      <c r="B2717" s="2" t="s">
        <v>1113</v>
      </c>
      <c r="C2717" s="5" t="s">
        <v>4077</v>
      </c>
      <c r="D2717" s="2" t="s">
        <v>4078</v>
      </c>
    </row>
    <row r="2718" spans="1:4" ht="12.95" customHeight="1" x14ac:dyDescent="0.25">
      <c r="A2718" s="2" t="s">
        <v>428</v>
      </c>
      <c r="B2718" s="2" t="s">
        <v>1113</v>
      </c>
      <c r="C2718" s="5" t="s">
        <v>4079</v>
      </c>
      <c r="D2718" s="2" t="s">
        <v>4080</v>
      </c>
    </row>
    <row r="2719" spans="1:4" ht="12.95" customHeight="1" x14ac:dyDescent="0.25">
      <c r="A2719" s="2" t="s">
        <v>428</v>
      </c>
      <c r="B2719" s="2" t="s">
        <v>1113</v>
      </c>
      <c r="C2719" s="5" t="s">
        <v>4081</v>
      </c>
      <c r="D2719" s="2" t="s">
        <v>4082</v>
      </c>
    </row>
    <row r="2720" spans="1:4" ht="12.95" customHeight="1" x14ac:dyDescent="0.25">
      <c r="A2720" s="2" t="s">
        <v>428</v>
      </c>
      <c r="B2720" s="2" t="s">
        <v>1113</v>
      </c>
      <c r="C2720" s="5" t="s">
        <v>4083</v>
      </c>
      <c r="D2720" s="2" t="s">
        <v>4084</v>
      </c>
    </row>
    <row r="2721" spans="1:4" ht="12.95" customHeight="1" x14ac:dyDescent="0.25">
      <c r="A2721" s="2" t="s">
        <v>428</v>
      </c>
      <c r="B2721" s="2" t="s">
        <v>1113</v>
      </c>
      <c r="C2721" s="5" t="s">
        <v>4085</v>
      </c>
      <c r="D2721" s="2" t="s">
        <v>4086</v>
      </c>
    </row>
    <row r="2722" spans="1:4" ht="12.95" customHeight="1" x14ac:dyDescent="0.25">
      <c r="A2722" s="2" t="s">
        <v>428</v>
      </c>
      <c r="B2722" s="2" t="s">
        <v>1113</v>
      </c>
      <c r="C2722" s="5" t="s">
        <v>4087</v>
      </c>
      <c r="D2722" s="2" t="s">
        <v>4088</v>
      </c>
    </row>
    <row r="2723" spans="1:4" ht="12.95" customHeight="1" x14ac:dyDescent="0.25">
      <c r="A2723" s="2" t="s">
        <v>428</v>
      </c>
      <c r="B2723" s="2" t="s">
        <v>1113</v>
      </c>
      <c r="C2723" s="5" t="s">
        <v>4089</v>
      </c>
      <c r="D2723" s="2" t="s">
        <v>4090</v>
      </c>
    </row>
    <row r="2724" spans="1:4" ht="12.95" customHeight="1" x14ac:dyDescent="0.25">
      <c r="A2724" s="2" t="s">
        <v>428</v>
      </c>
      <c r="B2724" s="2" t="s">
        <v>1113</v>
      </c>
      <c r="C2724" s="5" t="s">
        <v>4091</v>
      </c>
      <c r="D2724" s="2" t="s">
        <v>4092</v>
      </c>
    </row>
    <row r="2725" spans="1:4" ht="12.95" customHeight="1" x14ac:dyDescent="0.25">
      <c r="A2725" s="2" t="s">
        <v>428</v>
      </c>
      <c r="B2725" s="2" t="s">
        <v>1113</v>
      </c>
      <c r="C2725" s="5" t="s">
        <v>4093</v>
      </c>
      <c r="D2725" s="2" t="s">
        <v>4094</v>
      </c>
    </row>
    <row r="2726" spans="1:4" ht="12.95" customHeight="1" x14ac:dyDescent="0.25">
      <c r="A2726" s="2" t="s">
        <v>428</v>
      </c>
      <c r="B2726" s="2" t="s">
        <v>1113</v>
      </c>
      <c r="C2726" s="5" t="s">
        <v>4095</v>
      </c>
      <c r="D2726" s="2" t="s">
        <v>3395</v>
      </c>
    </row>
    <row r="2727" spans="1:4" ht="12.95" customHeight="1" x14ac:dyDescent="0.25">
      <c r="A2727" s="2" t="s">
        <v>428</v>
      </c>
      <c r="B2727" s="2" t="s">
        <v>1113</v>
      </c>
      <c r="C2727" s="5" t="s">
        <v>4096</v>
      </c>
      <c r="D2727" s="2" t="s">
        <v>3509</v>
      </c>
    </row>
    <row r="2728" spans="1:4" ht="12.95" customHeight="1" x14ac:dyDescent="0.25">
      <c r="A2728" s="2" t="s">
        <v>428</v>
      </c>
      <c r="B2728" s="2" t="s">
        <v>1113</v>
      </c>
      <c r="C2728" s="5" t="s">
        <v>4097</v>
      </c>
      <c r="D2728" s="2" t="s">
        <v>4098</v>
      </c>
    </row>
    <row r="2729" spans="1:4" ht="12.95" customHeight="1" x14ac:dyDescent="0.25">
      <c r="A2729" s="2" t="s">
        <v>428</v>
      </c>
      <c r="B2729" s="2" t="s">
        <v>1113</v>
      </c>
      <c r="C2729" s="5" t="s">
        <v>4099</v>
      </c>
      <c r="D2729" s="2" t="s">
        <v>4100</v>
      </c>
    </row>
    <row r="2730" spans="1:4" ht="12.95" customHeight="1" x14ac:dyDescent="0.25">
      <c r="A2730" s="2" t="s">
        <v>428</v>
      </c>
      <c r="B2730" s="2" t="s">
        <v>1113</v>
      </c>
      <c r="C2730" s="5" t="s">
        <v>4101</v>
      </c>
      <c r="D2730" s="2" t="s">
        <v>4102</v>
      </c>
    </row>
    <row r="2731" spans="1:4" ht="12.95" customHeight="1" x14ac:dyDescent="0.25">
      <c r="A2731" s="2" t="s">
        <v>428</v>
      </c>
      <c r="B2731" s="2" t="s">
        <v>1113</v>
      </c>
      <c r="C2731" s="5" t="s">
        <v>4103</v>
      </c>
      <c r="D2731" s="2" t="s">
        <v>4104</v>
      </c>
    </row>
    <row r="2732" spans="1:4" ht="12.95" customHeight="1" x14ac:dyDescent="0.25">
      <c r="A2732" s="2" t="s">
        <v>428</v>
      </c>
      <c r="B2732" s="2" t="s">
        <v>1113</v>
      </c>
      <c r="C2732" s="5" t="s">
        <v>4105</v>
      </c>
      <c r="D2732" s="2" t="s">
        <v>4106</v>
      </c>
    </row>
    <row r="2733" spans="1:4" ht="12.95" customHeight="1" x14ac:dyDescent="0.25">
      <c r="A2733" s="2" t="s">
        <v>428</v>
      </c>
      <c r="B2733" s="2" t="s">
        <v>1113</v>
      </c>
      <c r="C2733" s="5" t="s">
        <v>4107</v>
      </c>
      <c r="D2733" s="2" t="s">
        <v>4108</v>
      </c>
    </row>
    <row r="2734" spans="1:4" ht="12.95" customHeight="1" x14ac:dyDescent="0.25">
      <c r="A2734" s="2" t="s">
        <v>428</v>
      </c>
      <c r="B2734" s="2" t="s">
        <v>1113</v>
      </c>
      <c r="C2734" s="5" t="s">
        <v>4109</v>
      </c>
      <c r="D2734" s="2" t="s">
        <v>4110</v>
      </c>
    </row>
    <row r="2735" spans="1:4" ht="12.95" customHeight="1" x14ac:dyDescent="0.25">
      <c r="A2735" s="2" t="s">
        <v>428</v>
      </c>
      <c r="B2735" s="2" t="s">
        <v>1113</v>
      </c>
      <c r="C2735" s="5" t="s">
        <v>4111</v>
      </c>
      <c r="D2735" s="2" t="s">
        <v>4112</v>
      </c>
    </row>
    <row r="2736" spans="1:4" ht="12.95" customHeight="1" x14ac:dyDescent="0.25">
      <c r="A2736" s="2" t="s">
        <v>428</v>
      </c>
      <c r="B2736" s="2" t="s">
        <v>1113</v>
      </c>
      <c r="C2736" s="5" t="s">
        <v>4113</v>
      </c>
      <c r="D2736" s="2" t="s">
        <v>4114</v>
      </c>
    </row>
    <row r="2737" spans="1:4" ht="12.95" customHeight="1" x14ac:dyDescent="0.25">
      <c r="A2737" s="2" t="s">
        <v>428</v>
      </c>
      <c r="B2737" s="2" t="s">
        <v>1113</v>
      </c>
      <c r="C2737" s="5" t="s">
        <v>4115</v>
      </c>
      <c r="D2737" s="2" t="s">
        <v>4116</v>
      </c>
    </row>
    <row r="2738" spans="1:4" ht="12.95" customHeight="1" x14ac:dyDescent="0.25">
      <c r="A2738" s="2" t="s">
        <v>428</v>
      </c>
      <c r="B2738" s="2" t="s">
        <v>1113</v>
      </c>
      <c r="C2738" s="5" t="s">
        <v>4117</v>
      </c>
      <c r="D2738" s="2" t="s">
        <v>4118</v>
      </c>
    </row>
    <row r="2739" spans="1:4" ht="12.95" customHeight="1" x14ac:dyDescent="0.25">
      <c r="A2739" s="2" t="s">
        <v>428</v>
      </c>
      <c r="B2739" s="2" t="s">
        <v>1113</v>
      </c>
      <c r="C2739" s="5" t="s">
        <v>4119</v>
      </c>
      <c r="D2739" s="2" t="s">
        <v>4120</v>
      </c>
    </row>
    <row r="2740" spans="1:4" ht="12.95" customHeight="1" x14ac:dyDescent="0.25">
      <c r="A2740" s="2" t="s">
        <v>428</v>
      </c>
      <c r="B2740" s="2" t="s">
        <v>1113</v>
      </c>
      <c r="C2740" s="5" t="s">
        <v>4121</v>
      </c>
      <c r="D2740" s="2" t="s">
        <v>4122</v>
      </c>
    </row>
    <row r="2741" spans="1:4" ht="12.95" customHeight="1" x14ac:dyDescent="0.25">
      <c r="A2741" s="2" t="s">
        <v>428</v>
      </c>
      <c r="B2741" s="2" t="s">
        <v>1113</v>
      </c>
      <c r="C2741" s="5" t="s">
        <v>4123</v>
      </c>
      <c r="D2741" s="2" t="s">
        <v>4124</v>
      </c>
    </row>
    <row r="2742" spans="1:4" ht="12.95" customHeight="1" x14ac:dyDescent="0.25">
      <c r="A2742" s="2" t="s">
        <v>428</v>
      </c>
      <c r="B2742" s="2" t="s">
        <v>1113</v>
      </c>
      <c r="C2742" s="5" t="s">
        <v>4125</v>
      </c>
      <c r="D2742" s="2" t="s">
        <v>4126</v>
      </c>
    </row>
    <row r="2743" spans="1:4" ht="12.95" customHeight="1" x14ac:dyDescent="0.25">
      <c r="A2743" s="2" t="s">
        <v>428</v>
      </c>
      <c r="B2743" s="2" t="s">
        <v>1113</v>
      </c>
      <c r="C2743" s="5" t="s">
        <v>4127</v>
      </c>
      <c r="D2743" s="2" t="s">
        <v>4128</v>
      </c>
    </row>
    <row r="2744" spans="1:4" ht="12.95" customHeight="1" x14ac:dyDescent="0.25">
      <c r="A2744" s="2" t="s">
        <v>428</v>
      </c>
      <c r="B2744" s="2" t="s">
        <v>1113</v>
      </c>
      <c r="C2744" s="5" t="s">
        <v>4129</v>
      </c>
      <c r="D2744" s="2" t="s">
        <v>4130</v>
      </c>
    </row>
    <row r="2745" spans="1:4" ht="12.95" customHeight="1" x14ac:dyDescent="0.25">
      <c r="A2745" s="2" t="s">
        <v>428</v>
      </c>
      <c r="B2745" s="2" t="s">
        <v>1113</v>
      </c>
      <c r="C2745" s="5" t="s">
        <v>4131</v>
      </c>
      <c r="D2745" s="2" t="s">
        <v>4132</v>
      </c>
    </row>
    <row r="2746" spans="1:4" ht="12.95" customHeight="1" x14ac:dyDescent="0.25">
      <c r="A2746" s="2" t="s">
        <v>428</v>
      </c>
      <c r="B2746" s="2" t="s">
        <v>1113</v>
      </c>
      <c r="C2746" s="5" t="s">
        <v>4133</v>
      </c>
      <c r="D2746" s="2" t="s">
        <v>4134</v>
      </c>
    </row>
    <row r="2747" spans="1:4" ht="12.95" customHeight="1" x14ac:dyDescent="0.25">
      <c r="A2747" s="2" t="s">
        <v>428</v>
      </c>
      <c r="B2747" s="2" t="s">
        <v>1113</v>
      </c>
      <c r="C2747" s="5" t="s">
        <v>4135</v>
      </c>
      <c r="D2747" s="2" t="s">
        <v>4136</v>
      </c>
    </row>
    <row r="2748" spans="1:4" ht="12.95" customHeight="1" x14ac:dyDescent="0.25">
      <c r="A2748" s="2" t="s">
        <v>428</v>
      </c>
      <c r="B2748" s="2" t="s">
        <v>1113</v>
      </c>
      <c r="C2748" s="5" t="s">
        <v>4137</v>
      </c>
      <c r="D2748" s="2" t="s">
        <v>3156</v>
      </c>
    </row>
    <row r="2749" spans="1:4" ht="12.95" customHeight="1" x14ac:dyDescent="0.25">
      <c r="A2749" s="2" t="s">
        <v>428</v>
      </c>
      <c r="B2749" s="2" t="s">
        <v>1113</v>
      </c>
      <c r="C2749" s="5" t="s">
        <v>4138</v>
      </c>
      <c r="D2749" s="2" t="s">
        <v>4139</v>
      </c>
    </row>
    <row r="2750" spans="1:4" ht="12.95" customHeight="1" x14ac:dyDescent="0.25">
      <c r="A2750" s="2" t="s">
        <v>428</v>
      </c>
      <c r="B2750" s="2" t="s">
        <v>1113</v>
      </c>
      <c r="C2750" s="5" t="s">
        <v>4140</v>
      </c>
      <c r="D2750" s="2" t="s">
        <v>4141</v>
      </c>
    </row>
    <row r="2751" spans="1:4" ht="12.95" customHeight="1" x14ac:dyDescent="0.25">
      <c r="A2751" s="2" t="s">
        <v>428</v>
      </c>
      <c r="B2751" s="2" t="s">
        <v>1113</v>
      </c>
      <c r="C2751" s="5" t="s">
        <v>4142</v>
      </c>
      <c r="D2751" s="2" t="s">
        <v>3449</v>
      </c>
    </row>
    <row r="2752" spans="1:4" ht="12.95" customHeight="1" x14ac:dyDescent="0.25">
      <c r="A2752" s="2" t="s">
        <v>428</v>
      </c>
      <c r="B2752" s="2" t="s">
        <v>1113</v>
      </c>
      <c r="C2752" s="5" t="s">
        <v>4143</v>
      </c>
      <c r="D2752" s="2" t="s">
        <v>3451</v>
      </c>
    </row>
    <row r="2753" spans="1:4" ht="12.95" customHeight="1" x14ac:dyDescent="0.25">
      <c r="A2753" s="2" t="s">
        <v>428</v>
      </c>
      <c r="B2753" s="2" t="s">
        <v>1113</v>
      </c>
      <c r="C2753" s="5" t="s">
        <v>4144</v>
      </c>
      <c r="D2753" s="2" t="s">
        <v>3626</v>
      </c>
    </row>
    <row r="2754" spans="1:4" ht="12.95" customHeight="1" x14ac:dyDescent="0.25">
      <c r="A2754" s="2" t="s">
        <v>428</v>
      </c>
      <c r="B2754" s="2" t="s">
        <v>1113</v>
      </c>
      <c r="C2754" s="5" t="s">
        <v>4145</v>
      </c>
      <c r="D2754" s="2" t="s">
        <v>3628</v>
      </c>
    </row>
    <row r="2755" spans="1:4" ht="12.95" customHeight="1" x14ac:dyDescent="0.25">
      <c r="A2755" s="2" t="s">
        <v>428</v>
      </c>
      <c r="B2755" s="2" t="s">
        <v>1113</v>
      </c>
      <c r="C2755" s="5" t="s">
        <v>4146</v>
      </c>
      <c r="D2755" s="2" t="s">
        <v>3630</v>
      </c>
    </row>
    <row r="2756" spans="1:4" ht="12.95" customHeight="1" x14ac:dyDescent="0.25">
      <c r="A2756" s="2" t="s">
        <v>428</v>
      </c>
      <c r="B2756" s="2" t="s">
        <v>1113</v>
      </c>
      <c r="C2756" s="5" t="s">
        <v>4147</v>
      </c>
      <c r="D2756" s="2" t="s">
        <v>3632</v>
      </c>
    </row>
    <row r="2757" spans="1:4" ht="12.95" customHeight="1" x14ac:dyDescent="0.25">
      <c r="A2757" s="2" t="s">
        <v>428</v>
      </c>
      <c r="B2757" s="2" t="s">
        <v>1113</v>
      </c>
      <c r="C2757" s="5" t="s">
        <v>4148</v>
      </c>
      <c r="D2757" s="2" t="s">
        <v>3634</v>
      </c>
    </row>
    <row r="2758" spans="1:4" ht="12.95" customHeight="1" x14ac:dyDescent="0.25">
      <c r="A2758" s="2" t="s">
        <v>428</v>
      </c>
      <c r="B2758" s="2" t="s">
        <v>1113</v>
      </c>
      <c r="C2758" s="5" t="s">
        <v>4149</v>
      </c>
      <c r="D2758" s="2" t="s">
        <v>3636</v>
      </c>
    </row>
    <row r="2759" spans="1:4" ht="12.95" customHeight="1" x14ac:dyDescent="0.25">
      <c r="A2759" s="2" t="s">
        <v>428</v>
      </c>
      <c r="B2759" s="2" t="s">
        <v>1113</v>
      </c>
      <c r="C2759" s="5" t="s">
        <v>4150</v>
      </c>
      <c r="D2759" s="2" t="s">
        <v>3827</v>
      </c>
    </row>
    <row r="2760" spans="1:4" ht="12.95" customHeight="1" x14ac:dyDescent="0.25">
      <c r="A2760" s="2" t="s">
        <v>428</v>
      </c>
      <c r="B2760" s="2" t="s">
        <v>1113</v>
      </c>
      <c r="C2760" s="5" t="s">
        <v>4151</v>
      </c>
      <c r="D2760" s="2" t="s">
        <v>3640</v>
      </c>
    </row>
    <row r="2761" spans="1:4" ht="12.95" customHeight="1" x14ac:dyDescent="0.25">
      <c r="A2761" s="2" t="s">
        <v>428</v>
      </c>
      <c r="B2761" s="2" t="s">
        <v>1113</v>
      </c>
      <c r="C2761" s="5" t="s">
        <v>4152</v>
      </c>
      <c r="D2761" s="2" t="s">
        <v>3455</v>
      </c>
    </row>
    <row r="2762" spans="1:4" ht="12.95" customHeight="1" x14ac:dyDescent="0.25">
      <c r="A2762" s="2" t="s">
        <v>428</v>
      </c>
      <c r="B2762" s="2" t="s">
        <v>1113</v>
      </c>
      <c r="C2762" s="5" t="s">
        <v>4153</v>
      </c>
      <c r="D2762" s="2" t="s">
        <v>3643</v>
      </c>
    </row>
    <row r="2763" spans="1:4" ht="12.95" customHeight="1" x14ac:dyDescent="0.25">
      <c r="A2763" s="2" t="s">
        <v>428</v>
      </c>
      <c r="B2763" s="2" t="s">
        <v>1113</v>
      </c>
      <c r="C2763" s="5" t="s">
        <v>4154</v>
      </c>
      <c r="D2763" s="2" t="s">
        <v>3832</v>
      </c>
    </row>
    <row r="2764" spans="1:4" ht="12.95" customHeight="1" x14ac:dyDescent="0.25">
      <c r="A2764" s="2" t="s">
        <v>428</v>
      </c>
      <c r="B2764" s="2" t="s">
        <v>1113</v>
      </c>
      <c r="C2764" s="5" t="s">
        <v>4155</v>
      </c>
      <c r="D2764" s="2" t="s">
        <v>3646</v>
      </c>
    </row>
    <row r="2765" spans="1:4" ht="12.95" customHeight="1" x14ac:dyDescent="0.25">
      <c r="A2765" s="2" t="s">
        <v>428</v>
      </c>
      <c r="B2765" s="2" t="s">
        <v>1113</v>
      </c>
      <c r="C2765" s="5" t="s">
        <v>4156</v>
      </c>
      <c r="D2765" s="2" t="s">
        <v>3648</v>
      </c>
    </row>
    <row r="2766" spans="1:4" ht="12.95" customHeight="1" x14ac:dyDescent="0.25">
      <c r="A2766" s="2" t="s">
        <v>428</v>
      </c>
      <c r="B2766" s="2" t="s">
        <v>1113</v>
      </c>
      <c r="C2766" s="5" t="s">
        <v>4157</v>
      </c>
      <c r="D2766" s="2" t="s">
        <v>4158</v>
      </c>
    </row>
    <row r="2767" spans="1:4" ht="12.95" customHeight="1" x14ac:dyDescent="0.25">
      <c r="A2767" s="2" t="s">
        <v>428</v>
      </c>
      <c r="B2767" s="2" t="s">
        <v>1113</v>
      </c>
      <c r="C2767" s="5" t="s">
        <v>4159</v>
      </c>
      <c r="D2767" s="2" t="s">
        <v>4160</v>
      </c>
    </row>
    <row r="2768" spans="1:4" ht="12.95" customHeight="1" x14ac:dyDescent="0.25">
      <c r="A2768" s="2" t="s">
        <v>428</v>
      </c>
      <c r="B2768" s="2" t="s">
        <v>1113</v>
      </c>
      <c r="C2768" s="5" t="s">
        <v>4161</v>
      </c>
      <c r="D2768" s="2" t="s">
        <v>4162</v>
      </c>
    </row>
    <row r="2769" spans="1:4" ht="12.95" customHeight="1" x14ac:dyDescent="0.25">
      <c r="A2769" s="2" t="s">
        <v>428</v>
      </c>
      <c r="B2769" s="2" t="s">
        <v>1113</v>
      </c>
      <c r="C2769" s="5" t="s">
        <v>4163</v>
      </c>
      <c r="D2769" s="2" t="s">
        <v>4164</v>
      </c>
    </row>
    <row r="2770" spans="1:4" ht="12.95" customHeight="1" x14ac:dyDescent="0.25">
      <c r="A2770" s="2" t="s">
        <v>428</v>
      </c>
      <c r="B2770" s="2" t="s">
        <v>1113</v>
      </c>
      <c r="C2770" s="5" t="s">
        <v>4165</v>
      </c>
      <c r="D2770" s="2" t="s">
        <v>4166</v>
      </c>
    </row>
    <row r="2771" spans="1:4" ht="12.95" customHeight="1" x14ac:dyDescent="0.25">
      <c r="A2771" s="2" t="s">
        <v>428</v>
      </c>
      <c r="B2771" s="2" t="s">
        <v>1113</v>
      </c>
      <c r="C2771" s="5" t="s">
        <v>4167</v>
      </c>
      <c r="D2771" s="2" t="s">
        <v>3989</v>
      </c>
    </row>
    <row r="2772" spans="1:4" ht="12.95" customHeight="1" x14ac:dyDescent="0.25">
      <c r="A2772" s="2" t="s">
        <v>428</v>
      </c>
      <c r="B2772" s="2" t="s">
        <v>1113</v>
      </c>
      <c r="C2772" s="5" t="s">
        <v>4168</v>
      </c>
      <c r="D2772" s="2" t="s">
        <v>4169</v>
      </c>
    </row>
    <row r="2773" spans="1:4" ht="12.95" customHeight="1" x14ac:dyDescent="0.25">
      <c r="A2773" s="2" t="s">
        <v>428</v>
      </c>
      <c r="B2773" s="2" t="s">
        <v>1113</v>
      </c>
      <c r="C2773" s="5" t="s">
        <v>4170</v>
      </c>
      <c r="D2773" s="2" t="s">
        <v>4171</v>
      </c>
    </row>
    <row r="2774" spans="1:4" ht="12.95" customHeight="1" x14ac:dyDescent="0.25">
      <c r="A2774" s="2" t="s">
        <v>428</v>
      </c>
      <c r="B2774" s="2" t="s">
        <v>1113</v>
      </c>
      <c r="C2774" s="5" t="s">
        <v>4172</v>
      </c>
      <c r="D2774" s="2" t="s">
        <v>4173</v>
      </c>
    </row>
    <row r="2775" spans="1:4" ht="12.95" customHeight="1" x14ac:dyDescent="0.25">
      <c r="A2775" s="2" t="s">
        <v>428</v>
      </c>
      <c r="B2775" s="2" t="s">
        <v>1113</v>
      </c>
      <c r="C2775" s="5" t="s">
        <v>4174</v>
      </c>
      <c r="D2775" s="2" t="s">
        <v>4175</v>
      </c>
    </row>
    <row r="2776" spans="1:4" ht="12.95" customHeight="1" x14ac:dyDescent="0.25">
      <c r="A2776" s="2" t="s">
        <v>428</v>
      </c>
      <c r="B2776" s="2" t="s">
        <v>1113</v>
      </c>
      <c r="C2776" s="5" t="s">
        <v>4176</v>
      </c>
      <c r="D2776" s="2" t="s">
        <v>4177</v>
      </c>
    </row>
    <row r="2777" spans="1:4" ht="12.95" customHeight="1" x14ac:dyDescent="0.25">
      <c r="A2777" s="2" t="s">
        <v>428</v>
      </c>
      <c r="B2777" s="2" t="s">
        <v>1113</v>
      </c>
      <c r="C2777" s="5" t="s">
        <v>1821</v>
      </c>
      <c r="D2777" s="2" t="s">
        <v>4178</v>
      </c>
    </row>
    <row r="2778" spans="1:4" ht="12.95" customHeight="1" x14ac:dyDescent="0.25">
      <c r="A2778" s="2" t="s">
        <v>428</v>
      </c>
      <c r="B2778" s="2" t="s">
        <v>1113</v>
      </c>
      <c r="C2778" s="5" t="s">
        <v>4179</v>
      </c>
      <c r="D2778" s="2" t="s">
        <v>4180</v>
      </c>
    </row>
    <row r="2779" spans="1:4" ht="12.95" customHeight="1" x14ac:dyDescent="0.25">
      <c r="A2779" s="2" t="s">
        <v>428</v>
      </c>
      <c r="B2779" s="2" t="s">
        <v>1113</v>
      </c>
      <c r="C2779" s="5" t="s">
        <v>4181</v>
      </c>
      <c r="D2779" s="2" t="s">
        <v>4182</v>
      </c>
    </row>
    <row r="2780" spans="1:4" ht="12.95" customHeight="1" x14ac:dyDescent="0.25">
      <c r="A2780" s="2" t="s">
        <v>428</v>
      </c>
      <c r="B2780" s="2" t="s">
        <v>1113</v>
      </c>
      <c r="C2780" s="5" t="s">
        <v>4183</v>
      </c>
      <c r="D2780" s="2" t="s">
        <v>4184</v>
      </c>
    </row>
    <row r="2781" spans="1:4" ht="12.95" customHeight="1" x14ac:dyDescent="0.25">
      <c r="A2781" s="2" t="s">
        <v>428</v>
      </c>
      <c r="B2781" s="2" t="s">
        <v>1113</v>
      </c>
      <c r="C2781" s="5" t="s">
        <v>4185</v>
      </c>
      <c r="D2781" s="2" t="s">
        <v>3507</v>
      </c>
    </row>
    <row r="2782" spans="1:4" ht="12.95" customHeight="1" x14ac:dyDescent="0.25">
      <c r="A2782" s="2" t="s">
        <v>428</v>
      </c>
      <c r="B2782" s="2" t="s">
        <v>1113</v>
      </c>
      <c r="C2782" s="5" t="s">
        <v>4186</v>
      </c>
      <c r="D2782" s="2" t="s">
        <v>3509</v>
      </c>
    </row>
    <row r="2783" spans="1:4" ht="12.95" customHeight="1" x14ac:dyDescent="0.25">
      <c r="A2783" s="2" t="s">
        <v>428</v>
      </c>
      <c r="B2783" s="2" t="s">
        <v>1113</v>
      </c>
      <c r="C2783" s="5" t="s">
        <v>4187</v>
      </c>
      <c r="D2783" s="2" t="s">
        <v>4188</v>
      </c>
    </row>
    <row r="2784" spans="1:4" ht="12.95" customHeight="1" x14ac:dyDescent="0.25">
      <c r="A2784" s="2" t="s">
        <v>428</v>
      </c>
      <c r="B2784" s="2" t="s">
        <v>1113</v>
      </c>
      <c r="C2784" s="5" t="s">
        <v>4189</v>
      </c>
      <c r="D2784" s="2" t="s">
        <v>4190</v>
      </c>
    </row>
    <row r="2785" spans="1:4" ht="12.95" customHeight="1" x14ac:dyDescent="0.25">
      <c r="A2785" s="2" t="s">
        <v>428</v>
      </c>
      <c r="B2785" s="2" t="s">
        <v>1113</v>
      </c>
      <c r="C2785" s="5" t="s">
        <v>4191</v>
      </c>
      <c r="D2785" s="2" t="s">
        <v>3429</v>
      </c>
    </row>
    <row r="2786" spans="1:4" ht="12.95" customHeight="1" x14ac:dyDescent="0.25">
      <c r="A2786" s="2" t="s">
        <v>428</v>
      </c>
      <c r="B2786" s="2" t="s">
        <v>1113</v>
      </c>
      <c r="C2786" s="5" t="s">
        <v>4192</v>
      </c>
      <c r="D2786" s="2" t="s">
        <v>4193</v>
      </c>
    </row>
    <row r="2787" spans="1:4" ht="12.95" customHeight="1" x14ac:dyDescent="0.25">
      <c r="A2787" s="2" t="s">
        <v>428</v>
      </c>
      <c r="B2787" s="2" t="s">
        <v>1113</v>
      </c>
      <c r="C2787" s="5" t="s">
        <v>4194</v>
      </c>
      <c r="D2787" s="2" t="s">
        <v>4195</v>
      </c>
    </row>
    <row r="2788" spans="1:4" ht="12.95" customHeight="1" x14ac:dyDescent="0.25">
      <c r="A2788" s="2" t="s">
        <v>428</v>
      </c>
      <c r="B2788" s="2" t="s">
        <v>1113</v>
      </c>
      <c r="C2788" s="5" t="s">
        <v>4196</v>
      </c>
      <c r="D2788" s="2" t="s">
        <v>4197</v>
      </c>
    </row>
    <row r="2789" spans="1:4" ht="12.95" customHeight="1" x14ac:dyDescent="0.25">
      <c r="A2789" s="2" t="s">
        <v>428</v>
      </c>
      <c r="B2789" s="2" t="s">
        <v>1113</v>
      </c>
      <c r="C2789" s="5" t="s">
        <v>4198</v>
      </c>
      <c r="D2789" s="2" t="s">
        <v>4199</v>
      </c>
    </row>
    <row r="2790" spans="1:4" ht="12.95" customHeight="1" x14ac:dyDescent="0.25">
      <c r="A2790" s="2" t="s">
        <v>428</v>
      </c>
      <c r="B2790" s="2" t="s">
        <v>1113</v>
      </c>
      <c r="C2790" s="5" t="s">
        <v>4200</v>
      </c>
      <c r="D2790" s="2" t="s">
        <v>4201</v>
      </c>
    </row>
    <row r="2791" spans="1:4" ht="12.95" customHeight="1" x14ac:dyDescent="0.25">
      <c r="A2791" s="2" t="s">
        <v>428</v>
      </c>
      <c r="B2791" s="2" t="s">
        <v>1113</v>
      </c>
      <c r="C2791" s="5" t="s">
        <v>4202</v>
      </c>
      <c r="D2791" s="2" t="s">
        <v>4203</v>
      </c>
    </row>
    <row r="2792" spans="1:4" ht="12.95" customHeight="1" x14ac:dyDescent="0.25">
      <c r="A2792" s="2" t="s">
        <v>428</v>
      </c>
      <c r="B2792" s="2" t="s">
        <v>1113</v>
      </c>
      <c r="C2792" s="5" t="s">
        <v>4204</v>
      </c>
      <c r="D2792" s="2" t="s">
        <v>4205</v>
      </c>
    </row>
    <row r="2793" spans="1:4" ht="12.95" customHeight="1" x14ac:dyDescent="0.25">
      <c r="A2793" s="2" t="s">
        <v>428</v>
      </c>
      <c r="B2793" s="2" t="s">
        <v>1113</v>
      </c>
      <c r="C2793" s="5" t="s">
        <v>4206</v>
      </c>
      <c r="D2793" s="2" t="s">
        <v>4207</v>
      </c>
    </row>
    <row r="2794" spans="1:4" ht="12.95" customHeight="1" x14ac:dyDescent="0.25">
      <c r="A2794" s="2" t="s">
        <v>428</v>
      </c>
      <c r="B2794" s="2" t="s">
        <v>1113</v>
      </c>
      <c r="C2794" s="5" t="s">
        <v>4208</v>
      </c>
      <c r="D2794" s="2" t="s">
        <v>4209</v>
      </c>
    </row>
    <row r="2795" spans="1:4" ht="12.95" customHeight="1" x14ac:dyDescent="0.25">
      <c r="A2795" s="2" t="s">
        <v>428</v>
      </c>
      <c r="B2795" s="2" t="s">
        <v>1113</v>
      </c>
      <c r="C2795" s="5" t="s">
        <v>4210</v>
      </c>
      <c r="D2795" s="2" t="s">
        <v>4211</v>
      </c>
    </row>
    <row r="2796" spans="1:4" ht="12.95" customHeight="1" x14ac:dyDescent="0.25">
      <c r="A2796" s="2" t="s">
        <v>428</v>
      </c>
      <c r="B2796" s="2" t="s">
        <v>1113</v>
      </c>
      <c r="C2796" s="5" t="s">
        <v>4212</v>
      </c>
      <c r="D2796" s="2" t="s">
        <v>4213</v>
      </c>
    </row>
    <row r="2797" spans="1:4" ht="12.95" customHeight="1" x14ac:dyDescent="0.25">
      <c r="A2797" s="2" t="s">
        <v>428</v>
      </c>
      <c r="B2797" s="2" t="s">
        <v>1113</v>
      </c>
      <c r="C2797" s="5" t="s">
        <v>4214</v>
      </c>
      <c r="D2797" s="2" t="s">
        <v>4215</v>
      </c>
    </row>
    <row r="2798" spans="1:4" ht="12.95" customHeight="1" x14ac:dyDescent="0.25">
      <c r="A2798" s="2" t="s">
        <v>428</v>
      </c>
      <c r="B2798" s="2" t="s">
        <v>1113</v>
      </c>
      <c r="C2798" s="5" t="s">
        <v>4216</v>
      </c>
      <c r="D2798" s="2" t="s">
        <v>4217</v>
      </c>
    </row>
    <row r="2799" spans="1:4" ht="12.95" customHeight="1" x14ac:dyDescent="0.25">
      <c r="A2799" s="2" t="s">
        <v>428</v>
      </c>
      <c r="B2799" s="2" t="s">
        <v>1113</v>
      </c>
      <c r="C2799" s="5" t="s">
        <v>4218</v>
      </c>
      <c r="D2799" s="2" t="s">
        <v>4219</v>
      </c>
    </row>
    <row r="2800" spans="1:4" ht="12.95" customHeight="1" x14ac:dyDescent="0.25">
      <c r="A2800" s="2" t="s">
        <v>428</v>
      </c>
      <c r="B2800" s="2" t="s">
        <v>1113</v>
      </c>
      <c r="C2800" s="5" t="s">
        <v>4220</v>
      </c>
      <c r="D2800" s="2" t="s">
        <v>4221</v>
      </c>
    </row>
    <row r="2801" spans="1:4" ht="12.95" customHeight="1" x14ac:dyDescent="0.25">
      <c r="A2801" s="2" t="s">
        <v>428</v>
      </c>
      <c r="B2801" s="2" t="s">
        <v>1113</v>
      </c>
      <c r="C2801" s="5" t="s">
        <v>1865</v>
      </c>
      <c r="D2801" s="2" t="s">
        <v>4222</v>
      </c>
    </row>
    <row r="2802" spans="1:4" ht="12.95" customHeight="1" x14ac:dyDescent="0.25">
      <c r="A2802" s="2" t="s">
        <v>428</v>
      </c>
      <c r="B2802" s="2" t="s">
        <v>1113</v>
      </c>
      <c r="C2802" s="5" t="s">
        <v>4223</v>
      </c>
      <c r="D2802" s="2" t="s">
        <v>4224</v>
      </c>
    </row>
    <row r="2803" spans="1:4" ht="12.95" customHeight="1" x14ac:dyDescent="0.25">
      <c r="A2803" s="2" t="s">
        <v>428</v>
      </c>
      <c r="B2803" s="2" t="s">
        <v>1113</v>
      </c>
      <c r="C2803" s="5" t="s">
        <v>4225</v>
      </c>
      <c r="D2803" s="2" t="s">
        <v>4226</v>
      </c>
    </row>
    <row r="2804" spans="1:4" ht="12.95" customHeight="1" x14ac:dyDescent="0.25">
      <c r="A2804" s="2" t="s">
        <v>428</v>
      </c>
      <c r="B2804" s="2" t="s">
        <v>1113</v>
      </c>
      <c r="C2804" s="5" t="s">
        <v>4227</v>
      </c>
      <c r="D2804" s="2" t="s">
        <v>4228</v>
      </c>
    </row>
    <row r="2805" spans="1:4" ht="12.95" customHeight="1" x14ac:dyDescent="0.25">
      <c r="A2805" s="2" t="s">
        <v>428</v>
      </c>
      <c r="B2805" s="2" t="s">
        <v>1113</v>
      </c>
      <c r="C2805" s="5" t="s">
        <v>4229</v>
      </c>
      <c r="D2805" s="2" t="s">
        <v>4230</v>
      </c>
    </row>
    <row r="2806" spans="1:4" ht="12.95" customHeight="1" x14ac:dyDescent="0.25">
      <c r="A2806" s="2" t="s">
        <v>428</v>
      </c>
      <c r="B2806" s="2" t="s">
        <v>1113</v>
      </c>
      <c r="C2806" s="5" t="s">
        <v>4231</v>
      </c>
      <c r="D2806" s="2" t="s">
        <v>4232</v>
      </c>
    </row>
    <row r="2807" spans="1:4" ht="12.95" customHeight="1" x14ac:dyDescent="0.25">
      <c r="A2807" s="2" t="s">
        <v>428</v>
      </c>
      <c r="B2807" s="2" t="s">
        <v>1113</v>
      </c>
      <c r="C2807" s="5" t="s">
        <v>4233</v>
      </c>
      <c r="D2807" s="2" t="s">
        <v>4234</v>
      </c>
    </row>
    <row r="2808" spans="1:4" ht="12.95" customHeight="1" x14ac:dyDescent="0.25">
      <c r="A2808" s="2" t="s">
        <v>428</v>
      </c>
      <c r="B2808" s="2" t="s">
        <v>1113</v>
      </c>
      <c r="C2808" s="5" t="s">
        <v>4235</v>
      </c>
      <c r="D2808" s="2" t="s">
        <v>3395</v>
      </c>
    </row>
    <row r="2809" spans="1:4" ht="12.95" customHeight="1" x14ac:dyDescent="0.25">
      <c r="A2809" s="2" t="s">
        <v>428</v>
      </c>
      <c r="B2809" s="2" t="s">
        <v>1113</v>
      </c>
      <c r="C2809" s="5" t="s">
        <v>4236</v>
      </c>
      <c r="D2809" s="2" t="s">
        <v>3509</v>
      </c>
    </row>
    <row r="2810" spans="1:4" ht="12.95" customHeight="1" x14ac:dyDescent="0.25">
      <c r="A2810" s="2" t="s">
        <v>428</v>
      </c>
      <c r="B2810" s="2" t="s">
        <v>1113</v>
      </c>
      <c r="C2810" s="5" t="s">
        <v>4237</v>
      </c>
      <c r="D2810" s="2" t="s">
        <v>4238</v>
      </c>
    </row>
    <row r="2811" spans="1:4" ht="12.95" customHeight="1" x14ac:dyDescent="0.25">
      <c r="A2811" s="2" t="s">
        <v>428</v>
      </c>
      <c r="B2811" s="2" t="s">
        <v>1113</v>
      </c>
      <c r="C2811" s="5" t="s">
        <v>4239</v>
      </c>
      <c r="D2811" s="2" t="s">
        <v>4240</v>
      </c>
    </row>
    <row r="2812" spans="1:4" ht="12.95" customHeight="1" x14ac:dyDescent="0.25">
      <c r="A2812" s="2" t="s">
        <v>428</v>
      </c>
      <c r="B2812" s="2" t="s">
        <v>1113</v>
      </c>
      <c r="C2812" s="5" t="s">
        <v>4241</v>
      </c>
      <c r="D2812" s="2" t="s">
        <v>4242</v>
      </c>
    </row>
    <row r="2813" spans="1:4" ht="12.95" customHeight="1" x14ac:dyDescent="0.25">
      <c r="A2813" s="2" t="s">
        <v>428</v>
      </c>
      <c r="B2813" s="2" t="s">
        <v>1113</v>
      </c>
      <c r="C2813" s="5" t="s">
        <v>4243</v>
      </c>
      <c r="D2813" s="2" t="s">
        <v>3429</v>
      </c>
    </row>
    <row r="2814" spans="1:4" ht="12.95" customHeight="1" x14ac:dyDescent="0.25">
      <c r="A2814" s="2" t="s">
        <v>428</v>
      </c>
      <c r="B2814" s="2" t="s">
        <v>1113</v>
      </c>
      <c r="C2814" s="5" t="s">
        <v>4244</v>
      </c>
      <c r="D2814" s="2" t="s">
        <v>4245</v>
      </c>
    </row>
    <row r="2815" spans="1:4" ht="12.95" customHeight="1" x14ac:dyDescent="0.25">
      <c r="A2815" s="2" t="s">
        <v>428</v>
      </c>
      <c r="B2815" s="2" t="s">
        <v>1113</v>
      </c>
      <c r="C2815" s="5" t="s">
        <v>4246</v>
      </c>
      <c r="D2815" s="2" t="s">
        <v>4247</v>
      </c>
    </row>
    <row r="2816" spans="1:4" ht="12.95" customHeight="1" x14ac:dyDescent="0.25">
      <c r="A2816" s="2" t="s">
        <v>428</v>
      </c>
      <c r="B2816" s="2" t="s">
        <v>1113</v>
      </c>
      <c r="C2816" s="5" t="s">
        <v>4248</v>
      </c>
      <c r="D2816" s="2" t="s">
        <v>4249</v>
      </c>
    </row>
    <row r="2817" spans="1:4" ht="12.95" customHeight="1" x14ac:dyDescent="0.25">
      <c r="A2817" s="2" t="s">
        <v>428</v>
      </c>
      <c r="B2817" s="2" t="s">
        <v>1113</v>
      </c>
      <c r="C2817" s="5" t="s">
        <v>4250</v>
      </c>
      <c r="D2817" s="2" t="s">
        <v>3397</v>
      </c>
    </row>
    <row r="2818" spans="1:4" ht="12.95" customHeight="1" x14ac:dyDescent="0.25">
      <c r="A2818" s="2" t="s">
        <v>428</v>
      </c>
      <c r="B2818" s="2" t="s">
        <v>1113</v>
      </c>
      <c r="C2818" s="5" t="s">
        <v>4251</v>
      </c>
      <c r="D2818" s="2" t="s">
        <v>4252</v>
      </c>
    </row>
    <row r="2819" spans="1:4" ht="12.95" customHeight="1" x14ac:dyDescent="0.25">
      <c r="A2819" s="2" t="s">
        <v>428</v>
      </c>
      <c r="B2819" s="2" t="s">
        <v>1113</v>
      </c>
      <c r="C2819" s="5" t="s">
        <v>4253</v>
      </c>
      <c r="D2819" s="2" t="s">
        <v>4254</v>
      </c>
    </row>
    <row r="2820" spans="1:4" ht="12.95" customHeight="1" x14ac:dyDescent="0.25">
      <c r="A2820" s="2" t="s">
        <v>428</v>
      </c>
      <c r="B2820" s="2" t="s">
        <v>1113</v>
      </c>
      <c r="C2820" s="5" t="s">
        <v>4255</v>
      </c>
      <c r="D2820" s="2" t="s">
        <v>4256</v>
      </c>
    </row>
    <row r="2821" spans="1:4" ht="12.95" customHeight="1" x14ac:dyDescent="0.25">
      <c r="A2821" s="2" t="s">
        <v>428</v>
      </c>
      <c r="B2821" s="2" t="s">
        <v>1113</v>
      </c>
      <c r="C2821" s="5" t="s">
        <v>4257</v>
      </c>
      <c r="D2821" s="2" t="s">
        <v>4258</v>
      </c>
    </row>
    <row r="2822" spans="1:4" ht="12.95" customHeight="1" x14ac:dyDescent="0.25">
      <c r="A2822" s="2" t="s">
        <v>428</v>
      </c>
      <c r="B2822" s="2" t="s">
        <v>1113</v>
      </c>
      <c r="C2822" s="5" t="s">
        <v>4259</v>
      </c>
      <c r="D2822" s="2" t="s">
        <v>4260</v>
      </c>
    </row>
    <row r="2823" spans="1:4" ht="12.95" customHeight="1" x14ac:dyDescent="0.25">
      <c r="A2823" s="2" t="s">
        <v>428</v>
      </c>
      <c r="B2823" s="2" t="s">
        <v>1113</v>
      </c>
      <c r="C2823" s="5" t="s">
        <v>4261</v>
      </c>
      <c r="D2823" s="2" t="s">
        <v>4262</v>
      </c>
    </row>
    <row r="2824" spans="1:4" ht="12.95" customHeight="1" x14ac:dyDescent="0.25">
      <c r="A2824" s="2" t="s">
        <v>428</v>
      </c>
      <c r="B2824" s="2" t="s">
        <v>1113</v>
      </c>
      <c r="C2824" s="5" t="s">
        <v>4263</v>
      </c>
      <c r="D2824" s="2" t="s">
        <v>4264</v>
      </c>
    </row>
    <row r="2825" spans="1:4" ht="12.95" customHeight="1" x14ac:dyDescent="0.25">
      <c r="A2825" s="2" t="s">
        <v>428</v>
      </c>
      <c r="B2825" s="2" t="s">
        <v>1113</v>
      </c>
      <c r="C2825" s="5" t="s">
        <v>4265</v>
      </c>
      <c r="D2825" s="2" t="s">
        <v>4266</v>
      </c>
    </row>
    <row r="2826" spans="1:4" ht="12.95" customHeight="1" x14ac:dyDescent="0.25">
      <c r="A2826" s="2" t="s">
        <v>428</v>
      </c>
      <c r="B2826" s="2" t="s">
        <v>1113</v>
      </c>
      <c r="C2826" s="5" t="s">
        <v>4267</v>
      </c>
      <c r="D2826" s="2" t="s">
        <v>4130</v>
      </c>
    </row>
    <row r="2827" spans="1:4" ht="12.95" customHeight="1" x14ac:dyDescent="0.25">
      <c r="A2827" s="2" t="s">
        <v>428</v>
      </c>
      <c r="B2827" s="2" t="s">
        <v>1113</v>
      </c>
      <c r="C2827" s="5" t="s">
        <v>4268</v>
      </c>
      <c r="D2827" s="2" t="s">
        <v>4132</v>
      </c>
    </row>
    <row r="2828" spans="1:4" ht="12.95" customHeight="1" x14ac:dyDescent="0.25">
      <c r="A2828" s="2" t="s">
        <v>428</v>
      </c>
      <c r="B2828" s="2" t="s">
        <v>1113</v>
      </c>
      <c r="C2828" s="5" t="s">
        <v>4269</v>
      </c>
      <c r="D2828" s="2" t="s">
        <v>4270</v>
      </c>
    </row>
    <row r="2829" spans="1:4" ht="12.95" customHeight="1" x14ac:dyDescent="0.25">
      <c r="A2829" s="2" t="s">
        <v>428</v>
      </c>
      <c r="B2829" s="2" t="s">
        <v>1113</v>
      </c>
      <c r="C2829" s="5" t="s">
        <v>4271</v>
      </c>
      <c r="D2829" s="2" t="s">
        <v>4272</v>
      </c>
    </row>
    <row r="2830" spans="1:4" ht="12.95" customHeight="1" x14ac:dyDescent="0.25">
      <c r="A2830" s="2" t="s">
        <v>428</v>
      </c>
      <c r="B2830" s="2" t="s">
        <v>1113</v>
      </c>
      <c r="C2830" s="5" t="s">
        <v>4273</v>
      </c>
      <c r="D2830" s="2" t="s">
        <v>4274</v>
      </c>
    </row>
    <row r="2831" spans="1:4" ht="12.95" customHeight="1" x14ac:dyDescent="0.25">
      <c r="A2831" s="2" t="s">
        <v>428</v>
      </c>
      <c r="B2831" s="2" t="s">
        <v>1113</v>
      </c>
      <c r="C2831" s="5" t="s">
        <v>4275</v>
      </c>
      <c r="D2831" s="2" t="s">
        <v>3449</v>
      </c>
    </row>
    <row r="2832" spans="1:4" ht="12.95" customHeight="1" x14ac:dyDescent="0.25">
      <c r="A2832" s="2" t="s">
        <v>428</v>
      </c>
      <c r="B2832" s="2" t="s">
        <v>1113</v>
      </c>
      <c r="C2832" s="5" t="s">
        <v>4276</v>
      </c>
      <c r="D2832" s="2" t="s">
        <v>3451</v>
      </c>
    </row>
    <row r="2833" spans="1:4" ht="12.95" customHeight="1" x14ac:dyDescent="0.25">
      <c r="A2833" s="2" t="s">
        <v>428</v>
      </c>
      <c r="B2833" s="2" t="s">
        <v>1113</v>
      </c>
      <c r="C2833" s="5" t="s">
        <v>4277</v>
      </c>
      <c r="D2833" s="2" t="s">
        <v>3626</v>
      </c>
    </row>
    <row r="2834" spans="1:4" ht="12.95" customHeight="1" x14ac:dyDescent="0.25">
      <c r="A2834" s="2" t="s">
        <v>428</v>
      </c>
      <c r="B2834" s="2" t="s">
        <v>1113</v>
      </c>
      <c r="C2834" s="5" t="s">
        <v>4278</v>
      </c>
      <c r="D2834" s="2" t="s">
        <v>3628</v>
      </c>
    </row>
    <row r="2835" spans="1:4" ht="12.95" customHeight="1" x14ac:dyDescent="0.25">
      <c r="A2835" s="2" t="s">
        <v>428</v>
      </c>
      <c r="B2835" s="2" t="s">
        <v>1113</v>
      </c>
      <c r="C2835" s="5" t="s">
        <v>4279</v>
      </c>
      <c r="D2835" s="2" t="s">
        <v>3630</v>
      </c>
    </row>
    <row r="2836" spans="1:4" ht="12.95" customHeight="1" x14ac:dyDescent="0.25">
      <c r="A2836" s="2" t="s">
        <v>428</v>
      </c>
      <c r="B2836" s="2" t="s">
        <v>1113</v>
      </c>
      <c r="C2836" s="5" t="s">
        <v>4280</v>
      </c>
      <c r="D2836" s="2" t="s">
        <v>3632</v>
      </c>
    </row>
    <row r="2837" spans="1:4" ht="12.95" customHeight="1" x14ac:dyDescent="0.25">
      <c r="A2837" s="2" t="s">
        <v>428</v>
      </c>
      <c r="B2837" s="2" t="s">
        <v>1113</v>
      </c>
      <c r="C2837" s="5" t="s">
        <v>4281</v>
      </c>
      <c r="D2837" s="2" t="s">
        <v>3634</v>
      </c>
    </row>
    <row r="2838" spans="1:4" ht="12.95" customHeight="1" x14ac:dyDescent="0.25">
      <c r="A2838" s="2" t="s">
        <v>428</v>
      </c>
      <c r="B2838" s="2" t="s">
        <v>1113</v>
      </c>
      <c r="C2838" s="5" t="s">
        <v>4282</v>
      </c>
      <c r="D2838" s="2" t="s">
        <v>3636</v>
      </c>
    </row>
    <row r="2839" spans="1:4" ht="12.95" customHeight="1" x14ac:dyDescent="0.25">
      <c r="A2839" s="2" t="s">
        <v>428</v>
      </c>
      <c r="B2839" s="2" t="s">
        <v>1113</v>
      </c>
      <c r="C2839" s="5" t="s">
        <v>4283</v>
      </c>
      <c r="D2839" s="2" t="s">
        <v>3827</v>
      </c>
    </row>
    <row r="2840" spans="1:4" ht="12.95" customHeight="1" x14ac:dyDescent="0.25">
      <c r="A2840" s="2" t="s">
        <v>428</v>
      </c>
      <c r="B2840" s="2" t="s">
        <v>1113</v>
      </c>
      <c r="C2840" s="5" t="s">
        <v>4284</v>
      </c>
      <c r="D2840" s="2" t="s">
        <v>3640</v>
      </c>
    </row>
    <row r="2841" spans="1:4" ht="12.95" customHeight="1" x14ac:dyDescent="0.25">
      <c r="A2841" s="2" t="s">
        <v>428</v>
      </c>
      <c r="B2841" s="2" t="s">
        <v>1113</v>
      </c>
      <c r="C2841" s="5" t="s">
        <v>4285</v>
      </c>
      <c r="D2841" s="2" t="s">
        <v>3455</v>
      </c>
    </row>
    <row r="2842" spans="1:4" ht="12.95" customHeight="1" x14ac:dyDescent="0.25">
      <c r="A2842" s="2" t="s">
        <v>428</v>
      </c>
      <c r="B2842" s="2" t="s">
        <v>1113</v>
      </c>
      <c r="C2842" s="5" t="s">
        <v>4286</v>
      </c>
      <c r="D2842" s="2" t="s">
        <v>3643</v>
      </c>
    </row>
    <row r="2843" spans="1:4" ht="12.95" customHeight="1" x14ac:dyDescent="0.25">
      <c r="A2843" s="2" t="s">
        <v>428</v>
      </c>
      <c r="B2843" s="2" t="s">
        <v>1113</v>
      </c>
      <c r="C2843" s="5" t="s">
        <v>4287</v>
      </c>
      <c r="D2843" s="2" t="s">
        <v>3832</v>
      </c>
    </row>
    <row r="2844" spans="1:4" ht="12.95" customHeight="1" x14ac:dyDescent="0.25">
      <c r="A2844" s="2" t="s">
        <v>428</v>
      </c>
      <c r="B2844" s="2" t="s">
        <v>1113</v>
      </c>
      <c r="C2844" s="5" t="s">
        <v>4288</v>
      </c>
      <c r="D2844" s="2" t="s">
        <v>3646</v>
      </c>
    </row>
    <row r="2845" spans="1:4" ht="12.95" customHeight="1" x14ac:dyDescent="0.25">
      <c r="A2845" s="2" t="s">
        <v>428</v>
      </c>
      <c r="B2845" s="2" t="s">
        <v>1113</v>
      </c>
      <c r="C2845" s="5" t="s">
        <v>4289</v>
      </c>
      <c r="D2845" s="2" t="s">
        <v>3648</v>
      </c>
    </row>
    <row r="2846" spans="1:4" ht="12.95" customHeight="1" x14ac:dyDescent="0.25">
      <c r="A2846" s="2" t="s">
        <v>428</v>
      </c>
      <c r="B2846" s="2" t="s">
        <v>1113</v>
      </c>
      <c r="C2846" s="5" t="s">
        <v>4290</v>
      </c>
      <c r="D2846" s="2" t="s">
        <v>4291</v>
      </c>
    </row>
    <row r="2847" spans="1:4" ht="12.95" customHeight="1" x14ac:dyDescent="0.25">
      <c r="A2847" s="2" t="s">
        <v>428</v>
      </c>
      <c r="B2847" s="2" t="s">
        <v>1113</v>
      </c>
      <c r="C2847" s="5" t="s">
        <v>4292</v>
      </c>
      <c r="D2847" s="2" t="s">
        <v>4293</v>
      </c>
    </row>
    <row r="2848" spans="1:4" ht="12.95" customHeight="1" x14ac:dyDescent="0.25">
      <c r="A2848" s="2" t="s">
        <v>428</v>
      </c>
      <c r="B2848" s="2" t="s">
        <v>1113</v>
      </c>
      <c r="C2848" s="5" t="s">
        <v>4294</v>
      </c>
      <c r="D2848" s="2" t="s">
        <v>4295</v>
      </c>
    </row>
    <row r="2849" spans="1:4" ht="12.95" customHeight="1" x14ac:dyDescent="0.25">
      <c r="A2849" s="2" t="s">
        <v>428</v>
      </c>
      <c r="B2849" s="2" t="s">
        <v>1113</v>
      </c>
      <c r="C2849" s="5" t="s">
        <v>4296</v>
      </c>
      <c r="D2849" s="2" t="s">
        <v>4297</v>
      </c>
    </row>
    <row r="2850" spans="1:4" ht="12.95" customHeight="1" x14ac:dyDescent="0.25">
      <c r="A2850" s="2" t="s">
        <v>428</v>
      </c>
      <c r="B2850" s="2" t="s">
        <v>1113</v>
      </c>
      <c r="C2850" s="5" t="s">
        <v>4298</v>
      </c>
      <c r="D2850" s="2" t="s">
        <v>4299</v>
      </c>
    </row>
    <row r="2851" spans="1:4" ht="12.95" customHeight="1" x14ac:dyDescent="0.25">
      <c r="A2851" s="2" t="s">
        <v>428</v>
      </c>
      <c r="B2851" s="2" t="s">
        <v>1113</v>
      </c>
      <c r="C2851" s="5" t="s">
        <v>4300</v>
      </c>
      <c r="D2851" s="2" t="s">
        <v>3846</v>
      </c>
    </row>
    <row r="2852" spans="1:4" ht="12.95" customHeight="1" x14ac:dyDescent="0.25">
      <c r="A2852" s="2" t="s">
        <v>428</v>
      </c>
      <c r="B2852" s="2" t="s">
        <v>1113</v>
      </c>
      <c r="C2852" s="5" t="s">
        <v>4301</v>
      </c>
      <c r="D2852" s="2" t="s">
        <v>4302</v>
      </c>
    </row>
    <row r="2853" spans="1:4" ht="12.95" customHeight="1" x14ac:dyDescent="0.25">
      <c r="A2853" s="2" t="s">
        <v>428</v>
      </c>
      <c r="B2853" s="2" t="s">
        <v>1113</v>
      </c>
      <c r="C2853" s="5" t="s">
        <v>4303</v>
      </c>
      <c r="D2853" s="2" t="s">
        <v>4304</v>
      </c>
    </row>
    <row r="2854" spans="1:4" ht="12.95" customHeight="1" x14ac:dyDescent="0.25">
      <c r="A2854" s="2" t="s">
        <v>428</v>
      </c>
      <c r="B2854" s="2" t="s">
        <v>1113</v>
      </c>
      <c r="C2854" s="5" t="s">
        <v>4305</v>
      </c>
      <c r="D2854" s="2" t="s">
        <v>4306</v>
      </c>
    </row>
    <row r="2855" spans="1:4" ht="12.95" customHeight="1" x14ac:dyDescent="0.25">
      <c r="A2855" s="2" t="s">
        <v>428</v>
      </c>
      <c r="B2855" s="2" t="s">
        <v>1113</v>
      </c>
      <c r="C2855" s="5" t="s">
        <v>4307</v>
      </c>
      <c r="D2855" s="2" t="s">
        <v>4308</v>
      </c>
    </row>
    <row r="2856" spans="1:4" ht="12.95" customHeight="1" x14ac:dyDescent="0.25">
      <c r="A2856" s="2" t="s">
        <v>428</v>
      </c>
      <c r="B2856" s="2" t="s">
        <v>1113</v>
      </c>
      <c r="C2856" s="5" t="s">
        <v>4309</v>
      </c>
      <c r="D2856" s="2" t="s">
        <v>4310</v>
      </c>
    </row>
    <row r="2857" spans="1:4" ht="12.95" customHeight="1" x14ac:dyDescent="0.25">
      <c r="A2857" s="2" t="s">
        <v>428</v>
      </c>
      <c r="B2857" s="2" t="s">
        <v>1113</v>
      </c>
      <c r="C2857" s="5" t="s">
        <v>4311</v>
      </c>
      <c r="D2857" s="2" t="s">
        <v>4312</v>
      </c>
    </row>
    <row r="2858" spans="1:4" ht="12.95" customHeight="1" x14ac:dyDescent="0.25">
      <c r="A2858" s="2" t="s">
        <v>428</v>
      </c>
      <c r="B2858" s="2" t="s">
        <v>1113</v>
      </c>
      <c r="C2858" s="5" t="s">
        <v>4313</v>
      </c>
      <c r="D2858" s="2" t="s">
        <v>3507</v>
      </c>
    </row>
    <row r="2859" spans="1:4" ht="12.95" customHeight="1" x14ac:dyDescent="0.25">
      <c r="A2859" s="2" t="s">
        <v>428</v>
      </c>
      <c r="B2859" s="2" t="s">
        <v>1113</v>
      </c>
      <c r="C2859" s="5" t="s">
        <v>4314</v>
      </c>
      <c r="D2859" s="2" t="s">
        <v>3509</v>
      </c>
    </row>
    <row r="2860" spans="1:4" ht="12.95" customHeight="1" x14ac:dyDescent="0.25">
      <c r="A2860" s="2" t="s">
        <v>428</v>
      </c>
      <c r="B2860" s="2" t="s">
        <v>1113</v>
      </c>
      <c r="C2860" s="5" t="s">
        <v>4315</v>
      </c>
      <c r="D2860" s="2" t="s">
        <v>4316</v>
      </c>
    </row>
    <row r="2861" spans="1:4" ht="12.95" customHeight="1" x14ac:dyDescent="0.25">
      <c r="A2861" s="2" t="s">
        <v>428</v>
      </c>
      <c r="B2861" s="2" t="s">
        <v>1113</v>
      </c>
      <c r="C2861" s="5" t="s">
        <v>4317</v>
      </c>
      <c r="D2861" s="2" t="s">
        <v>4318</v>
      </c>
    </row>
    <row r="2862" spans="1:4" ht="12.95" customHeight="1" x14ac:dyDescent="0.25">
      <c r="A2862" s="2" t="s">
        <v>428</v>
      </c>
      <c r="B2862" s="2" t="s">
        <v>1113</v>
      </c>
      <c r="C2862" s="5" t="s">
        <v>4319</v>
      </c>
      <c r="D2862" s="2" t="s">
        <v>4320</v>
      </c>
    </row>
    <row r="2863" spans="1:4" ht="12.95" customHeight="1" x14ac:dyDescent="0.25">
      <c r="A2863" s="2" t="s">
        <v>428</v>
      </c>
      <c r="B2863" s="2" t="s">
        <v>1113</v>
      </c>
      <c r="C2863" s="5" t="s">
        <v>4321</v>
      </c>
      <c r="D2863" s="2" t="s">
        <v>4322</v>
      </c>
    </row>
    <row r="2864" spans="1:4" ht="12.95" customHeight="1" x14ac:dyDescent="0.25">
      <c r="A2864" s="2" t="s">
        <v>428</v>
      </c>
      <c r="B2864" s="2" t="s">
        <v>1113</v>
      </c>
      <c r="C2864" s="5" t="s">
        <v>4323</v>
      </c>
      <c r="D2864" s="2" t="s">
        <v>4324</v>
      </c>
    </row>
    <row r="2865" spans="1:4" ht="12.95" customHeight="1" x14ac:dyDescent="0.25">
      <c r="A2865" s="2" t="s">
        <v>428</v>
      </c>
      <c r="B2865" s="2" t="s">
        <v>1113</v>
      </c>
      <c r="C2865" s="5" t="s">
        <v>4325</v>
      </c>
      <c r="D2865" s="2" t="s">
        <v>4326</v>
      </c>
    </row>
    <row r="2866" spans="1:4" ht="12.95" customHeight="1" x14ac:dyDescent="0.25">
      <c r="A2866" s="2" t="s">
        <v>428</v>
      </c>
      <c r="B2866" s="2" t="s">
        <v>1113</v>
      </c>
      <c r="C2866" s="5" t="s">
        <v>4327</v>
      </c>
      <c r="D2866" s="2" t="s">
        <v>3449</v>
      </c>
    </row>
    <row r="2867" spans="1:4" ht="12.95" customHeight="1" x14ac:dyDescent="0.25">
      <c r="A2867" s="2" t="s">
        <v>428</v>
      </c>
      <c r="B2867" s="2" t="s">
        <v>1113</v>
      </c>
      <c r="C2867" s="5" t="s">
        <v>4328</v>
      </c>
      <c r="D2867" s="2" t="s">
        <v>3451</v>
      </c>
    </row>
    <row r="2868" spans="1:4" ht="12.95" customHeight="1" x14ac:dyDescent="0.25">
      <c r="A2868" s="2" t="s">
        <v>428</v>
      </c>
      <c r="B2868" s="2" t="s">
        <v>1113</v>
      </c>
      <c r="C2868" s="5" t="s">
        <v>4329</v>
      </c>
      <c r="D2868" s="2" t="s">
        <v>3632</v>
      </c>
    </row>
    <row r="2869" spans="1:4" ht="12.95" customHeight="1" x14ac:dyDescent="0.25">
      <c r="A2869" s="2" t="s">
        <v>428</v>
      </c>
      <c r="B2869" s="2" t="s">
        <v>1113</v>
      </c>
      <c r="C2869" s="5" t="s">
        <v>4330</v>
      </c>
      <c r="D2869" s="2" t="s">
        <v>4331</v>
      </c>
    </row>
    <row r="2870" spans="1:4" ht="12.95" customHeight="1" x14ac:dyDescent="0.25">
      <c r="A2870" s="2" t="s">
        <v>428</v>
      </c>
      <c r="B2870" s="2" t="s">
        <v>1113</v>
      </c>
      <c r="C2870" s="5" t="s">
        <v>4332</v>
      </c>
      <c r="D2870" s="2" t="s">
        <v>4333</v>
      </c>
    </row>
    <row r="2871" spans="1:4" ht="12.95" customHeight="1" x14ac:dyDescent="0.25">
      <c r="A2871" s="2" t="s">
        <v>428</v>
      </c>
      <c r="B2871" s="2" t="s">
        <v>1113</v>
      </c>
      <c r="C2871" s="5" t="s">
        <v>4334</v>
      </c>
      <c r="D2871" s="2" t="s">
        <v>4335</v>
      </c>
    </row>
    <row r="2872" spans="1:4" ht="12.95" customHeight="1" x14ac:dyDescent="0.25">
      <c r="A2872" s="2" t="s">
        <v>428</v>
      </c>
      <c r="B2872" s="2" t="s">
        <v>1113</v>
      </c>
      <c r="C2872" s="5" t="s">
        <v>4336</v>
      </c>
      <c r="D2872" s="2" t="s">
        <v>4337</v>
      </c>
    </row>
    <row r="2873" spans="1:4" ht="12.95" customHeight="1" x14ac:dyDescent="0.25">
      <c r="A2873" s="2" t="s">
        <v>428</v>
      </c>
      <c r="B2873" s="2" t="s">
        <v>1113</v>
      </c>
      <c r="C2873" s="5" t="s">
        <v>4338</v>
      </c>
      <c r="D2873" s="2" t="s">
        <v>3455</v>
      </c>
    </row>
    <row r="2874" spans="1:4" ht="12.95" customHeight="1" x14ac:dyDescent="0.25">
      <c r="A2874" s="2" t="s">
        <v>428</v>
      </c>
      <c r="B2874" s="2" t="s">
        <v>1113</v>
      </c>
      <c r="C2874" s="5" t="s">
        <v>4339</v>
      </c>
      <c r="D2874" s="2" t="s">
        <v>4340</v>
      </c>
    </row>
    <row r="2875" spans="1:4" ht="12.95" customHeight="1" x14ac:dyDescent="0.25">
      <c r="A2875" s="2" t="s">
        <v>428</v>
      </c>
      <c r="B2875" s="2" t="s">
        <v>1113</v>
      </c>
      <c r="C2875" s="5" t="s">
        <v>4341</v>
      </c>
      <c r="D2875" s="2" t="s">
        <v>3832</v>
      </c>
    </row>
    <row r="2876" spans="1:4" ht="12.95" customHeight="1" x14ac:dyDescent="0.25">
      <c r="A2876" s="2" t="s">
        <v>428</v>
      </c>
      <c r="B2876" s="2" t="s">
        <v>1113</v>
      </c>
      <c r="C2876" s="5" t="s">
        <v>4342</v>
      </c>
      <c r="D2876" s="2" t="s">
        <v>3646</v>
      </c>
    </row>
    <row r="2877" spans="1:4" ht="12.95" customHeight="1" x14ac:dyDescent="0.25">
      <c r="A2877" s="2" t="s">
        <v>428</v>
      </c>
      <c r="B2877" s="2" t="s">
        <v>1113</v>
      </c>
      <c r="C2877" s="5" t="s">
        <v>4343</v>
      </c>
      <c r="D2877" s="2" t="s">
        <v>4344</v>
      </c>
    </row>
    <row r="2878" spans="1:4" ht="12.95" customHeight="1" x14ac:dyDescent="0.25">
      <c r="A2878" s="2" t="s">
        <v>428</v>
      </c>
      <c r="B2878" s="2" t="s">
        <v>1113</v>
      </c>
      <c r="C2878" s="5" t="s">
        <v>4345</v>
      </c>
      <c r="D2878" s="2" t="s">
        <v>3283</v>
      </c>
    </row>
    <row r="2879" spans="1:4" ht="12.95" customHeight="1" x14ac:dyDescent="0.25">
      <c r="A2879" s="2" t="s">
        <v>428</v>
      </c>
      <c r="B2879" s="2" t="s">
        <v>1113</v>
      </c>
      <c r="C2879" s="5" t="s">
        <v>4346</v>
      </c>
      <c r="D2879" s="2" t="s">
        <v>3395</v>
      </c>
    </row>
    <row r="2880" spans="1:4" ht="12.95" customHeight="1" x14ac:dyDescent="0.25">
      <c r="A2880" s="2" t="s">
        <v>428</v>
      </c>
      <c r="B2880" s="2" t="s">
        <v>1113</v>
      </c>
      <c r="C2880" s="5" t="s">
        <v>4347</v>
      </c>
      <c r="D2880" s="2" t="s">
        <v>3397</v>
      </c>
    </row>
    <row r="2881" spans="1:4" ht="12.95" customHeight="1" x14ac:dyDescent="0.25">
      <c r="A2881" s="2" t="s">
        <v>428</v>
      </c>
      <c r="B2881" s="2" t="s">
        <v>1113</v>
      </c>
      <c r="C2881" s="5" t="s">
        <v>4348</v>
      </c>
      <c r="D2881" s="2" t="s">
        <v>4349</v>
      </c>
    </row>
    <row r="2882" spans="1:4" ht="12.95" customHeight="1" x14ac:dyDescent="0.25">
      <c r="A2882" s="2" t="s">
        <v>428</v>
      </c>
      <c r="B2882" s="2" t="s">
        <v>1113</v>
      </c>
      <c r="C2882" s="5" t="s">
        <v>4350</v>
      </c>
      <c r="D2882" s="2" t="s">
        <v>4351</v>
      </c>
    </row>
    <row r="2883" spans="1:4" ht="12.95" customHeight="1" x14ac:dyDescent="0.25">
      <c r="A2883" s="2" t="s">
        <v>428</v>
      </c>
      <c r="B2883" s="2" t="s">
        <v>1113</v>
      </c>
      <c r="C2883" s="5" t="s">
        <v>4352</v>
      </c>
      <c r="D2883" s="2" t="s">
        <v>4353</v>
      </c>
    </row>
    <row r="2884" spans="1:4" ht="12.95" customHeight="1" x14ac:dyDescent="0.25">
      <c r="A2884" s="2" t="s">
        <v>428</v>
      </c>
      <c r="B2884" s="2" t="s">
        <v>1113</v>
      </c>
      <c r="C2884" s="5" t="s">
        <v>4354</v>
      </c>
      <c r="D2884" s="2" t="s">
        <v>4355</v>
      </c>
    </row>
    <row r="2885" spans="1:4" ht="12.95" customHeight="1" x14ac:dyDescent="0.25">
      <c r="A2885" s="2" t="s">
        <v>428</v>
      </c>
      <c r="B2885" s="2" t="s">
        <v>1113</v>
      </c>
      <c r="C2885" s="5" t="s">
        <v>4356</v>
      </c>
      <c r="D2885" s="2" t="s">
        <v>4357</v>
      </c>
    </row>
    <row r="2886" spans="1:4" ht="12.95" customHeight="1" x14ac:dyDescent="0.25">
      <c r="A2886" s="2" t="s">
        <v>428</v>
      </c>
      <c r="B2886" s="2" t="s">
        <v>1113</v>
      </c>
      <c r="C2886" s="5" t="s">
        <v>4358</v>
      </c>
      <c r="D2886" s="2" t="s">
        <v>3395</v>
      </c>
    </row>
    <row r="2887" spans="1:4" ht="12.95" customHeight="1" x14ac:dyDescent="0.25">
      <c r="A2887" s="2" t="s">
        <v>428</v>
      </c>
      <c r="B2887" s="2" t="s">
        <v>1113</v>
      </c>
      <c r="C2887" s="5" t="s">
        <v>4359</v>
      </c>
      <c r="D2887" s="2" t="s">
        <v>4360</v>
      </c>
    </row>
    <row r="2888" spans="1:4" ht="12.95" customHeight="1" x14ac:dyDescent="0.25">
      <c r="A2888" s="2" t="s">
        <v>428</v>
      </c>
      <c r="B2888" s="2" t="s">
        <v>1113</v>
      </c>
      <c r="C2888" s="5" t="s">
        <v>4361</v>
      </c>
      <c r="D2888" s="2" t="s">
        <v>4362</v>
      </c>
    </row>
    <row r="2889" spans="1:4" ht="12.95" customHeight="1" x14ac:dyDescent="0.25">
      <c r="A2889" s="2" t="s">
        <v>428</v>
      </c>
      <c r="B2889" s="2" t="s">
        <v>1113</v>
      </c>
      <c r="C2889" s="5" t="s">
        <v>4363</v>
      </c>
      <c r="D2889" s="2" t="s">
        <v>4364</v>
      </c>
    </row>
    <row r="2890" spans="1:4" ht="12.95" customHeight="1" x14ac:dyDescent="0.25">
      <c r="A2890" s="2" t="s">
        <v>428</v>
      </c>
      <c r="B2890" s="2" t="s">
        <v>1113</v>
      </c>
      <c r="C2890" s="5" t="s">
        <v>4365</v>
      </c>
      <c r="D2890" s="2" t="s">
        <v>4366</v>
      </c>
    </row>
    <row r="2891" spans="1:4" ht="12.95" customHeight="1" x14ac:dyDescent="0.25">
      <c r="A2891" s="2" t="s">
        <v>428</v>
      </c>
      <c r="B2891" s="2" t="s">
        <v>1113</v>
      </c>
      <c r="C2891" s="5" t="s">
        <v>4367</v>
      </c>
      <c r="D2891" s="2" t="s">
        <v>4368</v>
      </c>
    </row>
    <row r="2892" spans="1:4" ht="12.95" customHeight="1" x14ac:dyDescent="0.25">
      <c r="A2892" s="2" t="s">
        <v>428</v>
      </c>
      <c r="B2892" s="2" t="s">
        <v>1113</v>
      </c>
      <c r="C2892" s="5" t="s">
        <v>4369</v>
      </c>
      <c r="D2892" s="2" t="s">
        <v>4370</v>
      </c>
    </row>
    <row r="2893" spans="1:4" ht="12.95" customHeight="1" x14ac:dyDescent="0.25">
      <c r="A2893" s="2" t="s">
        <v>428</v>
      </c>
      <c r="B2893" s="2" t="s">
        <v>1113</v>
      </c>
      <c r="C2893" s="5" t="s">
        <v>4371</v>
      </c>
      <c r="D2893" s="2" t="s">
        <v>4372</v>
      </c>
    </row>
    <row r="2894" spans="1:4" ht="12.95" customHeight="1" x14ac:dyDescent="0.25">
      <c r="A2894" s="2" t="s">
        <v>428</v>
      </c>
      <c r="B2894" s="2" t="s">
        <v>1113</v>
      </c>
      <c r="C2894" s="5" t="s">
        <v>4373</v>
      </c>
      <c r="D2894" s="2" t="s">
        <v>4374</v>
      </c>
    </row>
    <row r="2895" spans="1:4" ht="12.95" customHeight="1" x14ac:dyDescent="0.25">
      <c r="A2895" s="2" t="s">
        <v>428</v>
      </c>
      <c r="B2895" s="2" t="s">
        <v>1113</v>
      </c>
      <c r="C2895" s="5" t="s">
        <v>4375</v>
      </c>
      <c r="D2895" s="2" t="s">
        <v>4376</v>
      </c>
    </row>
    <row r="2896" spans="1:4" ht="12.95" customHeight="1" x14ac:dyDescent="0.25">
      <c r="A2896" s="2" t="s">
        <v>428</v>
      </c>
      <c r="B2896" s="2" t="s">
        <v>1113</v>
      </c>
      <c r="C2896" s="5" t="s">
        <v>4377</v>
      </c>
      <c r="D2896" s="2" t="s">
        <v>4378</v>
      </c>
    </row>
    <row r="2897" spans="1:4" ht="12.95" customHeight="1" x14ac:dyDescent="0.25">
      <c r="A2897" s="2" t="s">
        <v>428</v>
      </c>
      <c r="B2897" s="2" t="s">
        <v>1113</v>
      </c>
      <c r="C2897" s="5" t="s">
        <v>4379</v>
      </c>
      <c r="D2897" s="2" t="s">
        <v>4380</v>
      </c>
    </row>
    <row r="2898" spans="1:4" ht="12.95" customHeight="1" x14ac:dyDescent="0.25">
      <c r="A2898" s="2" t="s">
        <v>428</v>
      </c>
      <c r="B2898" s="2" t="s">
        <v>1113</v>
      </c>
      <c r="C2898" s="5" t="s">
        <v>4381</v>
      </c>
      <c r="D2898" s="2" t="s">
        <v>4382</v>
      </c>
    </row>
    <row r="2899" spans="1:4" ht="12.95" customHeight="1" x14ac:dyDescent="0.25">
      <c r="A2899" s="2" t="s">
        <v>428</v>
      </c>
      <c r="B2899" s="2" t="s">
        <v>1113</v>
      </c>
      <c r="C2899" s="5" t="s">
        <v>4383</v>
      </c>
      <c r="D2899" s="2" t="s">
        <v>4384</v>
      </c>
    </row>
    <row r="2900" spans="1:4" ht="12.95" customHeight="1" x14ac:dyDescent="0.25">
      <c r="A2900" s="2" t="s">
        <v>428</v>
      </c>
      <c r="B2900" s="2" t="s">
        <v>1113</v>
      </c>
      <c r="C2900" s="5" t="s">
        <v>4385</v>
      </c>
      <c r="D2900" s="2" t="s">
        <v>4386</v>
      </c>
    </row>
    <row r="2901" spans="1:4" ht="12.95" customHeight="1" x14ac:dyDescent="0.25">
      <c r="A2901" s="2" t="s">
        <v>428</v>
      </c>
      <c r="B2901" s="2" t="s">
        <v>1113</v>
      </c>
      <c r="C2901" s="5" t="s">
        <v>4387</v>
      </c>
      <c r="D2901" s="2" t="s">
        <v>4388</v>
      </c>
    </row>
    <row r="2902" spans="1:4" ht="12.95" customHeight="1" x14ac:dyDescent="0.25">
      <c r="A2902" s="2" t="s">
        <v>428</v>
      </c>
      <c r="B2902" s="2" t="s">
        <v>1113</v>
      </c>
      <c r="C2902" s="5" t="s">
        <v>4389</v>
      </c>
      <c r="D2902" s="2" t="s">
        <v>4390</v>
      </c>
    </row>
    <row r="2903" spans="1:4" ht="12.95" customHeight="1" x14ac:dyDescent="0.25">
      <c r="A2903" s="2" t="s">
        <v>428</v>
      </c>
      <c r="B2903" s="2" t="s">
        <v>1113</v>
      </c>
      <c r="C2903" s="5" t="s">
        <v>4391</v>
      </c>
      <c r="D2903" s="2" t="s">
        <v>4392</v>
      </c>
    </row>
    <row r="2904" spans="1:4" ht="12.95" customHeight="1" x14ac:dyDescent="0.25">
      <c r="A2904" s="2" t="s">
        <v>428</v>
      </c>
      <c r="B2904" s="2" t="s">
        <v>1113</v>
      </c>
      <c r="C2904" s="5" t="s">
        <v>4393</v>
      </c>
      <c r="D2904" s="2" t="s">
        <v>4394</v>
      </c>
    </row>
    <row r="2905" spans="1:4" ht="12.95" customHeight="1" x14ac:dyDescent="0.25">
      <c r="A2905" s="2" t="s">
        <v>428</v>
      </c>
      <c r="B2905" s="2" t="s">
        <v>1113</v>
      </c>
      <c r="C2905" s="5" t="s">
        <v>4395</v>
      </c>
      <c r="D2905" s="2" t="s">
        <v>4396</v>
      </c>
    </row>
    <row r="2906" spans="1:4" ht="12.95" customHeight="1" x14ac:dyDescent="0.25">
      <c r="A2906" s="2" t="s">
        <v>428</v>
      </c>
      <c r="B2906" s="2" t="s">
        <v>1113</v>
      </c>
      <c r="C2906" s="5" t="s">
        <v>4397</v>
      </c>
      <c r="D2906" s="2" t="s">
        <v>4398</v>
      </c>
    </row>
    <row r="2907" spans="1:4" ht="12.95" customHeight="1" x14ac:dyDescent="0.25">
      <c r="A2907" s="2" t="s">
        <v>428</v>
      </c>
      <c r="B2907" s="2" t="s">
        <v>1113</v>
      </c>
      <c r="C2907" s="5" t="s">
        <v>4399</v>
      </c>
      <c r="D2907" s="2" t="s">
        <v>3507</v>
      </c>
    </row>
    <row r="2908" spans="1:4" ht="12.95" customHeight="1" x14ac:dyDescent="0.25">
      <c r="A2908" s="2" t="s">
        <v>428</v>
      </c>
      <c r="B2908" s="2" t="s">
        <v>1113</v>
      </c>
      <c r="C2908" s="5" t="s">
        <v>4400</v>
      </c>
      <c r="D2908" s="2" t="s">
        <v>3509</v>
      </c>
    </row>
    <row r="2909" spans="1:4" ht="12.95" customHeight="1" x14ac:dyDescent="0.25">
      <c r="A2909" s="2" t="s">
        <v>428</v>
      </c>
      <c r="B2909" s="2" t="s">
        <v>1113</v>
      </c>
      <c r="C2909" s="5" t="s">
        <v>4401</v>
      </c>
      <c r="D2909" s="2" t="s">
        <v>4402</v>
      </c>
    </row>
    <row r="2910" spans="1:4" ht="12.95" customHeight="1" x14ac:dyDescent="0.25">
      <c r="A2910" s="2" t="s">
        <v>428</v>
      </c>
      <c r="B2910" s="2" t="s">
        <v>1113</v>
      </c>
      <c r="C2910" s="5" t="s">
        <v>4403</v>
      </c>
      <c r="D2910" s="2" t="s">
        <v>4404</v>
      </c>
    </row>
    <row r="2911" spans="1:4" ht="12.95" customHeight="1" x14ac:dyDescent="0.25">
      <c r="A2911" s="2" t="s">
        <v>428</v>
      </c>
      <c r="B2911" s="2" t="s">
        <v>1113</v>
      </c>
      <c r="C2911" s="5" t="s">
        <v>4405</v>
      </c>
      <c r="D2911" s="2" t="s">
        <v>4406</v>
      </c>
    </row>
    <row r="2912" spans="1:4" ht="12.95" customHeight="1" x14ac:dyDescent="0.25">
      <c r="A2912" s="2" t="s">
        <v>428</v>
      </c>
      <c r="B2912" s="2" t="s">
        <v>1113</v>
      </c>
      <c r="C2912" s="5" t="s">
        <v>4407</v>
      </c>
      <c r="D2912" s="2" t="s">
        <v>4408</v>
      </c>
    </row>
    <row r="2913" spans="1:4" ht="12.95" customHeight="1" x14ac:dyDescent="0.25">
      <c r="A2913" s="2" t="s">
        <v>428</v>
      </c>
      <c r="B2913" s="2" t="s">
        <v>1113</v>
      </c>
      <c r="C2913" s="5" t="s">
        <v>4409</v>
      </c>
      <c r="D2913" s="2" t="s">
        <v>4410</v>
      </c>
    </row>
    <row r="2914" spans="1:4" ht="12.95" customHeight="1" x14ac:dyDescent="0.25">
      <c r="A2914" s="2" t="s">
        <v>428</v>
      </c>
      <c r="B2914" s="2" t="s">
        <v>1113</v>
      </c>
      <c r="C2914" s="5" t="s">
        <v>4411</v>
      </c>
      <c r="D2914" s="2" t="s">
        <v>4412</v>
      </c>
    </row>
    <row r="2915" spans="1:4" ht="12.95" customHeight="1" x14ac:dyDescent="0.25">
      <c r="A2915" s="2" t="s">
        <v>428</v>
      </c>
      <c r="B2915" s="2" t="s">
        <v>1113</v>
      </c>
      <c r="C2915" s="5" t="s">
        <v>4413</v>
      </c>
      <c r="D2915" s="2" t="s">
        <v>3427</v>
      </c>
    </row>
    <row r="2916" spans="1:4" ht="12.95" customHeight="1" x14ac:dyDescent="0.25">
      <c r="A2916" s="2" t="s">
        <v>428</v>
      </c>
      <c r="B2916" s="2" t="s">
        <v>1113</v>
      </c>
      <c r="C2916" s="5" t="s">
        <v>4414</v>
      </c>
      <c r="D2916" s="2" t="s">
        <v>3429</v>
      </c>
    </row>
    <row r="2917" spans="1:4" ht="12.95" customHeight="1" x14ac:dyDescent="0.25">
      <c r="A2917" s="2" t="s">
        <v>428</v>
      </c>
      <c r="B2917" s="2" t="s">
        <v>1113</v>
      </c>
      <c r="C2917" s="5" t="s">
        <v>4415</v>
      </c>
      <c r="D2917" s="2" t="s">
        <v>3648</v>
      </c>
    </row>
    <row r="2918" spans="1:4" ht="12.95" customHeight="1" x14ac:dyDescent="0.25">
      <c r="A2918" s="2" t="s">
        <v>428</v>
      </c>
      <c r="B2918" s="2" t="s">
        <v>1113</v>
      </c>
      <c r="C2918" s="5" t="s">
        <v>4416</v>
      </c>
      <c r="D2918" s="2" t="s">
        <v>4417</v>
      </c>
    </row>
    <row r="2919" spans="1:4" ht="12.95" customHeight="1" x14ac:dyDescent="0.25">
      <c r="A2919" s="2" t="s">
        <v>428</v>
      </c>
      <c r="B2919" s="2" t="s">
        <v>1113</v>
      </c>
      <c r="C2919" s="5" t="s">
        <v>4418</v>
      </c>
      <c r="D2919" s="2" t="s">
        <v>4419</v>
      </c>
    </row>
    <row r="2920" spans="1:4" ht="12.95" customHeight="1" x14ac:dyDescent="0.25">
      <c r="A2920" s="2" t="s">
        <v>428</v>
      </c>
      <c r="B2920" s="2" t="s">
        <v>1113</v>
      </c>
      <c r="C2920" s="5" t="s">
        <v>4420</v>
      </c>
      <c r="D2920" s="2" t="s">
        <v>4421</v>
      </c>
    </row>
    <row r="2921" spans="1:4" ht="12.95" customHeight="1" x14ac:dyDescent="0.25">
      <c r="A2921" s="2" t="s">
        <v>428</v>
      </c>
      <c r="B2921" s="2" t="s">
        <v>1113</v>
      </c>
      <c r="C2921" s="5" t="s">
        <v>4422</v>
      </c>
      <c r="D2921" s="2" t="s">
        <v>4423</v>
      </c>
    </row>
    <row r="2922" spans="1:4" ht="12.95" customHeight="1" x14ac:dyDescent="0.25">
      <c r="A2922" s="2" t="s">
        <v>428</v>
      </c>
      <c r="B2922" s="2" t="s">
        <v>1113</v>
      </c>
      <c r="C2922" s="5" t="s">
        <v>4424</v>
      </c>
      <c r="D2922" s="2" t="s">
        <v>4425</v>
      </c>
    </row>
    <row r="2923" spans="1:4" ht="12.95" customHeight="1" x14ac:dyDescent="0.25">
      <c r="A2923" s="2" t="s">
        <v>428</v>
      </c>
      <c r="B2923" s="2" t="s">
        <v>1113</v>
      </c>
      <c r="C2923" s="5" t="s">
        <v>4426</v>
      </c>
      <c r="D2923" s="2" t="s">
        <v>4427</v>
      </c>
    </row>
    <row r="2924" spans="1:4" ht="12.95" customHeight="1" x14ac:dyDescent="0.25">
      <c r="A2924" s="2" t="s">
        <v>428</v>
      </c>
      <c r="B2924" s="2" t="s">
        <v>1113</v>
      </c>
      <c r="C2924" s="5" t="s">
        <v>4428</v>
      </c>
      <c r="D2924" s="2" t="s">
        <v>4429</v>
      </c>
    </row>
    <row r="2925" spans="1:4" ht="12.95" customHeight="1" x14ac:dyDescent="0.25">
      <c r="A2925" s="2" t="s">
        <v>428</v>
      </c>
      <c r="B2925" s="2" t="s">
        <v>1113</v>
      </c>
      <c r="C2925" s="5" t="s">
        <v>4430</v>
      </c>
      <c r="D2925" s="2" t="s">
        <v>4431</v>
      </c>
    </row>
    <row r="2926" spans="1:4" ht="12.95" customHeight="1" x14ac:dyDescent="0.25">
      <c r="A2926" s="2" t="s">
        <v>428</v>
      </c>
      <c r="B2926" s="2" t="s">
        <v>1113</v>
      </c>
      <c r="C2926" s="5" t="s">
        <v>4432</v>
      </c>
      <c r="D2926" s="2" t="s">
        <v>3507</v>
      </c>
    </row>
    <row r="2927" spans="1:4" ht="12.95" customHeight="1" x14ac:dyDescent="0.25">
      <c r="A2927" s="2" t="s">
        <v>428</v>
      </c>
      <c r="B2927" s="2" t="s">
        <v>1113</v>
      </c>
      <c r="C2927" s="5" t="s">
        <v>4433</v>
      </c>
      <c r="D2927" s="2" t="s">
        <v>3509</v>
      </c>
    </row>
    <row r="2928" spans="1:4" ht="12.95" customHeight="1" x14ac:dyDescent="0.25">
      <c r="A2928" s="2" t="s">
        <v>428</v>
      </c>
      <c r="B2928" s="2" t="s">
        <v>1113</v>
      </c>
      <c r="C2928" s="5" t="s">
        <v>4434</v>
      </c>
      <c r="D2928" s="2" t="s">
        <v>4435</v>
      </c>
    </row>
    <row r="2929" spans="1:4" ht="12.95" customHeight="1" x14ac:dyDescent="0.25">
      <c r="A2929" s="2" t="s">
        <v>428</v>
      </c>
      <c r="B2929" s="2" t="s">
        <v>1113</v>
      </c>
      <c r="C2929" s="5" t="s">
        <v>4436</v>
      </c>
      <c r="D2929" s="2" t="s">
        <v>4437</v>
      </c>
    </row>
    <row r="2930" spans="1:4" ht="12.95" customHeight="1" x14ac:dyDescent="0.25">
      <c r="A2930" s="2" t="s">
        <v>428</v>
      </c>
      <c r="B2930" s="2" t="s">
        <v>1113</v>
      </c>
      <c r="C2930" s="5" t="s">
        <v>4438</v>
      </c>
      <c r="D2930" s="2" t="s">
        <v>4386</v>
      </c>
    </row>
    <row r="2931" spans="1:4" ht="12.95" customHeight="1" x14ac:dyDescent="0.25">
      <c r="A2931" s="2" t="s">
        <v>428</v>
      </c>
      <c r="B2931" s="2" t="s">
        <v>1113</v>
      </c>
      <c r="C2931" s="5" t="s">
        <v>4439</v>
      </c>
      <c r="D2931" s="2" t="s">
        <v>4440</v>
      </c>
    </row>
    <row r="2932" spans="1:4" ht="12.95" customHeight="1" x14ac:dyDescent="0.25">
      <c r="A2932" s="2" t="s">
        <v>428</v>
      </c>
      <c r="B2932" s="2" t="s">
        <v>1113</v>
      </c>
      <c r="C2932" s="5" t="s">
        <v>4441</v>
      </c>
      <c r="D2932" s="2" t="s">
        <v>3240</v>
      </c>
    </row>
    <row r="2933" spans="1:4" ht="12.95" customHeight="1" x14ac:dyDescent="0.25">
      <c r="A2933" s="2" t="s">
        <v>428</v>
      </c>
      <c r="B2933" s="2" t="s">
        <v>1113</v>
      </c>
      <c r="C2933" s="5" t="s">
        <v>4442</v>
      </c>
      <c r="D2933" s="2" t="s">
        <v>4443</v>
      </c>
    </row>
    <row r="2934" spans="1:4" ht="12.95" customHeight="1" x14ac:dyDescent="0.25">
      <c r="A2934" s="2" t="s">
        <v>428</v>
      </c>
      <c r="B2934" s="2" t="s">
        <v>1113</v>
      </c>
      <c r="C2934" s="5" t="s">
        <v>4444</v>
      </c>
      <c r="D2934" s="2" t="s">
        <v>3479</v>
      </c>
    </row>
    <row r="2935" spans="1:4" ht="12.95" customHeight="1" x14ac:dyDescent="0.25">
      <c r="A2935" s="2" t="s">
        <v>428</v>
      </c>
      <c r="B2935" s="2" t="s">
        <v>1113</v>
      </c>
      <c r="C2935" s="5" t="s">
        <v>4445</v>
      </c>
      <c r="D2935" s="2" t="s">
        <v>4446</v>
      </c>
    </row>
    <row r="2936" spans="1:4" ht="12.95" customHeight="1" x14ac:dyDescent="0.25">
      <c r="A2936" s="2" t="s">
        <v>428</v>
      </c>
      <c r="B2936" s="2" t="s">
        <v>1113</v>
      </c>
      <c r="C2936" s="5" t="s">
        <v>4447</v>
      </c>
      <c r="D2936" s="2" t="s">
        <v>4448</v>
      </c>
    </row>
    <row r="2937" spans="1:4" ht="12.95" customHeight="1" x14ac:dyDescent="0.25">
      <c r="A2937" s="2" t="s">
        <v>428</v>
      </c>
      <c r="B2937" s="2" t="s">
        <v>1113</v>
      </c>
      <c r="C2937" s="5" t="s">
        <v>4449</v>
      </c>
      <c r="D2937" s="2" t="s">
        <v>4450</v>
      </c>
    </row>
    <row r="2938" spans="1:4" ht="12.95" customHeight="1" x14ac:dyDescent="0.25">
      <c r="A2938" s="2" t="s">
        <v>428</v>
      </c>
      <c r="B2938" s="2" t="s">
        <v>1113</v>
      </c>
      <c r="C2938" s="5" t="s">
        <v>4451</v>
      </c>
      <c r="D2938" s="2" t="s">
        <v>4452</v>
      </c>
    </row>
    <row r="2939" spans="1:4" ht="12.95" customHeight="1" x14ac:dyDescent="0.25">
      <c r="A2939" s="2" t="s">
        <v>428</v>
      </c>
      <c r="B2939" s="2" t="s">
        <v>1113</v>
      </c>
      <c r="C2939" s="5" t="s">
        <v>4453</v>
      </c>
      <c r="D2939" s="2" t="s">
        <v>4454</v>
      </c>
    </row>
    <row r="2940" spans="1:4" ht="12.95" customHeight="1" x14ac:dyDescent="0.25">
      <c r="A2940" s="2" t="s">
        <v>428</v>
      </c>
      <c r="B2940" s="2" t="s">
        <v>1113</v>
      </c>
      <c r="C2940" s="5" t="s">
        <v>4455</v>
      </c>
      <c r="D2940" s="2" t="s">
        <v>4456</v>
      </c>
    </row>
    <row r="2941" spans="1:4" ht="12.95" customHeight="1" x14ac:dyDescent="0.25">
      <c r="A2941" s="2" t="s">
        <v>428</v>
      </c>
      <c r="B2941" s="2" t="s">
        <v>1113</v>
      </c>
      <c r="C2941" s="5" t="s">
        <v>4457</v>
      </c>
      <c r="D2941" s="2" t="s">
        <v>4458</v>
      </c>
    </row>
    <row r="2942" spans="1:4" ht="12.95" customHeight="1" x14ac:dyDescent="0.25">
      <c r="A2942" s="2" t="s">
        <v>428</v>
      </c>
      <c r="B2942" s="2" t="s">
        <v>1113</v>
      </c>
      <c r="C2942" s="5" t="s">
        <v>4459</v>
      </c>
      <c r="D2942" s="2" t="s">
        <v>4460</v>
      </c>
    </row>
    <row r="2943" spans="1:4" ht="12.95" customHeight="1" x14ac:dyDescent="0.25">
      <c r="A2943" s="2" t="s">
        <v>428</v>
      </c>
      <c r="B2943" s="2" t="s">
        <v>1113</v>
      </c>
      <c r="C2943" s="5" t="s">
        <v>4461</v>
      </c>
      <c r="D2943" s="2" t="s">
        <v>4462</v>
      </c>
    </row>
    <row r="2944" spans="1:4" ht="12.95" customHeight="1" x14ac:dyDescent="0.25">
      <c r="A2944" s="2" t="s">
        <v>428</v>
      </c>
      <c r="B2944" s="2" t="s">
        <v>1113</v>
      </c>
      <c r="C2944" s="5" t="s">
        <v>4463</v>
      </c>
      <c r="D2944" s="2" t="s">
        <v>4464</v>
      </c>
    </row>
    <row r="2945" spans="1:4" ht="12.95" customHeight="1" x14ac:dyDescent="0.25">
      <c r="A2945" s="2" t="s">
        <v>428</v>
      </c>
      <c r="B2945" s="2" t="s">
        <v>1113</v>
      </c>
      <c r="C2945" s="5" t="s">
        <v>4465</v>
      </c>
      <c r="D2945" s="2" t="s">
        <v>4466</v>
      </c>
    </row>
    <row r="2946" spans="1:4" ht="12.95" customHeight="1" x14ac:dyDescent="0.25">
      <c r="A2946" s="2" t="s">
        <v>428</v>
      </c>
      <c r="B2946" s="2" t="s">
        <v>1113</v>
      </c>
      <c r="C2946" s="5" t="s">
        <v>4467</v>
      </c>
      <c r="D2946" s="2" t="s">
        <v>4468</v>
      </c>
    </row>
    <row r="2947" spans="1:4" ht="12.95" customHeight="1" x14ac:dyDescent="0.25">
      <c r="A2947" s="2" t="s">
        <v>428</v>
      </c>
      <c r="B2947" s="2" t="s">
        <v>1113</v>
      </c>
      <c r="C2947" s="5" t="s">
        <v>4469</v>
      </c>
      <c r="D2947" s="2" t="s">
        <v>4470</v>
      </c>
    </row>
    <row r="2948" spans="1:4" ht="12.95" customHeight="1" x14ac:dyDescent="0.25">
      <c r="A2948" s="2" t="s">
        <v>428</v>
      </c>
      <c r="B2948" s="2" t="s">
        <v>1113</v>
      </c>
      <c r="C2948" s="5" t="s">
        <v>4471</v>
      </c>
      <c r="D2948" s="2" t="s">
        <v>4472</v>
      </c>
    </row>
    <row r="2949" spans="1:4" ht="12.95" customHeight="1" x14ac:dyDescent="0.25">
      <c r="A2949" s="2" t="s">
        <v>428</v>
      </c>
      <c r="B2949" s="2" t="s">
        <v>1113</v>
      </c>
      <c r="C2949" s="5" t="s">
        <v>4473</v>
      </c>
      <c r="D2949" s="2" t="s">
        <v>4474</v>
      </c>
    </row>
    <row r="2950" spans="1:4" ht="12.95" customHeight="1" x14ac:dyDescent="0.25">
      <c r="A2950" s="2" t="s">
        <v>428</v>
      </c>
      <c r="B2950" s="2" t="s">
        <v>1113</v>
      </c>
      <c r="C2950" s="5" t="s">
        <v>4475</v>
      </c>
      <c r="D2950" s="2" t="s">
        <v>4476</v>
      </c>
    </row>
    <row r="2951" spans="1:4" ht="12.95" customHeight="1" x14ac:dyDescent="0.25">
      <c r="A2951" s="2" t="s">
        <v>428</v>
      </c>
      <c r="B2951" s="2" t="s">
        <v>1113</v>
      </c>
      <c r="C2951" s="5" t="s">
        <v>4477</v>
      </c>
      <c r="D2951" s="2" t="s">
        <v>4478</v>
      </c>
    </row>
    <row r="2952" spans="1:4" ht="12.95" customHeight="1" x14ac:dyDescent="0.25">
      <c r="A2952" s="2" t="s">
        <v>428</v>
      </c>
      <c r="B2952" s="2" t="s">
        <v>1113</v>
      </c>
      <c r="C2952" s="5" t="s">
        <v>4479</v>
      </c>
      <c r="D2952" s="2" t="s">
        <v>4480</v>
      </c>
    </row>
    <row r="2953" spans="1:4" ht="12.95" customHeight="1" x14ac:dyDescent="0.25">
      <c r="A2953" s="2" t="s">
        <v>428</v>
      </c>
      <c r="B2953" s="2" t="s">
        <v>1113</v>
      </c>
      <c r="C2953" s="5" t="s">
        <v>4481</v>
      </c>
      <c r="D2953" s="2" t="s">
        <v>4482</v>
      </c>
    </row>
    <row r="2954" spans="1:4" ht="12.95" customHeight="1" x14ac:dyDescent="0.25">
      <c r="A2954" s="2" t="s">
        <v>428</v>
      </c>
      <c r="B2954" s="2" t="s">
        <v>1113</v>
      </c>
      <c r="C2954" s="5" t="s">
        <v>4483</v>
      </c>
      <c r="D2954" s="2" t="s">
        <v>4484</v>
      </c>
    </row>
    <row r="2955" spans="1:4" ht="12.95" customHeight="1" x14ac:dyDescent="0.25">
      <c r="A2955" s="2" t="s">
        <v>428</v>
      </c>
      <c r="B2955" s="2" t="s">
        <v>1113</v>
      </c>
      <c r="C2955" s="5" t="s">
        <v>4485</v>
      </c>
      <c r="D2955" s="2" t="s">
        <v>4486</v>
      </c>
    </row>
    <row r="2956" spans="1:4" ht="12.95" customHeight="1" x14ac:dyDescent="0.25">
      <c r="A2956" s="2" t="s">
        <v>428</v>
      </c>
      <c r="B2956" s="2" t="s">
        <v>1113</v>
      </c>
      <c r="C2956" s="5" t="s">
        <v>4487</v>
      </c>
      <c r="D2956" s="2" t="s">
        <v>3507</v>
      </c>
    </row>
    <row r="2957" spans="1:4" ht="12.95" customHeight="1" x14ac:dyDescent="0.25">
      <c r="A2957" s="2" t="s">
        <v>428</v>
      </c>
      <c r="B2957" s="2" t="s">
        <v>1113</v>
      </c>
      <c r="C2957" s="5" t="s">
        <v>4488</v>
      </c>
      <c r="D2957" s="2" t="s">
        <v>3509</v>
      </c>
    </row>
    <row r="2958" spans="1:4" ht="12.95" customHeight="1" x14ac:dyDescent="0.25">
      <c r="A2958" s="2" t="s">
        <v>428</v>
      </c>
      <c r="B2958" s="2" t="s">
        <v>1113</v>
      </c>
      <c r="C2958" s="5" t="s">
        <v>4489</v>
      </c>
      <c r="D2958" s="2" t="s">
        <v>4490</v>
      </c>
    </row>
    <row r="2959" spans="1:4" ht="12.95" customHeight="1" x14ac:dyDescent="0.25">
      <c r="A2959" s="2" t="s">
        <v>428</v>
      </c>
      <c r="B2959" s="2" t="s">
        <v>1113</v>
      </c>
      <c r="C2959" s="5" t="s">
        <v>4491</v>
      </c>
      <c r="D2959" s="2" t="s">
        <v>4492</v>
      </c>
    </row>
    <row r="2960" spans="1:4" ht="12.95" customHeight="1" x14ac:dyDescent="0.25">
      <c r="A2960" s="2" t="s">
        <v>428</v>
      </c>
      <c r="B2960" s="2" t="s">
        <v>1113</v>
      </c>
      <c r="C2960" s="5" t="s">
        <v>4493</v>
      </c>
      <c r="D2960" s="2" t="s">
        <v>4494</v>
      </c>
    </row>
    <row r="2961" spans="1:4" ht="12.95" customHeight="1" x14ac:dyDescent="0.25">
      <c r="A2961" s="2" t="s">
        <v>428</v>
      </c>
      <c r="B2961" s="2" t="s">
        <v>1113</v>
      </c>
      <c r="C2961" s="5" t="s">
        <v>4495</v>
      </c>
      <c r="D2961" s="2" t="s">
        <v>4496</v>
      </c>
    </row>
    <row r="2962" spans="1:4" ht="12.95" customHeight="1" x14ac:dyDescent="0.25">
      <c r="A2962" s="2" t="s">
        <v>428</v>
      </c>
      <c r="B2962" s="2" t="s">
        <v>1113</v>
      </c>
      <c r="C2962" s="5" t="s">
        <v>4497</v>
      </c>
      <c r="D2962" s="2" t="s">
        <v>4498</v>
      </c>
    </row>
    <row r="2963" spans="1:4" ht="12.95" customHeight="1" x14ac:dyDescent="0.25">
      <c r="A2963" s="2" t="s">
        <v>428</v>
      </c>
      <c r="B2963" s="2" t="s">
        <v>1113</v>
      </c>
      <c r="C2963" s="5" t="s">
        <v>4499</v>
      </c>
      <c r="D2963" s="2" t="s">
        <v>4320</v>
      </c>
    </row>
    <row r="2964" spans="1:4" ht="12.95" customHeight="1" x14ac:dyDescent="0.25">
      <c r="A2964" s="2" t="s">
        <v>428</v>
      </c>
      <c r="B2964" s="2" t="s">
        <v>1113</v>
      </c>
      <c r="C2964" s="5" t="s">
        <v>4500</v>
      </c>
      <c r="D2964" s="2" t="s">
        <v>4501</v>
      </c>
    </row>
    <row r="2965" spans="1:4" ht="12.95" customHeight="1" x14ac:dyDescent="0.25">
      <c r="A2965" s="2" t="s">
        <v>428</v>
      </c>
      <c r="B2965" s="2" t="s">
        <v>1113</v>
      </c>
      <c r="C2965" s="5" t="s">
        <v>4502</v>
      </c>
      <c r="D2965" s="2" t="s">
        <v>4503</v>
      </c>
    </row>
    <row r="2966" spans="1:4" ht="12.95" customHeight="1" x14ac:dyDescent="0.25">
      <c r="A2966" s="2" t="s">
        <v>428</v>
      </c>
      <c r="B2966" s="2" t="s">
        <v>1113</v>
      </c>
      <c r="C2966" s="5" t="s">
        <v>4504</v>
      </c>
      <c r="D2966" s="2" t="s">
        <v>4505</v>
      </c>
    </row>
    <row r="2967" spans="1:4" ht="12.95" customHeight="1" x14ac:dyDescent="0.25">
      <c r="A2967" s="2" t="s">
        <v>428</v>
      </c>
      <c r="B2967" s="2" t="s">
        <v>1113</v>
      </c>
      <c r="C2967" s="5" t="s">
        <v>4506</v>
      </c>
      <c r="D2967" s="2" t="s">
        <v>4507</v>
      </c>
    </row>
    <row r="2968" spans="1:4" ht="12.95" customHeight="1" x14ac:dyDescent="0.25">
      <c r="A2968" s="2" t="s">
        <v>428</v>
      </c>
      <c r="B2968" s="2" t="s">
        <v>1113</v>
      </c>
      <c r="C2968" s="5" t="s">
        <v>4508</v>
      </c>
      <c r="D2968" s="2" t="s">
        <v>4509</v>
      </c>
    </row>
    <row r="2969" spans="1:4" ht="12.95" customHeight="1" x14ac:dyDescent="0.25">
      <c r="A2969" s="2" t="s">
        <v>428</v>
      </c>
      <c r="B2969" s="2" t="s">
        <v>1113</v>
      </c>
      <c r="C2969" s="5" t="s">
        <v>4510</v>
      </c>
      <c r="D2969" s="2" t="s">
        <v>4511</v>
      </c>
    </row>
    <row r="2970" spans="1:4" ht="12.95" customHeight="1" x14ac:dyDescent="0.25">
      <c r="A2970" s="2" t="s">
        <v>428</v>
      </c>
      <c r="B2970" s="2" t="s">
        <v>1113</v>
      </c>
      <c r="C2970" s="5" t="s">
        <v>4512</v>
      </c>
      <c r="D2970" s="2" t="s">
        <v>3395</v>
      </c>
    </row>
    <row r="2971" spans="1:4" ht="12.95" customHeight="1" x14ac:dyDescent="0.25">
      <c r="A2971" s="2" t="s">
        <v>428</v>
      </c>
      <c r="B2971" s="2" t="s">
        <v>1113</v>
      </c>
      <c r="C2971" s="5" t="s">
        <v>4513</v>
      </c>
      <c r="D2971" s="2" t="s">
        <v>3397</v>
      </c>
    </row>
    <row r="2972" spans="1:4" ht="12.95" customHeight="1" x14ac:dyDescent="0.25">
      <c r="A2972" s="2" t="s">
        <v>428</v>
      </c>
      <c r="B2972" s="2" t="s">
        <v>1113</v>
      </c>
      <c r="C2972" s="5" t="s">
        <v>4514</v>
      </c>
      <c r="D2972" s="2" t="s">
        <v>4515</v>
      </c>
    </row>
    <row r="2973" spans="1:4" ht="12.95" customHeight="1" x14ac:dyDescent="0.25">
      <c r="A2973" s="2" t="s">
        <v>428</v>
      </c>
      <c r="B2973" s="2" t="s">
        <v>1113</v>
      </c>
      <c r="C2973" s="5" t="s">
        <v>4516</v>
      </c>
      <c r="D2973" s="2" t="s">
        <v>4517</v>
      </c>
    </row>
    <row r="2974" spans="1:4" ht="12.95" customHeight="1" x14ac:dyDescent="0.25">
      <c r="A2974" s="2" t="s">
        <v>428</v>
      </c>
      <c r="B2974" s="2" t="s">
        <v>1113</v>
      </c>
      <c r="C2974" s="5" t="s">
        <v>4518</v>
      </c>
      <c r="D2974" s="2" t="s">
        <v>4519</v>
      </c>
    </row>
    <row r="2975" spans="1:4" ht="12.95" customHeight="1" x14ac:dyDescent="0.25">
      <c r="A2975" s="2" t="s">
        <v>428</v>
      </c>
      <c r="B2975" s="2" t="s">
        <v>1113</v>
      </c>
      <c r="C2975" s="5" t="s">
        <v>4520</v>
      </c>
      <c r="D2975" s="2" t="s">
        <v>4521</v>
      </c>
    </row>
    <row r="2976" spans="1:4" ht="12.95" customHeight="1" x14ac:dyDescent="0.25">
      <c r="A2976" s="2" t="s">
        <v>428</v>
      </c>
      <c r="B2976" s="2" t="s">
        <v>1113</v>
      </c>
      <c r="C2976" s="5" t="s">
        <v>4522</v>
      </c>
      <c r="D2976" s="2" t="s">
        <v>4523</v>
      </c>
    </row>
    <row r="2977" spans="1:4" ht="12.95" customHeight="1" x14ac:dyDescent="0.25">
      <c r="A2977" s="2" t="s">
        <v>428</v>
      </c>
      <c r="B2977" s="2" t="s">
        <v>1113</v>
      </c>
      <c r="C2977" s="5" t="s">
        <v>4524</v>
      </c>
      <c r="D2977" s="2" t="s">
        <v>4525</v>
      </c>
    </row>
    <row r="2978" spans="1:4" ht="12.95" customHeight="1" x14ac:dyDescent="0.25">
      <c r="A2978" s="2" t="s">
        <v>428</v>
      </c>
      <c r="B2978" s="2" t="s">
        <v>1113</v>
      </c>
      <c r="C2978" s="5" t="s">
        <v>4526</v>
      </c>
      <c r="D2978" s="2" t="s">
        <v>4527</v>
      </c>
    </row>
    <row r="2979" spans="1:4" ht="12.95" customHeight="1" x14ac:dyDescent="0.25">
      <c r="A2979" s="2" t="s">
        <v>428</v>
      </c>
      <c r="B2979" s="2" t="s">
        <v>1113</v>
      </c>
      <c r="C2979" s="5" t="s">
        <v>4528</v>
      </c>
      <c r="D2979" s="2" t="s">
        <v>4529</v>
      </c>
    </row>
    <row r="2980" spans="1:4" ht="12.95" customHeight="1" x14ac:dyDescent="0.25">
      <c r="A2980" s="2" t="s">
        <v>428</v>
      </c>
      <c r="B2980" s="2" t="s">
        <v>1113</v>
      </c>
      <c r="C2980" s="5" t="s">
        <v>4530</v>
      </c>
      <c r="D2980" s="2" t="s">
        <v>4531</v>
      </c>
    </row>
    <row r="2981" spans="1:4" ht="12.95" customHeight="1" x14ac:dyDescent="0.25">
      <c r="A2981" s="2" t="s">
        <v>428</v>
      </c>
      <c r="B2981" s="2" t="s">
        <v>1113</v>
      </c>
      <c r="C2981" s="5" t="s">
        <v>4532</v>
      </c>
      <c r="D2981" s="2" t="s">
        <v>4533</v>
      </c>
    </row>
    <row r="2982" spans="1:4" ht="12.95" customHeight="1" x14ac:dyDescent="0.25">
      <c r="A2982" s="2" t="s">
        <v>428</v>
      </c>
      <c r="B2982" s="2" t="s">
        <v>1113</v>
      </c>
      <c r="C2982" s="5" t="s">
        <v>4534</v>
      </c>
      <c r="D2982" s="2" t="s">
        <v>4535</v>
      </c>
    </row>
    <row r="2983" spans="1:4" ht="12.95" customHeight="1" x14ac:dyDescent="0.25">
      <c r="A2983" s="2" t="s">
        <v>428</v>
      </c>
      <c r="B2983" s="2" t="s">
        <v>1113</v>
      </c>
      <c r="C2983" s="5" t="s">
        <v>4536</v>
      </c>
      <c r="D2983" s="2" t="s">
        <v>4537</v>
      </c>
    </row>
    <row r="2984" spans="1:4" ht="12.95" customHeight="1" x14ac:dyDescent="0.25">
      <c r="A2984" s="2" t="s">
        <v>428</v>
      </c>
      <c r="B2984" s="2" t="s">
        <v>1113</v>
      </c>
      <c r="C2984" s="5" t="s">
        <v>4538</v>
      </c>
      <c r="D2984" s="2" t="s">
        <v>4539</v>
      </c>
    </row>
    <row r="2985" spans="1:4" ht="12.95" customHeight="1" x14ac:dyDescent="0.25">
      <c r="A2985" s="2" t="s">
        <v>428</v>
      </c>
      <c r="B2985" s="2" t="s">
        <v>1113</v>
      </c>
      <c r="C2985" s="5" t="s">
        <v>4540</v>
      </c>
      <c r="D2985" s="2" t="s">
        <v>4541</v>
      </c>
    </row>
    <row r="2986" spans="1:4" ht="12.95" customHeight="1" x14ac:dyDescent="0.25">
      <c r="A2986" s="2" t="s">
        <v>428</v>
      </c>
      <c r="B2986" s="2" t="s">
        <v>1113</v>
      </c>
      <c r="C2986" s="5" t="s">
        <v>4542</v>
      </c>
      <c r="D2986" s="2" t="s">
        <v>4543</v>
      </c>
    </row>
    <row r="2987" spans="1:4" ht="12.95" customHeight="1" x14ac:dyDescent="0.25">
      <c r="A2987" s="2" t="s">
        <v>428</v>
      </c>
      <c r="B2987" s="2" t="s">
        <v>1113</v>
      </c>
      <c r="C2987" s="5" t="s">
        <v>4544</v>
      </c>
      <c r="D2987" s="2" t="s">
        <v>4545</v>
      </c>
    </row>
    <row r="2988" spans="1:4" ht="12.95" customHeight="1" x14ac:dyDescent="0.25">
      <c r="A2988" s="2" t="s">
        <v>428</v>
      </c>
      <c r="B2988" s="2" t="s">
        <v>1113</v>
      </c>
      <c r="C2988" s="5" t="s">
        <v>4546</v>
      </c>
      <c r="D2988" s="2" t="s">
        <v>4547</v>
      </c>
    </row>
    <row r="2989" spans="1:4" ht="12.95" customHeight="1" x14ac:dyDescent="0.25">
      <c r="A2989" s="2" t="s">
        <v>428</v>
      </c>
      <c r="B2989" s="2" t="s">
        <v>1113</v>
      </c>
      <c r="C2989" s="5" t="s">
        <v>4548</v>
      </c>
      <c r="D2989" s="2" t="s">
        <v>4549</v>
      </c>
    </row>
    <row r="2990" spans="1:4" ht="12.95" customHeight="1" x14ac:dyDescent="0.25">
      <c r="A2990" s="2" t="s">
        <v>428</v>
      </c>
      <c r="B2990" s="2" t="s">
        <v>1113</v>
      </c>
      <c r="C2990" s="5" t="s">
        <v>4550</v>
      </c>
      <c r="D2990" s="2" t="s">
        <v>4551</v>
      </c>
    </row>
    <row r="2991" spans="1:4" ht="12.95" customHeight="1" x14ac:dyDescent="0.25">
      <c r="A2991" s="2" t="s">
        <v>428</v>
      </c>
      <c r="B2991" s="2" t="s">
        <v>1113</v>
      </c>
      <c r="C2991" s="5" t="s">
        <v>4552</v>
      </c>
      <c r="D2991" s="2" t="s">
        <v>3507</v>
      </c>
    </row>
    <row r="2992" spans="1:4" ht="12.95" customHeight="1" x14ac:dyDescent="0.25">
      <c r="A2992" s="2" t="s">
        <v>428</v>
      </c>
      <c r="B2992" s="2" t="s">
        <v>1113</v>
      </c>
      <c r="C2992" s="5" t="s">
        <v>4553</v>
      </c>
      <c r="D2992" s="2" t="s">
        <v>3509</v>
      </c>
    </row>
    <row r="2993" spans="1:4" ht="12.95" customHeight="1" x14ac:dyDescent="0.25">
      <c r="A2993" s="2" t="s">
        <v>428</v>
      </c>
      <c r="B2993" s="2" t="s">
        <v>1113</v>
      </c>
      <c r="C2993" s="5" t="s">
        <v>4554</v>
      </c>
      <c r="D2993" s="2" t="s">
        <v>4555</v>
      </c>
    </row>
    <row r="2994" spans="1:4" ht="12.95" customHeight="1" x14ac:dyDescent="0.25">
      <c r="A2994" s="2" t="s">
        <v>428</v>
      </c>
      <c r="B2994" s="2" t="s">
        <v>1113</v>
      </c>
      <c r="C2994" s="5" t="s">
        <v>4556</v>
      </c>
      <c r="D2994" s="2" t="s">
        <v>4557</v>
      </c>
    </row>
    <row r="2995" spans="1:4" ht="12.95" customHeight="1" x14ac:dyDescent="0.25">
      <c r="A2995" s="2" t="s">
        <v>428</v>
      </c>
      <c r="B2995" s="2" t="s">
        <v>1113</v>
      </c>
      <c r="C2995" s="5" t="s">
        <v>4558</v>
      </c>
      <c r="D2995" s="2" t="s">
        <v>4559</v>
      </c>
    </row>
    <row r="2996" spans="1:4" ht="12.95" customHeight="1" x14ac:dyDescent="0.25">
      <c r="A2996" s="2" t="s">
        <v>428</v>
      </c>
      <c r="B2996" s="2" t="s">
        <v>1113</v>
      </c>
      <c r="C2996" s="5" t="s">
        <v>4560</v>
      </c>
      <c r="D2996" s="2" t="s">
        <v>4320</v>
      </c>
    </row>
    <row r="2997" spans="1:4" ht="12.95" customHeight="1" x14ac:dyDescent="0.25">
      <c r="A2997" s="2" t="s">
        <v>428</v>
      </c>
      <c r="B2997" s="2" t="s">
        <v>1113</v>
      </c>
      <c r="C2997" s="5" t="s">
        <v>4561</v>
      </c>
      <c r="D2997" s="2" t="s">
        <v>4562</v>
      </c>
    </row>
    <row r="2998" spans="1:4" ht="12.95" customHeight="1" x14ac:dyDescent="0.25">
      <c r="A2998" s="2" t="s">
        <v>428</v>
      </c>
      <c r="B2998" s="2" t="s">
        <v>1113</v>
      </c>
      <c r="C2998" s="5" t="s">
        <v>4563</v>
      </c>
      <c r="D2998" s="2" t="s">
        <v>4564</v>
      </c>
    </row>
    <row r="2999" spans="1:4" ht="12.95" customHeight="1" x14ac:dyDescent="0.25">
      <c r="A2999" s="2" t="s">
        <v>428</v>
      </c>
      <c r="B2999" s="2" t="s">
        <v>1113</v>
      </c>
      <c r="C2999" s="5" t="s">
        <v>4565</v>
      </c>
      <c r="D2999" s="2" t="s">
        <v>4566</v>
      </c>
    </row>
    <row r="3000" spans="1:4" ht="12.95" customHeight="1" x14ac:dyDescent="0.25">
      <c r="A3000" s="2" t="s">
        <v>428</v>
      </c>
      <c r="B3000" s="2" t="s">
        <v>1113</v>
      </c>
      <c r="C3000" s="5" t="s">
        <v>4567</v>
      </c>
      <c r="D3000" s="2" t="s">
        <v>4568</v>
      </c>
    </row>
    <row r="3001" spans="1:4" ht="12.95" customHeight="1" x14ac:dyDescent="0.25">
      <c r="A3001" s="2" t="s">
        <v>428</v>
      </c>
      <c r="B3001" s="2" t="s">
        <v>1113</v>
      </c>
      <c r="C3001" s="5" t="s">
        <v>4569</v>
      </c>
      <c r="D3001" s="2" t="s">
        <v>4570</v>
      </c>
    </row>
    <row r="3002" spans="1:4" ht="12.95" customHeight="1" x14ac:dyDescent="0.25">
      <c r="A3002" s="2" t="s">
        <v>428</v>
      </c>
      <c r="B3002" s="2" t="s">
        <v>1113</v>
      </c>
      <c r="C3002" s="5" t="s">
        <v>4571</v>
      </c>
      <c r="D3002" s="2" t="s">
        <v>4572</v>
      </c>
    </row>
    <row r="3003" spans="1:4" ht="12.95" customHeight="1" x14ac:dyDescent="0.25">
      <c r="A3003" s="2" t="s">
        <v>428</v>
      </c>
      <c r="B3003" s="2" t="s">
        <v>1113</v>
      </c>
      <c r="C3003" s="5" t="s">
        <v>4573</v>
      </c>
      <c r="D3003" s="2" t="s">
        <v>4574</v>
      </c>
    </row>
    <row r="3004" spans="1:4" ht="12.95" customHeight="1" x14ac:dyDescent="0.25">
      <c r="A3004" s="2" t="s">
        <v>428</v>
      </c>
      <c r="B3004" s="2" t="s">
        <v>1113</v>
      </c>
      <c r="C3004" s="5" t="s">
        <v>4575</v>
      </c>
      <c r="D3004" s="2" t="s">
        <v>4576</v>
      </c>
    </row>
    <row r="3005" spans="1:4" ht="12.95" customHeight="1" x14ac:dyDescent="0.25">
      <c r="A3005" s="2" t="s">
        <v>428</v>
      </c>
      <c r="B3005" s="2" t="s">
        <v>1113</v>
      </c>
      <c r="C3005" s="5" t="s">
        <v>4577</v>
      </c>
      <c r="D3005" s="2" t="s">
        <v>4578</v>
      </c>
    </row>
    <row r="3006" spans="1:4" ht="12.95" customHeight="1" x14ac:dyDescent="0.25">
      <c r="A3006" s="2" t="s">
        <v>428</v>
      </c>
      <c r="B3006" s="2" t="s">
        <v>1113</v>
      </c>
      <c r="C3006" s="5" t="s">
        <v>4579</v>
      </c>
      <c r="D3006" s="2" t="s">
        <v>4580</v>
      </c>
    </row>
    <row r="3007" spans="1:4" ht="12.95" customHeight="1" x14ac:dyDescent="0.25">
      <c r="A3007" s="2" t="s">
        <v>428</v>
      </c>
      <c r="B3007" s="2" t="s">
        <v>1113</v>
      </c>
      <c r="C3007" s="5" t="s">
        <v>4581</v>
      </c>
      <c r="D3007" s="2" t="s">
        <v>4582</v>
      </c>
    </row>
    <row r="3008" spans="1:4" ht="12.95" customHeight="1" x14ac:dyDescent="0.25">
      <c r="A3008" s="2" t="s">
        <v>428</v>
      </c>
      <c r="B3008" s="2" t="s">
        <v>1113</v>
      </c>
      <c r="C3008" s="5" t="s">
        <v>4583</v>
      </c>
      <c r="D3008" s="2" t="s">
        <v>4584</v>
      </c>
    </row>
    <row r="3009" spans="1:4" ht="12.95" customHeight="1" x14ac:dyDescent="0.25">
      <c r="A3009" s="2" t="s">
        <v>428</v>
      </c>
      <c r="B3009" s="2" t="s">
        <v>1113</v>
      </c>
      <c r="C3009" s="5" t="s">
        <v>4585</v>
      </c>
      <c r="D3009" s="2" t="s">
        <v>4586</v>
      </c>
    </row>
    <row r="3010" spans="1:4" ht="12.95" customHeight="1" x14ac:dyDescent="0.25">
      <c r="A3010" s="2" t="s">
        <v>428</v>
      </c>
      <c r="B3010" s="2" t="s">
        <v>1113</v>
      </c>
      <c r="C3010" s="5" t="s">
        <v>4587</v>
      </c>
      <c r="D3010" s="2" t="s">
        <v>4588</v>
      </c>
    </row>
    <row r="3011" spans="1:4" ht="12.95" customHeight="1" x14ac:dyDescent="0.25">
      <c r="A3011" s="2" t="s">
        <v>428</v>
      </c>
      <c r="B3011" s="2" t="s">
        <v>1113</v>
      </c>
      <c r="C3011" s="5" t="s">
        <v>4589</v>
      </c>
      <c r="D3011" s="2" t="s">
        <v>4590</v>
      </c>
    </row>
    <row r="3012" spans="1:4" ht="12.95" customHeight="1" x14ac:dyDescent="0.25">
      <c r="A3012" s="2" t="s">
        <v>428</v>
      </c>
      <c r="B3012" s="2" t="s">
        <v>1113</v>
      </c>
      <c r="C3012" s="5" t="s">
        <v>4591</v>
      </c>
      <c r="D3012" s="2" t="s">
        <v>4592</v>
      </c>
    </row>
    <row r="3013" spans="1:4" ht="12.95" customHeight="1" x14ac:dyDescent="0.25">
      <c r="A3013" s="2" t="s">
        <v>428</v>
      </c>
      <c r="B3013" s="2" t="s">
        <v>1113</v>
      </c>
      <c r="C3013" s="5" t="s">
        <v>4593</v>
      </c>
      <c r="D3013" s="2" t="s">
        <v>4594</v>
      </c>
    </row>
    <row r="3014" spans="1:4" ht="12.95" customHeight="1" x14ac:dyDescent="0.25">
      <c r="A3014" s="2" t="s">
        <v>428</v>
      </c>
      <c r="B3014" s="2" t="s">
        <v>1113</v>
      </c>
      <c r="C3014" s="5" t="s">
        <v>4595</v>
      </c>
      <c r="D3014" s="2" t="s">
        <v>4596</v>
      </c>
    </row>
    <row r="3015" spans="1:4" ht="12.95" customHeight="1" x14ac:dyDescent="0.25">
      <c r="A3015" s="2" t="s">
        <v>428</v>
      </c>
      <c r="B3015" s="2" t="s">
        <v>1113</v>
      </c>
      <c r="C3015" s="5" t="s">
        <v>4597</v>
      </c>
      <c r="D3015" s="2" t="s">
        <v>4598</v>
      </c>
    </row>
    <row r="3016" spans="1:4" ht="12.95" customHeight="1" x14ac:dyDescent="0.25">
      <c r="A3016" s="2" t="s">
        <v>428</v>
      </c>
      <c r="B3016" s="2" t="s">
        <v>1113</v>
      </c>
      <c r="C3016" s="5" t="s">
        <v>4599</v>
      </c>
      <c r="D3016" s="2" t="s">
        <v>4600</v>
      </c>
    </row>
    <row r="3017" spans="1:4" ht="12.95" customHeight="1" x14ac:dyDescent="0.25">
      <c r="A3017" s="2" t="s">
        <v>428</v>
      </c>
      <c r="B3017" s="2" t="s">
        <v>1113</v>
      </c>
      <c r="C3017" s="5" t="s">
        <v>4601</v>
      </c>
      <c r="D3017" s="2" t="s">
        <v>4602</v>
      </c>
    </row>
    <row r="3018" spans="1:4" ht="12.95" customHeight="1" x14ac:dyDescent="0.25">
      <c r="A3018" s="2" t="s">
        <v>428</v>
      </c>
      <c r="B3018" s="2" t="s">
        <v>1113</v>
      </c>
      <c r="C3018" s="5" t="s">
        <v>4603</v>
      </c>
      <c r="D3018" s="2" t="s">
        <v>4604</v>
      </c>
    </row>
    <row r="3019" spans="1:4" ht="12.95" customHeight="1" x14ac:dyDescent="0.25">
      <c r="A3019" s="2" t="s">
        <v>428</v>
      </c>
      <c r="B3019" s="2" t="s">
        <v>1113</v>
      </c>
      <c r="C3019" s="5" t="s">
        <v>4605</v>
      </c>
      <c r="D3019" s="2" t="s">
        <v>4606</v>
      </c>
    </row>
    <row r="3020" spans="1:4" ht="12.95" customHeight="1" x14ac:dyDescent="0.25">
      <c r="A3020" s="2" t="s">
        <v>428</v>
      </c>
      <c r="B3020" s="2" t="s">
        <v>1113</v>
      </c>
      <c r="C3020" s="5" t="s">
        <v>4607</v>
      </c>
      <c r="D3020" s="2" t="s">
        <v>4608</v>
      </c>
    </row>
    <row r="3021" spans="1:4" ht="12.95" customHeight="1" x14ac:dyDescent="0.25">
      <c r="A3021" s="2" t="s">
        <v>428</v>
      </c>
      <c r="B3021" s="2" t="s">
        <v>1113</v>
      </c>
      <c r="C3021" s="5" t="s">
        <v>4609</v>
      </c>
      <c r="D3021" s="2" t="s">
        <v>4610</v>
      </c>
    </row>
    <row r="3022" spans="1:4" ht="12.95" customHeight="1" x14ac:dyDescent="0.25">
      <c r="A3022" s="2" t="s">
        <v>428</v>
      </c>
      <c r="B3022" s="2" t="s">
        <v>1113</v>
      </c>
      <c r="C3022" s="5" t="s">
        <v>4611</v>
      </c>
      <c r="D3022" s="2" t="s">
        <v>4612</v>
      </c>
    </row>
    <row r="3023" spans="1:4" ht="12.95" customHeight="1" x14ac:dyDescent="0.25">
      <c r="A3023" s="2" t="s">
        <v>428</v>
      </c>
      <c r="B3023" s="2" t="s">
        <v>1113</v>
      </c>
      <c r="C3023" s="5" t="s">
        <v>4613</v>
      </c>
      <c r="D3023" s="2" t="s">
        <v>4614</v>
      </c>
    </row>
    <row r="3024" spans="1:4" ht="12.95" customHeight="1" x14ac:dyDescent="0.25">
      <c r="A3024" s="2" t="s">
        <v>428</v>
      </c>
      <c r="B3024" s="2" t="s">
        <v>1113</v>
      </c>
      <c r="C3024" s="5" t="s">
        <v>4615</v>
      </c>
      <c r="D3024" s="2" t="s">
        <v>4616</v>
      </c>
    </row>
    <row r="3025" spans="1:4" ht="12.95" customHeight="1" x14ac:dyDescent="0.25">
      <c r="A3025" s="2" t="s">
        <v>428</v>
      </c>
      <c r="B3025" s="2" t="s">
        <v>1113</v>
      </c>
      <c r="C3025" s="5" t="s">
        <v>4617</v>
      </c>
      <c r="D3025" s="2" t="s">
        <v>4618</v>
      </c>
    </row>
    <row r="3026" spans="1:4" ht="12.95" customHeight="1" x14ac:dyDescent="0.25">
      <c r="A3026" s="2" t="s">
        <v>428</v>
      </c>
      <c r="B3026" s="2" t="s">
        <v>1113</v>
      </c>
      <c r="C3026" s="5" t="s">
        <v>4619</v>
      </c>
      <c r="D3026" s="2" t="s">
        <v>4620</v>
      </c>
    </row>
    <row r="3027" spans="1:4" ht="12.95" customHeight="1" x14ac:dyDescent="0.25">
      <c r="A3027" s="2" t="s">
        <v>428</v>
      </c>
      <c r="B3027" s="2" t="s">
        <v>1113</v>
      </c>
      <c r="C3027" s="5" t="s">
        <v>4621</v>
      </c>
      <c r="D3027" s="2" t="s">
        <v>4622</v>
      </c>
    </row>
    <row r="3028" spans="1:4" ht="12.95" customHeight="1" x14ac:dyDescent="0.25">
      <c r="A3028" s="2" t="s">
        <v>428</v>
      </c>
      <c r="B3028" s="2" t="s">
        <v>1113</v>
      </c>
      <c r="C3028" s="5" t="s">
        <v>4623</v>
      </c>
      <c r="D3028" s="2" t="s">
        <v>4624</v>
      </c>
    </row>
    <row r="3029" spans="1:4" ht="12.95" customHeight="1" x14ac:dyDescent="0.25">
      <c r="A3029" s="2" t="s">
        <v>428</v>
      </c>
      <c r="B3029" s="2" t="s">
        <v>1113</v>
      </c>
      <c r="C3029" s="5" t="s">
        <v>4625</v>
      </c>
      <c r="D3029" s="2" t="s">
        <v>4626</v>
      </c>
    </row>
    <row r="3030" spans="1:4" ht="12.95" customHeight="1" x14ac:dyDescent="0.25">
      <c r="A3030" s="2" t="s">
        <v>428</v>
      </c>
      <c r="B3030" s="2" t="s">
        <v>1113</v>
      </c>
      <c r="C3030" s="5" t="s">
        <v>4627</v>
      </c>
      <c r="D3030" s="2" t="s">
        <v>4628</v>
      </c>
    </row>
    <row r="3031" spans="1:4" ht="12.95" customHeight="1" x14ac:dyDescent="0.25">
      <c r="A3031" s="2" t="s">
        <v>428</v>
      </c>
      <c r="B3031" s="2" t="s">
        <v>1113</v>
      </c>
      <c r="C3031" s="5" t="s">
        <v>4629</v>
      </c>
      <c r="D3031" s="2" t="s">
        <v>4630</v>
      </c>
    </row>
    <row r="3032" spans="1:4" ht="12.95" customHeight="1" x14ac:dyDescent="0.25">
      <c r="A3032" s="2" t="s">
        <v>428</v>
      </c>
      <c r="B3032" s="2" t="s">
        <v>1113</v>
      </c>
      <c r="C3032" s="5" t="s">
        <v>4631</v>
      </c>
      <c r="D3032" s="2" t="s">
        <v>4632</v>
      </c>
    </row>
    <row r="3033" spans="1:4" ht="12.95" customHeight="1" x14ac:dyDescent="0.25">
      <c r="A3033" s="2" t="s">
        <v>428</v>
      </c>
      <c r="B3033" s="2" t="s">
        <v>1113</v>
      </c>
      <c r="C3033" s="5" t="s">
        <v>4633</v>
      </c>
      <c r="D3033" s="2" t="s">
        <v>4634</v>
      </c>
    </row>
    <row r="3034" spans="1:4" ht="12.95" customHeight="1" x14ac:dyDescent="0.25">
      <c r="A3034" s="2" t="s">
        <v>428</v>
      </c>
      <c r="B3034" s="2" t="s">
        <v>1113</v>
      </c>
      <c r="C3034" s="5" t="s">
        <v>4635</v>
      </c>
      <c r="D3034" s="2" t="s">
        <v>4636</v>
      </c>
    </row>
    <row r="3035" spans="1:4" ht="12.95" customHeight="1" x14ac:dyDescent="0.25">
      <c r="A3035" s="2" t="s">
        <v>428</v>
      </c>
      <c r="B3035" s="2" t="s">
        <v>1113</v>
      </c>
      <c r="C3035" s="5" t="s">
        <v>4637</v>
      </c>
      <c r="D3035" s="2" t="s">
        <v>4638</v>
      </c>
    </row>
    <row r="3036" spans="1:4" ht="12.95" customHeight="1" x14ac:dyDescent="0.25">
      <c r="A3036" s="2" t="s">
        <v>428</v>
      </c>
      <c r="B3036" s="2" t="s">
        <v>1113</v>
      </c>
      <c r="C3036" s="5" t="s">
        <v>4639</v>
      </c>
      <c r="D3036" s="2" t="s">
        <v>4640</v>
      </c>
    </row>
    <row r="3037" spans="1:4" ht="12.95" customHeight="1" x14ac:dyDescent="0.25">
      <c r="A3037" s="2" t="s">
        <v>428</v>
      </c>
      <c r="B3037" s="2" t="s">
        <v>1113</v>
      </c>
      <c r="C3037" s="5" t="s">
        <v>4641</v>
      </c>
      <c r="D3037" s="2" t="s">
        <v>4642</v>
      </c>
    </row>
    <row r="3038" spans="1:4" ht="12.95" customHeight="1" x14ac:dyDescent="0.25">
      <c r="A3038" s="2" t="s">
        <v>428</v>
      </c>
      <c r="B3038" s="2" t="s">
        <v>1113</v>
      </c>
      <c r="C3038" s="5" t="s">
        <v>4643</v>
      </c>
      <c r="D3038" s="2" t="s">
        <v>4644</v>
      </c>
    </row>
    <row r="3039" spans="1:4" ht="12.95" customHeight="1" x14ac:dyDescent="0.25">
      <c r="A3039" s="2" t="s">
        <v>428</v>
      </c>
      <c r="B3039" s="2" t="s">
        <v>1113</v>
      </c>
      <c r="C3039" s="5" t="s">
        <v>4645</v>
      </c>
      <c r="D3039" s="2" t="s">
        <v>4646</v>
      </c>
    </row>
    <row r="3040" spans="1:4" ht="12.95" customHeight="1" x14ac:dyDescent="0.25">
      <c r="A3040" s="2" t="s">
        <v>428</v>
      </c>
      <c r="B3040" s="2" t="s">
        <v>1113</v>
      </c>
      <c r="C3040" s="5" t="s">
        <v>4647</v>
      </c>
      <c r="D3040" s="2" t="s">
        <v>4648</v>
      </c>
    </row>
    <row r="3041" spans="1:4" ht="12.95" customHeight="1" x14ac:dyDescent="0.25">
      <c r="A3041" s="2" t="s">
        <v>428</v>
      </c>
      <c r="B3041" s="2" t="s">
        <v>1113</v>
      </c>
      <c r="C3041" s="5" t="s">
        <v>4649</v>
      </c>
      <c r="D3041" s="2" t="s">
        <v>4650</v>
      </c>
    </row>
    <row r="3042" spans="1:4" ht="12.95" customHeight="1" x14ac:dyDescent="0.25">
      <c r="A3042" s="2" t="s">
        <v>428</v>
      </c>
      <c r="B3042" s="2" t="s">
        <v>1113</v>
      </c>
      <c r="C3042" s="5" t="s">
        <v>4651</v>
      </c>
      <c r="D3042" s="2" t="s">
        <v>3427</v>
      </c>
    </row>
    <row r="3043" spans="1:4" ht="12.95" customHeight="1" x14ac:dyDescent="0.25">
      <c r="A3043" s="2" t="s">
        <v>428</v>
      </c>
      <c r="B3043" s="2" t="s">
        <v>1113</v>
      </c>
      <c r="C3043" s="5" t="s">
        <v>4652</v>
      </c>
      <c r="D3043" s="2" t="s">
        <v>3451</v>
      </c>
    </row>
    <row r="3044" spans="1:4" ht="12.95" customHeight="1" x14ac:dyDescent="0.25">
      <c r="A3044" s="2" t="s">
        <v>428</v>
      </c>
      <c r="B3044" s="2" t="s">
        <v>1113</v>
      </c>
      <c r="C3044" s="5" t="s">
        <v>4653</v>
      </c>
      <c r="D3044" s="2" t="s">
        <v>3628</v>
      </c>
    </row>
    <row r="3045" spans="1:4" ht="12.95" customHeight="1" x14ac:dyDescent="0.25">
      <c r="A3045" s="2" t="s">
        <v>428</v>
      </c>
      <c r="B3045" s="2" t="s">
        <v>1113</v>
      </c>
      <c r="C3045" s="5" t="s">
        <v>4654</v>
      </c>
      <c r="D3045" s="2" t="s">
        <v>3636</v>
      </c>
    </row>
    <row r="3046" spans="1:4" ht="12.95" customHeight="1" x14ac:dyDescent="0.25">
      <c r="A3046" s="2" t="s">
        <v>428</v>
      </c>
      <c r="B3046" s="2" t="s">
        <v>1113</v>
      </c>
      <c r="C3046" s="5" t="s">
        <v>4655</v>
      </c>
      <c r="D3046" s="2" t="s">
        <v>3455</v>
      </c>
    </row>
    <row r="3047" spans="1:4" ht="12.95" customHeight="1" x14ac:dyDescent="0.25">
      <c r="A3047" s="2" t="s">
        <v>428</v>
      </c>
      <c r="B3047" s="2" t="s">
        <v>1113</v>
      </c>
      <c r="C3047" s="5" t="s">
        <v>4656</v>
      </c>
      <c r="D3047" s="2" t="s">
        <v>4657</v>
      </c>
    </row>
    <row r="3048" spans="1:4" ht="12.95" customHeight="1" x14ac:dyDescent="0.25">
      <c r="A3048" s="2" t="s">
        <v>428</v>
      </c>
      <c r="B3048" s="2" t="s">
        <v>1113</v>
      </c>
      <c r="C3048" s="5" t="s">
        <v>4658</v>
      </c>
      <c r="D3048" s="2" t="s">
        <v>4659</v>
      </c>
    </row>
    <row r="3049" spans="1:4" ht="12.95" customHeight="1" x14ac:dyDescent="0.25">
      <c r="A3049" s="2" t="s">
        <v>428</v>
      </c>
      <c r="B3049" s="2" t="s">
        <v>1113</v>
      </c>
      <c r="C3049" s="5" t="s">
        <v>4660</v>
      </c>
      <c r="D3049" s="2" t="s">
        <v>4661</v>
      </c>
    </row>
    <row r="3050" spans="1:4" ht="12.95" customHeight="1" x14ac:dyDescent="0.25">
      <c r="A3050" s="2" t="s">
        <v>428</v>
      </c>
      <c r="B3050" s="2" t="s">
        <v>1113</v>
      </c>
      <c r="C3050" s="5" t="s">
        <v>4662</v>
      </c>
      <c r="D3050" s="2" t="s">
        <v>4663</v>
      </c>
    </row>
    <row r="3051" spans="1:4" ht="12.95" customHeight="1" x14ac:dyDescent="0.25">
      <c r="A3051" s="2" t="s">
        <v>428</v>
      </c>
      <c r="B3051" s="2" t="s">
        <v>1113</v>
      </c>
      <c r="C3051" s="5" t="s">
        <v>4664</v>
      </c>
      <c r="D3051" s="2" t="s">
        <v>4665</v>
      </c>
    </row>
    <row r="3052" spans="1:4" ht="12.95" customHeight="1" x14ac:dyDescent="0.25">
      <c r="A3052" s="2" t="s">
        <v>428</v>
      </c>
      <c r="B3052" s="2" t="s">
        <v>1113</v>
      </c>
      <c r="C3052" s="5" t="s">
        <v>4666</v>
      </c>
      <c r="D3052" s="2" t="s">
        <v>4667</v>
      </c>
    </row>
    <row r="3053" spans="1:4" ht="12.95" customHeight="1" x14ac:dyDescent="0.25">
      <c r="A3053" s="2" t="s">
        <v>428</v>
      </c>
      <c r="B3053" s="2" t="s">
        <v>1113</v>
      </c>
      <c r="C3053" s="5" t="s">
        <v>4668</v>
      </c>
      <c r="D3053" s="2" t="s">
        <v>4669</v>
      </c>
    </row>
    <row r="3054" spans="1:4" ht="12.95" customHeight="1" x14ac:dyDescent="0.25">
      <c r="A3054" s="2" t="s">
        <v>428</v>
      </c>
      <c r="B3054" s="2" t="s">
        <v>1113</v>
      </c>
      <c r="C3054" s="5" t="s">
        <v>4670</v>
      </c>
      <c r="D3054" s="2" t="s">
        <v>4671</v>
      </c>
    </row>
    <row r="3055" spans="1:4" ht="12.95" customHeight="1" x14ac:dyDescent="0.25">
      <c r="A3055" s="2" t="s">
        <v>428</v>
      </c>
      <c r="B3055" s="2" t="s">
        <v>1113</v>
      </c>
      <c r="C3055" s="5" t="s">
        <v>4672</v>
      </c>
      <c r="D3055" s="2" t="s">
        <v>4673</v>
      </c>
    </row>
    <row r="3056" spans="1:4" ht="12.95" customHeight="1" x14ac:dyDescent="0.25">
      <c r="A3056" s="2" t="s">
        <v>428</v>
      </c>
      <c r="B3056" s="2" t="s">
        <v>1113</v>
      </c>
      <c r="C3056" s="5" t="s">
        <v>4674</v>
      </c>
      <c r="D3056" s="2" t="s">
        <v>3507</v>
      </c>
    </row>
    <row r="3057" spans="1:4" ht="12.95" customHeight="1" x14ac:dyDescent="0.25">
      <c r="A3057" s="2" t="s">
        <v>428</v>
      </c>
      <c r="B3057" s="2" t="s">
        <v>1113</v>
      </c>
      <c r="C3057" s="5" t="s">
        <v>4675</v>
      </c>
      <c r="D3057" s="2" t="s">
        <v>3509</v>
      </c>
    </row>
    <row r="3058" spans="1:4" ht="12.95" customHeight="1" x14ac:dyDescent="0.25">
      <c r="A3058" s="2" t="s">
        <v>428</v>
      </c>
      <c r="B3058" s="2" t="s">
        <v>1113</v>
      </c>
      <c r="C3058" s="5" t="s">
        <v>4676</v>
      </c>
      <c r="D3058" s="2" t="s">
        <v>4677</v>
      </c>
    </row>
    <row r="3059" spans="1:4" ht="12.95" customHeight="1" x14ac:dyDescent="0.25">
      <c r="A3059" s="2" t="s">
        <v>428</v>
      </c>
      <c r="B3059" s="2" t="s">
        <v>1113</v>
      </c>
      <c r="C3059" s="5" t="s">
        <v>4678</v>
      </c>
      <c r="D3059" s="2" t="s">
        <v>4679</v>
      </c>
    </row>
    <row r="3060" spans="1:4" ht="12.95" customHeight="1" x14ac:dyDescent="0.25">
      <c r="A3060" s="2" t="s">
        <v>428</v>
      </c>
      <c r="B3060" s="2" t="s">
        <v>1113</v>
      </c>
      <c r="C3060" s="5" t="s">
        <v>4680</v>
      </c>
      <c r="D3060" s="2" t="s">
        <v>4320</v>
      </c>
    </row>
    <row r="3061" spans="1:4" ht="12.95" customHeight="1" x14ac:dyDescent="0.25">
      <c r="A3061" s="2" t="s">
        <v>428</v>
      </c>
      <c r="B3061" s="2" t="s">
        <v>1113</v>
      </c>
      <c r="C3061" s="5" t="s">
        <v>4681</v>
      </c>
      <c r="D3061" s="2" t="s">
        <v>3634</v>
      </c>
    </row>
    <row r="3062" spans="1:4" ht="12.95" customHeight="1" x14ac:dyDescent="0.25">
      <c r="A3062" s="2" t="s">
        <v>428</v>
      </c>
      <c r="B3062" s="2" t="s">
        <v>1113</v>
      </c>
      <c r="C3062" s="5" t="s">
        <v>4682</v>
      </c>
      <c r="D3062" s="2" t="s">
        <v>3636</v>
      </c>
    </row>
    <row r="3063" spans="1:4" ht="12.95" customHeight="1" x14ac:dyDescent="0.25">
      <c r="A3063" s="2" t="s">
        <v>428</v>
      </c>
      <c r="B3063" s="2" t="s">
        <v>1113</v>
      </c>
      <c r="C3063" s="5" t="s">
        <v>4683</v>
      </c>
      <c r="D3063" s="2" t="s">
        <v>3640</v>
      </c>
    </row>
    <row r="3064" spans="1:4" ht="12.95" customHeight="1" x14ac:dyDescent="0.25">
      <c r="A3064" s="2" t="s">
        <v>428</v>
      </c>
      <c r="B3064" s="2" t="s">
        <v>1113</v>
      </c>
      <c r="C3064" s="5" t="s">
        <v>4684</v>
      </c>
      <c r="D3064" s="2" t="s">
        <v>3455</v>
      </c>
    </row>
    <row r="3065" spans="1:4" ht="12.95" customHeight="1" x14ac:dyDescent="0.25">
      <c r="A3065" s="2" t="s">
        <v>428</v>
      </c>
      <c r="B3065" s="2" t="s">
        <v>1113</v>
      </c>
      <c r="C3065" s="5" t="s">
        <v>4685</v>
      </c>
      <c r="D3065" s="2" t="s">
        <v>3463</v>
      </c>
    </row>
    <row r="3066" spans="1:4" ht="12.95" customHeight="1" x14ac:dyDescent="0.25">
      <c r="A3066" s="2" t="s">
        <v>428</v>
      </c>
      <c r="B3066" s="2" t="s">
        <v>1113</v>
      </c>
      <c r="C3066" s="5" t="s">
        <v>4686</v>
      </c>
      <c r="D3066" s="2" t="s">
        <v>4687</v>
      </c>
    </row>
    <row r="3067" spans="1:4" ht="12.95" customHeight="1" x14ac:dyDescent="0.25">
      <c r="A3067" s="2" t="s">
        <v>428</v>
      </c>
      <c r="B3067" s="2" t="s">
        <v>1113</v>
      </c>
      <c r="C3067" s="5" t="s">
        <v>4688</v>
      </c>
      <c r="D3067" s="2" t="s">
        <v>4689</v>
      </c>
    </row>
    <row r="3068" spans="1:4" ht="12.95" customHeight="1" x14ac:dyDescent="0.25">
      <c r="A3068" s="2" t="s">
        <v>428</v>
      </c>
      <c r="B3068" s="2" t="s">
        <v>1113</v>
      </c>
      <c r="C3068" s="5" t="s">
        <v>4690</v>
      </c>
      <c r="D3068" s="2" t="s">
        <v>4691</v>
      </c>
    </row>
    <row r="3069" spans="1:4" ht="12.95" customHeight="1" x14ac:dyDescent="0.25">
      <c r="A3069" s="2" t="s">
        <v>428</v>
      </c>
      <c r="B3069" s="2" t="s">
        <v>1113</v>
      </c>
      <c r="C3069" s="5" t="s">
        <v>4692</v>
      </c>
      <c r="D3069" s="2" t="s">
        <v>4693</v>
      </c>
    </row>
    <row r="3070" spans="1:4" ht="12.95" customHeight="1" x14ac:dyDescent="0.25">
      <c r="A3070" s="2" t="s">
        <v>428</v>
      </c>
      <c r="B3070" s="2" t="s">
        <v>1113</v>
      </c>
      <c r="C3070" s="5" t="s">
        <v>4694</v>
      </c>
      <c r="D3070" s="2" t="s">
        <v>3545</v>
      </c>
    </row>
    <row r="3071" spans="1:4" ht="12.95" customHeight="1" x14ac:dyDescent="0.25">
      <c r="A3071" s="2" t="s">
        <v>428</v>
      </c>
      <c r="B3071" s="2" t="s">
        <v>1113</v>
      </c>
      <c r="C3071" s="5" t="s">
        <v>4695</v>
      </c>
      <c r="D3071" s="2" t="s">
        <v>4696</v>
      </c>
    </row>
    <row r="3072" spans="1:4" ht="12.95" customHeight="1" x14ac:dyDescent="0.25">
      <c r="A3072" s="2" t="s">
        <v>428</v>
      </c>
      <c r="B3072" s="2" t="s">
        <v>1113</v>
      </c>
      <c r="C3072" s="5" t="s">
        <v>4697</v>
      </c>
      <c r="D3072" s="2" t="s">
        <v>4698</v>
      </c>
    </row>
    <row r="3073" spans="1:4" ht="12.95" customHeight="1" x14ac:dyDescent="0.25">
      <c r="A3073" s="2" t="s">
        <v>428</v>
      </c>
      <c r="B3073" s="2" t="s">
        <v>1113</v>
      </c>
      <c r="C3073" s="5" t="s">
        <v>4699</v>
      </c>
      <c r="D3073" s="2" t="s">
        <v>4700</v>
      </c>
    </row>
    <row r="3074" spans="1:4" ht="12.95" customHeight="1" x14ac:dyDescent="0.25">
      <c r="A3074" s="2" t="s">
        <v>428</v>
      </c>
      <c r="B3074" s="2" t="s">
        <v>1113</v>
      </c>
      <c r="C3074" s="5" t="s">
        <v>4701</v>
      </c>
      <c r="D3074" s="2" t="s">
        <v>4702</v>
      </c>
    </row>
    <row r="3075" spans="1:4" ht="12.95" customHeight="1" x14ac:dyDescent="0.25">
      <c r="A3075" s="2" t="s">
        <v>428</v>
      </c>
      <c r="B3075" s="2" t="s">
        <v>1113</v>
      </c>
      <c r="C3075" s="5" t="s">
        <v>4703</v>
      </c>
      <c r="D3075" s="2" t="s">
        <v>4704</v>
      </c>
    </row>
    <row r="3076" spans="1:4" ht="12.95" customHeight="1" x14ac:dyDescent="0.25">
      <c r="A3076" s="2" t="s">
        <v>428</v>
      </c>
      <c r="B3076" s="2" t="s">
        <v>1113</v>
      </c>
      <c r="C3076" s="5" t="s">
        <v>4705</v>
      </c>
      <c r="D3076" s="2" t="s">
        <v>4706</v>
      </c>
    </row>
    <row r="3077" spans="1:4" ht="12.95" customHeight="1" x14ac:dyDescent="0.25">
      <c r="A3077" s="2" t="s">
        <v>428</v>
      </c>
      <c r="B3077" s="2" t="s">
        <v>1113</v>
      </c>
      <c r="C3077" s="5" t="s">
        <v>4707</v>
      </c>
      <c r="D3077" s="2" t="s">
        <v>3507</v>
      </c>
    </row>
    <row r="3078" spans="1:4" ht="12.95" customHeight="1" x14ac:dyDescent="0.25">
      <c r="A3078" s="2" t="s">
        <v>428</v>
      </c>
      <c r="B3078" s="2" t="s">
        <v>1113</v>
      </c>
      <c r="C3078" s="5" t="s">
        <v>4708</v>
      </c>
      <c r="D3078" s="2" t="s">
        <v>3509</v>
      </c>
    </row>
    <row r="3079" spans="1:4" ht="12.95" customHeight="1" x14ac:dyDescent="0.25">
      <c r="A3079" s="2" t="s">
        <v>428</v>
      </c>
      <c r="B3079" s="2" t="s">
        <v>1113</v>
      </c>
      <c r="C3079" s="5" t="s">
        <v>4709</v>
      </c>
      <c r="D3079" s="2" t="s">
        <v>4710</v>
      </c>
    </row>
    <row r="3080" spans="1:4" ht="12.95" customHeight="1" x14ac:dyDescent="0.25">
      <c r="A3080" s="2" t="s">
        <v>428</v>
      </c>
      <c r="B3080" s="2" t="s">
        <v>1113</v>
      </c>
      <c r="C3080" s="5" t="s">
        <v>4711</v>
      </c>
      <c r="D3080" s="2" t="s">
        <v>4712</v>
      </c>
    </row>
    <row r="3081" spans="1:4" ht="12.95" customHeight="1" x14ac:dyDescent="0.25">
      <c r="A3081" s="2" t="s">
        <v>428</v>
      </c>
      <c r="B3081" s="2" t="s">
        <v>1113</v>
      </c>
      <c r="C3081" s="5" t="s">
        <v>4713</v>
      </c>
      <c r="D3081" s="2" t="s">
        <v>4714</v>
      </c>
    </row>
    <row r="3082" spans="1:4" ht="12.95" customHeight="1" x14ac:dyDescent="0.25">
      <c r="A3082" s="2" t="s">
        <v>428</v>
      </c>
      <c r="B3082" s="2" t="s">
        <v>1113</v>
      </c>
      <c r="C3082" s="5" t="s">
        <v>4715</v>
      </c>
      <c r="D3082" s="2" t="s">
        <v>4716</v>
      </c>
    </row>
    <row r="3083" spans="1:4" ht="12.95" customHeight="1" x14ac:dyDescent="0.25">
      <c r="A3083" s="2" t="s">
        <v>428</v>
      </c>
      <c r="B3083" s="2" t="s">
        <v>1113</v>
      </c>
      <c r="C3083" s="5" t="s">
        <v>4717</v>
      </c>
      <c r="D3083" s="2" t="s">
        <v>4718</v>
      </c>
    </row>
    <row r="3084" spans="1:4" ht="12.95" customHeight="1" x14ac:dyDescent="0.25">
      <c r="A3084" s="2" t="s">
        <v>428</v>
      </c>
      <c r="B3084" s="2" t="s">
        <v>1113</v>
      </c>
      <c r="C3084" s="5" t="s">
        <v>4719</v>
      </c>
      <c r="D3084" s="2" t="s">
        <v>4720</v>
      </c>
    </row>
    <row r="3085" spans="1:4" ht="12.95" customHeight="1" x14ac:dyDescent="0.25">
      <c r="A3085" s="2" t="s">
        <v>428</v>
      </c>
      <c r="B3085" s="2" t="s">
        <v>1113</v>
      </c>
      <c r="C3085" s="5" t="s">
        <v>4721</v>
      </c>
      <c r="D3085" s="2" t="s">
        <v>4320</v>
      </c>
    </row>
    <row r="3086" spans="1:4" ht="12.95" customHeight="1" x14ac:dyDescent="0.25">
      <c r="A3086" s="2" t="s">
        <v>428</v>
      </c>
      <c r="B3086" s="2" t="s">
        <v>1113</v>
      </c>
      <c r="C3086" s="5" t="s">
        <v>4722</v>
      </c>
      <c r="D3086" s="2" t="s">
        <v>4723</v>
      </c>
    </row>
    <row r="3087" spans="1:4" ht="12.95" customHeight="1" x14ac:dyDescent="0.25">
      <c r="A3087" s="2" t="s">
        <v>428</v>
      </c>
      <c r="B3087" s="2" t="s">
        <v>1113</v>
      </c>
      <c r="C3087" s="5" t="s">
        <v>4724</v>
      </c>
      <c r="D3087" s="2" t="s">
        <v>4725</v>
      </c>
    </row>
    <row r="3088" spans="1:4" ht="12.95" customHeight="1" x14ac:dyDescent="0.25">
      <c r="A3088" s="2" t="s">
        <v>428</v>
      </c>
      <c r="B3088" s="2" t="s">
        <v>1113</v>
      </c>
      <c r="C3088" s="5" t="s">
        <v>4726</v>
      </c>
      <c r="D3088" s="2" t="s">
        <v>4727</v>
      </c>
    </row>
    <row r="3089" spans="1:4" ht="12.95" customHeight="1" x14ac:dyDescent="0.25">
      <c r="A3089" s="2" t="s">
        <v>428</v>
      </c>
      <c r="B3089" s="2" t="s">
        <v>1113</v>
      </c>
      <c r="C3089" s="5" t="s">
        <v>4728</v>
      </c>
      <c r="D3089" s="2" t="s">
        <v>4729</v>
      </c>
    </row>
    <row r="3090" spans="1:4" ht="12.95" customHeight="1" x14ac:dyDescent="0.25">
      <c r="A3090" s="2" t="s">
        <v>428</v>
      </c>
      <c r="B3090" s="2" t="s">
        <v>1113</v>
      </c>
      <c r="C3090" s="5" t="s">
        <v>4730</v>
      </c>
      <c r="D3090" s="2" t="s">
        <v>4731</v>
      </c>
    </row>
    <row r="3091" spans="1:4" ht="12.95" customHeight="1" x14ac:dyDescent="0.25">
      <c r="A3091" s="2" t="s">
        <v>428</v>
      </c>
      <c r="B3091" s="2" t="s">
        <v>1113</v>
      </c>
      <c r="C3091" s="5" t="s">
        <v>4732</v>
      </c>
      <c r="D3091" s="2" t="s">
        <v>4733</v>
      </c>
    </row>
    <row r="3092" spans="1:4" ht="12.95" customHeight="1" x14ac:dyDescent="0.25">
      <c r="A3092" s="2" t="s">
        <v>428</v>
      </c>
      <c r="B3092" s="2" t="s">
        <v>1113</v>
      </c>
      <c r="C3092" s="5" t="s">
        <v>4734</v>
      </c>
      <c r="D3092" s="2" t="s">
        <v>4568</v>
      </c>
    </row>
    <row r="3093" spans="1:4" ht="12.95" customHeight="1" x14ac:dyDescent="0.25">
      <c r="A3093" s="2" t="s">
        <v>428</v>
      </c>
      <c r="B3093" s="2" t="s">
        <v>1113</v>
      </c>
      <c r="C3093" s="5" t="s">
        <v>4735</v>
      </c>
      <c r="D3093" s="2" t="s">
        <v>4736</v>
      </c>
    </row>
    <row r="3094" spans="1:4" ht="12.95" customHeight="1" x14ac:dyDescent="0.25">
      <c r="A3094" s="2" t="s">
        <v>428</v>
      </c>
      <c r="B3094" s="2" t="s">
        <v>1113</v>
      </c>
      <c r="C3094" s="5" t="s">
        <v>4737</v>
      </c>
      <c r="D3094" s="2" t="s">
        <v>4738</v>
      </c>
    </row>
    <row r="3095" spans="1:4" ht="12.95" customHeight="1" x14ac:dyDescent="0.25">
      <c r="A3095" s="2" t="s">
        <v>428</v>
      </c>
      <c r="B3095" s="2" t="s">
        <v>1113</v>
      </c>
      <c r="C3095" s="5" t="s">
        <v>4739</v>
      </c>
      <c r="D3095" s="2" t="s">
        <v>4740</v>
      </c>
    </row>
    <row r="3096" spans="1:4" ht="12.95" customHeight="1" x14ac:dyDescent="0.25">
      <c r="A3096" s="2" t="s">
        <v>428</v>
      </c>
      <c r="B3096" s="2" t="s">
        <v>1113</v>
      </c>
      <c r="C3096" s="5" t="s">
        <v>4741</v>
      </c>
      <c r="D3096" s="2" t="s">
        <v>4568</v>
      </c>
    </row>
    <row r="3097" spans="1:4" ht="12.95" customHeight="1" x14ac:dyDescent="0.25">
      <c r="A3097" s="2" t="s">
        <v>428</v>
      </c>
      <c r="B3097" s="2" t="s">
        <v>1113</v>
      </c>
      <c r="C3097" s="5" t="s">
        <v>4742</v>
      </c>
      <c r="D3097" s="2" t="s">
        <v>3648</v>
      </c>
    </row>
    <row r="3098" spans="1:4" ht="12.95" customHeight="1" x14ac:dyDescent="0.25">
      <c r="A3098" s="2" t="s">
        <v>428</v>
      </c>
      <c r="B3098" s="2" t="s">
        <v>1113</v>
      </c>
      <c r="C3098" s="5" t="s">
        <v>4743</v>
      </c>
      <c r="D3098" s="2" t="s">
        <v>4744</v>
      </c>
    </row>
    <row r="3099" spans="1:4" ht="12.95" customHeight="1" x14ac:dyDescent="0.25">
      <c r="A3099" s="2" t="s">
        <v>428</v>
      </c>
      <c r="B3099" s="2" t="s">
        <v>1113</v>
      </c>
      <c r="C3099" s="5" t="s">
        <v>4745</v>
      </c>
      <c r="D3099" s="2" t="s">
        <v>4746</v>
      </c>
    </row>
    <row r="3100" spans="1:4" ht="12.95" customHeight="1" x14ac:dyDescent="0.25">
      <c r="A3100" s="2" t="s">
        <v>428</v>
      </c>
      <c r="B3100" s="2" t="s">
        <v>1113</v>
      </c>
      <c r="C3100" s="5" t="s">
        <v>4747</v>
      </c>
      <c r="D3100" s="2" t="s">
        <v>4748</v>
      </c>
    </row>
    <row r="3101" spans="1:4" ht="12.95" customHeight="1" x14ac:dyDescent="0.25">
      <c r="A3101" s="2" t="s">
        <v>428</v>
      </c>
      <c r="B3101" s="2" t="s">
        <v>1113</v>
      </c>
      <c r="C3101" s="5" t="s">
        <v>4749</v>
      </c>
      <c r="D3101" s="2" t="s">
        <v>4750</v>
      </c>
    </row>
    <row r="3102" spans="1:4" ht="12.95" customHeight="1" x14ac:dyDescent="0.25">
      <c r="A3102" s="2" t="s">
        <v>428</v>
      </c>
      <c r="B3102" s="2" t="s">
        <v>1113</v>
      </c>
      <c r="C3102" s="5" t="s">
        <v>4751</v>
      </c>
      <c r="D3102" s="2" t="s">
        <v>3395</v>
      </c>
    </row>
    <row r="3103" spans="1:4" ht="12.95" customHeight="1" x14ac:dyDescent="0.25">
      <c r="A3103" s="2" t="s">
        <v>428</v>
      </c>
      <c r="B3103" s="2" t="s">
        <v>1113</v>
      </c>
      <c r="C3103" s="5" t="s">
        <v>4752</v>
      </c>
      <c r="D3103" s="2" t="s">
        <v>3397</v>
      </c>
    </row>
    <row r="3104" spans="1:4" ht="12.95" customHeight="1" x14ac:dyDescent="0.25">
      <c r="A3104" s="2" t="s">
        <v>428</v>
      </c>
      <c r="B3104" s="2" t="s">
        <v>1113</v>
      </c>
      <c r="C3104" s="5" t="s">
        <v>4753</v>
      </c>
      <c r="D3104" s="2" t="s">
        <v>4754</v>
      </c>
    </row>
    <row r="3105" spans="1:4" ht="12.95" customHeight="1" x14ac:dyDescent="0.25">
      <c r="A3105" s="2" t="s">
        <v>428</v>
      </c>
      <c r="B3105" s="2" t="s">
        <v>1113</v>
      </c>
      <c r="C3105" s="5" t="s">
        <v>4755</v>
      </c>
      <c r="D3105" s="2" t="s">
        <v>4756</v>
      </c>
    </row>
    <row r="3106" spans="1:4" ht="12.95" customHeight="1" x14ac:dyDescent="0.25">
      <c r="A3106" s="2" t="s">
        <v>428</v>
      </c>
      <c r="B3106" s="2" t="s">
        <v>1113</v>
      </c>
      <c r="C3106" s="5" t="s">
        <v>4757</v>
      </c>
      <c r="D3106" s="2" t="s">
        <v>4758</v>
      </c>
    </row>
    <row r="3107" spans="1:4" ht="12.95" customHeight="1" x14ac:dyDescent="0.25">
      <c r="A3107" s="2" t="s">
        <v>428</v>
      </c>
      <c r="B3107" s="2" t="s">
        <v>1113</v>
      </c>
      <c r="C3107" s="5" t="s">
        <v>4759</v>
      </c>
      <c r="D3107" s="2" t="s">
        <v>4760</v>
      </c>
    </row>
    <row r="3108" spans="1:4" ht="12.95" customHeight="1" x14ac:dyDescent="0.25">
      <c r="A3108" s="2" t="s">
        <v>428</v>
      </c>
      <c r="B3108" s="2" t="s">
        <v>1113</v>
      </c>
      <c r="C3108" s="5" t="s">
        <v>4761</v>
      </c>
      <c r="D3108" s="2" t="s">
        <v>4762</v>
      </c>
    </row>
    <row r="3109" spans="1:4" ht="12.95" customHeight="1" x14ac:dyDescent="0.25">
      <c r="A3109" s="2" t="s">
        <v>428</v>
      </c>
      <c r="B3109" s="2" t="s">
        <v>1113</v>
      </c>
      <c r="C3109" s="5" t="s">
        <v>4763</v>
      </c>
      <c r="D3109" s="2" t="s">
        <v>4764</v>
      </c>
    </row>
    <row r="3110" spans="1:4" ht="12.95" customHeight="1" x14ac:dyDescent="0.25">
      <c r="A3110" s="2" t="s">
        <v>428</v>
      </c>
      <c r="B3110" s="2" t="s">
        <v>1113</v>
      </c>
      <c r="C3110" s="5" t="s">
        <v>4765</v>
      </c>
      <c r="D3110" s="2" t="s">
        <v>4766</v>
      </c>
    </row>
    <row r="3111" spans="1:4" ht="12.95" customHeight="1" x14ac:dyDescent="0.25">
      <c r="A3111" s="2" t="s">
        <v>428</v>
      </c>
      <c r="B3111" s="2" t="s">
        <v>1113</v>
      </c>
      <c r="C3111" s="5" t="s">
        <v>4767</v>
      </c>
      <c r="D3111" s="2" t="s">
        <v>4768</v>
      </c>
    </row>
    <row r="3112" spans="1:4" ht="12.95" customHeight="1" x14ac:dyDescent="0.25">
      <c r="A3112" s="2" t="s">
        <v>428</v>
      </c>
      <c r="B3112" s="2" t="s">
        <v>1113</v>
      </c>
      <c r="C3112" s="5" t="s">
        <v>4769</v>
      </c>
      <c r="D3112" s="2" t="s">
        <v>4770</v>
      </c>
    </row>
    <row r="3113" spans="1:4" ht="12.95" customHeight="1" x14ac:dyDescent="0.25">
      <c r="A3113" s="2" t="s">
        <v>428</v>
      </c>
      <c r="B3113" s="2" t="s">
        <v>1113</v>
      </c>
      <c r="C3113" s="5" t="s">
        <v>4771</v>
      </c>
      <c r="D3113" s="2" t="s">
        <v>4772</v>
      </c>
    </row>
    <row r="3114" spans="1:4" ht="12.95" customHeight="1" x14ac:dyDescent="0.25">
      <c r="A3114" s="2" t="s">
        <v>428</v>
      </c>
      <c r="B3114" s="2" t="s">
        <v>1113</v>
      </c>
      <c r="C3114" s="5" t="s">
        <v>4773</v>
      </c>
      <c r="D3114" s="2" t="s">
        <v>4774</v>
      </c>
    </row>
    <row r="3115" spans="1:4" ht="12.95" customHeight="1" x14ac:dyDescent="0.25">
      <c r="A3115" s="2" t="s">
        <v>428</v>
      </c>
      <c r="B3115" s="2" t="s">
        <v>1113</v>
      </c>
      <c r="C3115" s="5" t="s">
        <v>4775</v>
      </c>
      <c r="D3115" s="2" t="s">
        <v>3427</v>
      </c>
    </row>
    <row r="3116" spans="1:4" ht="12.95" customHeight="1" x14ac:dyDescent="0.25">
      <c r="A3116" s="2" t="s">
        <v>428</v>
      </c>
      <c r="B3116" s="2" t="s">
        <v>1113</v>
      </c>
      <c r="C3116" s="5" t="s">
        <v>4776</v>
      </c>
      <c r="D3116" s="2" t="s">
        <v>3451</v>
      </c>
    </row>
    <row r="3117" spans="1:4" ht="12.95" customHeight="1" x14ac:dyDescent="0.25">
      <c r="A3117" s="2" t="s">
        <v>428</v>
      </c>
      <c r="B3117" s="2" t="s">
        <v>1113</v>
      </c>
      <c r="C3117" s="5" t="s">
        <v>4777</v>
      </c>
      <c r="D3117" s="2" t="s">
        <v>3632</v>
      </c>
    </row>
    <row r="3118" spans="1:4" ht="12.95" customHeight="1" x14ac:dyDescent="0.25">
      <c r="A3118" s="2" t="s">
        <v>428</v>
      </c>
      <c r="B3118" s="2" t="s">
        <v>1113</v>
      </c>
      <c r="C3118" s="5" t="s">
        <v>4778</v>
      </c>
      <c r="D3118" s="2" t="s">
        <v>3634</v>
      </c>
    </row>
    <row r="3119" spans="1:4" ht="12.95" customHeight="1" x14ac:dyDescent="0.25">
      <c r="A3119" s="2" t="s">
        <v>428</v>
      </c>
      <c r="B3119" s="2" t="s">
        <v>1113</v>
      </c>
      <c r="C3119" s="5" t="s">
        <v>4779</v>
      </c>
      <c r="D3119" s="2" t="s">
        <v>3636</v>
      </c>
    </row>
    <row r="3120" spans="1:4" ht="12.95" customHeight="1" x14ac:dyDescent="0.25">
      <c r="A3120" s="2" t="s">
        <v>428</v>
      </c>
      <c r="B3120" s="2" t="s">
        <v>1113</v>
      </c>
      <c r="C3120" s="5" t="s">
        <v>4780</v>
      </c>
      <c r="D3120" s="2" t="s">
        <v>3827</v>
      </c>
    </row>
    <row r="3121" spans="1:4" ht="12.95" customHeight="1" x14ac:dyDescent="0.25">
      <c r="A3121" s="2" t="s">
        <v>428</v>
      </c>
      <c r="B3121" s="2" t="s">
        <v>1113</v>
      </c>
      <c r="C3121" s="5" t="s">
        <v>4781</v>
      </c>
      <c r="D3121" s="2" t="s">
        <v>4782</v>
      </c>
    </row>
    <row r="3122" spans="1:4" ht="12.95" customHeight="1" x14ac:dyDescent="0.25">
      <c r="A3122" s="2" t="s">
        <v>428</v>
      </c>
      <c r="B3122" s="2" t="s">
        <v>1113</v>
      </c>
      <c r="C3122" s="5" t="s">
        <v>4783</v>
      </c>
      <c r="D3122" s="2" t="s">
        <v>3455</v>
      </c>
    </row>
    <row r="3123" spans="1:4" ht="12.95" customHeight="1" x14ac:dyDescent="0.25">
      <c r="A3123" s="2" t="s">
        <v>428</v>
      </c>
      <c r="B3123" s="2" t="s">
        <v>1113</v>
      </c>
      <c r="C3123" s="5" t="s">
        <v>4784</v>
      </c>
      <c r="D3123" s="2" t="s">
        <v>3643</v>
      </c>
    </row>
    <row r="3124" spans="1:4" ht="12.95" customHeight="1" x14ac:dyDescent="0.25">
      <c r="A3124" s="2" t="s">
        <v>428</v>
      </c>
      <c r="B3124" s="2" t="s">
        <v>1113</v>
      </c>
      <c r="C3124" s="5" t="s">
        <v>4785</v>
      </c>
      <c r="D3124" s="2" t="s">
        <v>4786</v>
      </c>
    </row>
    <row r="3125" spans="1:4" ht="12.95" customHeight="1" x14ac:dyDescent="0.25">
      <c r="A3125" s="2" t="s">
        <v>428</v>
      </c>
      <c r="B3125" s="2" t="s">
        <v>1113</v>
      </c>
      <c r="C3125" s="5" t="s">
        <v>4787</v>
      </c>
      <c r="D3125" s="2" t="s">
        <v>4788</v>
      </c>
    </row>
    <row r="3126" spans="1:4" ht="12.95" customHeight="1" x14ac:dyDescent="0.25">
      <c r="A3126" s="2" t="s">
        <v>428</v>
      </c>
      <c r="B3126" s="2" t="s">
        <v>1113</v>
      </c>
      <c r="C3126" s="5" t="s">
        <v>4789</v>
      </c>
      <c r="D3126" s="2" t="s">
        <v>3832</v>
      </c>
    </row>
    <row r="3127" spans="1:4" ht="12.95" customHeight="1" x14ac:dyDescent="0.25">
      <c r="A3127" s="2" t="s">
        <v>428</v>
      </c>
      <c r="B3127" s="2" t="s">
        <v>1113</v>
      </c>
      <c r="C3127" s="5" t="s">
        <v>4790</v>
      </c>
      <c r="D3127" s="2" t="s">
        <v>4791</v>
      </c>
    </row>
    <row r="3128" spans="1:4" ht="12.95" customHeight="1" x14ac:dyDescent="0.25">
      <c r="A3128" s="2" t="s">
        <v>428</v>
      </c>
      <c r="B3128" s="2" t="s">
        <v>1113</v>
      </c>
      <c r="C3128" s="5" t="s">
        <v>4792</v>
      </c>
      <c r="D3128" s="2" t="s">
        <v>4793</v>
      </c>
    </row>
    <row r="3129" spans="1:4" ht="12.95" customHeight="1" x14ac:dyDescent="0.25">
      <c r="A3129" s="2" t="s">
        <v>428</v>
      </c>
      <c r="B3129" s="2" t="s">
        <v>1113</v>
      </c>
      <c r="C3129" s="5" t="s">
        <v>4794</v>
      </c>
      <c r="D3129" s="2" t="s">
        <v>4795</v>
      </c>
    </row>
    <row r="3130" spans="1:4" ht="12.95" customHeight="1" x14ac:dyDescent="0.25">
      <c r="A3130" s="2" t="s">
        <v>428</v>
      </c>
      <c r="B3130" s="2" t="s">
        <v>1113</v>
      </c>
      <c r="C3130" s="5" t="s">
        <v>4796</v>
      </c>
      <c r="D3130" s="2" t="s">
        <v>4797</v>
      </c>
    </row>
    <row r="3131" spans="1:4" ht="12.95" customHeight="1" x14ac:dyDescent="0.25">
      <c r="A3131" s="2" t="s">
        <v>428</v>
      </c>
      <c r="B3131" s="2" t="s">
        <v>1113</v>
      </c>
      <c r="C3131" s="5" t="s">
        <v>4798</v>
      </c>
      <c r="D3131" s="2" t="s">
        <v>4799</v>
      </c>
    </row>
    <row r="3132" spans="1:4" ht="12.95" customHeight="1" x14ac:dyDescent="0.25">
      <c r="A3132" s="2" t="s">
        <v>428</v>
      </c>
      <c r="B3132" s="2" t="s">
        <v>1113</v>
      </c>
      <c r="C3132" s="5" t="s">
        <v>4800</v>
      </c>
      <c r="D3132" s="2" t="s">
        <v>4801</v>
      </c>
    </row>
    <row r="3133" spans="1:4" ht="12.95" customHeight="1" x14ac:dyDescent="0.25">
      <c r="A3133" s="2" t="s">
        <v>428</v>
      </c>
      <c r="B3133" s="2" t="s">
        <v>1113</v>
      </c>
      <c r="C3133" s="5" t="s">
        <v>4802</v>
      </c>
      <c r="D3133" s="2" t="s">
        <v>4803</v>
      </c>
    </row>
    <row r="3134" spans="1:4" ht="12.95" customHeight="1" x14ac:dyDescent="0.25">
      <c r="A3134" s="2" t="s">
        <v>428</v>
      </c>
      <c r="B3134" s="2" t="s">
        <v>1113</v>
      </c>
      <c r="C3134" s="5" t="s">
        <v>4804</v>
      </c>
      <c r="D3134" s="2" t="s">
        <v>4805</v>
      </c>
    </row>
    <row r="3135" spans="1:4" ht="12.95" customHeight="1" x14ac:dyDescent="0.25">
      <c r="A3135" s="2" t="s">
        <v>428</v>
      </c>
      <c r="B3135" s="2" t="s">
        <v>1113</v>
      </c>
      <c r="C3135" s="5" t="s">
        <v>4806</v>
      </c>
      <c r="D3135" s="2" t="s">
        <v>4807</v>
      </c>
    </row>
    <row r="3136" spans="1:4" ht="12.95" customHeight="1" x14ac:dyDescent="0.25">
      <c r="A3136" s="2" t="s">
        <v>428</v>
      </c>
      <c r="B3136" s="2" t="s">
        <v>1113</v>
      </c>
      <c r="C3136" s="5" t="s">
        <v>4808</v>
      </c>
      <c r="D3136" s="2" t="s">
        <v>4809</v>
      </c>
    </row>
    <row r="3137" spans="1:4" ht="12.95" customHeight="1" x14ac:dyDescent="0.25">
      <c r="A3137" s="2" t="s">
        <v>428</v>
      </c>
      <c r="B3137" s="2" t="s">
        <v>1113</v>
      </c>
      <c r="C3137" s="5" t="s">
        <v>4810</v>
      </c>
      <c r="D3137" s="2" t="s">
        <v>3507</v>
      </c>
    </row>
    <row r="3138" spans="1:4" ht="12.95" customHeight="1" x14ac:dyDescent="0.25">
      <c r="A3138" s="2" t="s">
        <v>428</v>
      </c>
      <c r="B3138" s="2" t="s">
        <v>1113</v>
      </c>
      <c r="C3138" s="5" t="s">
        <v>4811</v>
      </c>
      <c r="D3138" s="2" t="s">
        <v>3509</v>
      </c>
    </row>
    <row r="3139" spans="1:4" ht="12.95" customHeight="1" x14ac:dyDescent="0.25">
      <c r="A3139" s="2" t="s">
        <v>428</v>
      </c>
      <c r="B3139" s="2" t="s">
        <v>1113</v>
      </c>
      <c r="C3139" s="5" t="s">
        <v>4812</v>
      </c>
      <c r="D3139" s="2" t="s">
        <v>4813</v>
      </c>
    </row>
    <row r="3140" spans="1:4" ht="12.95" customHeight="1" x14ac:dyDescent="0.25">
      <c r="A3140" s="2" t="s">
        <v>428</v>
      </c>
      <c r="B3140" s="2" t="s">
        <v>1113</v>
      </c>
      <c r="C3140" s="5" t="s">
        <v>4814</v>
      </c>
      <c r="D3140" s="2" t="s">
        <v>4815</v>
      </c>
    </row>
    <row r="3141" spans="1:4" ht="12.95" customHeight="1" x14ac:dyDescent="0.25">
      <c r="A3141" s="2" t="s">
        <v>428</v>
      </c>
      <c r="B3141" s="2" t="s">
        <v>1113</v>
      </c>
      <c r="C3141" s="5" t="s">
        <v>4816</v>
      </c>
      <c r="D3141" s="2" t="s">
        <v>4817</v>
      </c>
    </row>
    <row r="3142" spans="1:4" ht="12.95" customHeight="1" x14ac:dyDescent="0.25">
      <c r="A3142" s="2" t="s">
        <v>428</v>
      </c>
      <c r="B3142" s="2" t="s">
        <v>1113</v>
      </c>
      <c r="C3142" s="5" t="s">
        <v>4818</v>
      </c>
      <c r="D3142" s="2" t="s">
        <v>3395</v>
      </c>
    </row>
    <row r="3143" spans="1:4" ht="12.95" customHeight="1" x14ac:dyDescent="0.25">
      <c r="A3143" s="2" t="s">
        <v>428</v>
      </c>
      <c r="B3143" s="2" t="s">
        <v>1113</v>
      </c>
      <c r="C3143" s="5" t="s">
        <v>4819</v>
      </c>
      <c r="D3143" s="2" t="s">
        <v>3509</v>
      </c>
    </row>
    <row r="3144" spans="1:4" ht="12.95" customHeight="1" x14ac:dyDescent="0.25">
      <c r="A3144" s="2" t="s">
        <v>428</v>
      </c>
      <c r="B3144" s="2" t="s">
        <v>1113</v>
      </c>
      <c r="C3144" s="5" t="s">
        <v>4820</v>
      </c>
      <c r="D3144" s="2" t="s">
        <v>4821</v>
      </c>
    </row>
    <row r="3145" spans="1:4" ht="12.95" customHeight="1" x14ac:dyDescent="0.25">
      <c r="A3145" s="2" t="s">
        <v>428</v>
      </c>
      <c r="B3145" s="2" t="s">
        <v>1113</v>
      </c>
      <c r="C3145" s="5" t="s">
        <v>4822</v>
      </c>
      <c r="D3145" s="2" t="s">
        <v>4823</v>
      </c>
    </row>
    <row r="3146" spans="1:4" ht="12.95" customHeight="1" x14ac:dyDescent="0.25">
      <c r="A3146" s="2" t="s">
        <v>428</v>
      </c>
      <c r="B3146" s="2" t="s">
        <v>1113</v>
      </c>
      <c r="C3146" s="5" t="s">
        <v>4824</v>
      </c>
      <c r="D3146" s="2" t="s">
        <v>4825</v>
      </c>
    </row>
    <row r="3147" spans="1:4" ht="12.95" customHeight="1" x14ac:dyDescent="0.25">
      <c r="A3147" s="2" t="s">
        <v>428</v>
      </c>
      <c r="B3147" s="2" t="s">
        <v>1113</v>
      </c>
      <c r="C3147" s="5" t="s">
        <v>4826</v>
      </c>
      <c r="D3147" s="2" t="s">
        <v>4827</v>
      </c>
    </row>
    <row r="3148" spans="1:4" ht="12.95" customHeight="1" x14ac:dyDescent="0.25">
      <c r="A3148" s="2" t="s">
        <v>428</v>
      </c>
      <c r="B3148" s="2" t="s">
        <v>1113</v>
      </c>
      <c r="C3148" s="5" t="s">
        <v>4828</v>
      </c>
      <c r="D3148" s="2" t="s">
        <v>4829</v>
      </c>
    </row>
    <row r="3149" spans="1:4" ht="12.95" customHeight="1" x14ac:dyDescent="0.25">
      <c r="A3149" s="2" t="s">
        <v>428</v>
      </c>
      <c r="B3149" s="2" t="s">
        <v>1113</v>
      </c>
      <c r="C3149" s="5" t="s">
        <v>4830</v>
      </c>
      <c r="D3149" s="2" t="s">
        <v>4831</v>
      </c>
    </row>
    <row r="3150" spans="1:4" ht="12.95" customHeight="1" x14ac:dyDescent="0.25">
      <c r="A3150" s="2" t="s">
        <v>428</v>
      </c>
      <c r="B3150" s="2" t="s">
        <v>1113</v>
      </c>
      <c r="C3150" s="5" t="s">
        <v>4832</v>
      </c>
      <c r="D3150" s="2" t="s">
        <v>4833</v>
      </c>
    </row>
    <row r="3151" spans="1:4" ht="12.95" customHeight="1" x14ac:dyDescent="0.25">
      <c r="A3151" s="2" t="s">
        <v>428</v>
      </c>
      <c r="B3151" s="2" t="s">
        <v>1113</v>
      </c>
      <c r="C3151" s="5" t="s">
        <v>4834</v>
      </c>
      <c r="D3151" s="2" t="s">
        <v>4835</v>
      </c>
    </row>
    <row r="3152" spans="1:4" ht="12.95" customHeight="1" x14ac:dyDescent="0.25">
      <c r="A3152" s="2" t="s">
        <v>428</v>
      </c>
      <c r="B3152" s="2" t="s">
        <v>1113</v>
      </c>
      <c r="C3152" s="5" t="s">
        <v>4836</v>
      </c>
      <c r="D3152" s="2" t="s">
        <v>4837</v>
      </c>
    </row>
    <row r="3153" spans="1:4" ht="12.95" customHeight="1" x14ac:dyDescent="0.25">
      <c r="A3153" s="2" t="s">
        <v>428</v>
      </c>
      <c r="B3153" s="2" t="s">
        <v>1113</v>
      </c>
      <c r="C3153" s="5" t="s">
        <v>4838</v>
      </c>
      <c r="D3153" s="2" t="s">
        <v>4839</v>
      </c>
    </row>
    <row r="3154" spans="1:4" ht="12.95" customHeight="1" x14ac:dyDescent="0.25">
      <c r="A3154" s="2" t="s">
        <v>428</v>
      </c>
      <c r="B3154" s="2" t="s">
        <v>1113</v>
      </c>
      <c r="C3154" s="5" t="s">
        <v>4840</v>
      </c>
      <c r="D3154" s="2" t="s">
        <v>4841</v>
      </c>
    </row>
    <row r="3155" spans="1:4" ht="12.95" customHeight="1" x14ac:dyDescent="0.25">
      <c r="A3155" s="2" t="s">
        <v>428</v>
      </c>
      <c r="B3155" s="2" t="s">
        <v>1113</v>
      </c>
      <c r="C3155" s="5" t="s">
        <v>4842</v>
      </c>
      <c r="D3155" s="2" t="s">
        <v>4843</v>
      </c>
    </row>
    <row r="3156" spans="1:4" ht="12.95" customHeight="1" x14ac:dyDescent="0.25">
      <c r="A3156" s="2" t="s">
        <v>428</v>
      </c>
      <c r="B3156" s="2" t="s">
        <v>1113</v>
      </c>
      <c r="C3156" s="5" t="s">
        <v>4844</v>
      </c>
      <c r="D3156" s="2" t="s">
        <v>4845</v>
      </c>
    </row>
    <row r="3157" spans="1:4" ht="12.95" customHeight="1" x14ac:dyDescent="0.25">
      <c r="A3157" s="2" t="s">
        <v>428</v>
      </c>
      <c r="B3157" s="2" t="s">
        <v>1113</v>
      </c>
      <c r="C3157" s="5" t="s">
        <v>4846</v>
      </c>
      <c r="D3157" s="2" t="s">
        <v>4847</v>
      </c>
    </row>
    <row r="3158" spans="1:4" ht="12.95" customHeight="1" x14ac:dyDescent="0.25">
      <c r="A3158" s="2" t="s">
        <v>428</v>
      </c>
      <c r="B3158" s="2" t="s">
        <v>1113</v>
      </c>
      <c r="C3158" s="5" t="s">
        <v>4848</v>
      </c>
      <c r="D3158" s="2" t="s">
        <v>4849</v>
      </c>
    </row>
    <row r="3159" spans="1:4" ht="12.95" customHeight="1" x14ac:dyDescent="0.25">
      <c r="A3159" s="2" t="s">
        <v>428</v>
      </c>
      <c r="B3159" s="2" t="s">
        <v>1113</v>
      </c>
      <c r="C3159" s="5" t="s">
        <v>4850</v>
      </c>
      <c r="D3159" s="2" t="s">
        <v>4851</v>
      </c>
    </row>
    <row r="3160" spans="1:4" ht="12.95" customHeight="1" x14ac:dyDescent="0.25">
      <c r="A3160" s="2" t="s">
        <v>428</v>
      </c>
      <c r="B3160" s="2" t="s">
        <v>1113</v>
      </c>
      <c r="C3160" s="5" t="s">
        <v>4852</v>
      </c>
      <c r="D3160" s="2" t="s">
        <v>4853</v>
      </c>
    </row>
    <row r="3161" spans="1:4" ht="12.95" customHeight="1" x14ac:dyDescent="0.25">
      <c r="A3161" s="2" t="s">
        <v>428</v>
      </c>
      <c r="B3161" s="2" t="s">
        <v>1113</v>
      </c>
      <c r="C3161" s="5" t="s">
        <v>4854</v>
      </c>
      <c r="D3161" s="2" t="s">
        <v>4855</v>
      </c>
    </row>
    <row r="3162" spans="1:4" ht="12.95" customHeight="1" x14ac:dyDescent="0.25">
      <c r="A3162" s="2" t="s">
        <v>428</v>
      </c>
      <c r="B3162" s="2" t="s">
        <v>1113</v>
      </c>
      <c r="C3162" s="5" t="s">
        <v>4856</v>
      </c>
      <c r="D3162" s="2" t="s">
        <v>4857</v>
      </c>
    </row>
    <row r="3163" spans="1:4" ht="12.95" customHeight="1" x14ac:dyDescent="0.25">
      <c r="A3163" s="2" t="s">
        <v>428</v>
      </c>
      <c r="B3163" s="2" t="s">
        <v>1113</v>
      </c>
      <c r="C3163" s="5" t="s">
        <v>4858</v>
      </c>
      <c r="D3163" s="2" t="s">
        <v>4859</v>
      </c>
    </row>
    <row r="3164" spans="1:4" ht="12.95" customHeight="1" x14ac:dyDescent="0.25">
      <c r="A3164" s="2" t="s">
        <v>428</v>
      </c>
      <c r="B3164" s="2" t="s">
        <v>1113</v>
      </c>
      <c r="C3164" s="5" t="s">
        <v>4860</v>
      </c>
      <c r="D3164" s="2" t="s">
        <v>4861</v>
      </c>
    </row>
    <row r="3165" spans="1:4" ht="12.95" customHeight="1" x14ac:dyDescent="0.25">
      <c r="A3165" s="2" t="s">
        <v>428</v>
      </c>
      <c r="B3165" s="2" t="s">
        <v>1113</v>
      </c>
      <c r="C3165" s="5" t="s">
        <v>4862</v>
      </c>
      <c r="D3165" s="2" t="s">
        <v>4863</v>
      </c>
    </row>
    <row r="3166" spans="1:4" ht="12.95" customHeight="1" x14ac:dyDescent="0.25">
      <c r="A3166" s="2" t="s">
        <v>428</v>
      </c>
      <c r="B3166" s="2" t="s">
        <v>1113</v>
      </c>
      <c r="C3166" s="5" t="s">
        <v>4864</v>
      </c>
      <c r="D3166" s="2" t="s">
        <v>4865</v>
      </c>
    </row>
    <row r="3167" spans="1:4" ht="12.95" customHeight="1" x14ac:dyDescent="0.25">
      <c r="A3167" s="2" t="s">
        <v>428</v>
      </c>
      <c r="B3167" s="2" t="s">
        <v>1113</v>
      </c>
      <c r="C3167" s="5" t="s">
        <v>4866</v>
      </c>
      <c r="D3167" s="2" t="s">
        <v>4867</v>
      </c>
    </row>
    <row r="3168" spans="1:4" ht="12.95" customHeight="1" x14ac:dyDescent="0.25">
      <c r="A3168" s="2" t="s">
        <v>428</v>
      </c>
      <c r="B3168" s="2" t="s">
        <v>1113</v>
      </c>
      <c r="C3168" s="5" t="s">
        <v>4868</v>
      </c>
      <c r="D3168" s="2" t="s">
        <v>4869</v>
      </c>
    </row>
    <row r="3169" spans="1:4" ht="12.95" customHeight="1" x14ac:dyDescent="0.25">
      <c r="A3169" s="2" t="s">
        <v>428</v>
      </c>
      <c r="B3169" s="2" t="s">
        <v>1113</v>
      </c>
      <c r="C3169" s="5" t="s">
        <v>4870</v>
      </c>
      <c r="D3169" s="2" t="s">
        <v>3507</v>
      </c>
    </row>
    <row r="3170" spans="1:4" ht="12.95" customHeight="1" x14ac:dyDescent="0.25">
      <c r="A3170" s="2" t="s">
        <v>428</v>
      </c>
      <c r="B3170" s="2" t="s">
        <v>1113</v>
      </c>
      <c r="C3170" s="5" t="s">
        <v>4871</v>
      </c>
      <c r="D3170" s="2" t="s">
        <v>3509</v>
      </c>
    </row>
    <row r="3171" spans="1:4" ht="12.95" customHeight="1" x14ac:dyDescent="0.25">
      <c r="A3171" s="2" t="s">
        <v>428</v>
      </c>
      <c r="B3171" s="2" t="s">
        <v>1113</v>
      </c>
      <c r="C3171" s="5" t="s">
        <v>4872</v>
      </c>
      <c r="D3171" s="2" t="s">
        <v>4873</v>
      </c>
    </row>
    <row r="3172" spans="1:4" ht="12.95" customHeight="1" x14ac:dyDescent="0.25">
      <c r="A3172" s="2" t="s">
        <v>428</v>
      </c>
      <c r="B3172" s="2" t="s">
        <v>1113</v>
      </c>
      <c r="C3172" s="5" t="s">
        <v>4874</v>
      </c>
      <c r="D3172" s="2" t="s">
        <v>4875</v>
      </c>
    </row>
    <row r="3173" spans="1:4" ht="12.95" customHeight="1" x14ac:dyDescent="0.25">
      <c r="A3173" s="2" t="s">
        <v>428</v>
      </c>
      <c r="B3173" s="2" t="s">
        <v>1113</v>
      </c>
      <c r="C3173" s="5" t="s">
        <v>4876</v>
      </c>
      <c r="D3173" s="2" t="s">
        <v>4877</v>
      </c>
    </row>
    <row r="3174" spans="1:4" ht="12.95" customHeight="1" x14ac:dyDescent="0.25">
      <c r="A3174" s="2" t="s">
        <v>428</v>
      </c>
      <c r="B3174" s="2" t="s">
        <v>1113</v>
      </c>
      <c r="C3174" s="5" t="s">
        <v>4878</v>
      </c>
      <c r="D3174" s="2" t="s">
        <v>4879</v>
      </c>
    </row>
    <row r="3175" spans="1:4" ht="12.95" customHeight="1" x14ac:dyDescent="0.25">
      <c r="A3175" s="2" t="s">
        <v>428</v>
      </c>
      <c r="B3175" s="2" t="s">
        <v>1113</v>
      </c>
      <c r="C3175" s="5" t="s">
        <v>4880</v>
      </c>
      <c r="D3175" s="2" t="s">
        <v>4881</v>
      </c>
    </row>
    <row r="3176" spans="1:4" ht="12.95" customHeight="1" x14ac:dyDescent="0.25">
      <c r="A3176" s="2" t="s">
        <v>428</v>
      </c>
      <c r="B3176" s="2" t="s">
        <v>1113</v>
      </c>
      <c r="C3176" s="5" t="s">
        <v>4882</v>
      </c>
      <c r="D3176" s="2" t="s">
        <v>4883</v>
      </c>
    </row>
    <row r="3177" spans="1:4" ht="12.95" customHeight="1" x14ac:dyDescent="0.25">
      <c r="A3177" s="2" t="s">
        <v>428</v>
      </c>
      <c r="B3177" s="2" t="s">
        <v>1113</v>
      </c>
      <c r="C3177" s="5" t="s">
        <v>4884</v>
      </c>
      <c r="D3177" s="2" t="s">
        <v>3427</v>
      </c>
    </row>
    <row r="3178" spans="1:4" ht="12.95" customHeight="1" x14ac:dyDescent="0.25">
      <c r="A3178" s="2" t="s">
        <v>428</v>
      </c>
      <c r="B3178" s="2" t="s">
        <v>1113</v>
      </c>
      <c r="C3178" s="5" t="s">
        <v>4885</v>
      </c>
      <c r="D3178" s="2" t="s">
        <v>3429</v>
      </c>
    </row>
    <row r="3179" spans="1:4" ht="12.95" customHeight="1" x14ac:dyDescent="0.25">
      <c r="A3179" s="2" t="s">
        <v>428</v>
      </c>
      <c r="B3179" s="2" t="s">
        <v>1113</v>
      </c>
      <c r="C3179" s="5" t="s">
        <v>4886</v>
      </c>
      <c r="D3179" s="2" t="s">
        <v>4887</v>
      </c>
    </row>
    <row r="3180" spans="1:4" ht="12.95" customHeight="1" x14ac:dyDescent="0.25">
      <c r="A3180" s="2" t="s">
        <v>428</v>
      </c>
      <c r="B3180" s="2" t="s">
        <v>1113</v>
      </c>
      <c r="C3180" s="5" t="s">
        <v>4888</v>
      </c>
      <c r="D3180" s="2" t="s">
        <v>4889</v>
      </c>
    </row>
    <row r="3181" spans="1:4" ht="12.95" customHeight="1" x14ac:dyDescent="0.25">
      <c r="A3181" s="2" t="s">
        <v>428</v>
      </c>
      <c r="B3181" s="2" t="s">
        <v>1113</v>
      </c>
      <c r="C3181" s="5" t="s">
        <v>4890</v>
      </c>
      <c r="D3181" s="2" t="s">
        <v>4891</v>
      </c>
    </row>
    <row r="3182" spans="1:4" ht="12.95" customHeight="1" x14ac:dyDescent="0.25">
      <c r="A3182" s="2" t="s">
        <v>428</v>
      </c>
      <c r="B3182" s="2" t="s">
        <v>1113</v>
      </c>
      <c r="C3182" s="5" t="s">
        <v>4892</v>
      </c>
      <c r="D3182" s="2" t="s">
        <v>4893</v>
      </c>
    </row>
    <row r="3183" spans="1:4" ht="12.95" customHeight="1" x14ac:dyDescent="0.25">
      <c r="A3183" s="2" t="s">
        <v>428</v>
      </c>
      <c r="B3183" s="2" t="s">
        <v>1113</v>
      </c>
      <c r="C3183" s="5" t="s">
        <v>4894</v>
      </c>
      <c r="D3183" s="2" t="s">
        <v>4895</v>
      </c>
    </row>
    <row r="3184" spans="1:4" ht="12.95" customHeight="1" x14ac:dyDescent="0.25">
      <c r="A3184" s="2" t="s">
        <v>428</v>
      </c>
      <c r="B3184" s="2" t="s">
        <v>1113</v>
      </c>
      <c r="C3184" s="5" t="s">
        <v>4896</v>
      </c>
      <c r="D3184" s="2" t="s">
        <v>4897</v>
      </c>
    </row>
    <row r="3185" spans="1:4" ht="12.95" customHeight="1" x14ac:dyDescent="0.25">
      <c r="A3185" s="2" t="s">
        <v>428</v>
      </c>
      <c r="B3185" s="2" t="s">
        <v>1113</v>
      </c>
      <c r="C3185" s="5" t="s">
        <v>4898</v>
      </c>
      <c r="D3185" s="2" t="s">
        <v>4899</v>
      </c>
    </row>
    <row r="3186" spans="1:4" ht="12.95" customHeight="1" x14ac:dyDescent="0.25">
      <c r="A3186" s="2" t="s">
        <v>428</v>
      </c>
      <c r="B3186" s="2" t="s">
        <v>1113</v>
      </c>
      <c r="C3186" s="5" t="s">
        <v>4900</v>
      </c>
      <c r="D3186" s="2" t="s">
        <v>4901</v>
      </c>
    </row>
    <row r="3187" spans="1:4" ht="12.95" customHeight="1" x14ac:dyDescent="0.25">
      <c r="A3187" s="2" t="s">
        <v>428</v>
      </c>
      <c r="B3187" s="2" t="s">
        <v>1113</v>
      </c>
      <c r="C3187" s="5" t="s">
        <v>4902</v>
      </c>
      <c r="D3187" s="2" t="s">
        <v>4903</v>
      </c>
    </row>
    <row r="3188" spans="1:4" ht="12.95" customHeight="1" x14ac:dyDescent="0.25">
      <c r="A3188" s="2" t="s">
        <v>428</v>
      </c>
      <c r="B3188" s="2" t="s">
        <v>1113</v>
      </c>
      <c r="C3188" s="5" t="s">
        <v>4904</v>
      </c>
      <c r="D3188" s="2" t="s">
        <v>4905</v>
      </c>
    </row>
    <row r="3189" spans="1:4" ht="12.95" customHeight="1" x14ac:dyDescent="0.25">
      <c r="A3189" s="2" t="s">
        <v>428</v>
      </c>
      <c r="B3189" s="2" t="s">
        <v>1113</v>
      </c>
      <c r="C3189" s="5" t="s">
        <v>4906</v>
      </c>
      <c r="D3189" s="2" t="s">
        <v>1314</v>
      </c>
    </row>
    <row r="3190" spans="1:4" ht="12.95" customHeight="1" x14ac:dyDescent="0.25">
      <c r="A3190" s="2" t="s">
        <v>428</v>
      </c>
      <c r="B3190" s="2" t="s">
        <v>1113</v>
      </c>
      <c r="C3190" s="5" t="s">
        <v>4907</v>
      </c>
      <c r="D3190" s="2" t="s">
        <v>4908</v>
      </c>
    </row>
    <row r="3191" spans="1:4" ht="12.95" customHeight="1" x14ac:dyDescent="0.25">
      <c r="A3191" s="2" t="s">
        <v>428</v>
      </c>
      <c r="B3191" s="2" t="s">
        <v>1113</v>
      </c>
      <c r="C3191" s="5" t="s">
        <v>4909</v>
      </c>
      <c r="D3191" s="2" t="s">
        <v>4910</v>
      </c>
    </row>
    <row r="3192" spans="1:4" ht="12.95" customHeight="1" x14ac:dyDescent="0.25">
      <c r="A3192" s="2" t="s">
        <v>428</v>
      </c>
      <c r="B3192" s="2" t="s">
        <v>1113</v>
      </c>
      <c r="C3192" s="5" t="s">
        <v>4911</v>
      </c>
      <c r="D3192" s="2" t="s">
        <v>4912</v>
      </c>
    </row>
    <row r="3193" spans="1:4" ht="12.95" customHeight="1" x14ac:dyDescent="0.25">
      <c r="A3193" s="2" t="s">
        <v>428</v>
      </c>
      <c r="B3193" s="2" t="s">
        <v>1113</v>
      </c>
      <c r="C3193" s="5" t="s">
        <v>4913</v>
      </c>
      <c r="D3193" s="2" t="s">
        <v>4914</v>
      </c>
    </row>
    <row r="3194" spans="1:4" ht="12.95" customHeight="1" x14ac:dyDescent="0.25">
      <c r="A3194" s="2" t="s">
        <v>428</v>
      </c>
      <c r="B3194" s="2" t="s">
        <v>1113</v>
      </c>
      <c r="C3194" s="5" t="s">
        <v>4915</v>
      </c>
      <c r="D3194" s="2" t="s">
        <v>4916</v>
      </c>
    </row>
    <row r="3195" spans="1:4" ht="12.95" customHeight="1" x14ac:dyDescent="0.25">
      <c r="A3195" s="2" t="s">
        <v>428</v>
      </c>
      <c r="B3195" s="2" t="s">
        <v>1113</v>
      </c>
      <c r="C3195" s="5" t="s">
        <v>4917</v>
      </c>
      <c r="D3195" s="2" t="s">
        <v>4918</v>
      </c>
    </row>
    <row r="3196" spans="1:4" ht="12.95" customHeight="1" x14ac:dyDescent="0.25">
      <c r="A3196" s="2" t="s">
        <v>428</v>
      </c>
      <c r="B3196" s="2" t="s">
        <v>1113</v>
      </c>
      <c r="C3196" s="5" t="s">
        <v>4919</v>
      </c>
      <c r="D3196" s="2" t="s">
        <v>4920</v>
      </c>
    </row>
    <row r="3197" spans="1:4" ht="12.95" customHeight="1" x14ac:dyDescent="0.25">
      <c r="A3197" s="2" t="s">
        <v>428</v>
      </c>
      <c r="B3197" s="2" t="s">
        <v>1113</v>
      </c>
      <c r="C3197" s="5" t="s">
        <v>4921</v>
      </c>
      <c r="D3197" s="2" t="s">
        <v>4922</v>
      </c>
    </row>
    <row r="3198" spans="1:4" ht="12.95" customHeight="1" x14ac:dyDescent="0.25">
      <c r="A3198" s="2" t="s">
        <v>428</v>
      </c>
      <c r="B3198" s="2" t="s">
        <v>1113</v>
      </c>
      <c r="C3198" s="5" t="s">
        <v>4923</v>
      </c>
      <c r="D3198" s="2" t="s">
        <v>4924</v>
      </c>
    </row>
    <row r="3199" spans="1:4" ht="12.95" customHeight="1" x14ac:dyDescent="0.25">
      <c r="A3199" s="2" t="s">
        <v>428</v>
      </c>
      <c r="B3199" s="2" t="s">
        <v>1113</v>
      </c>
      <c r="C3199" s="5" t="s">
        <v>4925</v>
      </c>
      <c r="D3199" s="2" t="s">
        <v>4926</v>
      </c>
    </row>
    <row r="3200" spans="1:4" ht="12.95" customHeight="1" x14ac:dyDescent="0.25">
      <c r="A3200" s="2" t="s">
        <v>428</v>
      </c>
      <c r="B3200" s="2" t="s">
        <v>1113</v>
      </c>
      <c r="C3200" s="5" t="s">
        <v>4927</v>
      </c>
      <c r="D3200" s="2" t="s">
        <v>4928</v>
      </c>
    </row>
    <row r="3201" spans="1:4" ht="12.95" customHeight="1" x14ac:dyDescent="0.25">
      <c r="A3201" s="2" t="s">
        <v>428</v>
      </c>
      <c r="B3201" s="2" t="s">
        <v>1113</v>
      </c>
      <c r="C3201" s="5" t="s">
        <v>4929</v>
      </c>
      <c r="D3201" s="2" t="s">
        <v>4930</v>
      </c>
    </row>
    <row r="3202" spans="1:4" ht="12.95" customHeight="1" x14ac:dyDescent="0.25">
      <c r="A3202" s="2" t="s">
        <v>428</v>
      </c>
      <c r="B3202" s="2" t="s">
        <v>1113</v>
      </c>
      <c r="C3202" s="5" t="s">
        <v>4931</v>
      </c>
      <c r="D3202" s="2" t="s">
        <v>4932</v>
      </c>
    </row>
    <row r="3203" spans="1:4" ht="12.95" customHeight="1" x14ac:dyDescent="0.25">
      <c r="A3203" s="2" t="s">
        <v>428</v>
      </c>
      <c r="B3203" s="2" t="s">
        <v>1113</v>
      </c>
      <c r="C3203" s="5" t="s">
        <v>4933</v>
      </c>
      <c r="D3203" s="2" t="s">
        <v>4934</v>
      </c>
    </row>
    <row r="3204" spans="1:4" ht="12.95" customHeight="1" x14ac:dyDescent="0.25">
      <c r="A3204" s="2" t="s">
        <v>428</v>
      </c>
      <c r="B3204" s="2" t="s">
        <v>1113</v>
      </c>
      <c r="C3204" s="5" t="s">
        <v>4935</v>
      </c>
      <c r="D3204" s="2" t="s">
        <v>4936</v>
      </c>
    </row>
    <row r="3205" spans="1:4" ht="12.95" customHeight="1" x14ac:dyDescent="0.25">
      <c r="A3205" s="2" t="s">
        <v>428</v>
      </c>
      <c r="B3205" s="2" t="s">
        <v>1113</v>
      </c>
      <c r="C3205" s="5" t="s">
        <v>4937</v>
      </c>
      <c r="D3205" s="2" t="s">
        <v>4938</v>
      </c>
    </row>
    <row r="3206" spans="1:4" ht="12.95" customHeight="1" x14ac:dyDescent="0.25">
      <c r="A3206" s="2" t="s">
        <v>428</v>
      </c>
      <c r="B3206" s="2" t="s">
        <v>1113</v>
      </c>
      <c r="C3206" s="5" t="s">
        <v>4939</v>
      </c>
      <c r="D3206" s="2" t="s">
        <v>3507</v>
      </c>
    </row>
    <row r="3207" spans="1:4" ht="12.95" customHeight="1" x14ac:dyDescent="0.25">
      <c r="A3207" s="2" t="s">
        <v>428</v>
      </c>
      <c r="B3207" s="2" t="s">
        <v>1113</v>
      </c>
      <c r="C3207" s="5" t="s">
        <v>4940</v>
      </c>
      <c r="D3207" s="2" t="s">
        <v>3509</v>
      </c>
    </row>
    <row r="3208" spans="1:4" ht="12.95" customHeight="1" x14ac:dyDescent="0.25">
      <c r="A3208" s="2" t="s">
        <v>428</v>
      </c>
      <c r="B3208" s="2" t="s">
        <v>1113</v>
      </c>
      <c r="C3208" s="5" t="s">
        <v>4941</v>
      </c>
      <c r="D3208" s="2" t="s">
        <v>4942</v>
      </c>
    </row>
    <row r="3209" spans="1:4" ht="12.95" customHeight="1" x14ac:dyDescent="0.25">
      <c r="A3209" s="2" t="s">
        <v>428</v>
      </c>
      <c r="B3209" s="2" t="s">
        <v>1113</v>
      </c>
      <c r="C3209" s="5" t="s">
        <v>4943</v>
      </c>
      <c r="D3209" s="2" t="s">
        <v>4944</v>
      </c>
    </row>
    <row r="3210" spans="1:4" ht="12.95" customHeight="1" x14ac:dyDescent="0.25">
      <c r="A3210" s="2" t="s">
        <v>428</v>
      </c>
      <c r="B3210" s="2" t="s">
        <v>1113</v>
      </c>
      <c r="C3210" s="5" t="s">
        <v>4945</v>
      </c>
      <c r="D3210" s="2" t="s">
        <v>4946</v>
      </c>
    </row>
    <row r="3211" spans="1:4" ht="12.95" customHeight="1" x14ac:dyDescent="0.25">
      <c r="A3211" s="2" t="s">
        <v>428</v>
      </c>
      <c r="B3211" s="2" t="s">
        <v>1113</v>
      </c>
      <c r="C3211" s="5" t="s">
        <v>4947</v>
      </c>
      <c r="D3211" s="2" t="s">
        <v>4948</v>
      </c>
    </row>
    <row r="3212" spans="1:4" ht="12.95" customHeight="1" x14ac:dyDescent="0.25">
      <c r="A3212" s="2" t="s">
        <v>428</v>
      </c>
      <c r="B3212" s="2" t="s">
        <v>1113</v>
      </c>
      <c r="C3212" s="5" t="s">
        <v>4949</v>
      </c>
      <c r="D3212" s="2" t="s">
        <v>3610</v>
      </c>
    </row>
    <row r="3213" spans="1:4" ht="12.95" customHeight="1" x14ac:dyDescent="0.25">
      <c r="A3213" s="2" t="s">
        <v>428</v>
      </c>
      <c r="B3213" s="2" t="s">
        <v>1113</v>
      </c>
      <c r="C3213" s="5" t="s">
        <v>4950</v>
      </c>
      <c r="D3213" s="2" t="s">
        <v>4132</v>
      </c>
    </row>
    <row r="3214" spans="1:4" ht="12.95" customHeight="1" x14ac:dyDescent="0.25">
      <c r="A3214" s="2" t="s">
        <v>428</v>
      </c>
      <c r="B3214" s="2" t="s">
        <v>1113</v>
      </c>
      <c r="C3214" s="5" t="s">
        <v>4951</v>
      </c>
      <c r="D3214" s="2" t="s">
        <v>3427</v>
      </c>
    </row>
    <row r="3215" spans="1:4" ht="12.95" customHeight="1" x14ac:dyDescent="0.25">
      <c r="A3215" s="2" t="s">
        <v>428</v>
      </c>
      <c r="B3215" s="2" t="s">
        <v>1113</v>
      </c>
      <c r="C3215" s="5" t="s">
        <v>4952</v>
      </c>
      <c r="D3215" s="2" t="s">
        <v>3451</v>
      </c>
    </row>
    <row r="3216" spans="1:4" ht="12.95" customHeight="1" x14ac:dyDescent="0.25">
      <c r="A3216" s="2" t="s">
        <v>428</v>
      </c>
      <c r="B3216" s="2" t="s">
        <v>1113</v>
      </c>
      <c r="C3216" s="5" t="s">
        <v>4953</v>
      </c>
      <c r="D3216" s="2" t="s">
        <v>3628</v>
      </c>
    </row>
    <row r="3217" spans="1:4" ht="12.95" customHeight="1" x14ac:dyDescent="0.25">
      <c r="A3217" s="2" t="s">
        <v>428</v>
      </c>
      <c r="B3217" s="2" t="s">
        <v>1113</v>
      </c>
      <c r="C3217" s="5" t="s">
        <v>4954</v>
      </c>
      <c r="D3217" s="2" t="s">
        <v>3632</v>
      </c>
    </row>
    <row r="3218" spans="1:4" ht="12.95" customHeight="1" x14ac:dyDescent="0.25">
      <c r="A3218" s="2" t="s">
        <v>428</v>
      </c>
      <c r="B3218" s="2" t="s">
        <v>1113</v>
      </c>
      <c r="C3218" s="5" t="s">
        <v>4955</v>
      </c>
      <c r="D3218" s="2" t="s">
        <v>3634</v>
      </c>
    </row>
    <row r="3219" spans="1:4" ht="12.95" customHeight="1" x14ac:dyDescent="0.25">
      <c r="A3219" s="2" t="s">
        <v>428</v>
      </c>
      <c r="B3219" s="2" t="s">
        <v>1113</v>
      </c>
      <c r="C3219" s="5" t="s">
        <v>4956</v>
      </c>
      <c r="D3219" s="2" t="s">
        <v>3636</v>
      </c>
    </row>
    <row r="3220" spans="1:4" ht="12.95" customHeight="1" x14ac:dyDescent="0.25">
      <c r="A3220" s="2" t="s">
        <v>428</v>
      </c>
      <c r="B3220" s="2" t="s">
        <v>1113</v>
      </c>
      <c r="C3220" s="5" t="s">
        <v>4957</v>
      </c>
      <c r="D3220" s="2" t="s">
        <v>3827</v>
      </c>
    </row>
    <row r="3221" spans="1:4" ht="12.95" customHeight="1" x14ac:dyDescent="0.25">
      <c r="A3221" s="2" t="s">
        <v>428</v>
      </c>
      <c r="B3221" s="2" t="s">
        <v>1113</v>
      </c>
      <c r="C3221" s="5" t="s">
        <v>4958</v>
      </c>
      <c r="D3221" s="2" t="s">
        <v>3640</v>
      </c>
    </row>
    <row r="3222" spans="1:4" ht="12.95" customHeight="1" x14ac:dyDescent="0.25">
      <c r="A3222" s="2" t="s">
        <v>428</v>
      </c>
      <c r="B3222" s="2" t="s">
        <v>1113</v>
      </c>
      <c r="C3222" s="5" t="s">
        <v>4959</v>
      </c>
      <c r="D3222" s="2" t="s">
        <v>3455</v>
      </c>
    </row>
    <row r="3223" spans="1:4" ht="12.95" customHeight="1" x14ac:dyDescent="0.25">
      <c r="A3223" s="2" t="s">
        <v>428</v>
      </c>
      <c r="B3223" s="2" t="s">
        <v>1113</v>
      </c>
      <c r="C3223" s="5" t="s">
        <v>4960</v>
      </c>
      <c r="D3223" s="2" t="s">
        <v>3643</v>
      </c>
    </row>
    <row r="3224" spans="1:4" ht="12.95" customHeight="1" x14ac:dyDescent="0.25">
      <c r="A3224" s="2" t="s">
        <v>428</v>
      </c>
      <c r="B3224" s="2" t="s">
        <v>1113</v>
      </c>
      <c r="C3224" s="5" t="s">
        <v>4961</v>
      </c>
      <c r="D3224" s="2" t="s">
        <v>3459</v>
      </c>
    </row>
    <row r="3225" spans="1:4" ht="12.95" customHeight="1" x14ac:dyDescent="0.25">
      <c r="A3225" s="2" t="s">
        <v>428</v>
      </c>
      <c r="B3225" s="2" t="s">
        <v>1113</v>
      </c>
      <c r="C3225" s="5" t="s">
        <v>4962</v>
      </c>
      <c r="D3225" s="2" t="s">
        <v>4963</v>
      </c>
    </row>
    <row r="3226" spans="1:4" ht="12.95" customHeight="1" x14ac:dyDescent="0.25">
      <c r="A3226" s="2" t="s">
        <v>428</v>
      </c>
      <c r="B3226" s="2" t="s">
        <v>1113</v>
      </c>
      <c r="C3226" s="5" t="s">
        <v>4964</v>
      </c>
      <c r="D3226" s="2" t="s">
        <v>3648</v>
      </c>
    </row>
    <row r="3227" spans="1:4" ht="12.95" customHeight="1" x14ac:dyDescent="0.25">
      <c r="A3227" s="2" t="s">
        <v>428</v>
      </c>
      <c r="B3227" s="2" t="s">
        <v>1113</v>
      </c>
      <c r="C3227" s="5" t="s">
        <v>4965</v>
      </c>
      <c r="D3227" s="2" t="s">
        <v>4966</v>
      </c>
    </row>
    <row r="3228" spans="1:4" ht="12.95" customHeight="1" x14ac:dyDescent="0.25">
      <c r="A3228" s="2" t="s">
        <v>428</v>
      </c>
      <c r="B3228" s="2" t="s">
        <v>1113</v>
      </c>
      <c r="C3228" s="5" t="s">
        <v>4967</v>
      </c>
      <c r="D3228" s="2" t="s">
        <v>4968</v>
      </c>
    </row>
    <row r="3229" spans="1:4" ht="12.95" customHeight="1" x14ac:dyDescent="0.25">
      <c r="A3229" s="2" t="s">
        <v>428</v>
      </c>
      <c r="B3229" s="2" t="s">
        <v>1113</v>
      </c>
      <c r="C3229" s="5" t="s">
        <v>4969</v>
      </c>
      <c r="D3229" s="2" t="s">
        <v>4970</v>
      </c>
    </row>
    <row r="3230" spans="1:4" ht="12.95" customHeight="1" x14ac:dyDescent="0.25">
      <c r="A3230" s="2" t="s">
        <v>428</v>
      </c>
      <c r="B3230" s="2" t="s">
        <v>1113</v>
      </c>
      <c r="C3230" s="5" t="s">
        <v>4971</v>
      </c>
      <c r="D3230" s="2" t="s">
        <v>4972</v>
      </c>
    </row>
    <row r="3231" spans="1:4" ht="12.95" customHeight="1" x14ac:dyDescent="0.25">
      <c r="A3231" s="2" t="s">
        <v>428</v>
      </c>
      <c r="B3231" s="2" t="s">
        <v>1113</v>
      </c>
      <c r="C3231" s="5" t="s">
        <v>4973</v>
      </c>
      <c r="D3231" s="2" t="s">
        <v>4974</v>
      </c>
    </row>
    <row r="3232" spans="1:4" ht="12.95" customHeight="1" x14ac:dyDescent="0.25">
      <c r="A3232" s="2" t="s">
        <v>428</v>
      </c>
      <c r="B3232" s="2" t="s">
        <v>1113</v>
      </c>
      <c r="C3232" s="5" t="s">
        <v>4975</v>
      </c>
      <c r="D3232" s="2" t="s">
        <v>4976</v>
      </c>
    </row>
    <row r="3233" spans="1:4" ht="12.95" customHeight="1" x14ac:dyDescent="0.25">
      <c r="A3233" s="2" t="s">
        <v>428</v>
      </c>
      <c r="B3233" s="2" t="s">
        <v>1113</v>
      </c>
      <c r="C3233" s="5" t="s">
        <v>4977</v>
      </c>
      <c r="D3233" s="2" t="s">
        <v>4978</v>
      </c>
    </row>
    <row r="3234" spans="1:4" ht="12.95" customHeight="1" x14ac:dyDescent="0.25">
      <c r="A3234" s="2" t="s">
        <v>428</v>
      </c>
      <c r="B3234" s="2" t="s">
        <v>1113</v>
      </c>
      <c r="C3234" s="5" t="s">
        <v>4979</v>
      </c>
      <c r="D3234" s="2" t="s">
        <v>4980</v>
      </c>
    </row>
    <row r="3235" spans="1:4" ht="12.95" customHeight="1" x14ac:dyDescent="0.25">
      <c r="A3235" s="2" t="s">
        <v>428</v>
      </c>
      <c r="B3235" s="2" t="s">
        <v>1113</v>
      </c>
      <c r="C3235" s="5" t="s">
        <v>4981</v>
      </c>
      <c r="D3235" s="2" t="s">
        <v>3395</v>
      </c>
    </row>
    <row r="3236" spans="1:4" ht="12.95" customHeight="1" x14ac:dyDescent="0.25">
      <c r="A3236" s="2" t="s">
        <v>428</v>
      </c>
      <c r="B3236" s="2" t="s">
        <v>1113</v>
      </c>
      <c r="C3236" s="5" t="s">
        <v>4982</v>
      </c>
      <c r="D3236" s="2" t="s">
        <v>3397</v>
      </c>
    </row>
    <row r="3237" spans="1:4" ht="12.95" customHeight="1" x14ac:dyDescent="0.25">
      <c r="A3237" s="2" t="s">
        <v>428</v>
      </c>
      <c r="B3237" s="2" t="s">
        <v>1113</v>
      </c>
      <c r="C3237" s="5" t="s">
        <v>4983</v>
      </c>
      <c r="D3237" s="2" t="s">
        <v>4984</v>
      </c>
    </row>
    <row r="3238" spans="1:4" ht="12.95" customHeight="1" x14ac:dyDescent="0.25">
      <c r="A3238" s="2" t="s">
        <v>428</v>
      </c>
      <c r="B3238" s="2" t="s">
        <v>1113</v>
      </c>
      <c r="C3238" s="5" t="s">
        <v>4985</v>
      </c>
      <c r="D3238" s="2" t="s">
        <v>4986</v>
      </c>
    </row>
    <row r="3239" spans="1:4" ht="12.95" customHeight="1" x14ac:dyDescent="0.25">
      <c r="A3239" s="2" t="s">
        <v>428</v>
      </c>
      <c r="B3239" s="2" t="s">
        <v>1113</v>
      </c>
      <c r="C3239" s="5" t="s">
        <v>4987</v>
      </c>
      <c r="D3239" s="2" t="s">
        <v>4988</v>
      </c>
    </row>
    <row r="3240" spans="1:4" ht="12.95" customHeight="1" x14ac:dyDescent="0.25">
      <c r="A3240" s="2" t="s">
        <v>428</v>
      </c>
      <c r="B3240" s="2" t="s">
        <v>1113</v>
      </c>
      <c r="C3240" s="5" t="s">
        <v>4989</v>
      </c>
      <c r="D3240" s="2" t="s">
        <v>4990</v>
      </c>
    </row>
    <row r="3241" spans="1:4" ht="12.95" customHeight="1" x14ac:dyDescent="0.25">
      <c r="A3241" s="2" t="s">
        <v>428</v>
      </c>
      <c r="B3241" s="2" t="s">
        <v>1113</v>
      </c>
      <c r="C3241" s="5" t="s">
        <v>4991</v>
      </c>
      <c r="D3241" s="2" t="s">
        <v>4992</v>
      </c>
    </row>
    <row r="3242" spans="1:4" ht="12.95" customHeight="1" x14ac:dyDescent="0.25">
      <c r="A3242" s="2" t="s">
        <v>428</v>
      </c>
      <c r="B3242" s="2" t="s">
        <v>1113</v>
      </c>
      <c r="C3242" s="5" t="s">
        <v>4993</v>
      </c>
      <c r="D3242" s="2" t="s">
        <v>4994</v>
      </c>
    </row>
    <row r="3243" spans="1:4" ht="12.95" customHeight="1" x14ac:dyDescent="0.25">
      <c r="A3243" s="2" t="s">
        <v>428</v>
      </c>
      <c r="B3243" s="2" t="s">
        <v>1113</v>
      </c>
      <c r="C3243" s="5" t="s">
        <v>4995</v>
      </c>
      <c r="D3243" s="2" t="s">
        <v>3395</v>
      </c>
    </row>
    <row r="3244" spans="1:4" ht="12.95" customHeight="1" x14ac:dyDescent="0.25">
      <c r="A3244" s="2" t="s">
        <v>428</v>
      </c>
      <c r="B3244" s="2" t="s">
        <v>1113</v>
      </c>
      <c r="C3244" s="5" t="s">
        <v>4996</v>
      </c>
      <c r="D3244" s="2" t="s">
        <v>3397</v>
      </c>
    </row>
    <row r="3245" spans="1:4" ht="12.95" customHeight="1" x14ac:dyDescent="0.25">
      <c r="A3245" s="2" t="s">
        <v>428</v>
      </c>
      <c r="B3245" s="2" t="s">
        <v>1113</v>
      </c>
      <c r="C3245" s="5" t="s">
        <v>4997</v>
      </c>
      <c r="D3245" s="2" t="s">
        <v>4998</v>
      </c>
    </row>
    <row r="3246" spans="1:4" ht="12.95" customHeight="1" x14ac:dyDescent="0.25">
      <c r="A3246" s="2" t="s">
        <v>428</v>
      </c>
      <c r="B3246" s="2" t="s">
        <v>1113</v>
      </c>
      <c r="C3246" s="5" t="s">
        <v>4999</v>
      </c>
      <c r="D3246" s="2" t="s">
        <v>5000</v>
      </c>
    </row>
    <row r="3247" spans="1:4" ht="12.95" customHeight="1" x14ac:dyDescent="0.25">
      <c r="A3247" s="2" t="s">
        <v>428</v>
      </c>
      <c r="B3247" s="2" t="s">
        <v>1113</v>
      </c>
      <c r="C3247" s="5" t="s">
        <v>5001</v>
      </c>
      <c r="D3247" s="2" t="s">
        <v>5002</v>
      </c>
    </row>
    <row r="3248" spans="1:4" ht="12.95" customHeight="1" x14ac:dyDescent="0.25">
      <c r="A3248" s="2" t="s">
        <v>428</v>
      </c>
      <c r="B3248" s="2" t="s">
        <v>1113</v>
      </c>
      <c r="C3248" s="5" t="s">
        <v>5003</v>
      </c>
      <c r="D3248" s="2" t="s">
        <v>5004</v>
      </c>
    </row>
    <row r="3249" spans="1:4" ht="12.95" customHeight="1" x14ac:dyDescent="0.25">
      <c r="A3249" s="2" t="s">
        <v>428</v>
      </c>
      <c r="B3249" s="2" t="s">
        <v>1113</v>
      </c>
      <c r="C3249" s="5" t="s">
        <v>5005</v>
      </c>
      <c r="D3249" s="2" t="s">
        <v>5006</v>
      </c>
    </row>
    <row r="3250" spans="1:4" ht="12.95" customHeight="1" x14ac:dyDescent="0.25">
      <c r="A3250" s="2" t="s">
        <v>428</v>
      </c>
      <c r="B3250" s="2" t="s">
        <v>1113</v>
      </c>
      <c r="C3250" s="5" t="s">
        <v>5007</v>
      </c>
      <c r="D3250" s="2" t="s">
        <v>5008</v>
      </c>
    </row>
    <row r="3251" spans="1:4" ht="12.95" customHeight="1" x14ac:dyDescent="0.25">
      <c r="A3251" s="2" t="s">
        <v>428</v>
      </c>
      <c r="B3251" s="2" t="s">
        <v>1113</v>
      </c>
      <c r="C3251" s="5" t="s">
        <v>5009</v>
      </c>
      <c r="D3251" s="2" t="s">
        <v>5010</v>
      </c>
    </row>
    <row r="3252" spans="1:4" ht="12.95" customHeight="1" x14ac:dyDescent="0.25">
      <c r="A3252" s="2" t="s">
        <v>428</v>
      </c>
      <c r="B3252" s="2" t="s">
        <v>1113</v>
      </c>
      <c r="C3252" s="5" t="s">
        <v>5011</v>
      </c>
      <c r="D3252" s="2" t="s">
        <v>5012</v>
      </c>
    </row>
    <row r="3253" spans="1:4" ht="12.95" customHeight="1" x14ac:dyDescent="0.25">
      <c r="A3253" s="2" t="s">
        <v>428</v>
      </c>
      <c r="B3253" s="2" t="s">
        <v>1113</v>
      </c>
      <c r="C3253" s="5" t="s">
        <v>5013</v>
      </c>
      <c r="D3253" s="2" t="s">
        <v>5014</v>
      </c>
    </row>
    <row r="3254" spans="1:4" ht="12.95" customHeight="1" x14ac:dyDescent="0.25">
      <c r="A3254" s="2" t="s">
        <v>428</v>
      </c>
      <c r="B3254" s="2" t="s">
        <v>1113</v>
      </c>
      <c r="C3254" s="5" t="s">
        <v>5015</v>
      </c>
      <c r="D3254" s="2" t="s">
        <v>5016</v>
      </c>
    </row>
    <row r="3255" spans="1:4" ht="12.95" customHeight="1" x14ac:dyDescent="0.25">
      <c r="A3255" s="2" t="s">
        <v>428</v>
      </c>
      <c r="B3255" s="2" t="s">
        <v>1113</v>
      </c>
      <c r="C3255" s="5" t="s">
        <v>5017</v>
      </c>
      <c r="D3255" s="2" t="s">
        <v>5018</v>
      </c>
    </row>
    <row r="3256" spans="1:4" ht="12.95" customHeight="1" x14ac:dyDescent="0.25">
      <c r="A3256" s="2" t="s">
        <v>428</v>
      </c>
      <c r="B3256" s="2" t="s">
        <v>1113</v>
      </c>
      <c r="C3256" s="5" t="s">
        <v>5019</v>
      </c>
      <c r="D3256" s="2" t="s">
        <v>5020</v>
      </c>
    </row>
    <row r="3257" spans="1:4" ht="12.95" customHeight="1" x14ac:dyDescent="0.25">
      <c r="A3257" s="2" t="s">
        <v>428</v>
      </c>
      <c r="B3257" s="2" t="s">
        <v>1113</v>
      </c>
      <c r="C3257" s="5" t="s">
        <v>5021</v>
      </c>
      <c r="D3257" s="2" t="s">
        <v>5022</v>
      </c>
    </row>
    <row r="3258" spans="1:4" ht="12.95" customHeight="1" x14ac:dyDescent="0.25">
      <c r="A3258" s="2" t="s">
        <v>428</v>
      </c>
      <c r="B3258" s="2" t="s">
        <v>1113</v>
      </c>
      <c r="C3258" s="5" t="s">
        <v>5023</v>
      </c>
      <c r="D3258" s="2" t="s">
        <v>5024</v>
      </c>
    </row>
    <row r="3259" spans="1:4" ht="12.95" customHeight="1" x14ac:dyDescent="0.25">
      <c r="A3259" s="2" t="s">
        <v>428</v>
      </c>
      <c r="B3259" s="2" t="s">
        <v>1113</v>
      </c>
      <c r="C3259" s="5" t="s">
        <v>5025</v>
      </c>
      <c r="D3259" s="2" t="s">
        <v>5026</v>
      </c>
    </row>
    <row r="3260" spans="1:4" ht="12.95" customHeight="1" x14ac:dyDescent="0.25">
      <c r="A3260" s="2" t="s">
        <v>428</v>
      </c>
      <c r="B3260" s="2" t="s">
        <v>1113</v>
      </c>
      <c r="C3260" s="5" t="s">
        <v>5027</v>
      </c>
      <c r="D3260" s="2" t="s">
        <v>5028</v>
      </c>
    </row>
    <row r="3261" spans="1:4" ht="12.95" customHeight="1" x14ac:dyDescent="0.25">
      <c r="A3261" s="2" t="s">
        <v>428</v>
      </c>
      <c r="B3261" s="2" t="s">
        <v>1113</v>
      </c>
      <c r="C3261" s="5" t="s">
        <v>5029</v>
      </c>
      <c r="D3261" s="2" t="s">
        <v>5030</v>
      </c>
    </row>
    <row r="3262" spans="1:4" ht="12.95" customHeight="1" x14ac:dyDescent="0.25">
      <c r="A3262" s="2" t="s">
        <v>428</v>
      </c>
      <c r="B3262" s="2" t="s">
        <v>1113</v>
      </c>
      <c r="C3262" s="5" t="s">
        <v>5031</v>
      </c>
      <c r="D3262" s="2" t="s">
        <v>3395</v>
      </c>
    </row>
    <row r="3263" spans="1:4" ht="12.95" customHeight="1" x14ac:dyDescent="0.25">
      <c r="A3263" s="2" t="s">
        <v>428</v>
      </c>
      <c r="B3263" s="2" t="s">
        <v>1113</v>
      </c>
      <c r="C3263" s="5" t="s">
        <v>5032</v>
      </c>
      <c r="D3263" s="2" t="s">
        <v>3509</v>
      </c>
    </row>
    <row r="3264" spans="1:4" ht="12.95" customHeight="1" x14ac:dyDescent="0.25">
      <c r="A3264" s="2" t="s">
        <v>428</v>
      </c>
      <c r="B3264" s="2" t="s">
        <v>1113</v>
      </c>
      <c r="C3264" s="5" t="s">
        <v>5033</v>
      </c>
      <c r="D3264" s="2" t="s">
        <v>5034</v>
      </c>
    </row>
    <row r="3265" spans="1:4" ht="12.95" customHeight="1" x14ac:dyDescent="0.25">
      <c r="A3265" s="2" t="s">
        <v>428</v>
      </c>
      <c r="B3265" s="2" t="s">
        <v>1113</v>
      </c>
      <c r="C3265" s="5" t="s">
        <v>5035</v>
      </c>
      <c r="D3265" s="2" t="s">
        <v>5036</v>
      </c>
    </row>
    <row r="3266" spans="1:4" ht="12.95" customHeight="1" x14ac:dyDescent="0.25">
      <c r="A3266" s="2" t="s">
        <v>428</v>
      </c>
      <c r="B3266" s="2" t="s">
        <v>1113</v>
      </c>
      <c r="C3266" s="5" t="s">
        <v>5037</v>
      </c>
      <c r="D3266" s="2" t="s">
        <v>4320</v>
      </c>
    </row>
    <row r="3267" spans="1:4" ht="12.95" customHeight="1" x14ac:dyDescent="0.25">
      <c r="A3267" s="2" t="s">
        <v>428</v>
      </c>
      <c r="B3267" s="2" t="s">
        <v>1113</v>
      </c>
      <c r="C3267" s="5" t="s">
        <v>5038</v>
      </c>
      <c r="D3267" s="2" t="s">
        <v>5039</v>
      </c>
    </row>
    <row r="3268" spans="1:4" ht="12.95" customHeight="1" x14ac:dyDescent="0.25">
      <c r="A3268" s="2" t="s">
        <v>428</v>
      </c>
      <c r="B3268" s="2" t="s">
        <v>1113</v>
      </c>
      <c r="C3268" s="5" t="s">
        <v>5040</v>
      </c>
      <c r="D3268" s="2" t="s">
        <v>5041</v>
      </c>
    </row>
    <row r="3269" spans="1:4" ht="12.95" customHeight="1" x14ac:dyDescent="0.25">
      <c r="A3269" s="2" t="s">
        <v>428</v>
      </c>
      <c r="B3269" s="2" t="s">
        <v>1113</v>
      </c>
      <c r="C3269" s="5" t="s">
        <v>5042</v>
      </c>
      <c r="D3269" s="2" t="s">
        <v>5043</v>
      </c>
    </row>
    <row r="3270" spans="1:4" ht="12.95" customHeight="1" x14ac:dyDescent="0.25">
      <c r="A3270" s="2" t="s">
        <v>428</v>
      </c>
      <c r="B3270" s="2" t="s">
        <v>1113</v>
      </c>
      <c r="C3270" s="5" t="s">
        <v>5044</v>
      </c>
      <c r="D3270" s="2" t="s">
        <v>1127</v>
      </c>
    </row>
    <row r="3271" spans="1:4" ht="12.95" customHeight="1" x14ac:dyDescent="0.25">
      <c r="A3271" s="2" t="s">
        <v>428</v>
      </c>
      <c r="B3271" s="2" t="s">
        <v>1113</v>
      </c>
      <c r="C3271" s="5" t="s">
        <v>5045</v>
      </c>
      <c r="D3271" s="2" t="s">
        <v>1133</v>
      </c>
    </row>
    <row r="3272" spans="1:4" ht="12.95" customHeight="1" x14ac:dyDescent="0.25">
      <c r="A3272" s="2" t="s">
        <v>428</v>
      </c>
      <c r="B3272" s="2" t="s">
        <v>1113</v>
      </c>
      <c r="C3272" s="5" t="s">
        <v>5046</v>
      </c>
      <c r="D3272" s="2" t="s">
        <v>1135</v>
      </c>
    </row>
    <row r="3273" spans="1:4" ht="12.95" customHeight="1" x14ac:dyDescent="0.25">
      <c r="A3273" s="2" t="s">
        <v>428</v>
      </c>
      <c r="B3273" s="2" t="s">
        <v>1113</v>
      </c>
      <c r="C3273" s="5" t="s">
        <v>5047</v>
      </c>
      <c r="D3273" s="2" t="s">
        <v>1137</v>
      </c>
    </row>
    <row r="3274" spans="1:4" ht="12.95" customHeight="1" x14ac:dyDescent="0.25">
      <c r="A3274" s="2" t="s">
        <v>428</v>
      </c>
      <c r="B3274" s="2" t="s">
        <v>1113</v>
      </c>
      <c r="C3274" s="5" t="s">
        <v>5048</v>
      </c>
      <c r="D3274" s="2" t="s">
        <v>5049</v>
      </c>
    </row>
    <row r="3275" spans="1:4" ht="12.95" customHeight="1" x14ac:dyDescent="0.25">
      <c r="A3275" s="2" t="s">
        <v>428</v>
      </c>
      <c r="B3275" s="2" t="s">
        <v>1113</v>
      </c>
      <c r="C3275" s="5" t="s">
        <v>5050</v>
      </c>
      <c r="D3275" s="2" t="s">
        <v>5051</v>
      </c>
    </row>
    <row r="3276" spans="1:4" ht="12.95" customHeight="1" x14ac:dyDescent="0.25">
      <c r="A3276" s="2" t="s">
        <v>428</v>
      </c>
      <c r="B3276" s="2" t="s">
        <v>1113</v>
      </c>
      <c r="C3276" s="5" t="s">
        <v>5052</v>
      </c>
      <c r="D3276" s="2" t="s">
        <v>5053</v>
      </c>
    </row>
    <row r="3277" spans="1:4" ht="12.95" customHeight="1" x14ac:dyDescent="0.25">
      <c r="A3277" s="2" t="s">
        <v>428</v>
      </c>
      <c r="B3277" s="2" t="s">
        <v>1113</v>
      </c>
      <c r="C3277" s="5" t="s">
        <v>5054</v>
      </c>
      <c r="D3277" s="2" t="s">
        <v>5055</v>
      </c>
    </row>
    <row r="3278" spans="1:4" ht="12.95" customHeight="1" x14ac:dyDescent="0.25">
      <c r="A3278" s="2" t="s">
        <v>428</v>
      </c>
      <c r="B3278" s="2" t="s">
        <v>1113</v>
      </c>
      <c r="C3278" s="5" t="s">
        <v>5056</v>
      </c>
      <c r="D3278" s="2" t="s">
        <v>3718</v>
      </c>
    </row>
    <row r="3279" spans="1:4" ht="12.95" customHeight="1" x14ac:dyDescent="0.25">
      <c r="A3279" s="2" t="s">
        <v>428</v>
      </c>
      <c r="B3279" s="2" t="s">
        <v>1113</v>
      </c>
      <c r="C3279" s="5" t="s">
        <v>5057</v>
      </c>
      <c r="D3279" s="2" t="s">
        <v>3714</v>
      </c>
    </row>
    <row r="3280" spans="1:4" ht="12.95" customHeight="1" x14ac:dyDescent="0.25">
      <c r="A3280" s="2" t="s">
        <v>428</v>
      </c>
      <c r="B3280" s="2" t="s">
        <v>1113</v>
      </c>
      <c r="C3280" s="5" t="s">
        <v>5058</v>
      </c>
      <c r="D3280" s="2" t="s">
        <v>3395</v>
      </c>
    </row>
    <row r="3281" spans="1:4" ht="12.95" customHeight="1" x14ac:dyDescent="0.25">
      <c r="A3281" s="2" t="s">
        <v>428</v>
      </c>
      <c r="B3281" s="2" t="s">
        <v>1113</v>
      </c>
      <c r="C3281" s="5" t="s">
        <v>5059</v>
      </c>
      <c r="D3281" s="2" t="s">
        <v>3509</v>
      </c>
    </row>
    <row r="3282" spans="1:4" ht="12.95" customHeight="1" x14ac:dyDescent="0.25">
      <c r="A3282" s="2" t="s">
        <v>428</v>
      </c>
      <c r="B3282" s="2" t="s">
        <v>1113</v>
      </c>
      <c r="C3282" s="5" t="s">
        <v>5060</v>
      </c>
      <c r="D3282" s="2" t="s">
        <v>5061</v>
      </c>
    </row>
    <row r="3283" spans="1:4" ht="12.95" customHeight="1" x14ac:dyDescent="0.25">
      <c r="A3283" s="2" t="s">
        <v>428</v>
      </c>
      <c r="B3283" s="2" t="s">
        <v>1113</v>
      </c>
      <c r="C3283" s="5" t="s">
        <v>5062</v>
      </c>
      <c r="D3283" s="2" t="s">
        <v>5063</v>
      </c>
    </row>
    <row r="3284" spans="1:4" ht="12.95" customHeight="1" x14ac:dyDescent="0.25">
      <c r="A3284" s="2" t="s">
        <v>428</v>
      </c>
      <c r="B3284" s="2" t="s">
        <v>1113</v>
      </c>
      <c r="C3284" s="5" t="s">
        <v>5064</v>
      </c>
      <c r="D3284" s="2" t="s">
        <v>5065</v>
      </c>
    </row>
    <row r="3285" spans="1:4" ht="12.95" customHeight="1" x14ac:dyDescent="0.25">
      <c r="A3285" s="2" t="s">
        <v>428</v>
      </c>
      <c r="B3285" s="2" t="s">
        <v>1113</v>
      </c>
      <c r="C3285" s="5" t="s">
        <v>5066</v>
      </c>
      <c r="D3285" s="2" t="s">
        <v>5067</v>
      </c>
    </row>
    <row r="3286" spans="1:4" ht="12.95" customHeight="1" x14ac:dyDescent="0.25">
      <c r="A3286" s="2" t="s">
        <v>428</v>
      </c>
      <c r="B3286" s="2" t="s">
        <v>1113</v>
      </c>
      <c r="C3286" s="5" t="s">
        <v>5068</v>
      </c>
      <c r="D3286" s="2" t="s">
        <v>5069</v>
      </c>
    </row>
    <row r="3287" spans="1:4" ht="12.95" customHeight="1" x14ac:dyDescent="0.25">
      <c r="A3287" s="2" t="s">
        <v>428</v>
      </c>
      <c r="B3287" s="2" t="s">
        <v>1113</v>
      </c>
      <c r="C3287" s="5" t="s">
        <v>5070</v>
      </c>
      <c r="D3287" s="2" t="s">
        <v>5071</v>
      </c>
    </row>
    <row r="3288" spans="1:4" ht="12.95" customHeight="1" x14ac:dyDescent="0.25">
      <c r="A3288" s="2" t="s">
        <v>428</v>
      </c>
      <c r="B3288" s="2" t="s">
        <v>1113</v>
      </c>
      <c r="C3288" s="5" t="s">
        <v>5072</v>
      </c>
      <c r="D3288" s="2" t="s">
        <v>5073</v>
      </c>
    </row>
    <row r="3289" spans="1:4" ht="12.95" customHeight="1" x14ac:dyDescent="0.25">
      <c r="A3289" s="2" t="s">
        <v>428</v>
      </c>
      <c r="B3289" s="2" t="s">
        <v>1113</v>
      </c>
      <c r="C3289" s="5" t="s">
        <v>5074</v>
      </c>
      <c r="D3289" s="2" t="s">
        <v>5075</v>
      </c>
    </row>
    <row r="3290" spans="1:4" ht="12.95" customHeight="1" x14ac:dyDescent="0.25">
      <c r="A3290" s="2" t="s">
        <v>428</v>
      </c>
      <c r="B3290" s="2" t="s">
        <v>1113</v>
      </c>
      <c r="C3290" s="5" t="s">
        <v>5076</v>
      </c>
      <c r="D3290" s="2" t="s">
        <v>3395</v>
      </c>
    </row>
    <row r="3291" spans="1:4" ht="12.95" customHeight="1" x14ac:dyDescent="0.25">
      <c r="A3291" s="2" t="s">
        <v>428</v>
      </c>
      <c r="B3291" s="2" t="s">
        <v>1113</v>
      </c>
      <c r="C3291" s="5" t="s">
        <v>5077</v>
      </c>
      <c r="D3291" s="2" t="s">
        <v>3509</v>
      </c>
    </row>
    <row r="3292" spans="1:4" ht="12.95" customHeight="1" x14ac:dyDescent="0.25">
      <c r="A3292" s="2" t="s">
        <v>428</v>
      </c>
      <c r="B3292" s="2" t="s">
        <v>1113</v>
      </c>
      <c r="C3292" s="5" t="s">
        <v>5078</v>
      </c>
      <c r="D3292" s="2" t="s">
        <v>5079</v>
      </c>
    </row>
    <row r="3293" spans="1:4" ht="12.95" customHeight="1" x14ac:dyDescent="0.25">
      <c r="A3293" s="2" t="s">
        <v>428</v>
      </c>
      <c r="B3293" s="2" t="s">
        <v>1113</v>
      </c>
      <c r="C3293" s="5" t="s">
        <v>5080</v>
      </c>
      <c r="D3293" s="2" t="s">
        <v>5081</v>
      </c>
    </row>
    <row r="3294" spans="1:4" ht="12.95" customHeight="1" x14ac:dyDescent="0.25">
      <c r="A3294" s="2" t="s">
        <v>428</v>
      </c>
      <c r="B3294" s="2" t="s">
        <v>1113</v>
      </c>
      <c r="C3294" s="5" t="s">
        <v>5082</v>
      </c>
      <c r="D3294" s="2" t="s">
        <v>5083</v>
      </c>
    </row>
    <row r="3295" spans="1:4" ht="12.95" customHeight="1" x14ac:dyDescent="0.25">
      <c r="A3295" s="2" t="s">
        <v>428</v>
      </c>
      <c r="B3295" s="2" t="s">
        <v>1113</v>
      </c>
      <c r="C3295" s="5" t="s">
        <v>5084</v>
      </c>
      <c r="D3295" s="2" t="s">
        <v>5085</v>
      </c>
    </row>
    <row r="3296" spans="1:4" ht="12.95" customHeight="1" x14ac:dyDescent="0.25">
      <c r="A3296" s="2" t="s">
        <v>428</v>
      </c>
      <c r="B3296" s="2" t="s">
        <v>1113</v>
      </c>
      <c r="C3296" s="5" t="s">
        <v>5086</v>
      </c>
      <c r="D3296" s="2" t="s">
        <v>5087</v>
      </c>
    </row>
    <row r="3297" spans="1:4" ht="12.95" customHeight="1" x14ac:dyDescent="0.25">
      <c r="A3297" s="2" t="s">
        <v>428</v>
      </c>
      <c r="B3297" s="2" t="s">
        <v>1113</v>
      </c>
      <c r="C3297" s="5" t="s">
        <v>5088</v>
      </c>
      <c r="D3297" s="2" t="s">
        <v>5089</v>
      </c>
    </row>
    <row r="3298" spans="1:4" ht="12.95" customHeight="1" x14ac:dyDescent="0.25">
      <c r="A3298" s="2" t="s">
        <v>428</v>
      </c>
      <c r="B3298" s="2" t="s">
        <v>1113</v>
      </c>
      <c r="C3298" s="5" t="s">
        <v>5090</v>
      </c>
      <c r="D3298" s="2" t="s">
        <v>5091</v>
      </c>
    </row>
    <row r="3299" spans="1:4" ht="12.95" customHeight="1" x14ac:dyDescent="0.25">
      <c r="A3299" s="2" t="s">
        <v>428</v>
      </c>
      <c r="B3299" s="2" t="s">
        <v>1113</v>
      </c>
      <c r="C3299" s="5" t="s">
        <v>5092</v>
      </c>
      <c r="D3299" s="2" t="s">
        <v>5093</v>
      </c>
    </row>
    <row r="3300" spans="1:4" ht="12.95" customHeight="1" x14ac:dyDescent="0.25">
      <c r="A3300" s="2" t="s">
        <v>428</v>
      </c>
      <c r="B3300" s="2" t="s">
        <v>1113</v>
      </c>
      <c r="C3300" s="5" t="s">
        <v>5094</v>
      </c>
      <c r="D3300" s="2" t="s">
        <v>5095</v>
      </c>
    </row>
    <row r="3301" spans="1:4" ht="12.95" customHeight="1" x14ac:dyDescent="0.25">
      <c r="A3301" s="2" t="s">
        <v>428</v>
      </c>
      <c r="B3301" s="2" t="s">
        <v>1113</v>
      </c>
      <c r="C3301" s="5" t="s">
        <v>5096</v>
      </c>
      <c r="D3301" s="2" t="s">
        <v>5097</v>
      </c>
    </row>
    <row r="3302" spans="1:4" ht="12.95" customHeight="1" x14ac:dyDescent="0.25">
      <c r="A3302" s="2" t="s">
        <v>428</v>
      </c>
      <c r="B3302" s="2" t="s">
        <v>1113</v>
      </c>
      <c r="C3302" s="5" t="s">
        <v>5098</v>
      </c>
      <c r="D3302" s="2" t="s">
        <v>5099</v>
      </c>
    </row>
    <row r="3303" spans="1:4" ht="12.95" customHeight="1" x14ac:dyDescent="0.25">
      <c r="A3303" s="2" t="s">
        <v>428</v>
      </c>
      <c r="B3303" s="2" t="s">
        <v>1113</v>
      </c>
      <c r="C3303" s="5" t="s">
        <v>5100</v>
      </c>
      <c r="D3303" s="2" t="s">
        <v>5101</v>
      </c>
    </row>
    <row r="3304" spans="1:4" ht="12.95" customHeight="1" x14ac:dyDescent="0.25">
      <c r="A3304" s="2" t="s">
        <v>428</v>
      </c>
      <c r="B3304" s="2" t="s">
        <v>1113</v>
      </c>
      <c r="C3304" s="5" t="s">
        <v>5102</v>
      </c>
      <c r="D3304" s="2" t="s">
        <v>5103</v>
      </c>
    </row>
    <row r="3305" spans="1:4" ht="12.95" customHeight="1" x14ac:dyDescent="0.25">
      <c r="A3305" s="2" t="s">
        <v>428</v>
      </c>
      <c r="B3305" s="2" t="s">
        <v>1113</v>
      </c>
      <c r="C3305" s="5" t="s">
        <v>5104</v>
      </c>
      <c r="D3305" s="2" t="s">
        <v>5105</v>
      </c>
    </row>
    <row r="3306" spans="1:4" ht="12.95" customHeight="1" x14ac:dyDescent="0.25">
      <c r="A3306" s="2" t="s">
        <v>428</v>
      </c>
      <c r="B3306" s="2" t="s">
        <v>1113</v>
      </c>
      <c r="C3306" s="5" t="s">
        <v>5106</v>
      </c>
      <c r="D3306" s="2" t="s">
        <v>5107</v>
      </c>
    </row>
    <row r="3307" spans="1:4" ht="12.95" customHeight="1" x14ac:dyDescent="0.25">
      <c r="A3307" s="2" t="s">
        <v>428</v>
      </c>
      <c r="B3307" s="2" t="s">
        <v>1113</v>
      </c>
      <c r="C3307" s="5" t="s">
        <v>5108</v>
      </c>
      <c r="D3307" s="2" t="s">
        <v>5109</v>
      </c>
    </row>
    <row r="3308" spans="1:4" ht="12.95" customHeight="1" x14ac:dyDescent="0.25">
      <c r="A3308" s="2" t="s">
        <v>428</v>
      </c>
      <c r="B3308" s="2" t="s">
        <v>1113</v>
      </c>
      <c r="C3308" s="5" t="s">
        <v>5110</v>
      </c>
      <c r="D3308" s="2" t="s">
        <v>3507</v>
      </c>
    </row>
    <row r="3309" spans="1:4" ht="12.95" customHeight="1" x14ac:dyDescent="0.25">
      <c r="A3309" s="2" t="s">
        <v>428</v>
      </c>
      <c r="B3309" s="2" t="s">
        <v>1113</v>
      </c>
      <c r="C3309" s="5" t="s">
        <v>5111</v>
      </c>
      <c r="D3309" s="2" t="s">
        <v>3509</v>
      </c>
    </row>
    <row r="3310" spans="1:4" ht="12.95" customHeight="1" x14ac:dyDescent="0.25">
      <c r="A3310" s="2" t="s">
        <v>428</v>
      </c>
      <c r="B3310" s="2" t="s">
        <v>1113</v>
      </c>
      <c r="C3310" s="5" t="s">
        <v>5112</v>
      </c>
      <c r="D3310" s="2" t="s">
        <v>5113</v>
      </c>
    </row>
    <row r="3311" spans="1:4" ht="12.95" customHeight="1" x14ac:dyDescent="0.25">
      <c r="A3311" s="2" t="s">
        <v>428</v>
      </c>
      <c r="B3311" s="2" t="s">
        <v>1113</v>
      </c>
      <c r="C3311" s="5" t="s">
        <v>5114</v>
      </c>
      <c r="D3311" s="2" t="s">
        <v>5115</v>
      </c>
    </row>
    <row r="3312" spans="1:4" ht="12.95" customHeight="1" x14ac:dyDescent="0.25">
      <c r="A3312" s="2" t="s">
        <v>428</v>
      </c>
      <c r="B3312" s="2" t="s">
        <v>1113</v>
      </c>
      <c r="C3312" s="5" t="s">
        <v>5116</v>
      </c>
      <c r="D3312" s="2" t="s">
        <v>5117</v>
      </c>
    </row>
    <row r="3313" spans="1:4" ht="12.95" customHeight="1" x14ac:dyDescent="0.25">
      <c r="A3313" s="2" t="s">
        <v>428</v>
      </c>
      <c r="B3313" s="2" t="s">
        <v>1113</v>
      </c>
      <c r="C3313" s="5" t="s">
        <v>5118</v>
      </c>
      <c r="D3313" s="2" t="s">
        <v>3429</v>
      </c>
    </row>
    <row r="3314" spans="1:4" ht="12.95" customHeight="1" x14ac:dyDescent="0.25">
      <c r="A3314" s="2" t="s">
        <v>428</v>
      </c>
      <c r="B3314" s="2" t="s">
        <v>1113</v>
      </c>
      <c r="C3314" s="5" t="s">
        <v>5119</v>
      </c>
      <c r="D3314" s="2" t="s">
        <v>5120</v>
      </c>
    </row>
    <row r="3315" spans="1:4" ht="12.95" customHeight="1" x14ac:dyDescent="0.25">
      <c r="A3315" s="2" t="s">
        <v>428</v>
      </c>
      <c r="B3315" s="2" t="s">
        <v>1113</v>
      </c>
      <c r="C3315" s="5" t="s">
        <v>5121</v>
      </c>
      <c r="D3315" s="2" t="s">
        <v>5122</v>
      </c>
    </row>
    <row r="3316" spans="1:4" ht="12.95" customHeight="1" x14ac:dyDescent="0.25">
      <c r="A3316" s="2" t="s">
        <v>428</v>
      </c>
      <c r="B3316" s="2" t="s">
        <v>1113</v>
      </c>
      <c r="C3316" s="5" t="s">
        <v>5123</v>
      </c>
      <c r="D3316" s="2" t="s">
        <v>5124</v>
      </c>
    </row>
    <row r="3317" spans="1:4" ht="12.95" customHeight="1" x14ac:dyDescent="0.25">
      <c r="A3317" s="2" t="s">
        <v>428</v>
      </c>
      <c r="B3317" s="2" t="s">
        <v>1113</v>
      </c>
      <c r="C3317" s="5" t="s">
        <v>5125</v>
      </c>
      <c r="D3317" s="2" t="s">
        <v>5126</v>
      </c>
    </row>
    <row r="3318" spans="1:4" ht="12.95" customHeight="1" x14ac:dyDescent="0.25">
      <c r="A3318" s="2" t="s">
        <v>428</v>
      </c>
      <c r="B3318" s="2" t="s">
        <v>1113</v>
      </c>
      <c r="C3318" s="5" t="s">
        <v>5127</v>
      </c>
      <c r="D3318" s="2" t="s">
        <v>5128</v>
      </c>
    </row>
    <row r="3319" spans="1:4" ht="12.95" customHeight="1" x14ac:dyDescent="0.25">
      <c r="A3319" s="2" t="s">
        <v>428</v>
      </c>
      <c r="B3319" s="2" t="s">
        <v>1113</v>
      </c>
      <c r="C3319" s="5" t="s">
        <v>5129</v>
      </c>
      <c r="D3319" s="2" t="s">
        <v>5130</v>
      </c>
    </row>
    <row r="3320" spans="1:4" ht="12.95" customHeight="1" x14ac:dyDescent="0.25">
      <c r="A3320" s="2" t="s">
        <v>428</v>
      </c>
      <c r="B3320" s="2" t="s">
        <v>1113</v>
      </c>
      <c r="C3320" s="5" t="s">
        <v>5131</v>
      </c>
      <c r="D3320" s="2" t="s">
        <v>5132</v>
      </c>
    </row>
    <row r="3321" spans="1:4" ht="12.95" customHeight="1" x14ac:dyDescent="0.25">
      <c r="A3321" s="2" t="s">
        <v>428</v>
      </c>
      <c r="B3321" s="2" t="s">
        <v>1113</v>
      </c>
      <c r="C3321" s="5" t="s">
        <v>5133</v>
      </c>
      <c r="D3321" s="2" t="s">
        <v>5134</v>
      </c>
    </row>
    <row r="3322" spans="1:4" ht="12.95" customHeight="1" x14ac:dyDescent="0.25">
      <c r="A3322" s="2" t="s">
        <v>428</v>
      </c>
      <c r="B3322" s="2" t="s">
        <v>1113</v>
      </c>
      <c r="C3322" s="5" t="s">
        <v>5135</v>
      </c>
      <c r="D3322" s="2" t="s">
        <v>5136</v>
      </c>
    </row>
    <row r="3323" spans="1:4" ht="12.95" customHeight="1" x14ac:dyDescent="0.25">
      <c r="A3323" s="2" t="s">
        <v>428</v>
      </c>
      <c r="B3323" s="2" t="s">
        <v>1113</v>
      </c>
      <c r="C3323" s="5" t="s">
        <v>5137</v>
      </c>
      <c r="D3323" s="2" t="s">
        <v>5138</v>
      </c>
    </row>
    <row r="3324" spans="1:4" ht="12.95" customHeight="1" x14ac:dyDescent="0.25">
      <c r="A3324" s="2" t="s">
        <v>428</v>
      </c>
      <c r="B3324" s="2" t="s">
        <v>1113</v>
      </c>
      <c r="C3324" s="5" t="s">
        <v>5139</v>
      </c>
      <c r="D3324" s="2" t="s">
        <v>5140</v>
      </c>
    </row>
    <row r="3325" spans="1:4" ht="12.95" customHeight="1" x14ac:dyDescent="0.25">
      <c r="A3325" s="2" t="s">
        <v>428</v>
      </c>
      <c r="B3325" s="2" t="s">
        <v>1113</v>
      </c>
      <c r="C3325" s="5" t="s">
        <v>5141</v>
      </c>
      <c r="D3325" s="2" t="s">
        <v>5142</v>
      </c>
    </row>
    <row r="3326" spans="1:4" ht="12.95" customHeight="1" x14ac:dyDescent="0.25">
      <c r="A3326" s="2" t="s">
        <v>428</v>
      </c>
      <c r="B3326" s="2" t="s">
        <v>1113</v>
      </c>
      <c r="C3326" s="5" t="s">
        <v>5143</v>
      </c>
      <c r="D3326" s="2" t="s">
        <v>5144</v>
      </c>
    </row>
    <row r="3327" spans="1:4" ht="12.95" customHeight="1" x14ac:dyDescent="0.25">
      <c r="A3327" s="2" t="s">
        <v>428</v>
      </c>
      <c r="B3327" s="2" t="s">
        <v>1113</v>
      </c>
      <c r="C3327" s="5" t="s">
        <v>5145</v>
      </c>
      <c r="D3327" s="2" t="s">
        <v>5146</v>
      </c>
    </row>
    <row r="3328" spans="1:4" ht="12.95" customHeight="1" x14ac:dyDescent="0.25">
      <c r="A3328" s="2" t="s">
        <v>428</v>
      </c>
      <c r="B3328" s="2" t="s">
        <v>1113</v>
      </c>
      <c r="C3328" s="5" t="s">
        <v>5147</v>
      </c>
      <c r="D3328" s="2" t="s">
        <v>5148</v>
      </c>
    </row>
    <row r="3329" spans="1:4" ht="12.95" customHeight="1" x14ac:dyDescent="0.25">
      <c r="A3329" s="2" t="s">
        <v>428</v>
      </c>
      <c r="B3329" s="2" t="s">
        <v>1113</v>
      </c>
      <c r="C3329" s="5" t="s">
        <v>5149</v>
      </c>
      <c r="D3329" s="2" t="s">
        <v>5150</v>
      </c>
    </row>
    <row r="3330" spans="1:4" ht="12.95" customHeight="1" x14ac:dyDescent="0.25">
      <c r="A3330" s="2" t="s">
        <v>428</v>
      </c>
      <c r="B3330" s="2" t="s">
        <v>1113</v>
      </c>
      <c r="C3330" s="5" t="s">
        <v>5151</v>
      </c>
      <c r="D3330" s="2" t="s">
        <v>5152</v>
      </c>
    </row>
    <row r="3331" spans="1:4" ht="12.95" customHeight="1" x14ac:dyDescent="0.25">
      <c r="A3331" s="2" t="s">
        <v>428</v>
      </c>
      <c r="B3331" s="2" t="s">
        <v>1113</v>
      </c>
      <c r="C3331" s="5" t="s">
        <v>5153</v>
      </c>
      <c r="D3331" s="2" t="s">
        <v>5154</v>
      </c>
    </row>
    <row r="3332" spans="1:4" ht="12.95" customHeight="1" x14ac:dyDescent="0.25">
      <c r="A3332" s="2" t="s">
        <v>428</v>
      </c>
      <c r="B3332" s="2" t="s">
        <v>1113</v>
      </c>
      <c r="C3332" s="5" t="s">
        <v>5155</v>
      </c>
      <c r="D3332" s="2" t="s">
        <v>5156</v>
      </c>
    </row>
    <row r="3333" spans="1:4" ht="12.95" customHeight="1" x14ac:dyDescent="0.25">
      <c r="A3333" s="2" t="s">
        <v>428</v>
      </c>
      <c r="B3333" s="2" t="s">
        <v>1113</v>
      </c>
      <c r="C3333" s="5" t="s">
        <v>5157</v>
      </c>
      <c r="D3333" s="2" t="s">
        <v>5158</v>
      </c>
    </row>
    <row r="3334" spans="1:4" ht="12.95" customHeight="1" x14ac:dyDescent="0.25">
      <c r="A3334" s="2" t="s">
        <v>428</v>
      </c>
      <c r="B3334" s="2" t="s">
        <v>1113</v>
      </c>
      <c r="C3334" s="5" t="s">
        <v>5159</v>
      </c>
      <c r="D3334" s="2" t="s">
        <v>5160</v>
      </c>
    </row>
    <row r="3335" spans="1:4" ht="12.95" customHeight="1" x14ac:dyDescent="0.25">
      <c r="A3335" s="2" t="s">
        <v>428</v>
      </c>
      <c r="B3335" s="2" t="s">
        <v>1113</v>
      </c>
      <c r="C3335" s="5" t="s">
        <v>5161</v>
      </c>
      <c r="D3335" s="2" t="s">
        <v>5162</v>
      </c>
    </row>
    <row r="3336" spans="1:4" ht="12.95" customHeight="1" x14ac:dyDescent="0.25">
      <c r="A3336" s="2" t="s">
        <v>428</v>
      </c>
      <c r="B3336" s="2" t="s">
        <v>1113</v>
      </c>
      <c r="C3336" s="5" t="s">
        <v>5163</v>
      </c>
      <c r="D3336" s="2" t="s">
        <v>5164</v>
      </c>
    </row>
    <row r="3337" spans="1:4" ht="12.95" customHeight="1" x14ac:dyDescent="0.25">
      <c r="A3337" s="2" t="s">
        <v>428</v>
      </c>
      <c r="B3337" s="2" t="s">
        <v>1113</v>
      </c>
      <c r="C3337" s="5" t="s">
        <v>5165</v>
      </c>
      <c r="D3337" s="2" t="s">
        <v>5166</v>
      </c>
    </row>
    <row r="3338" spans="1:4" ht="12.95" customHeight="1" x14ac:dyDescent="0.25">
      <c r="A3338" s="2" t="s">
        <v>428</v>
      </c>
      <c r="B3338" s="2" t="s">
        <v>1113</v>
      </c>
      <c r="C3338" s="5" t="s">
        <v>5167</v>
      </c>
      <c r="D3338" s="2" t="s">
        <v>5168</v>
      </c>
    </row>
    <row r="3339" spans="1:4" ht="12.95" customHeight="1" x14ac:dyDescent="0.25">
      <c r="A3339" s="2" t="s">
        <v>428</v>
      </c>
      <c r="B3339" s="2" t="s">
        <v>1113</v>
      </c>
      <c r="C3339" s="5" t="s">
        <v>5169</v>
      </c>
      <c r="D3339" s="2" t="s">
        <v>5170</v>
      </c>
    </row>
    <row r="3340" spans="1:4" ht="12.95" customHeight="1" x14ac:dyDescent="0.25">
      <c r="A3340" s="2" t="s">
        <v>428</v>
      </c>
      <c r="B3340" s="2" t="s">
        <v>1113</v>
      </c>
      <c r="C3340" s="5" t="s">
        <v>5171</v>
      </c>
      <c r="D3340" s="2" t="s">
        <v>3395</v>
      </c>
    </row>
    <row r="3341" spans="1:4" ht="12.95" customHeight="1" x14ac:dyDescent="0.25">
      <c r="A3341" s="2" t="s">
        <v>428</v>
      </c>
      <c r="B3341" s="2" t="s">
        <v>1113</v>
      </c>
      <c r="C3341" s="5" t="s">
        <v>5172</v>
      </c>
      <c r="D3341" s="2" t="s">
        <v>3509</v>
      </c>
    </row>
    <row r="3342" spans="1:4" ht="12.95" customHeight="1" x14ac:dyDescent="0.25">
      <c r="A3342" s="2" t="s">
        <v>428</v>
      </c>
      <c r="B3342" s="2" t="s">
        <v>1113</v>
      </c>
      <c r="C3342" s="5" t="s">
        <v>5173</v>
      </c>
      <c r="D3342" s="2" t="s">
        <v>5174</v>
      </c>
    </row>
    <row r="3343" spans="1:4" ht="12.95" customHeight="1" x14ac:dyDescent="0.25">
      <c r="A3343" s="2" t="s">
        <v>428</v>
      </c>
      <c r="B3343" s="2" t="s">
        <v>1113</v>
      </c>
      <c r="C3343" s="5" t="s">
        <v>5175</v>
      </c>
      <c r="D3343" s="2" t="s">
        <v>5176</v>
      </c>
    </row>
    <row r="3344" spans="1:4" ht="12.95" customHeight="1" x14ac:dyDescent="0.25">
      <c r="A3344" s="2" t="s">
        <v>428</v>
      </c>
      <c r="B3344" s="2" t="s">
        <v>1113</v>
      </c>
      <c r="C3344" s="5" t="s">
        <v>5177</v>
      </c>
      <c r="D3344" s="2" t="s">
        <v>5178</v>
      </c>
    </row>
    <row r="3345" spans="1:4" ht="12.95" customHeight="1" x14ac:dyDescent="0.25">
      <c r="A3345" s="2" t="s">
        <v>428</v>
      </c>
      <c r="B3345" s="2" t="s">
        <v>1113</v>
      </c>
      <c r="C3345" s="5" t="s">
        <v>5179</v>
      </c>
      <c r="D3345" s="2" t="s">
        <v>5180</v>
      </c>
    </row>
    <row r="3346" spans="1:4" ht="12.95" customHeight="1" x14ac:dyDescent="0.25">
      <c r="A3346" s="2" t="s">
        <v>428</v>
      </c>
      <c r="B3346" s="2" t="s">
        <v>1113</v>
      </c>
      <c r="C3346" s="5" t="s">
        <v>5181</v>
      </c>
      <c r="D3346" s="2" t="s">
        <v>5182</v>
      </c>
    </row>
    <row r="3347" spans="1:4" ht="12.95" customHeight="1" x14ac:dyDescent="0.25">
      <c r="A3347" s="2" t="s">
        <v>428</v>
      </c>
      <c r="B3347" s="2" t="s">
        <v>1113</v>
      </c>
      <c r="C3347" s="5" t="s">
        <v>5183</v>
      </c>
      <c r="D3347" s="2" t="s">
        <v>5184</v>
      </c>
    </row>
    <row r="3348" spans="1:4" ht="12.95" customHeight="1" x14ac:dyDescent="0.25">
      <c r="A3348" s="2" t="s">
        <v>428</v>
      </c>
      <c r="B3348" s="2" t="s">
        <v>1113</v>
      </c>
      <c r="C3348" s="5" t="s">
        <v>5185</v>
      </c>
      <c r="D3348" s="2" t="s">
        <v>5186</v>
      </c>
    </row>
    <row r="3349" spans="1:4" ht="12.95" customHeight="1" x14ac:dyDescent="0.25">
      <c r="A3349" s="2" t="s">
        <v>428</v>
      </c>
      <c r="B3349" s="2" t="s">
        <v>1113</v>
      </c>
      <c r="C3349" s="5" t="s">
        <v>5187</v>
      </c>
      <c r="D3349" s="2" t="s">
        <v>5188</v>
      </c>
    </row>
    <row r="3350" spans="1:4" ht="12.95" customHeight="1" x14ac:dyDescent="0.25">
      <c r="A3350" s="2" t="s">
        <v>428</v>
      </c>
      <c r="B3350" s="2" t="s">
        <v>1113</v>
      </c>
      <c r="C3350" s="5" t="s">
        <v>5189</v>
      </c>
      <c r="D3350" s="2" t="s">
        <v>5190</v>
      </c>
    </row>
    <row r="3351" spans="1:4" ht="12.95" customHeight="1" x14ac:dyDescent="0.25">
      <c r="A3351" s="2" t="s">
        <v>428</v>
      </c>
      <c r="B3351" s="2" t="s">
        <v>1113</v>
      </c>
      <c r="C3351" s="5" t="s">
        <v>5191</v>
      </c>
      <c r="D3351" s="2" t="s">
        <v>5192</v>
      </c>
    </row>
    <row r="3352" spans="1:4" ht="12.95" customHeight="1" x14ac:dyDescent="0.25">
      <c r="A3352" s="2" t="s">
        <v>428</v>
      </c>
      <c r="B3352" s="2" t="s">
        <v>1113</v>
      </c>
      <c r="C3352" s="5" t="s">
        <v>5193</v>
      </c>
      <c r="D3352" s="2" t="s">
        <v>5194</v>
      </c>
    </row>
    <row r="3353" spans="1:4" ht="12.95" customHeight="1" x14ac:dyDescent="0.25">
      <c r="A3353" s="2" t="s">
        <v>428</v>
      </c>
      <c r="B3353" s="2" t="s">
        <v>1113</v>
      </c>
      <c r="C3353" s="5" t="s">
        <v>5195</v>
      </c>
      <c r="D3353" s="2" t="s">
        <v>5196</v>
      </c>
    </row>
    <row r="3354" spans="1:4" ht="12.95" customHeight="1" x14ac:dyDescent="0.25">
      <c r="A3354" s="2" t="s">
        <v>428</v>
      </c>
      <c r="B3354" s="2" t="s">
        <v>1113</v>
      </c>
      <c r="C3354" s="5" t="s">
        <v>5197</v>
      </c>
      <c r="D3354" s="2" t="s">
        <v>3427</v>
      </c>
    </row>
    <row r="3355" spans="1:4" ht="12.95" customHeight="1" x14ac:dyDescent="0.25">
      <c r="A3355" s="2" t="s">
        <v>428</v>
      </c>
      <c r="B3355" s="2" t="s">
        <v>1113</v>
      </c>
      <c r="C3355" s="5" t="s">
        <v>5198</v>
      </c>
      <c r="D3355" s="2" t="s">
        <v>3429</v>
      </c>
    </row>
    <row r="3356" spans="1:4" ht="12.95" customHeight="1" x14ac:dyDescent="0.25">
      <c r="A3356" s="2" t="s">
        <v>428</v>
      </c>
      <c r="B3356" s="2" t="s">
        <v>1113</v>
      </c>
      <c r="C3356" s="5" t="s">
        <v>5199</v>
      </c>
      <c r="D3356" s="2" t="s">
        <v>5200</v>
      </c>
    </row>
    <row r="3357" spans="1:4" ht="12.95" customHeight="1" x14ac:dyDescent="0.25">
      <c r="A3357" s="2" t="s">
        <v>428</v>
      </c>
      <c r="B3357" s="2" t="s">
        <v>1113</v>
      </c>
      <c r="C3357" s="5" t="s">
        <v>5201</v>
      </c>
      <c r="D3357" s="2" t="s">
        <v>5202</v>
      </c>
    </row>
    <row r="3358" spans="1:4" ht="12.95" customHeight="1" x14ac:dyDescent="0.25">
      <c r="A3358" s="2" t="s">
        <v>428</v>
      </c>
      <c r="B3358" s="2" t="s">
        <v>1113</v>
      </c>
      <c r="C3358" s="5" t="s">
        <v>5203</v>
      </c>
      <c r="D3358" s="2" t="s">
        <v>5204</v>
      </c>
    </row>
    <row r="3359" spans="1:4" ht="12.95" customHeight="1" x14ac:dyDescent="0.25">
      <c r="A3359" s="2" t="s">
        <v>428</v>
      </c>
      <c r="B3359" s="2" t="s">
        <v>1113</v>
      </c>
      <c r="C3359" s="5" t="s">
        <v>5205</v>
      </c>
      <c r="D3359" s="2" t="s">
        <v>5206</v>
      </c>
    </row>
    <row r="3360" spans="1:4" ht="12.95" customHeight="1" x14ac:dyDescent="0.25">
      <c r="A3360" s="2" t="s">
        <v>428</v>
      </c>
      <c r="B3360" s="2" t="s">
        <v>1113</v>
      </c>
      <c r="C3360" s="5" t="s">
        <v>5207</v>
      </c>
      <c r="D3360" s="2" t="s">
        <v>5208</v>
      </c>
    </row>
    <row r="3361" spans="1:4" ht="12.95" customHeight="1" x14ac:dyDescent="0.25">
      <c r="A3361" s="2" t="s">
        <v>428</v>
      </c>
      <c r="B3361" s="2" t="s">
        <v>1113</v>
      </c>
      <c r="C3361" s="5" t="s">
        <v>5209</v>
      </c>
      <c r="D3361" s="2" t="s">
        <v>5210</v>
      </c>
    </row>
    <row r="3362" spans="1:4" ht="12.95" customHeight="1" x14ac:dyDescent="0.25">
      <c r="A3362" s="2" t="s">
        <v>428</v>
      </c>
      <c r="B3362" s="2" t="s">
        <v>1113</v>
      </c>
      <c r="C3362" s="5" t="s">
        <v>5211</v>
      </c>
      <c r="D3362" s="2" t="s">
        <v>5212</v>
      </c>
    </row>
    <row r="3363" spans="1:4" ht="12.95" customHeight="1" x14ac:dyDescent="0.25">
      <c r="A3363" s="2" t="s">
        <v>428</v>
      </c>
      <c r="B3363" s="2" t="s">
        <v>1113</v>
      </c>
      <c r="C3363" s="5" t="s">
        <v>5213</v>
      </c>
      <c r="D3363" s="2" t="s">
        <v>5214</v>
      </c>
    </row>
    <row r="3364" spans="1:4" ht="12.95" customHeight="1" x14ac:dyDescent="0.25">
      <c r="A3364" s="2" t="s">
        <v>428</v>
      </c>
      <c r="B3364" s="2" t="s">
        <v>1113</v>
      </c>
      <c r="C3364" s="5" t="s">
        <v>5215</v>
      </c>
      <c r="D3364" s="2" t="s">
        <v>3395</v>
      </c>
    </row>
    <row r="3365" spans="1:4" ht="12.95" customHeight="1" x14ac:dyDescent="0.25">
      <c r="A3365" s="2" t="s">
        <v>428</v>
      </c>
      <c r="B3365" s="2" t="s">
        <v>1113</v>
      </c>
      <c r="C3365" s="5" t="s">
        <v>5216</v>
      </c>
      <c r="D3365" s="2" t="s">
        <v>3397</v>
      </c>
    </row>
    <row r="3366" spans="1:4" ht="12.95" customHeight="1" x14ac:dyDescent="0.25">
      <c r="A3366" s="2" t="s">
        <v>428</v>
      </c>
      <c r="B3366" s="2" t="s">
        <v>1113</v>
      </c>
      <c r="C3366" s="5" t="s">
        <v>5217</v>
      </c>
      <c r="D3366" s="2" t="s">
        <v>5218</v>
      </c>
    </row>
    <row r="3367" spans="1:4" ht="12.95" customHeight="1" x14ac:dyDescent="0.25">
      <c r="A3367" s="2" t="s">
        <v>428</v>
      </c>
      <c r="B3367" s="2" t="s">
        <v>1113</v>
      </c>
      <c r="C3367" s="5" t="s">
        <v>5219</v>
      </c>
      <c r="D3367" s="2" t="s">
        <v>5000</v>
      </c>
    </row>
    <row r="3368" spans="1:4" ht="12.95" customHeight="1" x14ac:dyDescent="0.25">
      <c r="A3368" s="2" t="s">
        <v>428</v>
      </c>
      <c r="B3368" s="2" t="s">
        <v>1113</v>
      </c>
      <c r="C3368" s="5" t="s">
        <v>5220</v>
      </c>
      <c r="D3368" s="2" t="s">
        <v>4562</v>
      </c>
    </row>
    <row r="3369" spans="1:4" ht="12.95" customHeight="1" x14ac:dyDescent="0.25">
      <c r="A3369" s="2" t="s">
        <v>428</v>
      </c>
      <c r="B3369" s="2" t="s">
        <v>1113</v>
      </c>
      <c r="C3369" s="5" t="s">
        <v>5221</v>
      </c>
      <c r="D3369" s="2" t="s">
        <v>5222</v>
      </c>
    </row>
    <row r="3370" spans="1:4" ht="12.95" customHeight="1" x14ac:dyDescent="0.25">
      <c r="A3370" s="2" t="s">
        <v>428</v>
      </c>
      <c r="B3370" s="2" t="s">
        <v>1113</v>
      </c>
      <c r="C3370" s="5" t="s">
        <v>5223</v>
      </c>
      <c r="D3370" s="2" t="s">
        <v>4564</v>
      </c>
    </row>
    <row r="3371" spans="1:4" ht="12.95" customHeight="1" x14ac:dyDescent="0.25">
      <c r="A3371" s="2" t="s">
        <v>428</v>
      </c>
      <c r="B3371" s="2" t="s">
        <v>1113</v>
      </c>
      <c r="C3371" s="5" t="s">
        <v>5224</v>
      </c>
      <c r="D3371" s="2" t="s">
        <v>5225</v>
      </c>
    </row>
    <row r="3372" spans="1:4" ht="12.95" customHeight="1" x14ac:dyDescent="0.25">
      <c r="A3372" s="2" t="s">
        <v>428</v>
      </c>
      <c r="B3372" s="2" t="s">
        <v>1113</v>
      </c>
      <c r="C3372" s="5" t="s">
        <v>5226</v>
      </c>
      <c r="D3372" s="2" t="s">
        <v>4568</v>
      </c>
    </row>
    <row r="3373" spans="1:4" ht="12.95" customHeight="1" x14ac:dyDescent="0.25">
      <c r="A3373" s="2" t="s">
        <v>428</v>
      </c>
      <c r="B3373" s="2" t="s">
        <v>1113</v>
      </c>
      <c r="C3373" s="5" t="s">
        <v>5227</v>
      </c>
      <c r="D3373" s="2" t="s">
        <v>5228</v>
      </c>
    </row>
    <row r="3374" spans="1:4" ht="12.95" customHeight="1" x14ac:dyDescent="0.25">
      <c r="A3374" s="2" t="s">
        <v>428</v>
      </c>
      <c r="B3374" s="2" t="s">
        <v>1113</v>
      </c>
      <c r="C3374" s="5" t="s">
        <v>5229</v>
      </c>
      <c r="D3374" s="2" t="s">
        <v>5230</v>
      </c>
    </row>
    <row r="3375" spans="1:4" ht="12.95" customHeight="1" x14ac:dyDescent="0.25">
      <c r="A3375" s="2" t="s">
        <v>428</v>
      </c>
      <c r="B3375" s="2" t="s">
        <v>1113</v>
      </c>
      <c r="C3375" s="5" t="s">
        <v>5231</v>
      </c>
      <c r="D3375" s="2" t="s">
        <v>5232</v>
      </c>
    </row>
    <row r="3376" spans="1:4" ht="12.95" customHeight="1" x14ac:dyDescent="0.25">
      <c r="A3376" s="2" t="s">
        <v>428</v>
      </c>
      <c r="B3376" s="2" t="s">
        <v>1113</v>
      </c>
      <c r="C3376" s="5" t="s">
        <v>5233</v>
      </c>
      <c r="D3376" s="2" t="s">
        <v>5234</v>
      </c>
    </row>
    <row r="3377" spans="1:4" ht="12.95" customHeight="1" x14ac:dyDescent="0.25">
      <c r="A3377" s="2" t="s">
        <v>428</v>
      </c>
      <c r="B3377" s="2" t="s">
        <v>1113</v>
      </c>
      <c r="C3377" s="5" t="s">
        <v>5235</v>
      </c>
      <c r="D3377" s="2" t="s">
        <v>5236</v>
      </c>
    </row>
    <row r="3378" spans="1:4" ht="12.95" customHeight="1" x14ac:dyDescent="0.25">
      <c r="A3378" s="2" t="s">
        <v>428</v>
      </c>
      <c r="B3378" s="2" t="s">
        <v>1113</v>
      </c>
      <c r="C3378" s="5" t="s">
        <v>5237</v>
      </c>
      <c r="D3378" s="2" t="s">
        <v>5238</v>
      </c>
    </row>
    <row r="3379" spans="1:4" ht="12.95" customHeight="1" x14ac:dyDescent="0.25">
      <c r="A3379" s="2" t="s">
        <v>428</v>
      </c>
      <c r="B3379" s="2" t="s">
        <v>1113</v>
      </c>
      <c r="C3379" s="5" t="s">
        <v>5239</v>
      </c>
      <c r="D3379" s="2" t="s">
        <v>5240</v>
      </c>
    </row>
    <row r="3380" spans="1:4" ht="12.95" customHeight="1" x14ac:dyDescent="0.25">
      <c r="A3380" s="2" t="s">
        <v>428</v>
      </c>
      <c r="B3380" s="2" t="s">
        <v>1113</v>
      </c>
      <c r="C3380" s="5" t="s">
        <v>5241</v>
      </c>
      <c r="D3380" s="2" t="s">
        <v>4843</v>
      </c>
    </row>
    <row r="3381" spans="1:4" ht="12.95" customHeight="1" x14ac:dyDescent="0.25">
      <c r="A3381" s="2" t="s">
        <v>428</v>
      </c>
      <c r="B3381" s="2" t="s">
        <v>1113</v>
      </c>
      <c r="C3381" s="5" t="s">
        <v>5242</v>
      </c>
      <c r="D3381" s="2" t="s">
        <v>5243</v>
      </c>
    </row>
    <row r="3382" spans="1:4" ht="12.95" customHeight="1" x14ac:dyDescent="0.25">
      <c r="A3382" s="2" t="s">
        <v>428</v>
      </c>
      <c r="B3382" s="2" t="s">
        <v>1113</v>
      </c>
      <c r="C3382" s="5" t="s">
        <v>5244</v>
      </c>
      <c r="D3382" s="2" t="s">
        <v>5245</v>
      </c>
    </row>
    <row r="3383" spans="1:4" ht="12.95" customHeight="1" x14ac:dyDescent="0.25">
      <c r="A3383" s="2" t="s">
        <v>428</v>
      </c>
      <c r="B3383" s="2" t="s">
        <v>1113</v>
      </c>
      <c r="C3383" s="5" t="s">
        <v>5246</v>
      </c>
      <c r="D3383" s="2" t="s">
        <v>5247</v>
      </c>
    </row>
    <row r="3384" spans="1:4" ht="12.95" customHeight="1" x14ac:dyDescent="0.25">
      <c r="A3384" s="2" t="s">
        <v>428</v>
      </c>
      <c r="B3384" s="2" t="s">
        <v>1113</v>
      </c>
      <c r="C3384" s="5" t="s">
        <v>5248</v>
      </c>
      <c r="D3384" s="2" t="s">
        <v>5249</v>
      </c>
    </row>
    <row r="3385" spans="1:4" ht="12.95" customHeight="1" x14ac:dyDescent="0.25">
      <c r="A3385" s="2" t="s">
        <v>428</v>
      </c>
      <c r="B3385" s="2" t="s">
        <v>1113</v>
      </c>
      <c r="C3385" s="5" t="s">
        <v>5250</v>
      </c>
      <c r="D3385" s="2" t="s">
        <v>5251</v>
      </c>
    </row>
    <row r="3386" spans="1:4" ht="12.95" customHeight="1" x14ac:dyDescent="0.25">
      <c r="A3386" s="2" t="s">
        <v>428</v>
      </c>
      <c r="B3386" s="2" t="s">
        <v>1113</v>
      </c>
      <c r="C3386" s="5" t="s">
        <v>5252</v>
      </c>
      <c r="D3386" s="2" t="s">
        <v>5253</v>
      </c>
    </row>
    <row r="3387" spans="1:4" ht="12.95" customHeight="1" x14ac:dyDescent="0.25">
      <c r="A3387" s="2" t="s">
        <v>428</v>
      </c>
      <c r="B3387" s="2" t="s">
        <v>1113</v>
      </c>
      <c r="C3387" s="5" t="s">
        <v>5254</v>
      </c>
      <c r="D3387" s="2" t="s">
        <v>5255</v>
      </c>
    </row>
    <row r="3388" spans="1:4" ht="12.95" customHeight="1" x14ac:dyDescent="0.25">
      <c r="A3388" s="2" t="s">
        <v>428</v>
      </c>
      <c r="B3388" s="2" t="s">
        <v>1113</v>
      </c>
      <c r="C3388" s="5" t="s">
        <v>5256</v>
      </c>
      <c r="D3388" s="2" t="s">
        <v>5257</v>
      </c>
    </row>
    <row r="3389" spans="1:4" ht="12.95" customHeight="1" x14ac:dyDescent="0.25">
      <c r="A3389" s="2" t="s">
        <v>428</v>
      </c>
      <c r="B3389" s="2" t="s">
        <v>1113</v>
      </c>
      <c r="C3389" s="5" t="s">
        <v>5258</v>
      </c>
      <c r="D3389" s="2" t="s">
        <v>5259</v>
      </c>
    </row>
    <row r="3390" spans="1:4" ht="12.95" customHeight="1" x14ac:dyDescent="0.25">
      <c r="A3390" s="2" t="s">
        <v>428</v>
      </c>
      <c r="B3390" s="2" t="s">
        <v>1113</v>
      </c>
      <c r="C3390" s="5" t="s">
        <v>5260</v>
      </c>
      <c r="D3390" s="2" t="s">
        <v>5261</v>
      </c>
    </row>
    <row r="3391" spans="1:4" ht="12.95" customHeight="1" x14ac:dyDescent="0.25">
      <c r="A3391" s="2" t="s">
        <v>428</v>
      </c>
      <c r="B3391" s="2" t="s">
        <v>1113</v>
      </c>
      <c r="C3391" s="5" t="s">
        <v>5262</v>
      </c>
      <c r="D3391" s="2" t="s">
        <v>5263</v>
      </c>
    </row>
    <row r="3392" spans="1:4" ht="12.95" customHeight="1" x14ac:dyDescent="0.25">
      <c r="A3392" s="2" t="s">
        <v>428</v>
      </c>
      <c r="B3392" s="2" t="s">
        <v>1113</v>
      </c>
      <c r="C3392" s="5" t="s">
        <v>5264</v>
      </c>
      <c r="D3392" s="2" t="s">
        <v>5265</v>
      </c>
    </row>
    <row r="3393" spans="1:4" ht="12.95" customHeight="1" x14ac:dyDescent="0.25">
      <c r="A3393" s="2" t="s">
        <v>428</v>
      </c>
      <c r="B3393" s="2" t="s">
        <v>1113</v>
      </c>
      <c r="C3393" s="5" t="s">
        <v>5266</v>
      </c>
      <c r="D3393" s="2" t="s">
        <v>5267</v>
      </c>
    </row>
    <row r="3394" spans="1:4" ht="12.95" customHeight="1" x14ac:dyDescent="0.25">
      <c r="A3394" s="2" t="s">
        <v>428</v>
      </c>
      <c r="B3394" s="2" t="s">
        <v>1113</v>
      </c>
      <c r="C3394" s="5" t="s">
        <v>5268</v>
      </c>
      <c r="D3394" s="2" t="s">
        <v>5269</v>
      </c>
    </row>
    <row r="3395" spans="1:4" ht="12.95" customHeight="1" x14ac:dyDescent="0.25">
      <c r="A3395" s="2" t="s">
        <v>428</v>
      </c>
      <c r="B3395" s="2" t="s">
        <v>1113</v>
      </c>
      <c r="C3395" s="5" t="s">
        <v>5270</v>
      </c>
      <c r="D3395" s="2" t="s">
        <v>5271</v>
      </c>
    </row>
    <row r="3396" spans="1:4" ht="12.95" customHeight="1" x14ac:dyDescent="0.25">
      <c r="A3396" s="2" t="s">
        <v>428</v>
      </c>
      <c r="B3396" s="2" t="s">
        <v>1113</v>
      </c>
      <c r="C3396" s="5" t="s">
        <v>5272</v>
      </c>
      <c r="D3396" s="2" t="s">
        <v>3507</v>
      </c>
    </row>
    <row r="3397" spans="1:4" ht="12.95" customHeight="1" x14ac:dyDescent="0.25">
      <c r="A3397" s="2" t="s">
        <v>428</v>
      </c>
      <c r="B3397" s="2" t="s">
        <v>1113</v>
      </c>
      <c r="C3397" s="5" t="s">
        <v>5273</v>
      </c>
      <c r="D3397" s="2" t="s">
        <v>3509</v>
      </c>
    </row>
    <row r="3398" spans="1:4" ht="12.95" customHeight="1" x14ac:dyDescent="0.25">
      <c r="A3398" s="2" t="s">
        <v>428</v>
      </c>
      <c r="B3398" s="2" t="s">
        <v>1113</v>
      </c>
      <c r="C3398" s="5" t="s">
        <v>5274</v>
      </c>
      <c r="D3398" s="2" t="s">
        <v>5275</v>
      </c>
    </row>
    <row r="3399" spans="1:4" ht="12.95" customHeight="1" x14ac:dyDescent="0.25">
      <c r="A3399" s="2" t="s">
        <v>428</v>
      </c>
      <c r="B3399" s="2" t="s">
        <v>1113</v>
      </c>
      <c r="C3399" s="5" t="s">
        <v>5276</v>
      </c>
      <c r="D3399" s="2" t="s">
        <v>5277</v>
      </c>
    </row>
    <row r="3400" spans="1:4" ht="12.95" customHeight="1" x14ac:dyDescent="0.25">
      <c r="A3400" s="2" t="s">
        <v>428</v>
      </c>
      <c r="B3400" s="2" t="s">
        <v>1113</v>
      </c>
      <c r="C3400" s="5" t="s">
        <v>5278</v>
      </c>
      <c r="D3400" s="2" t="s">
        <v>4320</v>
      </c>
    </row>
    <row r="3401" spans="1:4" ht="12.95" customHeight="1" x14ac:dyDescent="0.25">
      <c r="A3401" s="2" t="s">
        <v>428</v>
      </c>
      <c r="B3401" s="2" t="s">
        <v>1113</v>
      </c>
      <c r="C3401" s="5" t="s">
        <v>5279</v>
      </c>
      <c r="D3401" s="2" t="s">
        <v>3632</v>
      </c>
    </row>
    <row r="3402" spans="1:4" ht="12.95" customHeight="1" x14ac:dyDescent="0.25">
      <c r="A3402" s="2" t="s">
        <v>428</v>
      </c>
      <c r="B3402" s="2" t="s">
        <v>1113</v>
      </c>
      <c r="C3402" s="5" t="s">
        <v>5280</v>
      </c>
      <c r="D3402" s="2" t="s">
        <v>3634</v>
      </c>
    </row>
    <row r="3403" spans="1:4" ht="12.95" customHeight="1" x14ac:dyDescent="0.25">
      <c r="A3403" s="2" t="s">
        <v>428</v>
      </c>
      <c r="B3403" s="2" t="s">
        <v>1113</v>
      </c>
      <c r="C3403" s="5" t="s">
        <v>5281</v>
      </c>
      <c r="D3403" s="2" t="s">
        <v>3636</v>
      </c>
    </row>
    <row r="3404" spans="1:4" ht="12.95" customHeight="1" x14ac:dyDescent="0.25">
      <c r="A3404" s="2" t="s">
        <v>428</v>
      </c>
      <c r="B3404" s="2" t="s">
        <v>1113</v>
      </c>
      <c r="C3404" s="5" t="s">
        <v>5282</v>
      </c>
      <c r="D3404" s="2" t="s">
        <v>3827</v>
      </c>
    </row>
    <row r="3405" spans="1:4" ht="12.95" customHeight="1" x14ac:dyDescent="0.25">
      <c r="A3405" s="2" t="s">
        <v>428</v>
      </c>
      <c r="B3405" s="2" t="s">
        <v>1113</v>
      </c>
      <c r="C3405" s="5" t="s">
        <v>5283</v>
      </c>
      <c r="D3405" s="2" t="s">
        <v>3640</v>
      </c>
    </row>
    <row r="3406" spans="1:4" ht="12.95" customHeight="1" x14ac:dyDescent="0.25">
      <c r="A3406" s="2" t="s">
        <v>428</v>
      </c>
      <c r="B3406" s="2" t="s">
        <v>1113</v>
      </c>
      <c r="C3406" s="5" t="s">
        <v>5284</v>
      </c>
      <c r="D3406" s="2" t="s">
        <v>3455</v>
      </c>
    </row>
    <row r="3407" spans="1:4" ht="12.95" customHeight="1" x14ac:dyDescent="0.25">
      <c r="A3407" s="2" t="s">
        <v>428</v>
      </c>
      <c r="B3407" s="2" t="s">
        <v>1113</v>
      </c>
      <c r="C3407" s="5" t="s">
        <v>5285</v>
      </c>
      <c r="D3407" s="2" t="s">
        <v>3643</v>
      </c>
    </row>
    <row r="3408" spans="1:4" ht="12.95" customHeight="1" x14ac:dyDescent="0.25">
      <c r="A3408" s="2" t="s">
        <v>428</v>
      </c>
      <c r="B3408" s="2" t="s">
        <v>1113</v>
      </c>
      <c r="C3408" s="5" t="s">
        <v>5286</v>
      </c>
      <c r="D3408" s="2" t="s">
        <v>3457</v>
      </c>
    </row>
    <row r="3409" spans="1:4" ht="12.95" customHeight="1" x14ac:dyDescent="0.25">
      <c r="A3409" s="2" t="s">
        <v>428</v>
      </c>
      <c r="B3409" s="2" t="s">
        <v>1113</v>
      </c>
      <c r="C3409" s="5" t="s">
        <v>5287</v>
      </c>
      <c r="D3409" s="2" t="s">
        <v>3832</v>
      </c>
    </row>
    <row r="3410" spans="1:4" ht="12.95" customHeight="1" x14ac:dyDescent="0.25">
      <c r="A3410" s="2" t="s">
        <v>428</v>
      </c>
      <c r="B3410" s="2" t="s">
        <v>1113</v>
      </c>
      <c r="C3410" s="5" t="s">
        <v>5288</v>
      </c>
      <c r="D3410" s="2" t="s">
        <v>4791</v>
      </c>
    </row>
    <row r="3411" spans="1:4" ht="12.95" customHeight="1" x14ac:dyDescent="0.25">
      <c r="A3411" s="2" t="s">
        <v>428</v>
      </c>
      <c r="B3411" s="2" t="s">
        <v>1113</v>
      </c>
      <c r="C3411" s="5" t="s">
        <v>5289</v>
      </c>
      <c r="D3411" s="2" t="s">
        <v>5290</v>
      </c>
    </row>
    <row r="3412" spans="1:4" ht="12.95" customHeight="1" x14ac:dyDescent="0.25">
      <c r="A3412" s="2" t="s">
        <v>428</v>
      </c>
      <c r="B3412" s="2" t="s">
        <v>1113</v>
      </c>
      <c r="C3412" s="5" t="s">
        <v>5291</v>
      </c>
      <c r="D3412" s="2" t="s">
        <v>5292</v>
      </c>
    </row>
    <row r="3413" spans="1:4" ht="12.95" customHeight="1" x14ac:dyDescent="0.25">
      <c r="A3413" s="2" t="s">
        <v>428</v>
      </c>
      <c r="B3413" s="2" t="s">
        <v>1113</v>
      </c>
      <c r="C3413" s="5" t="s">
        <v>5293</v>
      </c>
      <c r="D3413" s="2" t="s">
        <v>5294</v>
      </c>
    </row>
    <row r="3414" spans="1:4" ht="12.95" customHeight="1" x14ac:dyDescent="0.25">
      <c r="A3414" s="2" t="s">
        <v>428</v>
      </c>
      <c r="B3414" s="2" t="s">
        <v>1113</v>
      </c>
      <c r="C3414" s="5" t="s">
        <v>5295</v>
      </c>
      <c r="D3414" s="2" t="s">
        <v>5296</v>
      </c>
    </row>
    <row r="3415" spans="1:4" ht="12.95" customHeight="1" x14ac:dyDescent="0.25">
      <c r="A3415" s="2" t="s">
        <v>428</v>
      </c>
      <c r="B3415" s="2" t="s">
        <v>1113</v>
      </c>
      <c r="C3415" s="5" t="s">
        <v>5297</v>
      </c>
      <c r="D3415" s="2" t="s">
        <v>5298</v>
      </c>
    </row>
    <row r="3416" spans="1:4" ht="12.95" customHeight="1" x14ac:dyDescent="0.25">
      <c r="A3416" s="2" t="s">
        <v>428</v>
      </c>
      <c r="B3416" s="2" t="s">
        <v>1113</v>
      </c>
      <c r="C3416" s="5" t="s">
        <v>5299</v>
      </c>
      <c r="D3416" s="2" t="s">
        <v>5300</v>
      </c>
    </row>
    <row r="3417" spans="1:4" ht="12.95" customHeight="1" x14ac:dyDescent="0.25">
      <c r="A3417" s="2" t="s">
        <v>428</v>
      </c>
      <c r="B3417" s="2" t="s">
        <v>1113</v>
      </c>
      <c r="C3417" s="5" t="s">
        <v>5301</v>
      </c>
      <c r="D3417" s="2" t="s">
        <v>5302</v>
      </c>
    </row>
    <row r="3418" spans="1:4" ht="12.95" customHeight="1" x14ac:dyDescent="0.25">
      <c r="A3418" s="2" t="s">
        <v>428</v>
      </c>
      <c r="B3418" s="2" t="s">
        <v>1113</v>
      </c>
      <c r="C3418" s="5" t="s">
        <v>5303</v>
      </c>
      <c r="D3418" s="2" t="s">
        <v>5304</v>
      </c>
    </row>
    <row r="3419" spans="1:4" ht="12.95" customHeight="1" x14ac:dyDescent="0.25">
      <c r="A3419" s="2" t="s">
        <v>428</v>
      </c>
      <c r="B3419" s="2" t="s">
        <v>1113</v>
      </c>
      <c r="C3419" s="5" t="s">
        <v>5305</v>
      </c>
      <c r="D3419" s="2" t="s">
        <v>5306</v>
      </c>
    </row>
    <row r="3420" spans="1:4" ht="12.95" customHeight="1" x14ac:dyDescent="0.25">
      <c r="A3420" s="2" t="s">
        <v>428</v>
      </c>
      <c r="B3420" s="2" t="s">
        <v>1113</v>
      </c>
      <c r="C3420" s="5" t="s">
        <v>5307</v>
      </c>
      <c r="D3420" s="2" t="s">
        <v>5308</v>
      </c>
    </row>
    <row r="3421" spans="1:4" ht="12.95" customHeight="1" x14ac:dyDescent="0.25">
      <c r="A3421" s="2" t="s">
        <v>428</v>
      </c>
      <c r="B3421" s="2" t="s">
        <v>1113</v>
      </c>
      <c r="C3421" s="5" t="s">
        <v>5309</v>
      </c>
      <c r="D3421" s="2" t="s">
        <v>5310</v>
      </c>
    </row>
    <row r="3422" spans="1:4" ht="12.95" customHeight="1" x14ac:dyDescent="0.25">
      <c r="A3422" s="2" t="s">
        <v>428</v>
      </c>
      <c r="B3422" s="2" t="s">
        <v>1113</v>
      </c>
      <c r="C3422" s="5" t="s">
        <v>5311</v>
      </c>
      <c r="D3422" s="2" t="s">
        <v>5312</v>
      </c>
    </row>
    <row r="3423" spans="1:4" ht="12.95" customHeight="1" x14ac:dyDescent="0.25">
      <c r="A3423" s="2" t="s">
        <v>428</v>
      </c>
      <c r="B3423" s="2" t="s">
        <v>1113</v>
      </c>
      <c r="C3423" s="5" t="s">
        <v>5313</v>
      </c>
      <c r="D3423" s="2" t="s">
        <v>5314</v>
      </c>
    </row>
    <row r="3424" spans="1:4" ht="12.95" customHeight="1" x14ac:dyDescent="0.25">
      <c r="A3424" s="2" t="s">
        <v>428</v>
      </c>
      <c r="B3424" s="2" t="s">
        <v>1113</v>
      </c>
      <c r="C3424" s="5" t="s">
        <v>5315</v>
      </c>
      <c r="D3424" s="2" t="s">
        <v>5316</v>
      </c>
    </row>
    <row r="3425" spans="1:4" ht="12.95" customHeight="1" x14ac:dyDescent="0.25">
      <c r="A3425" s="2" t="s">
        <v>428</v>
      </c>
      <c r="B3425" s="2" t="s">
        <v>1113</v>
      </c>
      <c r="C3425" s="5" t="s">
        <v>5317</v>
      </c>
      <c r="D3425" s="2" t="s">
        <v>5318</v>
      </c>
    </row>
    <row r="3426" spans="1:4" ht="12.95" customHeight="1" x14ac:dyDescent="0.25">
      <c r="A3426" s="2" t="s">
        <v>428</v>
      </c>
      <c r="B3426" s="2" t="s">
        <v>1113</v>
      </c>
      <c r="C3426" s="5" t="s">
        <v>5319</v>
      </c>
      <c r="D3426" s="2" t="s">
        <v>5320</v>
      </c>
    </row>
    <row r="3427" spans="1:4" ht="12.95" customHeight="1" x14ac:dyDescent="0.25">
      <c r="A3427" s="2" t="s">
        <v>428</v>
      </c>
      <c r="B3427" s="2" t="s">
        <v>1113</v>
      </c>
      <c r="C3427" s="5" t="s">
        <v>5321</v>
      </c>
      <c r="D3427" s="2" t="s">
        <v>5322</v>
      </c>
    </row>
    <row r="3428" spans="1:4" ht="12.95" customHeight="1" x14ac:dyDescent="0.25">
      <c r="A3428" s="2" t="s">
        <v>428</v>
      </c>
      <c r="B3428" s="2" t="s">
        <v>1113</v>
      </c>
      <c r="C3428" s="5" t="s">
        <v>5323</v>
      </c>
      <c r="D3428" s="2" t="s">
        <v>3395</v>
      </c>
    </row>
    <row r="3429" spans="1:4" ht="12.95" customHeight="1" x14ac:dyDescent="0.25">
      <c r="A3429" s="2" t="s">
        <v>428</v>
      </c>
      <c r="B3429" s="2" t="s">
        <v>1113</v>
      </c>
      <c r="C3429" s="5" t="s">
        <v>5324</v>
      </c>
      <c r="D3429" s="2" t="s">
        <v>3509</v>
      </c>
    </row>
    <row r="3430" spans="1:4" ht="12.95" customHeight="1" x14ac:dyDescent="0.25">
      <c r="A3430" s="2" t="s">
        <v>428</v>
      </c>
      <c r="B3430" s="2" t="s">
        <v>1113</v>
      </c>
      <c r="C3430" s="5" t="s">
        <v>5325</v>
      </c>
      <c r="D3430" s="2" t="s">
        <v>5326</v>
      </c>
    </row>
    <row r="3431" spans="1:4" ht="12.95" customHeight="1" x14ac:dyDescent="0.25">
      <c r="A3431" s="2" t="s">
        <v>428</v>
      </c>
      <c r="B3431" s="2" t="s">
        <v>1113</v>
      </c>
      <c r="C3431" s="5" t="s">
        <v>5327</v>
      </c>
      <c r="D3431" s="2" t="s">
        <v>5328</v>
      </c>
    </row>
    <row r="3432" spans="1:4" ht="12.95" customHeight="1" x14ac:dyDescent="0.25">
      <c r="A3432" s="2" t="s">
        <v>428</v>
      </c>
      <c r="B3432" s="2" t="s">
        <v>1113</v>
      </c>
      <c r="C3432" s="5" t="s">
        <v>5329</v>
      </c>
      <c r="D3432" s="2" t="s">
        <v>5330</v>
      </c>
    </row>
    <row r="3433" spans="1:4" ht="12.95" customHeight="1" x14ac:dyDescent="0.25">
      <c r="A3433" s="2" t="s">
        <v>428</v>
      </c>
      <c r="B3433" s="2" t="s">
        <v>1113</v>
      </c>
      <c r="C3433" s="5" t="s">
        <v>5331</v>
      </c>
      <c r="D3433" s="2" t="s">
        <v>5190</v>
      </c>
    </row>
    <row r="3434" spans="1:4" ht="12.95" customHeight="1" x14ac:dyDescent="0.25">
      <c r="A3434" s="2" t="s">
        <v>428</v>
      </c>
      <c r="B3434" s="2" t="s">
        <v>1113</v>
      </c>
      <c r="C3434" s="5" t="s">
        <v>5332</v>
      </c>
      <c r="D3434" s="2" t="s">
        <v>5333</v>
      </c>
    </row>
    <row r="3435" spans="1:4" ht="12.95" customHeight="1" x14ac:dyDescent="0.25">
      <c r="A3435" s="2" t="s">
        <v>428</v>
      </c>
      <c r="B3435" s="2" t="s">
        <v>1113</v>
      </c>
      <c r="C3435" s="5" t="s">
        <v>5334</v>
      </c>
      <c r="D3435" s="2" t="s">
        <v>3427</v>
      </c>
    </row>
    <row r="3436" spans="1:4" ht="12.95" customHeight="1" x14ac:dyDescent="0.25">
      <c r="A3436" s="2" t="s">
        <v>428</v>
      </c>
      <c r="B3436" s="2" t="s">
        <v>1113</v>
      </c>
      <c r="C3436" s="5" t="s">
        <v>5335</v>
      </c>
      <c r="D3436" s="2" t="s">
        <v>3429</v>
      </c>
    </row>
    <row r="3437" spans="1:4" ht="12.95" customHeight="1" x14ac:dyDescent="0.25">
      <c r="A3437" s="2" t="s">
        <v>428</v>
      </c>
      <c r="B3437" s="2" t="s">
        <v>1113</v>
      </c>
      <c r="C3437" s="5" t="s">
        <v>5336</v>
      </c>
      <c r="D3437" s="2" t="s">
        <v>3634</v>
      </c>
    </row>
    <row r="3438" spans="1:4" ht="12.95" customHeight="1" x14ac:dyDescent="0.25">
      <c r="A3438" s="2" t="s">
        <v>428</v>
      </c>
      <c r="B3438" s="2" t="s">
        <v>1113</v>
      </c>
      <c r="C3438" s="5" t="s">
        <v>5337</v>
      </c>
      <c r="D3438" s="2" t="s">
        <v>3455</v>
      </c>
    </row>
    <row r="3439" spans="1:4" ht="12.95" customHeight="1" x14ac:dyDescent="0.25">
      <c r="A3439" s="2" t="s">
        <v>428</v>
      </c>
      <c r="B3439" s="2" t="s">
        <v>1113</v>
      </c>
      <c r="C3439" s="5" t="s">
        <v>5338</v>
      </c>
      <c r="D3439" s="2" t="s">
        <v>3643</v>
      </c>
    </row>
    <row r="3440" spans="1:4" ht="12.95" customHeight="1" x14ac:dyDescent="0.25">
      <c r="A3440" s="2" t="s">
        <v>428</v>
      </c>
      <c r="B3440" s="2" t="s">
        <v>1113</v>
      </c>
      <c r="C3440" s="5" t="s">
        <v>5339</v>
      </c>
      <c r="D3440" s="2" t="s">
        <v>4786</v>
      </c>
    </row>
    <row r="3441" spans="1:4" ht="12.95" customHeight="1" x14ac:dyDescent="0.25">
      <c r="A3441" s="2" t="s">
        <v>428</v>
      </c>
      <c r="B3441" s="2" t="s">
        <v>1113</v>
      </c>
      <c r="C3441" s="5" t="s">
        <v>5340</v>
      </c>
      <c r="D3441" s="2" t="s">
        <v>3457</v>
      </c>
    </row>
    <row r="3442" spans="1:4" ht="12.95" customHeight="1" x14ac:dyDescent="0.25">
      <c r="A3442" s="2" t="s">
        <v>428</v>
      </c>
      <c r="B3442" s="2" t="s">
        <v>1113</v>
      </c>
      <c r="C3442" s="5" t="s">
        <v>5341</v>
      </c>
      <c r="D3442" s="2" t="s">
        <v>3832</v>
      </c>
    </row>
    <row r="3443" spans="1:4" ht="12.95" customHeight="1" x14ac:dyDescent="0.25">
      <c r="A3443" s="2" t="s">
        <v>428</v>
      </c>
      <c r="B3443" s="2" t="s">
        <v>1113</v>
      </c>
      <c r="C3443" s="5" t="s">
        <v>5342</v>
      </c>
      <c r="D3443" s="2" t="s">
        <v>4791</v>
      </c>
    </row>
    <row r="3444" spans="1:4" ht="12.95" customHeight="1" x14ac:dyDescent="0.25">
      <c r="A3444" s="2" t="s">
        <v>428</v>
      </c>
      <c r="B3444" s="2" t="s">
        <v>1113</v>
      </c>
      <c r="C3444" s="5" t="s">
        <v>5343</v>
      </c>
      <c r="D3444" s="2" t="s">
        <v>5344</v>
      </c>
    </row>
    <row r="3445" spans="1:4" ht="12.95" customHeight="1" x14ac:dyDescent="0.25">
      <c r="A3445" s="2" t="s">
        <v>428</v>
      </c>
      <c r="B3445" s="2" t="s">
        <v>1113</v>
      </c>
      <c r="C3445" s="5" t="s">
        <v>5345</v>
      </c>
      <c r="D3445" s="2" t="s">
        <v>5346</v>
      </c>
    </row>
    <row r="3446" spans="1:4" ht="12.95" customHeight="1" x14ac:dyDescent="0.25">
      <c r="A3446" s="2" t="s">
        <v>428</v>
      </c>
      <c r="B3446" s="2" t="s">
        <v>1113</v>
      </c>
      <c r="C3446" s="5" t="s">
        <v>5347</v>
      </c>
      <c r="D3446" s="2" t="s">
        <v>5348</v>
      </c>
    </row>
    <row r="3447" spans="1:4" ht="12.95" customHeight="1" x14ac:dyDescent="0.25">
      <c r="A3447" s="2" t="s">
        <v>428</v>
      </c>
      <c r="B3447" s="2" t="s">
        <v>1113</v>
      </c>
      <c r="C3447" s="5" t="s">
        <v>5349</v>
      </c>
      <c r="D3447" s="2" t="s">
        <v>5350</v>
      </c>
    </row>
    <row r="3448" spans="1:4" ht="12.95" customHeight="1" x14ac:dyDescent="0.25">
      <c r="A3448" s="2" t="s">
        <v>428</v>
      </c>
      <c r="B3448" s="2" t="s">
        <v>1113</v>
      </c>
      <c r="C3448" s="5" t="s">
        <v>5351</v>
      </c>
      <c r="D3448" s="2" t="s">
        <v>5352</v>
      </c>
    </row>
    <row r="3449" spans="1:4" ht="12.95" customHeight="1" x14ac:dyDescent="0.25">
      <c r="A3449" s="2" t="s">
        <v>428</v>
      </c>
      <c r="B3449" s="2" t="s">
        <v>1113</v>
      </c>
      <c r="C3449" s="5" t="s">
        <v>5353</v>
      </c>
      <c r="D3449" s="2" t="s">
        <v>5354</v>
      </c>
    </row>
    <row r="3450" spans="1:4" ht="12.95" customHeight="1" x14ac:dyDescent="0.25">
      <c r="A3450" s="2" t="s">
        <v>428</v>
      </c>
      <c r="B3450" s="2" t="s">
        <v>1113</v>
      </c>
      <c r="C3450" s="5" t="s">
        <v>5355</v>
      </c>
      <c r="D3450" s="2" t="s">
        <v>5356</v>
      </c>
    </row>
    <row r="3451" spans="1:4" ht="12.95" customHeight="1" x14ac:dyDescent="0.25">
      <c r="A3451" s="2" t="s">
        <v>428</v>
      </c>
      <c r="B3451" s="2" t="s">
        <v>1113</v>
      </c>
      <c r="C3451" s="5" t="s">
        <v>5357</v>
      </c>
      <c r="D3451" s="2" t="s">
        <v>5358</v>
      </c>
    </row>
    <row r="3452" spans="1:4" ht="12.95" customHeight="1" x14ac:dyDescent="0.25">
      <c r="A3452" s="2" t="s">
        <v>428</v>
      </c>
      <c r="B3452" s="2" t="s">
        <v>1113</v>
      </c>
      <c r="C3452" s="5" t="s">
        <v>5359</v>
      </c>
      <c r="D3452" s="2" t="s">
        <v>5360</v>
      </c>
    </row>
    <row r="3453" spans="1:4" ht="12.95" customHeight="1" x14ac:dyDescent="0.25">
      <c r="A3453" s="2" t="s">
        <v>428</v>
      </c>
      <c r="B3453" s="2" t="s">
        <v>1113</v>
      </c>
      <c r="C3453" s="5" t="s">
        <v>5361</v>
      </c>
      <c r="D3453" s="2" t="s">
        <v>3507</v>
      </c>
    </row>
    <row r="3454" spans="1:4" ht="12.95" customHeight="1" x14ac:dyDescent="0.25">
      <c r="A3454" s="2" t="s">
        <v>428</v>
      </c>
      <c r="B3454" s="2" t="s">
        <v>1113</v>
      </c>
      <c r="C3454" s="5" t="s">
        <v>5362</v>
      </c>
      <c r="D3454" s="2" t="s">
        <v>3509</v>
      </c>
    </row>
    <row r="3455" spans="1:4" ht="12.95" customHeight="1" x14ac:dyDescent="0.25">
      <c r="A3455" s="2" t="s">
        <v>428</v>
      </c>
      <c r="B3455" s="2" t="s">
        <v>1113</v>
      </c>
      <c r="C3455" s="5" t="s">
        <v>5363</v>
      </c>
      <c r="D3455" s="2" t="s">
        <v>5364</v>
      </c>
    </row>
    <row r="3456" spans="1:4" ht="12.95" customHeight="1" x14ac:dyDescent="0.25">
      <c r="A3456" s="2" t="s">
        <v>428</v>
      </c>
      <c r="B3456" s="2" t="s">
        <v>1113</v>
      </c>
      <c r="C3456" s="5" t="s">
        <v>5365</v>
      </c>
      <c r="D3456" s="2" t="s">
        <v>5366</v>
      </c>
    </row>
    <row r="3457" spans="1:4" ht="12.95" customHeight="1" x14ac:dyDescent="0.25">
      <c r="A3457" s="2" t="s">
        <v>428</v>
      </c>
      <c r="B3457" s="2" t="s">
        <v>1113</v>
      </c>
      <c r="C3457" s="5" t="s">
        <v>5367</v>
      </c>
      <c r="D3457" s="2" t="s">
        <v>5368</v>
      </c>
    </row>
    <row r="3458" spans="1:4" ht="12.95" customHeight="1" x14ac:dyDescent="0.25">
      <c r="A3458" s="2" t="s">
        <v>428</v>
      </c>
      <c r="B3458" s="2" t="s">
        <v>1113</v>
      </c>
      <c r="C3458" s="5" t="s">
        <v>5369</v>
      </c>
      <c r="D3458" s="2" t="s">
        <v>5370</v>
      </c>
    </row>
    <row r="3459" spans="1:4" ht="12.95" customHeight="1" x14ac:dyDescent="0.25">
      <c r="A3459" s="2" t="s">
        <v>428</v>
      </c>
      <c r="B3459" s="2" t="s">
        <v>1113</v>
      </c>
      <c r="C3459" s="5" t="s">
        <v>5371</v>
      </c>
      <c r="D3459" s="2" t="s">
        <v>5372</v>
      </c>
    </row>
    <row r="3460" spans="1:4" ht="12.95" customHeight="1" x14ac:dyDescent="0.25">
      <c r="A3460" s="2" t="s">
        <v>428</v>
      </c>
      <c r="B3460" s="2" t="s">
        <v>1113</v>
      </c>
      <c r="C3460" s="5" t="s">
        <v>5373</v>
      </c>
      <c r="D3460" s="2" t="s">
        <v>5374</v>
      </c>
    </row>
    <row r="3461" spans="1:4" ht="12.95" customHeight="1" x14ac:dyDescent="0.25">
      <c r="A3461" s="2" t="s">
        <v>428</v>
      </c>
      <c r="B3461" s="2" t="s">
        <v>1113</v>
      </c>
      <c r="C3461" s="5" t="s">
        <v>5375</v>
      </c>
      <c r="D3461" s="2" t="s">
        <v>5376</v>
      </c>
    </row>
    <row r="3462" spans="1:4" ht="12.95" customHeight="1" x14ac:dyDescent="0.25">
      <c r="A3462" s="2" t="s">
        <v>428</v>
      </c>
      <c r="B3462" s="2" t="s">
        <v>1113</v>
      </c>
      <c r="C3462" s="5" t="s">
        <v>5377</v>
      </c>
      <c r="D3462" s="2" t="s">
        <v>3451</v>
      </c>
    </row>
    <row r="3463" spans="1:4" ht="12.95" customHeight="1" x14ac:dyDescent="0.25">
      <c r="A3463" s="2" t="s">
        <v>428</v>
      </c>
      <c r="B3463" s="2" t="s">
        <v>1113</v>
      </c>
      <c r="C3463" s="5" t="s">
        <v>5378</v>
      </c>
      <c r="D3463" s="2" t="s">
        <v>5379</v>
      </c>
    </row>
    <row r="3464" spans="1:4" ht="12.95" customHeight="1" x14ac:dyDescent="0.25">
      <c r="A3464" s="2" t="s">
        <v>428</v>
      </c>
      <c r="B3464" s="2" t="s">
        <v>1113</v>
      </c>
      <c r="C3464" s="5" t="s">
        <v>5380</v>
      </c>
      <c r="D3464" s="2" t="s">
        <v>5381</v>
      </c>
    </row>
    <row r="3465" spans="1:4" ht="12.95" customHeight="1" x14ac:dyDescent="0.25">
      <c r="A3465" s="2" t="s">
        <v>428</v>
      </c>
      <c r="B3465" s="2" t="s">
        <v>1113</v>
      </c>
      <c r="C3465" s="5" t="s">
        <v>5382</v>
      </c>
      <c r="D3465" s="2" t="s">
        <v>5383</v>
      </c>
    </row>
    <row r="3466" spans="1:4" ht="12.95" customHeight="1" x14ac:dyDescent="0.25">
      <c r="A3466" s="2" t="s">
        <v>428</v>
      </c>
      <c r="B3466" s="2" t="s">
        <v>1113</v>
      </c>
      <c r="C3466" s="5" t="s">
        <v>5384</v>
      </c>
      <c r="D3466" s="2" t="s">
        <v>5385</v>
      </c>
    </row>
    <row r="3467" spans="1:4" ht="12.95" customHeight="1" x14ac:dyDescent="0.25">
      <c r="A3467" s="2" t="s">
        <v>428</v>
      </c>
      <c r="B3467" s="2" t="s">
        <v>1113</v>
      </c>
      <c r="C3467" s="5" t="s">
        <v>5386</v>
      </c>
      <c r="D3467" s="2" t="s">
        <v>5387</v>
      </c>
    </row>
    <row r="3468" spans="1:4" ht="12.95" customHeight="1" x14ac:dyDescent="0.25">
      <c r="A3468" s="2" t="s">
        <v>428</v>
      </c>
      <c r="B3468" s="2" t="s">
        <v>1113</v>
      </c>
      <c r="C3468" s="5" t="s">
        <v>5388</v>
      </c>
      <c r="D3468" s="2" t="s">
        <v>5389</v>
      </c>
    </row>
    <row r="3469" spans="1:4" ht="12.95" customHeight="1" x14ac:dyDescent="0.25">
      <c r="A3469" s="2" t="s">
        <v>428</v>
      </c>
      <c r="B3469" s="2" t="s">
        <v>1113</v>
      </c>
      <c r="C3469" s="5" t="s">
        <v>5390</v>
      </c>
      <c r="D3469" s="2" t="s">
        <v>5391</v>
      </c>
    </row>
    <row r="3470" spans="1:4" ht="12.95" customHeight="1" x14ac:dyDescent="0.25">
      <c r="A3470" s="2" t="s">
        <v>428</v>
      </c>
      <c r="B3470" s="2" t="s">
        <v>1113</v>
      </c>
      <c r="C3470" s="5" t="s">
        <v>5392</v>
      </c>
      <c r="D3470" s="2" t="s">
        <v>5393</v>
      </c>
    </row>
    <row r="3471" spans="1:4" ht="12.95" customHeight="1" x14ac:dyDescent="0.25">
      <c r="A3471" s="2" t="s">
        <v>428</v>
      </c>
      <c r="B3471" s="2" t="s">
        <v>1113</v>
      </c>
      <c r="C3471" s="5" t="s">
        <v>5394</v>
      </c>
      <c r="D3471" s="2" t="s">
        <v>4736</v>
      </c>
    </row>
    <row r="3472" spans="1:4" ht="12.95" customHeight="1" x14ac:dyDescent="0.25">
      <c r="A3472" s="2" t="s">
        <v>428</v>
      </c>
      <c r="B3472" s="2" t="s">
        <v>1113</v>
      </c>
      <c r="C3472" s="5" t="s">
        <v>5395</v>
      </c>
      <c r="D3472" s="2" t="s">
        <v>4738</v>
      </c>
    </row>
    <row r="3473" spans="1:4" ht="12.95" customHeight="1" x14ac:dyDescent="0.25">
      <c r="A3473" s="2" t="s">
        <v>428</v>
      </c>
      <c r="B3473" s="2" t="s">
        <v>1113</v>
      </c>
      <c r="C3473" s="5" t="s">
        <v>5396</v>
      </c>
      <c r="D3473" s="2" t="s">
        <v>4740</v>
      </c>
    </row>
    <row r="3474" spans="1:4" ht="12.95" customHeight="1" x14ac:dyDescent="0.25">
      <c r="A3474" s="2" t="s">
        <v>428</v>
      </c>
      <c r="B3474" s="2" t="s">
        <v>1113</v>
      </c>
      <c r="C3474" s="5" t="s">
        <v>5397</v>
      </c>
      <c r="D3474" s="2" t="s">
        <v>5002</v>
      </c>
    </row>
    <row r="3475" spans="1:4" ht="12.95" customHeight="1" x14ac:dyDescent="0.25">
      <c r="A3475" s="2" t="s">
        <v>428</v>
      </c>
      <c r="B3475" s="2" t="s">
        <v>1113</v>
      </c>
      <c r="C3475" s="5" t="s">
        <v>5398</v>
      </c>
      <c r="D3475" s="2" t="s">
        <v>5399</v>
      </c>
    </row>
    <row r="3476" spans="1:4" ht="12.95" customHeight="1" x14ac:dyDescent="0.25">
      <c r="A3476" s="2" t="s">
        <v>428</v>
      </c>
      <c r="B3476" s="2" t="s">
        <v>1113</v>
      </c>
      <c r="C3476" s="5" t="s">
        <v>5400</v>
      </c>
      <c r="D3476" s="2" t="s">
        <v>5401</v>
      </c>
    </row>
    <row r="3477" spans="1:4" ht="12.95" customHeight="1" x14ac:dyDescent="0.25">
      <c r="A3477" s="2" t="s">
        <v>428</v>
      </c>
      <c r="B3477" s="2" t="s">
        <v>1113</v>
      </c>
      <c r="C3477" s="5" t="s">
        <v>5402</v>
      </c>
      <c r="D3477" s="2" t="s">
        <v>5403</v>
      </c>
    </row>
    <row r="3478" spans="1:4" ht="12.95" customHeight="1" x14ac:dyDescent="0.25">
      <c r="A3478" s="2" t="s">
        <v>428</v>
      </c>
      <c r="B3478" s="2" t="s">
        <v>1113</v>
      </c>
      <c r="C3478" s="5" t="s">
        <v>5404</v>
      </c>
      <c r="D3478" s="2" t="s">
        <v>5405</v>
      </c>
    </row>
    <row r="3479" spans="1:4" ht="12.95" customHeight="1" x14ac:dyDescent="0.25">
      <c r="A3479" s="2" t="s">
        <v>428</v>
      </c>
      <c r="B3479" s="2" t="s">
        <v>1113</v>
      </c>
      <c r="C3479" s="5" t="s">
        <v>5406</v>
      </c>
      <c r="D3479" s="2" t="s">
        <v>5407</v>
      </c>
    </row>
    <row r="3480" spans="1:4" ht="12.95" customHeight="1" x14ac:dyDescent="0.25">
      <c r="A3480" s="2" t="s">
        <v>428</v>
      </c>
      <c r="B3480" s="2" t="s">
        <v>1113</v>
      </c>
      <c r="C3480" s="5" t="s">
        <v>5408</v>
      </c>
      <c r="D3480" s="2" t="s">
        <v>5409</v>
      </c>
    </row>
    <row r="3481" spans="1:4" ht="12.95" customHeight="1" x14ac:dyDescent="0.25">
      <c r="A3481" s="2" t="s">
        <v>428</v>
      </c>
      <c r="B3481" s="2" t="s">
        <v>1113</v>
      </c>
      <c r="C3481" s="5" t="s">
        <v>5410</v>
      </c>
      <c r="D3481" s="2" t="s">
        <v>5411</v>
      </c>
    </row>
    <row r="3482" spans="1:4" ht="12.95" customHeight="1" x14ac:dyDescent="0.25">
      <c r="A3482" s="2" t="s">
        <v>428</v>
      </c>
      <c r="B3482" s="2" t="s">
        <v>1113</v>
      </c>
      <c r="C3482" s="5" t="s">
        <v>5412</v>
      </c>
      <c r="D3482" s="2" t="s">
        <v>5413</v>
      </c>
    </row>
    <row r="3483" spans="1:4" ht="12.95" customHeight="1" x14ac:dyDescent="0.25">
      <c r="A3483" s="2" t="s">
        <v>428</v>
      </c>
      <c r="B3483" s="2" t="s">
        <v>1113</v>
      </c>
      <c r="C3483" s="5" t="s">
        <v>5414</v>
      </c>
      <c r="D3483" s="2" t="s">
        <v>5415</v>
      </c>
    </row>
    <row r="3484" spans="1:4" ht="12.95" customHeight="1" x14ac:dyDescent="0.25">
      <c r="A3484" s="2" t="s">
        <v>428</v>
      </c>
      <c r="B3484" s="2" t="s">
        <v>1113</v>
      </c>
      <c r="C3484" s="5" t="s">
        <v>5416</v>
      </c>
      <c r="D3484" s="2" t="s">
        <v>5417</v>
      </c>
    </row>
    <row r="3485" spans="1:4" ht="12.95" customHeight="1" x14ac:dyDescent="0.25">
      <c r="A3485" s="2" t="s">
        <v>428</v>
      </c>
      <c r="B3485" s="2" t="s">
        <v>1113</v>
      </c>
      <c r="C3485" s="5" t="s">
        <v>5418</v>
      </c>
      <c r="D3485" s="2" t="s">
        <v>5419</v>
      </c>
    </row>
    <row r="3486" spans="1:4" ht="12.95" customHeight="1" x14ac:dyDescent="0.25">
      <c r="A3486" s="2" t="s">
        <v>428</v>
      </c>
      <c r="B3486" s="2" t="s">
        <v>1113</v>
      </c>
      <c r="C3486" s="5" t="s">
        <v>5420</v>
      </c>
      <c r="D3486" s="2" t="s">
        <v>5421</v>
      </c>
    </row>
    <row r="3487" spans="1:4" ht="12.95" customHeight="1" x14ac:dyDescent="0.25">
      <c r="A3487" s="2" t="s">
        <v>428</v>
      </c>
      <c r="B3487" s="2" t="s">
        <v>1113</v>
      </c>
      <c r="C3487" s="5" t="s">
        <v>5422</v>
      </c>
      <c r="D3487" s="2" t="s">
        <v>5423</v>
      </c>
    </row>
    <row r="3488" spans="1:4" ht="12.95" customHeight="1" x14ac:dyDescent="0.25">
      <c r="A3488" s="2" t="s">
        <v>428</v>
      </c>
      <c r="B3488" s="2" t="s">
        <v>1113</v>
      </c>
      <c r="C3488" s="5" t="s">
        <v>5424</v>
      </c>
      <c r="D3488" s="2" t="s">
        <v>5425</v>
      </c>
    </row>
    <row r="3489" spans="1:4" ht="12.95" customHeight="1" x14ac:dyDescent="0.25">
      <c r="A3489" s="2" t="s">
        <v>428</v>
      </c>
      <c r="B3489" s="2" t="s">
        <v>1113</v>
      </c>
      <c r="C3489" s="5" t="s">
        <v>5426</v>
      </c>
      <c r="D3489" s="2" t="s">
        <v>3507</v>
      </c>
    </row>
    <row r="3490" spans="1:4" ht="12.95" customHeight="1" x14ac:dyDescent="0.25">
      <c r="A3490" s="2" t="s">
        <v>428</v>
      </c>
      <c r="B3490" s="2" t="s">
        <v>1113</v>
      </c>
      <c r="C3490" s="5" t="s">
        <v>5427</v>
      </c>
      <c r="D3490" s="2" t="s">
        <v>3509</v>
      </c>
    </row>
    <row r="3491" spans="1:4" ht="12.95" customHeight="1" x14ac:dyDescent="0.25">
      <c r="A3491" s="2" t="s">
        <v>428</v>
      </c>
      <c r="B3491" s="2" t="s">
        <v>1113</v>
      </c>
      <c r="C3491" s="5" t="s">
        <v>5428</v>
      </c>
      <c r="D3491" s="2" t="s">
        <v>5429</v>
      </c>
    </row>
    <row r="3492" spans="1:4" ht="12.95" customHeight="1" x14ac:dyDescent="0.25">
      <c r="A3492" s="2" t="s">
        <v>428</v>
      </c>
      <c r="B3492" s="2" t="s">
        <v>1113</v>
      </c>
      <c r="C3492" s="5" t="s">
        <v>5430</v>
      </c>
      <c r="D3492" s="2" t="s">
        <v>5431</v>
      </c>
    </row>
    <row r="3493" spans="1:4" ht="12.95" customHeight="1" x14ac:dyDescent="0.25">
      <c r="A3493" s="2" t="s">
        <v>428</v>
      </c>
      <c r="B3493" s="2" t="s">
        <v>1113</v>
      </c>
      <c r="C3493" s="5" t="s">
        <v>5432</v>
      </c>
      <c r="D3493" s="2" t="s">
        <v>5433</v>
      </c>
    </row>
    <row r="3494" spans="1:4" ht="12.95" customHeight="1" x14ac:dyDescent="0.25">
      <c r="A3494" s="2" t="s">
        <v>428</v>
      </c>
      <c r="B3494" s="2" t="s">
        <v>1113</v>
      </c>
      <c r="C3494" s="5" t="s">
        <v>5434</v>
      </c>
      <c r="D3494" s="2" t="s">
        <v>3429</v>
      </c>
    </row>
    <row r="3495" spans="1:4" ht="12.95" customHeight="1" x14ac:dyDescent="0.25">
      <c r="A3495" s="2" t="s">
        <v>428</v>
      </c>
      <c r="B3495" s="2" t="s">
        <v>1113</v>
      </c>
      <c r="C3495" s="5" t="s">
        <v>5435</v>
      </c>
      <c r="D3495" s="2" t="s">
        <v>5436</v>
      </c>
    </row>
    <row r="3496" spans="1:4" ht="12.95" customHeight="1" x14ac:dyDescent="0.25">
      <c r="A3496" s="2" t="s">
        <v>428</v>
      </c>
      <c r="B3496" s="2" t="s">
        <v>1113</v>
      </c>
      <c r="C3496" s="5" t="s">
        <v>5437</v>
      </c>
      <c r="D3496" s="2" t="s">
        <v>5438</v>
      </c>
    </row>
    <row r="3497" spans="1:4" ht="12.95" customHeight="1" x14ac:dyDescent="0.25">
      <c r="A3497" s="2" t="s">
        <v>428</v>
      </c>
      <c r="B3497" s="2" t="s">
        <v>1113</v>
      </c>
      <c r="C3497" s="5" t="s">
        <v>5439</v>
      </c>
      <c r="D3497" s="2" t="s">
        <v>5440</v>
      </c>
    </row>
    <row r="3498" spans="1:4" ht="12.95" customHeight="1" x14ac:dyDescent="0.25">
      <c r="A3498" s="2" t="s">
        <v>428</v>
      </c>
      <c r="B3498" s="2" t="s">
        <v>1113</v>
      </c>
      <c r="C3498" s="5" t="s">
        <v>5441</v>
      </c>
      <c r="D3498" s="2" t="s">
        <v>5442</v>
      </c>
    </row>
    <row r="3499" spans="1:4" ht="12.95" customHeight="1" x14ac:dyDescent="0.25">
      <c r="A3499" s="2" t="s">
        <v>428</v>
      </c>
      <c r="B3499" s="2" t="s">
        <v>1113</v>
      </c>
      <c r="C3499" s="5" t="s">
        <v>5443</v>
      </c>
      <c r="D3499" s="2" t="s">
        <v>5444</v>
      </c>
    </row>
    <row r="3500" spans="1:4" ht="12.95" customHeight="1" x14ac:dyDescent="0.25">
      <c r="A3500" s="2" t="s">
        <v>428</v>
      </c>
      <c r="B3500" s="2" t="s">
        <v>1113</v>
      </c>
      <c r="C3500" s="5" t="s">
        <v>5445</v>
      </c>
      <c r="D3500" s="2" t="s">
        <v>5446</v>
      </c>
    </row>
    <row r="3501" spans="1:4" ht="12.95" customHeight="1" x14ac:dyDescent="0.25">
      <c r="A3501" s="2" t="s">
        <v>428</v>
      </c>
      <c r="B3501" s="2" t="s">
        <v>1113</v>
      </c>
      <c r="C3501" s="5" t="s">
        <v>5447</v>
      </c>
      <c r="D3501" s="2" t="s">
        <v>5448</v>
      </c>
    </row>
    <row r="3502" spans="1:4" ht="12.95" customHeight="1" x14ac:dyDescent="0.25">
      <c r="A3502" s="2" t="s">
        <v>428</v>
      </c>
      <c r="B3502" s="2" t="s">
        <v>1113</v>
      </c>
      <c r="C3502" s="5" t="s">
        <v>5449</v>
      </c>
      <c r="D3502" s="2" t="s">
        <v>5450</v>
      </c>
    </row>
    <row r="3503" spans="1:4" ht="12.95" customHeight="1" x14ac:dyDescent="0.25">
      <c r="A3503" s="2" t="s">
        <v>428</v>
      </c>
      <c r="B3503" s="2" t="s">
        <v>1113</v>
      </c>
      <c r="C3503" s="5" t="s">
        <v>5451</v>
      </c>
      <c r="D3503" s="2" t="s">
        <v>5452</v>
      </c>
    </row>
    <row r="3504" spans="1:4" ht="12.95" customHeight="1" x14ac:dyDescent="0.25">
      <c r="A3504" s="2" t="s">
        <v>428</v>
      </c>
      <c r="B3504" s="2" t="s">
        <v>1113</v>
      </c>
      <c r="C3504" s="5" t="s">
        <v>5453</v>
      </c>
      <c r="D3504" s="2" t="s">
        <v>5454</v>
      </c>
    </row>
    <row r="3505" spans="1:4" ht="12.95" customHeight="1" x14ac:dyDescent="0.25">
      <c r="A3505" s="2" t="s">
        <v>428</v>
      </c>
      <c r="B3505" s="2" t="s">
        <v>1113</v>
      </c>
      <c r="C3505" s="5" t="s">
        <v>5455</v>
      </c>
      <c r="D3505" s="2" t="s">
        <v>5456</v>
      </c>
    </row>
    <row r="3506" spans="1:4" ht="12.95" customHeight="1" x14ac:dyDescent="0.25">
      <c r="A3506" s="2" t="s">
        <v>428</v>
      </c>
      <c r="B3506" s="2" t="s">
        <v>1113</v>
      </c>
      <c r="C3506" s="5" t="s">
        <v>5457</v>
      </c>
      <c r="D3506" s="2" t="s">
        <v>5458</v>
      </c>
    </row>
    <row r="3507" spans="1:4" ht="12.95" customHeight="1" x14ac:dyDescent="0.25">
      <c r="A3507" s="2" t="s">
        <v>428</v>
      </c>
      <c r="B3507" s="2" t="s">
        <v>1113</v>
      </c>
      <c r="C3507" s="5" t="s">
        <v>5459</v>
      </c>
      <c r="D3507" s="2" t="s">
        <v>5460</v>
      </c>
    </row>
    <row r="3508" spans="1:4" ht="12.95" customHeight="1" x14ac:dyDescent="0.25">
      <c r="A3508" s="2" t="s">
        <v>428</v>
      </c>
      <c r="B3508" s="2" t="s">
        <v>1113</v>
      </c>
      <c r="C3508" s="5" t="s">
        <v>5461</v>
      </c>
      <c r="D3508" s="2" t="s">
        <v>3507</v>
      </c>
    </row>
    <row r="3509" spans="1:4" ht="12.95" customHeight="1" x14ac:dyDescent="0.25">
      <c r="A3509" s="2" t="s">
        <v>428</v>
      </c>
      <c r="B3509" s="2" t="s">
        <v>1113</v>
      </c>
      <c r="C3509" s="5" t="s">
        <v>5462</v>
      </c>
      <c r="D3509" s="2" t="s">
        <v>3509</v>
      </c>
    </row>
    <row r="3510" spans="1:4" ht="12.95" customHeight="1" x14ac:dyDescent="0.25">
      <c r="A3510" s="2" t="s">
        <v>428</v>
      </c>
      <c r="B3510" s="2" t="s">
        <v>1113</v>
      </c>
      <c r="C3510" s="5" t="s">
        <v>5463</v>
      </c>
      <c r="D3510" s="2" t="s">
        <v>5464</v>
      </c>
    </row>
    <row r="3511" spans="1:4" ht="12.95" customHeight="1" x14ac:dyDescent="0.25">
      <c r="A3511" s="2" t="s">
        <v>428</v>
      </c>
      <c r="B3511" s="2" t="s">
        <v>1113</v>
      </c>
      <c r="C3511" s="5" t="s">
        <v>5465</v>
      </c>
      <c r="D3511" s="2" t="s">
        <v>5466</v>
      </c>
    </row>
    <row r="3512" spans="1:4" ht="12.95" customHeight="1" x14ac:dyDescent="0.25">
      <c r="A3512" s="2" t="s">
        <v>428</v>
      </c>
      <c r="B3512" s="2" t="s">
        <v>1113</v>
      </c>
      <c r="C3512" s="5" t="s">
        <v>5467</v>
      </c>
      <c r="D3512" s="2" t="s">
        <v>5468</v>
      </c>
    </row>
    <row r="3513" spans="1:4" ht="12.95" customHeight="1" x14ac:dyDescent="0.25">
      <c r="A3513" s="2" t="s">
        <v>428</v>
      </c>
      <c r="B3513" s="2" t="s">
        <v>1113</v>
      </c>
      <c r="C3513" s="5" t="s">
        <v>5469</v>
      </c>
      <c r="D3513" s="2" t="s">
        <v>5470</v>
      </c>
    </row>
    <row r="3514" spans="1:4" ht="12.95" customHeight="1" x14ac:dyDescent="0.25">
      <c r="A3514" s="2" t="s">
        <v>428</v>
      </c>
      <c r="B3514" s="2" t="s">
        <v>1113</v>
      </c>
      <c r="C3514" s="5" t="s">
        <v>5471</v>
      </c>
      <c r="D3514" s="2" t="s">
        <v>5472</v>
      </c>
    </row>
    <row r="3515" spans="1:4" ht="12.95" customHeight="1" x14ac:dyDescent="0.25">
      <c r="A3515" s="2" t="s">
        <v>428</v>
      </c>
      <c r="B3515" s="2" t="s">
        <v>1113</v>
      </c>
      <c r="C3515" s="5" t="s">
        <v>5473</v>
      </c>
      <c r="D3515" s="2" t="s">
        <v>4320</v>
      </c>
    </row>
    <row r="3516" spans="1:4" ht="12.95" customHeight="1" x14ac:dyDescent="0.25">
      <c r="A3516" s="2" t="s">
        <v>428</v>
      </c>
      <c r="B3516" s="2" t="s">
        <v>1113</v>
      </c>
      <c r="C3516" s="5" t="s">
        <v>5474</v>
      </c>
      <c r="D3516" s="2" t="s">
        <v>5475</v>
      </c>
    </row>
    <row r="3517" spans="1:4" ht="12.95" customHeight="1" x14ac:dyDescent="0.25">
      <c r="A3517" s="2" t="s">
        <v>428</v>
      </c>
      <c r="B3517" s="2" t="s">
        <v>1113</v>
      </c>
      <c r="C3517" s="5" t="s">
        <v>5476</v>
      </c>
      <c r="D3517" s="2" t="s">
        <v>5477</v>
      </c>
    </row>
    <row r="3518" spans="1:4" ht="12.95" customHeight="1" x14ac:dyDescent="0.25">
      <c r="A3518" s="2" t="s">
        <v>428</v>
      </c>
      <c r="B3518" s="2" t="s">
        <v>1113</v>
      </c>
      <c r="C3518" s="5" t="s">
        <v>5478</v>
      </c>
      <c r="D3518" s="2" t="s">
        <v>5479</v>
      </c>
    </row>
    <row r="3519" spans="1:4" ht="12.95" customHeight="1" x14ac:dyDescent="0.25">
      <c r="A3519" s="2" t="s">
        <v>428</v>
      </c>
      <c r="B3519" s="2" t="s">
        <v>1113</v>
      </c>
      <c r="C3519" s="5" t="s">
        <v>5480</v>
      </c>
      <c r="D3519" s="2" t="s">
        <v>3395</v>
      </c>
    </row>
    <row r="3520" spans="1:4" ht="12.95" customHeight="1" x14ac:dyDescent="0.25">
      <c r="A3520" s="2" t="s">
        <v>428</v>
      </c>
      <c r="B3520" s="2" t="s">
        <v>1113</v>
      </c>
      <c r="C3520" s="5" t="s">
        <v>5481</v>
      </c>
      <c r="D3520" s="2" t="s">
        <v>3397</v>
      </c>
    </row>
    <row r="3521" spans="1:4" ht="12.95" customHeight="1" x14ac:dyDescent="0.25">
      <c r="A3521" s="2" t="s">
        <v>428</v>
      </c>
      <c r="B3521" s="2" t="s">
        <v>1113</v>
      </c>
      <c r="C3521" s="5" t="s">
        <v>5482</v>
      </c>
      <c r="D3521" s="2" t="s">
        <v>5483</v>
      </c>
    </row>
    <row r="3522" spans="1:4" ht="12.95" customHeight="1" x14ac:dyDescent="0.25">
      <c r="A3522" s="2" t="s">
        <v>428</v>
      </c>
      <c r="B3522" s="2" t="s">
        <v>1113</v>
      </c>
      <c r="C3522" s="5" t="s">
        <v>5484</v>
      </c>
      <c r="D3522" s="2" t="s">
        <v>5485</v>
      </c>
    </row>
    <row r="3523" spans="1:4" ht="12.95" customHeight="1" x14ac:dyDescent="0.25">
      <c r="A3523" s="2" t="s">
        <v>428</v>
      </c>
      <c r="B3523" s="2" t="s">
        <v>1113</v>
      </c>
      <c r="C3523" s="5" t="s">
        <v>5486</v>
      </c>
      <c r="D3523" s="2" t="s">
        <v>5487</v>
      </c>
    </row>
    <row r="3524" spans="1:4" ht="12.95" customHeight="1" x14ac:dyDescent="0.25">
      <c r="A3524" s="2" t="s">
        <v>428</v>
      </c>
      <c r="B3524" s="2" t="s">
        <v>1113</v>
      </c>
      <c r="C3524" s="5" t="s">
        <v>5488</v>
      </c>
      <c r="D3524" s="2" t="s">
        <v>5489</v>
      </c>
    </row>
    <row r="3525" spans="1:4" ht="12.95" customHeight="1" x14ac:dyDescent="0.25">
      <c r="A3525" s="2" t="s">
        <v>428</v>
      </c>
      <c r="B3525" s="2" t="s">
        <v>1113</v>
      </c>
      <c r="C3525" s="5" t="s">
        <v>5490</v>
      </c>
      <c r="D3525" s="2" t="s">
        <v>5491</v>
      </c>
    </row>
    <row r="3526" spans="1:4" ht="12.95" customHeight="1" x14ac:dyDescent="0.25">
      <c r="A3526" s="2" t="s">
        <v>428</v>
      </c>
      <c r="B3526" s="2" t="s">
        <v>1113</v>
      </c>
      <c r="C3526" s="5" t="s">
        <v>5492</v>
      </c>
      <c r="D3526" s="2" t="s">
        <v>5493</v>
      </c>
    </row>
    <row r="3527" spans="1:4" ht="12.95" customHeight="1" x14ac:dyDescent="0.25">
      <c r="A3527" s="2" t="s">
        <v>428</v>
      </c>
      <c r="B3527" s="2" t="s">
        <v>1113</v>
      </c>
      <c r="C3527" s="5" t="s">
        <v>5494</v>
      </c>
      <c r="D3527" s="2" t="s">
        <v>5495</v>
      </c>
    </row>
    <row r="3528" spans="1:4" ht="12.95" customHeight="1" x14ac:dyDescent="0.25">
      <c r="A3528" s="2" t="s">
        <v>428</v>
      </c>
      <c r="B3528" s="2" t="s">
        <v>1113</v>
      </c>
      <c r="C3528" s="5" t="s">
        <v>5496</v>
      </c>
      <c r="D3528" s="2" t="s">
        <v>5497</v>
      </c>
    </row>
    <row r="3529" spans="1:4" ht="12.95" customHeight="1" x14ac:dyDescent="0.25">
      <c r="A3529" s="2" t="s">
        <v>428</v>
      </c>
      <c r="B3529" s="2" t="s">
        <v>1113</v>
      </c>
      <c r="C3529" s="5" t="s">
        <v>5498</v>
      </c>
      <c r="D3529" s="2" t="s">
        <v>5499</v>
      </c>
    </row>
    <row r="3530" spans="1:4" ht="12.95" customHeight="1" x14ac:dyDescent="0.25">
      <c r="A3530" s="2" t="s">
        <v>428</v>
      </c>
      <c r="B3530" s="2" t="s">
        <v>1113</v>
      </c>
      <c r="C3530" s="5" t="s">
        <v>5500</v>
      </c>
      <c r="D3530" s="2" t="s">
        <v>5501</v>
      </c>
    </row>
    <row r="3531" spans="1:4" ht="12.95" customHeight="1" x14ac:dyDescent="0.25">
      <c r="A3531" s="2" t="s">
        <v>428</v>
      </c>
      <c r="B3531" s="2" t="s">
        <v>1113</v>
      </c>
      <c r="C3531" s="5" t="s">
        <v>5502</v>
      </c>
      <c r="D3531" s="2" t="s">
        <v>5503</v>
      </c>
    </row>
    <row r="3532" spans="1:4" ht="12.95" customHeight="1" x14ac:dyDescent="0.25">
      <c r="A3532" s="2" t="s">
        <v>428</v>
      </c>
      <c r="B3532" s="2" t="s">
        <v>1113</v>
      </c>
      <c r="C3532" s="5" t="s">
        <v>5504</v>
      </c>
      <c r="D3532" s="2" t="s">
        <v>5505</v>
      </c>
    </row>
    <row r="3533" spans="1:4" ht="12.95" customHeight="1" x14ac:dyDescent="0.25">
      <c r="A3533" s="2" t="s">
        <v>428</v>
      </c>
      <c r="B3533" s="2" t="s">
        <v>1113</v>
      </c>
      <c r="C3533" s="5" t="s">
        <v>5506</v>
      </c>
      <c r="D3533" s="2" t="s">
        <v>5507</v>
      </c>
    </row>
    <row r="3534" spans="1:4" ht="12.95" customHeight="1" x14ac:dyDescent="0.25">
      <c r="A3534" s="2" t="s">
        <v>428</v>
      </c>
      <c r="B3534" s="2" t="s">
        <v>1113</v>
      </c>
      <c r="C3534" s="5" t="s">
        <v>5508</v>
      </c>
      <c r="D3534" s="2" t="s">
        <v>5509</v>
      </c>
    </row>
    <row r="3535" spans="1:4" ht="12.95" customHeight="1" x14ac:dyDescent="0.25">
      <c r="A3535" s="2" t="s">
        <v>428</v>
      </c>
      <c r="B3535" s="2" t="s">
        <v>1113</v>
      </c>
      <c r="C3535" s="5" t="s">
        <v>5510</v>
      </c>
      <c r="D3535" s="2" t="s">
        <v>5511</v>
      </c>
    </row>
    <row r="3536" spans="1:4" ht="12.95" customHeight="1" x14ac:dyDescent="0.25">
      <c r="A3536" s="2" t="s">
        <v>428</v>
      </c>
      <c r="B3536" s="2" t="s">
        <v>1113</v>
      </c>
      <c r="C3536" s="5" t="s">
        <v>5512</v>
      </c>
      <c r="D3536" s="2" t="s">
        <v>5513</v>
      </c>
    </row>
    <row r="3537" spans="1:4" ht="12.95" customHeight="1" x14ac:dyDescent="0.25">
      <c r="A3537" s="2" t="s">
        <v>428</v>
      </c>
      <c r="B3537" s="2" t="s">
        <v>1113</v>
      </c>
      <c r="C3537" s="5" t="s">
        <v>5514</v>
      </c>
      <c r="D3537" s="2" t="s">
        <v>3507</v>
      </c>
    </row>
    <row r="3538" spans="1:4" ht="12.95" customHeight="1" x14ac:dyDescent="0.25">
      <c r="A3538" s="2" t="s">
        <v>428</v>
      </c>
      <c r="B3538" s="2" t="s">
        <v>1113</v>
      </c>
      <c r="C3538" s="5" t="s">
        <v>5515</v>
      </c>
      <c r="D3538" s="2" t="s">
        <v>3509</v>
      </c>
    </row>
    <row r="3539" spans="1:4" ht="12.95" customHeight="1" x14ac:dyDescent="0.25">
      <c r="A3539" s="2" t="s">
        <v>428</v>
      </c>
      <c r="B3539" s="2" t="s">
        <v>1113</v>
      </c>
      <c r="C3539" s="5" t="s">
        <v>5516</v>
      </c>
      <c r="D3539" s="2" t="s">
        <v>5517</v>
      </c>
    </row>
    <row r="3540" spans="1:4" ht="12.95" customHeight="1" x14ac:dyDescent="0.25">
      <c r="A3540" s="2" t="s">
        <v>428</v>
      </c>
      <c r="B3540" s="2" t="s">
        <v>1113</v>
      </c>
      <c r="C3540" s="5" t="s">
        <v>5518</v>
      </c>
      <c r="D3540" s="2" t="s">
        <v>5519</v>
      </c>
    </row>
    <row r="3541" spans="1:4" ht="12.95" customHeight="1" x14ac:dyDescent="0.25">
      <c r="A3541" s="2" t="s">
        <v>428</v>
      </c>
      <c r="B3541" s="2" t="s">
        <v>1113</v>
      </c>
      <c r="C3541" s="5" t="s">
        <v>5520</v>
      </c>
      <c r="D3541" s="2" t="s">
        <v>5521</v>
      </c>
    </row>
    <row r="3542" spans="1:4" ht="12.95" customHeight="1" x14ac:dyDescent="0.25">
      <c r="A3542" s="2" t="s">
        <v>428</v>
      </c>
      <c r="B3542" s="2" t="s">
        <v>1113</v>
      </c>
      <c r="C3542" s="5" t="s">
        <v>5522</v>
      </c>
      <c r="D3542" s="2" t="s">
        <v>5523</v>
      </c>
    </row>
    <row r="3543" spans="1:4" ht="12.95" customHeight="1" x14ac:dyDescent="0.25">
      <c r="A3543" s="2" t="s">
        <v>428</v>
      </c>
      <c r="B3543" s="2" t="s">
        <v>1113</v>
      </c>
      <c r="C3543" s="5" t="s">
        <v>5524</v>
      </c>
      <c r="D3543" s="2" t="s">
        <v>5525</v>
      </c>
    </row>
    <row r="3544" spans="1:4" ht="12.95" customHeight="1" x14ac:dyDescent="0.25">
      <c r="A3544" s="2" t="s">
        <v>428</v>
      </c>
      <c r="B3544" s="2" t="s">
        <v>1113</v>
      </c>
      <c r="C3544" s="5" t="s">
        <v>5526</v>
      </c>
      <c r="D3544" s="2" t="s">
        <v>5527</v>
      </c>
    </row>
    <row r="3545" spans="1:4" ht="12.95" customHeight="1" x14ac:dyDescent="0.25">
      <c r="A3545" s="2" t="s">
        <v>428</v>
      </c>
      <c r="B3545" s="2" t="s">
        <v>1113</v>
      </c>
      <c r="C3545" s="5" t="s">
        <v>5528</v>
      </c>
      <c r="D3545" s="2" t="s">
        <v>3429</v>
      </c>
    </row>
    <row r="3546" spans="1:4" ht="12.95" customHeight="1" x14ac:dyDescent="0.25">
      <c r="A3546" s="2" t="s">
        <v>428</v>
      </c>
      <c r="B3546" s="2" t="s">
        <v>1113</v>
      </c>
      <c r="C3546" s="5" t="s">
        <v>5529</v>
      </c>
      <c r="D3546" s="2" t="s">
        <v>5530</v>
      </c>
    </row>
    <row r="3547" spans="1:4" ht="12.95" customHeight="1" x14ac:dyDescent="0.25">
      <c r="A3547" s="2" t="s">
        <v>428</v>
      </c>
      <c r="B3547" s="2" t="s">
        <v>1113</v>
      </c>
      <c r="C3547" s="5" t="s">
        <v>5531</v>
      </c>
      <c r="D3547" s="2" t="s">
        <v>5532</v>
      </c>
    </row>
    <row r="3548" spans="1:4" ht="12.95" customHeight="1" x14ac:dyDescent="0.25">
      <c r="A3548" s="2" t="s">
        <v>428</v>
      </c>
      <c r="B3548" s="2" t="s">
        <v>1113</v>
      </c>
      <c r="C3548" s="5" t="s">
        <v>5533</v>
      </c>
      <c r="D3548" s="2" t="s">
        <v>5534</v>
      </c>
    </row>
    <row r="3549" spans="1:4" ht="12.95" customHeight="1" x14ac:dyDescent="0.25">
      <c r="A3549" s="2" t="s">
        <v>428</v>
      </c>
      <c r="B3549" s="2" t="s">
        <v>1113</v>
      </c>
      <c r="C3549" s="5" t="s">
        <v>5535</v>
      </c>
      <c r="D3549" s="2" t="s">
        <v>5536</v>
      </c>
    </row>
    <row r="3550" spans="1:4" ht="12.95" customHeight="1" x14ac:dyDescent="0.25">
      <c r="A3550" s="2" t="s">
        <v>428</v>
      </c>
      <c r="B3550" s="2" t="s">
        <v>1113</v>
      </c>
      <c r="C3550" s="5" t="s">
        <v>5537</v>
      </c>
      <c r="D3550" s="2" t="s">
        <v>5538</v>
      </c>
    </row>
    <row r="3551" spans="1:4" ht="12.95" customHeight="1" x14ac:dyDescent="0.25">
      <c r="A3551" s="2" t="s">
        <v>428</v>
      </c>
      <c r="B3551" s="2" t="s">
        <v>1113</v>
      </c>
      <c r="C3551" s="5" t="s">
        <v>5539</v>
      </c>
      <c r="D3551" s="2" t="s">
        <v>5540</v>
      </c>
    </row>
    <row r="3552" spans="1:4" ht="12.95" customHeight="1" x14ac:dyDescent="0.25">
      <c r="A3552" s="2" t="s">
        <v>428</v>
      </c>
      <c r="B3552" s="2" t="s">
        <v>1113</v>
      </c>
      <c r="C3552" s="5" t="s">
        <v>5541</v>
      </c>
      <c r="D3552" s="2" t="s">
        <v>5542</v>
      </c>
    </row>
    <row r="3553" spans="1:4" ht="12.95" customHeight="1" x14ac:dyDescent="0.25">
      <c r="A3553" s="2" t="s">
        <v>428</v>
      </c>
      <c r="B3553" s="2" t="s">
        <v>1113</v>
      </c>
      <c r="C3553" s="5" t="s">
        <v>5543</v>
      </c>
      <c r="D3553" s="2" t="s">
        <v>5544</v>
      </c>
    </row>
    <row r="3554" spans="1:4" ht="12.95" customHeight="1" x14ac:dyDescent="0.25">
      <c r="A3554" s="2" t="s">
        <v>428</v>
      </c>
      <c r="B3554" s="2" t="s">
        <v>1113</v>
      </c>
      <c r="C3554" s="5" t="s">
        <v>5545</v>
      </c>
      <c r="D3554" s="2" t="s">
        <v>5546</v>
      </c>
    </row>
    <row r="3555" spans="1:4" ht="12.95" customHeight="1" x14ac:dyDescent="0.25">
      <c r="A3555" s="2" t="s">
        <v>428</v>
      </c>
      <c r="B3555" s="2" t="s">
        <v>1113</v>
      </c>
      <c r="C3555" s="5" t="s">
        <v>5547</v>
      </c>
      <c r="D3555" s="2" t="s">
        <v>5548</v>
      </c>
    </row>
    <row r="3556" spans="1:4" ht="12.95" customHeight="1" x14ac:dyDescent="0.25">
      <c r="A3556" s="2" t="s">
        <v>428</v>
      </c>
      <c r="B3556" s="2" t="s">
        <v>1113</v>
      </c>
      <c r="C3556" s="5" t="s">
        <v>5549</v>
      </c>
      <c r="D3556" s="2" t="s">
        <v>5550</v>
      </c>
    </row>
    <row r="3557" spans="1:4" ht="12.95" customHeight="1" x14ac:dyDescent="0.25">
      <c r="A3557" s="2" t="s">
        <v>428</v>
      </c>
      <c r="B3557" s="2" t="s">
        <v>1113</v>
      </c>
      <c r="C3557" s="5" t="s">
        <v>5551</v>
      </c>
      <c r="D3557" s="2" t="s">
        <v>3507</v>
      </c>
    </row>
    <row r="3558" spans="1:4" ht="12.95" customHeight="1" x14ac:dyDescent="0.25">
      <c r="A3558" s="2" t="s">
        <v>428</v>
      </c>
      <c r="B3558" s="2" t="s">
        <v>1113</v>
      </c>
      <c r="C3558" s="5" t="s">
        <v>5552</v>
      </c>
      <c r="D3558" s="2" t="s">
        <v>3509</v>
      </c>
    </row>
    <row r="3559" spans="1:4" ht="12.95" customHeight="1" x14ac:dyDescent="0.25">
      <c r="A3559" s="2" t="s">
        <v>428</v>
      </c>
      <c r="B3559" s="2" t="s">
        <v>1113</v>
      </c>
      <c r="C3559" s="5" t="s">
        <v>5553</v>
      </c>
      <c r="D3559" s="2" t="s">
        <v>5554</v>
      </c>
    </row>
    <row r="3560" spans="1:4" ht="12.95" customHeight="1" x14ac:dyDescent="0.25">
      <c r="A3560" s="2" t="s">
        <v>428</v>
      </c>
      <c r="B3560" s="2" t="s">
        <v>1113</v>
      </c>
      <c r="C3560" s="5" t="s">
        <v>5555</v>
      </c>
      <c r="D3560" s="2" t="s">
        <v>5556</v>
      </c>
    </row>
    <row r="3561" spans="1:4" ht="12.95" customHeight="1" x14ac:dyDescent="0.25">
      <c r="A3561" s="2" t="s">
        <v>428</v>
      </c>
      <c r="B3561" s="2" t="s">
        <v>1113</v>
      </c>
      <c r="C3561" s="5" t="s">
        <v>5557</v>
      </c>
      <c r="D3561" s="2" t="s">
        <v>5558</v>
      </c>
    </row>
    <row r="3562" spans="1:4" ht="12.95" customHeight="1" x14ac:dyDescent="0.25">
      <c r="A3562" s="2" t="s">
        <v>428</v>
      </c>
      <c r="B3562" s="2" t="s">
        <v>1113</v>
      </c>
      <c r="C3562" s="5" t="s">
        <v>5559</v>
      </c>
      <c r="D3562" s="2" t="s">
        <v>5560</v>
      </c>
    </row>
    <row r="3563" spans="1:4" ht="12.95" customHeight="1" x14ac:dyDescent="0.25">
      <c r="A3563" s="2" t="s">
        <v>428</v>
      </c>
      <c r="B3563" s="2" t="s">
        <v>1113</v>
      </c>
      <c r="C3563" s="5" t="s">
        <v>5561</v>
      </c>
      <c r="D3563" s="2" t="s">
        <v>5562</v>
      </c>
    </row>
    <row r="3564" spans="1:4" ht="12.95" customHeight="1" x14ac:dyDescent="0.25">
      <c r="A3564" s="2" t="s">
        <v>428</v>
      </c>
      <c r="B3564" s="2" t="s">
        <v>1113</v>
      </c>
      <c r="C3564" s="5" t="s">
        <v>5563</v>
      </c>
      <c r="D3564" s="2" t="s">
        <v>5564</v>
      </c>
    </row>
    <row r="3565" spans="1:4" ht="12.95" customHeight="1" x14ac:dyDescent="0.25">
      <c r="A3565" s="2" t="s">
        <v>428</v>
      </c>
      <c r="B3565" s="2" t="s">
        <v>1113</v>
      </c>
      <c r="C3565" s="5" t="s">
        <v>5565</v>
      </c>
      <c r="D3565" s="2" t="s">
        <v>3429</v>
      </c>
    </row>
    <row r="3566" spans="1:4" ht="12.95" customHeight="1" x14ac:dyDescent="0.25">
      <c r="A3566" s="2" t="s">
        <v>428</v>
      </c>
      <c r="B3566" s="2" t="s">
        <v>1113</v>
      </c>
      <c r="C3566" s="5" t="s">
        <v>5566</v>
      </c>
      <c r="D3566" s="2" t="s">
        <v>5567</v>
      </c>
    </row>
    <row r="3567" spans="1:4" ht="12.95" customHeight="1" x14ac:dyDescent="0.25">
      <c r="A3567" s="2" t="s">
        <v>428</v>
      </c>
      <c r="B3567" s="2" t="s">
        <v>1113</v>
      </c>
      <c r="C3567" s="5" t="s">
        <v>5568</v>
      </c>
      <c r="D3567" s="2" t="s">
        <v>5569</v>
      </c>
    </row>
    <row r="3568" spans="1:4" ht="12.95" customHeight="1" x14ac:dyDescent="0.25">
      <c r="A3568" s="2" t="s">
        <v>428</v>
      </c>
      <c r="B3568" s="2" t="s">
        <v>1113</v>
      </c>
      <c r="C3568" s="5" t="s">
        <v>5570</v>
      </c>
      <c r="D3568" s="2" t="s">
        <v>5571</v>
      </c>
    </row>
    <row r="3569" spans="1:4" ht="12.95" customHeight="1" x14ac:dyDescent="0.25">
      <c r="A3569" s="2" t="s">
        <v>428</v>
      </c>
      <c r="B3569" s="2" t="s">
        <v>1113</v>
      </c>
      <c r="C3569" s="5" t="s">
        <v>5572</v>
      </c>
      <c r="D3569" s="2" t="s">
        <v>5573</v>
      </c>
    </row>
    <row r="3570" spans="1:4" ht="12.95" customHeight="1" x14ac:dyDescent="0.25">
      <c r="A3570" s="2" t="s">
        <v>428</v>
      </c>
      <c r="B3570" s="2" t="s">
        <v>1113</v>
      </c>
      <c r="C3570" s="5" t="s">
        <v>5574</v>
      </c>
      <c r="D3570" s="2" t="s">
        <v>5575</v>
      </c>
    </row>
    <row r="3571" spans="1:4" ht="12.95" customHeight="1" x14ac:dyDescent="0.25">
      <c r="A3571" s="2" t="s">
        <v>428</v>
      </c>
      <c r="B3571" s="2" t="s">
        <v>1113</v>
      </c>
      <c r="C3571" s="5" t="s">
        <v>5576</v>
      </c>
      <c r="D3571" s="2" t="s">
        <v>3395</v>
      </c>
    </row>
    <row r="3572" spans="1:4" ht="12.95" customHeight="1" x14ac:dyDescent="0.25">
      <c r="A3572" s="2" t="s">
        <v>428</v>
      </c>
      <c r="B3572" s="2" t="s">
        <v>1113</v>
      </c>
      <c r="C3572" s="5" t="s">
        <v>5577</v>
      </c>
      <c r="D3572" s="2" t="s">
        <v>3397</v>
      </c>
    </row>
    <row r="3573" spans="1:4" ht="12.95" customHeight="1" x14ac:dyDescent="0.25">
      <c r="A3573" s="2" t="s">
        <v>428</v>
      </c>
      <c r="B3573" s="2" t="s">
        <v>1113</v>
      </c>
      <c r="C3573" s="5" t="s">
        <v>5578</v>
      </c>
      <c r="D3573" s="2" t="s">
        <v>5579</v>
      </c>
    </row>
    <row r="3574" spans="1:4" ht="12.95" customHeight="1" x14ac:dyDescent="0.25">
      <c r="A3574" s="2" t="s">
        <v>428</v>
      </c>
      <c r="B3574" s="2" t="s">
        <v>1113</v>
      </c>
      <c r="C3574" s="5" t="s">
        <v>5580</v>
      </c>
      <c r="D3574" s="2" t="s">
        <v>5581</v>
      </c>
    </row>
    <row r="3575" spans="1:4" ht="12.95" customHeight="1" x14ac:dyDescent="0.25">
      <c r="A3575" s="2" t="s">
        <v>428</v>
      </c>
      <c r="B3575" s="2" t="s">
        <v>1113</v>
      </c>
      <c r="C3575" s="5" t="s">
        <v>5582</v>
      </c>
      <c r="D3575" s="2" t="s">
        <v>5583</v>
      </c>
    </row>
    <row r="3576" spans="1:4" ht="12.95" customHeight="1" x14ac:dyDescent="0.25">
      <c r="A3576" s="2" t="s">
        <v>428</v>
      </c>
      <c r="B3576" s="2" t="s">
        <v>1113</v>
      </c>
      <c r="C3576" s="5" t="s">
        <v>5584</v>
      </c>
      <c r="D3576" s="2" t="s">
        <v>5585</v>
      </c>
    </row>
    <row r="3577" spans="1:4" ht="12.95" customHeight="1" x14ac:dyDescent="0.25">
      <c r="A3577" s="2" t="s">
        <v>428</v>
      </c>
      <c r="B3577" s="2" t="s">
        <v>1113</v>
      </c>
      <c r="C3577" s="5" t="s">
        <v>5586</v>
      </c>
      <c r="D3577" s="2" t="s">
        <v>5587</v>
      </c>
    </row>
    <row r="3578" spans="1:4" ht="12.95" customHeight="1" x14ac:dyDescent="0.25">
      <c r="A3578" s="2" t="s">
        <v>428</v>
      </c>
      <c r="B3578" s="2" t="s">
        <v>1113</v>
      </c>
      <c r="C3578" s="5" t="s">
        <v>5588</v>
      </c>
      <c r="D3578" s="2" t="s">
        <v>5589</v>
      </c>
    </row>
    <row r="3579" spans="1:4" ht="12.95" customHeight="1" x14ac:dyDescent="0.25">
      <c r="A3579" s="2" t="s">
        <v>428</v>
      </c>
      <c r="B3579" s="2" t="s">
        <v>1113</v>
      </c>
      <c r="C3579" s="5" t="s">
        <v>5590</v>
      </c>
      <c r="D3579" s="2" t="s">
        <v>5591</v>
      </c>
    </row>
    <row r="3580" spans="1:4" ht="12.95" customHeight="1" x14ac:dyDescent="0.25">
      <c r="A3580" s="2" t="s">
        <v>428</v>
      </c>
      <c r="B3580" s="2" t="s">
        <v>1113</v>
      </c>
      <c r="C3580" s="5" t="s">
        <v>5592</v>
      </c>
      <c r="D3580" s="2" t="s">
        <v>5593</v>
      </c>
    </row>
    <row r="3581" spans="1:4" ht="12.95" customHeight="1" x14ac:dyDescent="0.25">
      <c r="A3581" s="2" t="s">
        <v>428</v>
      </c>
      <c r="B3581" s="2" t="s">
        <v>1113</v>
      </c>
      <c r="C3581" s="5" t="s">
        <v>5594</v>
      </c>
      <c r="D3581" s="2" t="s">
        <v>5595</v>
      </c>
    </row>
    <row r="3582" spans="1:4" ht="12.95" customHeight="1" x14ac:dyDescent="0.25">
      <c r="A3582" s="2" t="s">
        <v>428</v>
      </c>
      <c r="B3582" s="2" t="s">
        <v>1113</v>
      </c>
      <c r="C3582" s="5" t="s">
        <v>5596</v>
      </c>
      <c r="D3582" s="2" t="s">
        <v>5376</v>
      </c>
    </row>
    <row r="3583" spans="1:4" ht="12.95" customHeight="1" x14ac:dyDescent="0.25">
      <c r="A3583" s="2" t="s">
        <v>428</v>
      </c>
      <c r="B3583" s="2" t="s">
        <v>1113</v>
      </c>
      <c r="C3583" s="5" t="s">
        <v>5597</v>
      </c>
      <c r="D3583" s="2" t="s">
        <v>3429</v>
      </c>
    </row>
    <row r="3584" spans="1:4" ht="12.95" customHeight="1" x14ac:dyDescent="0.25">
      <c r="A3584" s="2" t="s">
        <v>428</v>
      </c>
      <c r="B3584" s="2" t="s">
        <v>1113</v>
      </c>
      <c r="C3584" s="5" t="s">
        <v>5598</v>
      </c>
      <c r="D3584" s="2" t="s">
        <v>5599</v>
      </c>
    </row>
    <row r="3585" spans="1:4" ht="12.95" customHeight="1" x14ac:dyDescent="0.25">
      <c r="A3585" s="2" t="s">
        <v>428</v>
      </c>
      <c r="B3585" s="2" t="s">
        <v>1113</v>
      </c>
      <c r="C3585" s="5" t="s">
        <v>5600</v>
      </c>
      <c r="D3585" s="2" t="s">
        <v>5601</v>
      </c>
    </row>
    <row r="3586" spans="1:4" ht="12.95" customHeight="1" x14ac:dyDescent="0.25">
      <c r="A3586" s="2" t="s">
        <v>428</v>
      </c>
      <c r="B3586" s="2" t="s">
        <v>1113</v>
      </c>
      <c r="C3586" s="5" t="s">
        <v>5602</v>
      </c>
      <c r="D3586" s="2" t="s">
        <v>5603</v>
      </c>
    </row>
    <row r="3587" spans="1:4" ht="12.95" customHeight="1" x14ac:dyDescent="0.25">
      <c r="A3587" s="2" t="s">
        <v>428</v>
      </c>
      <c r="B3587" s="2" t="s">
        <v>1113</v>
      </c>
      <c r="C3587" s="5" t="s">
        <v>5604</v>
      </c>
      <c r="D3587" s="2" t="s">
        <v>5605</v>
      </c>
    </row>
    <row r="3588" spans="1:4" ht="12.95" customHeight="1" x14ac:dyDescent="0.25">
      <c r="A3588" s="2" t="s">
        <v>428</v>
      </c>
      <c r="B3588" s="2" t="s">
        <v>1113</v>
      </c>
      <c r="C3588" s="5" t="s">
        <v>5606</v>
      </c>
      <c r="D3588" s="2" t="s">
        <v>5607</v>
      </c>
    </row>
    <row r="3589" spans="1:4" ht="12.95" customHeight="1" x14ac:dyDescent="0.25">
      <c r="A3589" s="2" t="s">
        <v>428</v>
      </c>
      <c r="B3589" s="2" t="s">
        <v>1113</v>
      </c>
      <c r="C3589" s="5" t="s">
        <v>5608</v>
      </c>
      <c r="D3589" s="2" t="s">
        <v>5609</v>
      </c>
    </row>
    <row r="3590" spans="1:4" ht="12.95" customHeight="1" x14ac:dyDescent="0.25">
      <c r="A3590" s="2" t="s">
        <v>428</v>
      </c>
      <c r="B3590" s="2" t="s">
        <v>1113</v>
      </c>
      <c r="C3590" s="5" t="s">
        <v>5610</v>
      </c>
      <c r="D3590" s="2" t="s">
        <v>5611</v>
      </c>
    </row>
    <row r="3591" spans="1:4" ht="12.95" customHeight="1" x14ac:dyDescent="0.25">
      <c r="A3591" s="2" t="s">
        <v>428</v>
      </c>
      <c r="B3591" s="2" t="s">
        <v>1113</v>
      </c>
      <c r="C3591" s="5" t="s">
        <v>5612</v>
      </c>
      <c r="D3591" s="2" t="s">
        <v>5613</v>
      </c>
    </row>
    <row r="3592" spans="1:4" ht="12.95" customHeight="1" x14ac:dyDescent="0.25">
      <c r="A3592" s="2" t="s">
        <v>428</v>
      </c>
      <c r="B3592" s="2" t="s">
        <v>1113</v>
      </c>
      <c r="C3592" s="5" t="s">
        <v>5614</v>
      </c>
      <c r="D3592" s="2" t="s">
        <v>5615</v>
      </c>
    </row>
    <row r="3593" spans="1:4" ht="12.95" customHeight="1" x14ac:dyDescent="0.25">
      <c r="A3593" s="2" t="s">
        <v>428</v>
      </c>
      <c r="B3593" s="2" t="s">
        <v>1113</v>
      </c>
      <c r="C3593" s="5" t="s">
        <v>5616</v>
      </c>
      <c r="D3593" s="2" t="s">
        <v>5617</v>
      </c>
    </row>
    <row r="3594" spans="1:4" ht="12.95" customHeight="1" x14ac:dyDescent="0.25">
      <c r="A3594" s="2" t="s">
        <v>428</v>
      </c>
      <c r="B3594" s="2" t="s">
        <v>1113</v>
      </c>
      <c r="C3594" s="5" t="s">
        <v>5618</v>
      </c>
      <c r="D3594" s="2" t="s">
        <v>3507</v>
      </c>
    </row>
    <row r="3595" spans="1:4" ht="12.95" customHeight="1" x14ac:dyDescent="0.25">
      <c r="A3595" s="2" t="s">
        <v>428</v>
      </c>
      <c r="B3595" s="2" t="s">
        <v>1113</v>
      </c>
      <c r="C3595" s="5" t="s">
        <v>5619</v>
      </c>
      <c r="D3595" s="2" t="s">
        <v>3509</v>
      </c>
    </row>
    <row r="3596" spans="1:4" ht="12.95" customHeight="1" x14ac:dyDescent="0.25">
      <c r="A3596" s="2" t="s">
        <v>428</v>
      </c>
      <c r="B3596" s="2" t="s">
        <v>1113</v>
      </c>
      <c r="C3596" s="5" t="s">
        <v>5620</v>
      </c>
      <c r="D3596" s="2" t="s">
        <v>5621</v>
      </c>
    </row>
    <row r="3597" spans="1:4" ht="12.95" customHeight="1" x14ac:dyDescent="0.25">
      <c r="A3597" s="2" t="s">
        <v>428</v>
      </c>
      <c r="B3597" s="2" t="s">
        <v>1113</v>
      </c>
      <c r="C3597" s="5" t="s">
        <v>5622</v>
      </c>
      <c r="D3597" s="2" t="s">
        <v>5623</v>
      </c>
    </row>
    <row r="3598" spans="1:4" ht="12.95" customHeight="1" x14ac:dyDescent="0.25">
      <c r="A3598" s="2" t="s">
        <v>428</v>
      </c>
      <c r="B3598" s="2" t="s">
        <v>1113</v>
      </c>
      <c r="C3598" s="5" t="s">
        <v>5624</v>
      </c>
      <c r="D3598" s="2" t="s">
        <v>5625</v>
      </c>
    </row>
    <row r="3599" spans="1:4" ht="12.95" customHeight="1" x14ac:dyDescent="0.25">
      <c r="A3599" s="2" t="s">
        <v>428</v>
      </c>
      <c r="B3599" s="2" t="s">
        <v>1113</v>
      </c>
      <c r="C3599" s="5" t="s">
        <v>5626</v>
      </c>
      <c r="D3599" s="2" t="s">
        <v>5627</v>
      </c>
    </row>
    <row r="3600" spans="1:4" ht="12.95" customHeight="1" x14ac:dyDescent="0.25">
      <c r="A3600" s="2" t="s">
        <v>428</v>
      </c>
      <c r="B3600" s="2" t="s">
        <v>1113</v>
      </c>
      <c r="C3600" s="5" t="s">
        <v>5628</v>
      </c>
      <c r="D3600" s="2" t="s">
        <v>3427</v>
      </c>
    </row>
    <row r="3601" spans="1:4" ht="12.95" customHeight="1" x14ac:dyDescent="0.25">
      <c r="A3601" s="2" t="s">
        <v>428</v>
      </c>
      <c r="B3601" s="2" t="s">
        <v>1113</v>
      </c>
      <c r="C3601" s="5" t="s">
        <v>5629</v>
      </c>
      <c r="D3601" s="2" t="s">
        <v>3429</v>
      </c>
    </row>
    <row r="3602" spans="1:4" ht="12.95" customHeight="1" x14ac:dyDescent="0.25">
      <c r="A3602" s="2" t="s">
        <v>428</v>
      </c>
      <c r="B3602" s="2" t="s">
        <v>1113</v>
      </c>
      <c r="C3602" s="5" t="s">
        <v>5630</v>
      </c>
      <c r="D3602" s="2" t="s">
        <v>5631</v>
      </c>
    </row>
    <row r="3603" spans="1:4" ht="12.95" customHeight="1" x14ac:dyDescent="0.25">
      <c r="A3603" s="2" t="s">
        <v>428</v>
      </c>
      <c r="B3603" s="2" t="s">
        <v>1113</v>
      </c>
      <c r="C3603" s="5" t="s">
        <v>5632</v>
      </c>
      <c r="D3603" s="2" t="s">
        <v>5633</v>
      </c>
    </row>
    <row r="3604" spans="1:4" ht="12.95" customHeight="1" x14ac:dyDescent="0.25">
      <c r="A3604" s="2" t="s">
        <v>428</v>
      </c>
      <c r="B3604" s="2" t="s">
        <v>1113</v>
      </c>
      <c r="C3604" s="5" t="s">
        <v>5634</v>
      </c>
      <c r="D3604" s="2" t="s">
        <v>5635</v>
      </c>
    </row>
    <row r="3605" spans="1:4" ht="12.95" customHeight="1" x14ac:dyDescent="0.25">
      <c r="A3605" s="2" t="s">
        <v>428</v>
      </c>
      <c r="B3605" s="2" t="s">
        <v>1113</v>
      </c>
      <c r="C3605" s="5" t="s">
        <v>5636</v>
      </c>
      <c r="D3605" s="2" t="s">
        <v>5637</v>
      </c>
    </row>
    <row r="3606" spans="1:4" ht="12.95" customHeight="1" x14ac:dyDescent="0.25">
      <c r="A3606" s="2" t="s">
        <v>428</v>
      </c>
      <c r="B3606" s="2" t="s">
        <v>1113</v>
      </c>
      <c r="C3606" s="5" t="s">
        <v>5638</v>
      </c>
      <c r="D3606" s="2" t="s">
        <v>3507</v>
      </c>
    </row>
    <row r="3607" spans="1:4" ht="12.95" customHeight="1" x14ac:dyDescent="0.25">
      <c r="A3607" s="2" t="s">
        <v>428</v>
      </c>
      <c r="B3607" s="2" t="s">
        <v>1113</v>
      </c>
      <c r="C3607" s="5" t="s">
        <v>5639</v>
      </c>
      <c r="D3607" s="2" t="s">
        <v>3509</v>
      </c>
    </row>
    <row r="3608" spans="1:4" ht="12.95" customHeight="1" x14ac:dyDescent="0.25">
      <c r="A3608" s="2" t="s">
        <v>428</v>
      </c>
      <c r="B3608" s="2" t="s">
        <v>1113</v>
      </c>
      <c r="C3608" s="5" t="s">
        <v>5640</v>
      </c>
      <c r="D3608" s="2" t="s">
        <v>5641</v>
      </c>
    </row>
    <row r="3609" spans="1:4" ht="12.95" customHeight="1" x14ac:dyDescent="0.25">
      <c r="A3609" s="2" t="s">
        <v>428</v>
      </c>
      <c r="B3609" s="2" t="s">
        <v>1113</v>
      </c>
      <c r="C3609" s="5" t="s">
        <v>5642</v>
      </c>
      <c r="D3609" s="2" t="s">
        <v>3395</v>
      </c>
    </row>
    <row r="3610" spans="1:4" ht="12.95" customHeight="1" x14ac:dyDescent="0.25">
      <c r="A3610" s="2" t="s">
        <v>428</v>
      </c>
      <c r="B3610" s="2" t="s">
        <v>1113</v>
      </c>
      <c r="C3610" s="5" t="s">
        <v>5643</v>
      </c>
      <c r="D3610" s="2" t="s">
        <v>3397</v>
      </c>
    </row>
    <row r="3611" spans="1:4" ht="12.95" customHeight="1" x14ac:dyDescent="0.25">
      <c r="A3611" s="2" t="s">
        <v>428</v>
      </c>
      <c r="B3611" s="2" t="s">
        <v>1113</v>
      </c>
      <c r="C3611" s="5" t="s">
        <v>5644</v>
      </c>
      <c r="D3611" s="2" t="s">
        <v>5645</v>
      </c>
    </row>
    <row r="3612" spans="1:4" ht="12.95" customHeight="1" x14ac:dyDescent="0.25">
      <c r="A3612" s="2" t="s">
        <v>428</v>
      </c>
      <c r="B3612" s="2" t="s">
        <v>1113</v>
      </c>
      <c r="C3612" s="5" t="s">
        <v>5646</v>
      </c>
      <c r="D3612" s="2" t="s">
        <v>5647</v>
      </c>
    </row>
    <row r="3613" spans="1:4" ht="12.95" customHeight="1" x14ac:dyDescent="0.25">
      <c r="A3613" s="2" t="s">
        <v>428</v>
      </c>
      <c r="B3613" s="2" t="s">
        <v>1113</v>
      </c>
      <c r="C3613" s="5" t="s">
        <v>5648</v>
      </c>
      <c r="D3613" s="2" t="s">
        <v>5649</v>
      </c>
    </row>
    <row r="3614" spans="1:4" ht="12.95" customHeight="1" x14ac:dyDescent="0.25">
      <c r="A3614" s="2" t="s">
        <v>428</v>
      </c>
      <c r="B3614" s="2" t="s">
        <v>1113</v>
      </c>
      <c r="C3614" s="5" t="s">
        <v>5650</v>
      </c>
      <c r="D3614" s="2" t="s">
        <v>5651</v>
      </c>
    </row>
    <row r="3615" spans="1:4" ht="12.95" customHeight="1" x14ac:dyDescent="0.25">
      <c r="A3615" s="2" t="s">
        <v>428</v>
      </c>
      <c r="B3615" s="2" t="s">
        <v>1113</v>
      </c>
      <c r="C3615" s="5" t="s">
        <v>5652</v>
      </c>
      <c r="D3615" s="2" t="s">
        <v>5653</v>
      </c>
    </row>
    <row r="3616" spans="1:4" ht="12.95" customHeight="1" x14ac:dyDescent="0.25">
      <c r="A3616" s="2" t="s">
        <v>428</v>
      </c>
      <c r="B3616" s="2" t="s">
        <v>1113</v>
      </c>
      <c r="C3616" s="5" t="s">
        <v>5654</v>
      </c>
      <c r="D3616" s="2" t="s">
        <v>3395</v>
      </c>
    </row>
    <row r="3617" spans="1:4" ht="12.95" customHeight="1" x14ac:dyDescent="0.25">
      <c r="A3617" s="2" t="s">
        <v>428</v>
      </c>
      <c r="B3617" s="2" t="s">
        <v>1113</v>
      </c>
      <c r="C3617" s="5" t="s">
        <v>5655</v>
      </c>
      <c r="D3617" s="2" t="s">
        <v>3397</v>
      </c>
    </row>
    <row r="3618" spans="1:4" ht="12.95" customHeight="1" x14ac:dyDescent="0.25">
      <c r="A3618" s="2" t="s">
        <v>428</v>
      </c>
      <c r="B3618" s="2" t="s">
        <v>1113</v>
      </c>
      <c r="C3618" s="5" t="s">
        <v>5656</v>
      </c>
      <c r="D3618" s="2" t="s">
        <v>5657</v>
      </c>
    </row>
    <row r="3619" spans="1:4" ht="12.95" customHeight="1" x14ac:dyDescent="0.25">
      <c r="A3619" s="2" t="s">
        <v>428</v>
      </c>
      <c r="B3619" s="2" t="s">
        <v>1113</v>
      </c>
      <c r="C3619" s="5" t="s">
        <v>5658</v>
      </c>
      <c r="D3619" s="2" t="s">
        <v>5659</v>
      </c>
    </row>
    <row r="3620" spans="1:4" ht="12.95" customHeight="1" x14ac:dyDescent="0.25">
      <c r="A3620" s="2" t="s">
        <v>428</v>
      </c>
      <c r="B3620" s="2" t="s">
        <v>1113</v>
      </c>
      <c r="C3620" s="5" t="s">
        <v>5660</v>
      </c>
      <c r="D3620" s="2" t="s">
        <v>5661</v>
      </c>
    </row>
    <row r="3621" spans="1:4" ht="12.95" customHeight="1" x14ac:dyDescent="0.25">
      <c r="A3621" s="2" t="s">
        <v>428</v>
      </c>
      <c r="B3621" s="2" t="s">
        <v>1113</v>
      </c>
      <c r="C3621" s="5" t="s">
        <v>5662</v>
      </c>
      <c r="D3621" s="2" t="s">
        <v>5663</v>
      </c>
    </row>
    <row r="3622" spans="1:4" ht="12.95" customHeight="1" x14ac:dyDescent="0.25">
      <c r="A3622" s="2" t="s">
        <v>428</v>
      </c>
      <c r="B3622" s="2" t="s">
        <v>1113</v>
      </c>
      <c r="C3622" s="5" t="s">
        <v>5664</v>
      </c>
      <c r="D3622" s="2" t="s">
        <v>5665</v>
      </c>
    </row>
    <row r="3623" spans="1:4" ht="12.95" customHeight="1" x14ac:dyDescent="0.25">
      <c r="A3623" s="2" t="s">
        <v>428</v>
      </c>
      <c r="B3623" s="2" t="s">
        <v>1113</v>
      </c>
      <c r="C3623" s="5" t="s">
        <v>5666</v>
      </c>
      <c r="D3623" s="2" t="s">
        <v>5667</v>
      </c>
    </row>
    <row r="3624" spans="1:4" ht="12.95" customHeight="1" x14ac:dyDescent="0.25">
      <c r="A3624" s="2" t="s">
        <v>428</v>
      </c>
      <c r="B3624" s="2" t="s">
        <v>1113</v>
      </c>
      <c r="C3624" s="5" t="s">
        <v>5668</v>
      </c>
      <c r="D3624" s="2" t="s">
        <v>5669</v>
      </c>
    </row>
    <row r="3625" spans="1:4" ht="12.95" customHeight="1" x14ac:dyDescent="0.25">
      <c r="A3625" s="2" t="s">
        <v>428</v>
      </c>
      <c r="B3625" s="2" t="s">
        <v>1113</v>
      </c>
      <c r="C3625" s="5" t="s">
        <v>5670</v>
      </c>
      <c r="D3625" s="2" t="s">
        <v>5671</v>
      </c>
    </row>
    <row r="3626" spans="1:4" ht="12.95" customHeight="1" x14ac:dyDescent="0.25">
      <c r="A3626" s="2" t="s">
        <v>428</v>
      </c>
      <c r="B3626" s="2" t="s">
        <v>1113</v>
      </c>
      <c r="C3626" s="5" t="s">
        <v>5672</v>
      </c>
      <c r="D3626" s="2" t="s">
        <v>5673</v>
      </c>
    </row>
    <row r="3627" spans="1:4" ht="12.95" customHeight="1" x14ac:dyDescent="0.25">
      <c r="A3627" s="2" t="s">
        <v>428</v>
      </c>
      <c r="B3627" s="2" t="s">
        <v>1113</v>
      </c>
      <c r="C3627" s="5" t="s">
        <v>5674</v>
      </c>
      <c r="D3627" s="2" t="s">
        <v>5675</v>
      </c>
    </row>
    <row r="3628" spans="1:4" ht="12.95" customHeight="1" x14ac:dyDescent="0.25">
      <c r="A3628" s="2" t="s">
        <v>428</v>
      </c>
      <c r="B3628" s="2" t="s">
        <v>1113</v>
      </c>
      <c r="C3628" s="5" t="s">
        <v>5676</v>
      </c>
      <c r="D3628" s="2" t="s">
        <v>5677</v>
      </c>
    </row>
    <row r="3629" spans="1:4" ht="12.95" customHeight="1" x14ac:dyDescent="0.25">
      <c r="A3629" s="2" t="s">
        <v>428</v>
      </c>
      <c r="B3629" s="2" t="s">
        <v>1113</v>
      </c>
      <c r="C3629" s="5" t="s">
        <v>5678</v>
      </c>
      <c r="D3629" s="2" t="s">
        <v>5679</v>
      </c>
    </row>
    <row r="3630" spans="1:4" ht="12.95" customHeight="1" x14ac:dyDescent="0.25">
      <c r="A3630" s="2" t="s">
        <v>428</v>
      </c>
      <c r="B3630" s="2" t="s">
        <v>1113</v>
      </c>
      <c r="C3630" s="5" t="s">
        <v>5680</v>
      </c>
      <c r="D3630" s="2" t="s">
        <v>5681</v>
      </c>
    </row>
    <row r="3631" spans="1:4" ht="12.95" customHeight="1" x14ac:dyDescent="0.25">
      <c r="A3631" s="2" t="s">
        <v>428</v>
      </c>
      <c r="B3631" s="2" t="s">
        <v>1113</v>
      </c>
      <c r="C3631" s="5" t="s">
        <v>5682</v>
      </c>
      <c r="D3631" s="2" t="s">
        <v>5683</v>
      </c>
    </row>
    <row r="3632" spans="1:4" ht="12.95" customHeight="1" x14ac:dyDescent="0.25">
      <c r="A3632" s="2" t="s">
        <v>428</v>
      </c>
      <c r="B3632" s="2" t="s">
        <v>1113</v>
      </c>
      <c r="C3632" s="5" t="s">
        <v>5684</v>
      </c>
      <c r="D3632" s="2" t="s">
        <v>5685</v>
      </c>
    </row>
    <row r="3633" spans="1:4" ht="12.95" customHeight="1" x14ac:dyDescent="0.25">
      <c r="A3633" s="2" t="s">
        <v>428</v>
      </c>
      <c r="B3633" s="2" t="s">
        <v>1113</v>
      </c>
      <c r="C3633" s="5" t="s">
        <v>5686</v>
      </c>
      <c r="D3633" s="2" t="s">
        <v>5687</v>
      </c>
    </row>
    <row r="3634" spans="1:4" ht="12.95" customHeight="1" x14ac:dyDescent="0.25">
      <c r="A3634" s="2" t="s">
        <v>428</v>
      </c>
      <c r="B3634" s="2" t="s">
        <v>1113</v>
      </c>
      <c r="C3634" s="5" t="s">
        <v>5688</v>
      </c>
      <c r="D3634" s="2" t="s">
        <v>5689</v>
      </c>
    </row>
    <row r="3635" spans="1:4" ht="12.95" customHeight="1" x14ac:dyDescent="0.25">
      <c r="A3635" s="2" t="s">
        <v>428</v>
      </c>
      <c r="B3635" s="2" t="s">
        <v>1113</v>
      </c>
      <c r="C3635" s="5" t="s">
        <v>5690</v>
      </c>
      <c r="D3635" s="2" t="s">
        <v>5691</v>
      </c>
    </row>
    <row r="3636" spans="1:4" ht="12.95" customHeight="1" x14ac:dyDescent="0.25">
      <c r="A3636" s="2" t="s">
        <v>428</v>
      </c>
      <c r="B3636" s="2" t="s">
        <v>1113</v>
      </c>
      <c r="C3636" s="5" t="s">
        <v>5692</v>
      </c>
      <c r="D3636" s="2" t="s">
        <v>5693</v>
      </c>
    </row>
    <row r="3637" spans="1:4" ht="12.95" customHeight="1" x14ac:dyDescent="0.25">
      <c r="A3637" s="2" t="s">
        <v>428</v>
      </c>
      <c r="B3637" s="2" t="s">
        <v>1113</v>
      </c>
      <c r="C3637" s="5" t="s">
        <v>5694</v>
      </c>
      <c r="D3637" s="2" t="s">
        <v>5695</v>
      </c>
    </row>
    <row r="3638" spans="1:4" ht="12.95" customHeight="1" x14ac:dyDescent="0.25">
      <c r="A3638" s="2" t="s">
        <v>428</v>
      </c>
      <c r="B3638" s="2" t="s">
        <v>1113</v>
      </c>
      <c r="C3638" s="5" t="s">
        <v>5696</v>
      </c>
      <c r="D3638" s="2" t="s">
        <v>5697</v>
      </c>
    </row>
    <row r="3639" spans="1:4" ht="12.95" customHeight="1" x14ac:dyDescent="0.25">
      <c r="A3639" s="2" t="s">
        <v>428</v>
      </c>
      <c r="B3639" s="2" t="s">
        <v>1113</v>
      </c>
      <c r="C3639" s="5" t="s">
        <v>5698</v>
      </c>
      <c r="D3639" s="2" t="s">
        <v>5699</v>
      </c>
    </row>
    <row r="3640" spans="1:4" ht="12.95" customHeight="1" x14ac:dyDescent="0.25">
      <c r="A3640" s="2" t="s">
        <v>428</v>
      </c>
      <c r="B3640" s="2" t="s">
        <v>1113</v>
      </c>
      <c r="C3640" s="5" t="s">
        <v>5700</v>
      </c>
      <c r="D3640" s="2" t="s">
        <v>5701</v>
      </c>
    </row>
    <row r="3641" spans="1:4" ht="12.95" customHeight="1" x14ac:dyDescent="0.25">
      <c r="A3641" s="2" t="s">
        <v>428</v>
      </c>
      <c r="B3641" s="2" t="s">
        <v>1113</v>
      </c>
      <c r="C3641" s="5" t="s">
        <v>5702</v>
      </c>
      <c r="D3641" s="2" t="s">
        <v>5703</v>
      </c>
    </row>
    <row r="3642" spans="1:4" ht="12.95" customHeight="1" x14ac:dyDescent="0.25">
      <c r="A3642" s="2" t="s">
        <v>428</v>
      </c>
      <c r="B3642" s="2" t="s">
        <v>1113</v>
      </c>
      <c r="C3642" s="5" t="s">
        <v>5704</v>
      </c>
      <c r="D3642" s="2" t="s">
        <v>5705</v>
      </c>
    </row>
    <row r="3643" spans="1:4" ht="12.95" customHeight="1" x14ac:dyDescent="0.25">
      <c r="A3643" s="2" t="s">
        <v>428</v>
      </c>
      <c r="B3643" s="2" t="s">
        <v>1113</v>
      </c>
      <c r="C3643" s="5" t="s">
        <v>5706</v>
      </c>
      <c r="D3643" s="2" t="s">
        <v>5707</v>
      </c>
    </row>
    <row r="3644" spans="1:4" ht="12.95" customHeight="1" x14ac:dyDescent="0.25">
      <c r="A3644" s="2" t="s">
        <v>428</v>
      </c>
      <c r="B3644" s="2" t="s">
        <v>1113</v>
      </c>
      <c r="C3644" s="5" t="s">
        <v>5708</v>
      </c>
      <c r="D3644" s="2" t="s">
        <v>5709</v>
      </c>
    </row>
    <row r="3645" spans="1:4" ht="12.95" customHeight="1" x14ac:dyDescent="0.25">
      <c r="A3645" s="2" t="s">
        <v>428</v>
      </c>
      <c r="B3645" s="2" t="s">
        <v>1113</v>
      </c>
      <c r="C3645" s="5" t="s">
        <v>5710</v>
      </c>
      <c r="D3645" s="2" t="s">
        <v>5711</v>
      </c>
    </row>
    <row r="3646" spans="1:4" ht="12.95" customHeight="1" x14ac:dyDescent="0.25">
      <c r="A3646" s="2" t="s">
        <v>428</v>
      </c>
      <c r="B3646" s="2" t="s">
        <v>1113</v>
      </c>
      <c r="C3646" s="5" t="s">
        <v>5712</v>
      </c>
      <c r="D3646" s="2" t="s">
        <v>5713</v>
      </c>
    </row>
    <row r="3647" spans="1:4" ht="12.95" customHeight="1" x14ac:dyDescent="0.25">
      <c r="A3647" s="2" t="s">
        <v>428</v>
      </c>
      <c r="B3647" s="2" t="s">
        <v>1113</v>
      </c>
      <c r="C3647" s="5" t="s">
        <v>5714</v>
      </c>
      <c r="D3647" s="2" t="s">
        <v>5715</v>
      </c>
    </row>
    <row r="3648" spans="1:4" ht="12.95" customHeight="1" x14ac:dyDescent="0.25">
      <c r="A3648" s="2" t="s">
        <v>428</v>
      </c>
      <c r="B3648" s="2" t="s">
        <v>1113</v>
      </c>
      <c r="C3648" s="5" t="s">
        <v>5716</v>
      </c>
      <c r="D3648" s="2" t="s">
        <v>5218</v>
      </c>
    </row>
    <row r="3649" spans="1:4" ht="12.95" customHeight="1" x14ac:dyDescent="0.25">
      <c r="A3649" s="2" t="s">
        <v>428</v>
      </c>
      <c r="B3649" s="2" t="s">
        <v>1113</v>
      </c>
      <c r="C3649" s="5" t="s">
        <v>5717</v>
      </c>
      <c r="D3649" s="2" t="s">
        <v>5000</v>
      </c>
    </row>
    <row r="3650" spans="1:4" ht="12.95" customHeight="1" x14ac:dyDescent="0.25">
      <c r="A3650" s="2" t="s">
        <v>428</v>
      </c>
      <c r="B3650" s="2" t="s">
        <v>1113</v>
      </c>
      <c r="C3650" s="5" t="s">
        <v>5718</v>
      </c>
      <c r="D3650" s="2" t="s">
        <v>4562</v>
      </c>
    </row>
    <row r="3651" spans="1:4" ht="12.95" customHeight="1" x14ac:dyDescent="0.25">
      <c r="A3651" s="2" t="s">
        <v>428</v>
      </c>
      <c r="B3651" s="2" t="s">
        <v>1113</v>
      </c>
      <c r="C3651" s="5" t="s">
        <v>5719</v>
      </c>
      <c r="D3651" s="2" t="s">
        <v>5222</v>
      </c>
    </row>
    <row r="3652" spans="1:4" ht="12.95" customHeight="1" x14ac:dyDescent="0.25">
      <c r="A3652" s="2" t="s">
        <v>428</v>
      </c>
      <c r="B3652" s="2" t="s">
        <v>1113</v>
      </c>
      <c r="C3652" s="5" t="s">
        <v>5720</v>
      </c>
      <c r="D3652" s="2" t="s">
        <v>4564</v>
      </c>
    </row>
    <row r="3653" spans="1:4" ht="12.95" customHeight="1" x14ac:dyDescent="0.25">
      <c r="A3653" s="2" t="s">
        <v>428</v>
      </c>
      <c r="B3653" s="2" t="s">
        <v>1113</v>
      </c>
      <c r="C3653" s="5" t="s">
        <v>5721</v>
      </c>
      <c r="D3653" s="2" t="s">
        <v>5225</v>
      </c>
    </row>
    <row r="3654" spans="1:4" ht="12.95" customHeight="1" x14ac:dyDescent="0.25">
      <c r="A3654" s="2" t="s">
        <v>428</v>
      </c>
      <c r="B3654" s="2" t="s">
        <v>1113</v>
      </c>
      <c r="C3654" s="5" t="s">
        <v>5722</v>
      </c>
      <c r="D3654" s="2" t="s">
        <v>5002</v>
      </c>
    </row>
    <row r="3655" spans="1:4" ht="12.95" customHeight="1" x14ac:dyDescent="0.25">
      <c r="A3655" s="2" t="s">
        <v>428</v>
      </c>
      <c r="B3655" s="2" t="s">
        <v>1113</v>
      </c>
      <c r="C3655" s="5" t="s">
        <v>5723</v>
      </c>
      <c r="D3655" s="2" t="s">
        <v>5218</v>
      </c>
    </row>
    <row r="3656" spans="1:4" ht="12.95" customHeight="1" x14ac:dyDescent="0.25">
      <c r="A3656" s="2" t="s">
        <v>428</v>
      </c>
      <c r="B3656" s="2" t="s">
        <v>1113</v>
      </c>
      <c r="C3656" s="5" t="s">
        <v>5724</v>
      </c>
      <c r="D3656" s="2" t="s">
        <v>5000</v>
      </c>
    </row>
    <row r="3657" spans="1:4" ht="12.95" customHeight="1" x14ac:dyDescent="0.25">
      <c r="A3657" s="2" t="s">
        <v>428</v>
      </c>
      <c r="B3657" s="2" t="s">
        <v>1113</v>
      </c>
      <c r="C3657" s="5" t="s">
        <v>5725</v>
      </c>
      <c r="D3657" s="2" t="s">
        <v>4562</v>
      </c>
    </row>
    <row r="3658" spans="1:4" ht="12.95" customHeight="1" x14ac:dyDescent="0.25">
      <c r="A3658" s="2" t="s">
        <v>428</v>
      </c>
      <c r="B3658" s="2" t="s">
        <v>1113</v>
      </c>
      <c r="C3658" s="5" t="s">
        <v>5726</v>
      </c>
      <c r="D3658" s="2" t="s">
        <v>5222</v>
      </c>
    </row>
    <row r="3659" spans="1:4" ht="12.95" customHeight="1" x14ac:dyDescent="0.25">
      <c r="A3659" s="2" t="s">
        <v>428</v>
      </c>
      <c r="B3659" s="2" t="s">
        <v>1113</v>
      </c>
      <c r="C3659" s="5" t="s">
        <v>5727</v>
      </c>
      <c r="D3659" s="2" t="s">
        <v>4564</v>
      </c>
    </row>
    <row r="3660" spans="1:4" ht="12.95" customHeight="1" x14ac:dyDescent="0.25">
      <c r="A3660" s="2" t="s">
        <v>428</v>
      </c>
      <c r="B3660" s="2" t="s">
        <v>1113</v>
      </c>
      <c r="C3660" s="5" t="s">
        <v>5728</v>
      </c>
      <c r="D3660" s="2" t="s">
        <v>5225</v>
      </c>
    </row>
    <row r="3661" spans="1:4" ht="12.95" customHeight="1" x14ac:dyDescent="0.25">
      <c r="A3661" s="2" t="s">
        <v>428</v>
      </c>
      <c r="B3661" s="2" t="s">
        <v>1113</v>
      </c>
      <c r="C3661" s="5" t="s">
        <v>5729</v>
      </c>
      <c r="D3661" s="2" t="s">
        <v>4568</v>
      </c>
    </row>
    <row r="3662" spans="1:4" ht="12.95" customHeight="1" x14ac:dyDescent="0.25">
      <c r="A3662" s="2" t="s">
        <v>428</v>
      </c>
      <c r="B3662" s="2" t="s">
        <v>1113</v>
      </c>
      <c r="C3662" s="5" t="s">
        <v>5730</v>
      </c>
      <c r="D3662" s="2" t="s">
        <v>5218</v>
      </c>
    </row>
    <row r="3663" spans="1:4" ht="12.95" customHeight="1" x14ac:dyDescent="0.25">
      <c r="A3663" s="2" t="s">
        <v>428</v>
      </c>
      <c r="B3663" s="2" t="s">
        <v>1113</v>
      </c>
      <c r="C3663" s="5" t="s">
        <v>5731</v>
      </c>
      <c r="D3663" s="2" t="s">
        <v>5000</v>
      </c>
    </row>
    <row r="3664" spans="1:4" ht="12.95" customHeight="1" x14ac:dyDescent="0.25">
      <c r="A3664" s="2" t="s">
        <v>428</v>
      </c>
      <c r="B3664" s="2" t="s">
        <v>1113</v>
      </c>
      <c r="C3664" s="5" t="s">
        <v>5732</v>
      </c>
      <c r="D3664" s="2" t="s">
        <v>4562</v>
      </c>
    </row>
    <row r="3665" spans="1:4" ht="12.95" customHeight="1" x14ac:dyDescent="0.25">
      <c r="A3665" s="2" t="s">
        <v>428</v>
      </c>
      <c r="B3665" s="2" t="s">
        <v>1113</v>
      </c>
      <c r="C3665" s="5" t="s">
        <v>5733</v>
      </c>
      <c r="D3665" s="2" t="s">
        <v>5222</v>
      </c>
    </row>
    <row r="3666" spans="1:4" ht="12.95" customHeight="1" x14ac:dyDescent="0.25">
      <c r="A3666" s="2" t="s">
        <v>428</v>
      </c>
      <c r="B3666" s="2" t="s">
        <v>1113</v>
      </c>
      <c r="C3666" s="5" t="s">
        <v>5734</v>
      </c>
      <c r="D3666" s="2" t="s">
        <v>4564</v>
      </c>
    </row>
    <row r="3667" spans="1:4" ht="12.95" customHeight="1" x14ac:dyDescent="0.25">
      <c r="A3667" s="2" t="s">
        <v>428</v>
      </c>
      <c r="B3667" s="2" t="s">
        <v>1113</v>
      </c>
      <c r="C3667" s="5" t="s">
        <v>5735</v>
      </c>
      <c r="D3667" s="2" t="s">
        <v>5225</v>
      </c>
    </row>
    <row r="3668" spans="1:4" ht="12.95" customHeight="1" x14ac:dyDescent="0.25">
      <c r="A3668" s="2" t="s">
        <v>428</v>
      </c>
      <c r="B3668" s="2" t="s">
        <v>1113</v>
      </c>
      <c r="C3668" s="5" t="s">
        <v>5736</v>
      </c>
      <c r="D3668" s="2" t="s">
        <v>4568</v>
      </c>
    </row>
    <row r="3669" spans="1:4" ht="12.95" customHeight="1" x14ac:dyDescent="0.25">
      <c r="A3669" s="2" t="s">
        <v>428</v>
      </c>
      <c r="B3669" s="2" t="s">
        <v>1113</v>
      </c>
      <c r="C3669" s="5" t="s">
        <v>5737</v>
      </c>
      <c r="D3669" s="2" t="s">
        <v>5379</v>
      </c>
    </row>
    <row r="3670" spans="1:4" ht="12.95" customHeight="1" x14ac:dyDescent="0.25">
      <c r="A3670" s="2" t="s">
        <v>428</v>
      </c>
      <c r="B3670" s="2" t="s">
        <v>1113</v>
      </c>
      <c r="C3670" s="5" t="s">
        <v>5738</v>
      </c>
      <c r="D3670" s="2" t="s">
        <v>5381</v>
      </c>
    </row>
    <row r="3671" spans="1:4" ht="12.95" customHeight="1" x14ac:dyDescent="0.25">
      <c r="A3671" s="2" t="s">
        <v>428</v>
      </c>
      <c r="B3671" s="2" t="s">
        <v>1113</v>
      </c>
      <c r="C3671" s="5" t="s">
        <v>5739</v>
      </c>
      <c r="D3671" s="2" t="s">
        <v>5383</v>
      </c>
    </row>
    <row r="3672" spans="1:4" ht="12.95" customHeight="1" x14ac:dyDescent="0.25">
      <c r="A3672" s="2" t="s">
        <v>428</v>
      </c>
      <c r="B3672" s="2" t="s">
        <v>1113</v>
      </c>
      <c r="C3672" s="5" t="s">
        <v>5740</v>
      </c>
      <c r="D3672" s="2" t="s">
        <v>5385</v>
      </c>
    </row>
    <row r="3673" spans="1:4" ht="12.95" customHeight="1" x14ac:dyDescent="0.25">
      <c r="A3673" s="2" t="s">
        <v>428</v>
      </c>
      <c r="B3673" s="2" t="s">
        <v>1113</v>
      </c>
      <c r="C3673" s="5" t="s">
        <v>5741</v>
      </c>
      <c r="D3673" s="2" t="s">
        <v>5387</v>
      </c>
    </row>
    <row r="3674" spans="1:4" ht="12.95" customHeight="1" x14ac:dyDescent="0.25">
      <c r="A3674" s="2" t="s">
        <v>428</v>
      </c>
      <c r="B3674" s="2" t="s">
        <v>1113</v>
      </c>
      <c r="C3674" s="5" t="s">
        <v>5742</v>
      </c>
      <c r="D3674" s="2" t="s">
        <v>5389</v>
      </c>
    </row>
    <row r="3675" spans="1:4" ht="12.95" customHeight="1" x14ac:dyDescent="0.25">
      <c r="A3675" s="2" t="s">
        <v>428</v>
      </c>
      <c r="B3675" s="2" t="s">
        <v>1113</v>
      </c>
      <c r="C3675" s="5" t="s">
        <v>5743</v>
      </c>
      <c r="D3675" s="2" t="s">
        <v>4568</v>
      </c>
    </row>
    <row r="3676" spans="1:4" ht="12.95" customHeight="1" x14ac:dyDescent="0.25">
      <c r="A3676" s="2" t="s">
        <v>428</v>
      </c>
      <c r="B3676" s="2" t="s">
        <v>1113</v>
      </c>
      <c r="C3676" s="5" t="s">
        <v>5744</v>
      </c>
      <c r="D3676" s="2" t="s">
        <v>5393</v>
      </c>
    </row>
    <row r="3677" spans="1:4" ht="12.95" customHeight="1" x14ac:dyDescent="0.25">
      <c r="A3677" s="2" t="s">
        <v>428</v>
      </c>
      <c r="B3677" s="2" t="s">
        <v>1113</v>
      </c>
      <c r="C3677" s="5" t="s">
        <v>5745</v>
      </c>
      <c r="D3677" s="2" t="s">
        <v>4736</v>
      </c>
    </row>
    <row r="3678" spans="1:4" ht="12.95" customHeight="1" x14ac:dyDescent="0.25">
      <c r="A3678" s="2" t="s">
        <v>428</v>
      </c>
      <c r="B3678" s="2" t="s">
        <v>1113</v>
      </c>
      <c r="C3678" s="5" t="s">
        <v>5746</v>
      </c>
      <c r="D3678" s="2" t="s">
        <v>4738</v>
      </c>
    </row>
    <row r="3679" spans="1:4" ht="12.95" customHeight="1" x14ac:dyDescent="0.25">
      <c r="A3679" s="2" t="s">
        <v>428</v>
      </c>
      <c r="B3679" s="2" t="s">
        <v>1113</v>
      </c>
      <c r="C3679" s="5" t="s">
        <v>5747</v>
      </c>
      <c r="D3679" s="2" t="s">
        <v>4740</v>
      </c>
    </row>
    <row r="3680" spans="1:4" ht="12.95" customHeight="1" x14ac:dyDescent="0.25">
      <c r="A3680" s="2" t="s">
        <v>428</v>
      </c>
      <c r="B3680" s="2" t="s">
        <v>1113</v>
      </c>
      <c r="C3680" s="5" t="s">
        <v>5748</v>
      </c>
      <c r="D3680" s="2" t="s">
        <v>4568</v>
      </c>
    </row>
    <row r="3681" spans="1:4" ht="12.95" customHeight="1" x14ac:dyDescent="0.25">
      <c r="A3681" s="2" t="s">
        <v>428</v>
      </c>
      <c r="B3681" s="2" t="s">
        <v>1113</v>
      </c>
      <c r="C3681" s="5" t="s">
        <v>5749</v>
      </c>
      <c r="D3681" s="2" t="s">
        <v>5750</v>
      </c>
    </row>
    <row r="3682" spans="1:4" ht="12.95" customHeight="1" x14ac:dyDescent="0.25">
      <c r="A3682" s="2" t="s">
        <v>428</v>
      </c>
      <c r="B3682" s="2" t="s">
        <v>1113</v>
      </c>
      <c r="C3682" s="5" t="s">
        <v>5751</v>
      </c>
      <c r="D3682" s="2" t="s">
        <v>5222</v>
      </c>
    </row>
    <row r="3683" spans="1:4" ht="12.95" customHeight="1" x14ac:dyDescent="0.25">
      <c r="A3683" s="2" t="s">
        <v>428</v>
      </c>
      <c r="B3683" s="2" t="s">
        <v>1113</v>
      </c>
      <c r="C3683" s="5" t="s">
        <v>5752</v>
      </c>
      <c r="D3683" s="2" t="s">
        <v>4564</v>
      </c>
    </row>
    <row r="3684" spans="1:4" ht="12.95" customHeight="1" x14ac:dyDescent="0.25">
      <c r="A3684" s="2" t="s">
        <v>428</v>
      </c>
      <c r="B3684" s="2" t="s">
        <v>1113</v>
      </c>
      <c r="C3684" s="5" t="s">
        <v>5753</v>
      </c>
      <c r="D3684" s="2" t="s">
        <v>5225</v>
      </c>
    </row>
    <row r="3685" spans="1:4" ht="12.95" customHeight="1" x14ac:dyDescent="0.25">
      <c r="A3685" s="2" t="s">
        <v>428</v>
      </c>
      <c r="B3685" s="2" t="s">
        <v>1113</v>
      </c>
      <c r="C3685" s="5" t="s">
        <v>5754</v>
      </c>
      <c r="D3685" s="2" t="s">
        <v>4568</v>
      </c>
    </row>
    <row r="3686" spans="1:4" ht="12.95" customHeight="1" x14ac:dyDescent="0.25">
      <c r="A3686" s="2" t="s">
        <v>428</v>
      </c>
      <c r="B3686" s="2" t="s">
        <v>1113</v>
      </c>
      <c r="C3686" s="5" t="s">
        <v>5755</v>
      </c>
      <c r="D3686" s="2" t="s">
        <v>5222</v>
      </c>
    </row>
    <row r="3687" spans="1:4" ht="12.95" customHeight="1" x14ac:dyDescent="0.25">
      <c r="A3687" s="2" t="s">
        <v>428</v>
      </c>
      <c r="B3687" s="2" t="s">
        <v>1113</v>
      </c>
      <c r="C3687" s="5" t="s">
        <v>5756</v>
      </c>
      <c r="D3687" s="2" t="s">
        <v>4564</v>
      </c>
    </row>
    <row r="3688" spans="1:4" ht="12.95" customHeight="1" x14ac:dyDescent="0.25">
      <c r="A3688" s="2" t="s">
        <v>428</v>
      </c>
      <c r="B3688" s="2" t="s">
        <v>1113</v>
      </c>
      <c r="C3688" s="5" t="s">
        <v>5757</v>
      </c>
      <c r="D3688" s="2" t="s">
        <v>5225</v>
      </c>
    </row>
    <row r="3689" spans="1:4" ht="12.95" customHeight="1" x14ac:dyDescent="0.25">
      <c r="A3689" s="2" t="s">
        <v>428</v>
      </c>
      <c r="B3689" s="2" t="s">
        <v>1113</v>
      </c>
      <c r="C3689" s="5" t="s">
        <v>5758</v>
      </c>
      <c r="D3689" s="2" t="s">
        <v>5002</v>
      </c>
    </row>
    <row r="3690" spans="1:4" ht="12.95" customHeight="1" x14ac:dyDescent="0.25">
      <c r="A3690" s="2" t="s">
        <v>428</v>
      </c>
      <c r="B3690" s="2" t="s">
        <v>1113</v>
      </c>
      <c r="C3690" s="5" t="s">
        <v>5759</v>
      </c>
      <c r="D3690" s="2" t="s">
        <v>5379</v>
      </c>
    </row>
    <row r="3691" spans="1:4" ht="12.95" customHeight="1" x14ac:dyDescent="0.25">
      <c r="A3691" s="2" t="s">
        <v>428</v>
      </c>
      <c r="B3691" s="2" t="s">
        <v>1113</v>
      </c>
      <c r="C3691" s="5" t="s">
        <v>5760</v>
      </c>
      <c r="D3691" s="2" t="s">
        <v>5381</v>
      </c>
    </row>
    <row r="3692" spans="1:4" ht="12.95" customHeight="1" x14ac:dyDescent="0.25">
      <c r="A3692" s="2" t="s">
        <v>428</v>
      </c>
      <c r="B3692" s="2" t="s">
        <v>1113</v>
      </c>
      <c r="C3692" s="5" t="s">
        <v>5761</v>
      </c>
      <c r="D3692" s="2" t="s">
        <v>5383</v>
      </c>
    </row>
    <row r="3693" spans="1:4" ht="12.95" customHeight="1" x14ac:dyDescent="0.25">
      <c r="A3693" s="2" t="s">
        <v>428</v>
      </c>
      <c r="B3693" s="2" t="s">
        <v>1113</v>
      </c>
      <c r="C3693" s="5" t="s">
        <v>5762</v>
      </c>
      <c r="D3693" s="2" t="s">
        <v>5385</v>
      </c>
    </row>
    <row r="3694" spans="1:4" ht="12.95" customHeight="1" x14ac:dyDescent="0.25">
      <c r="A3694" s="2" t="s">
        <v>428</v>
      </c>
      <c r="B3694" s="2" t="s">
        <v>1113</v>
      </c>
      <c r="C3694" s="5" t="s">
        <v>5763</v>
      </c>
      <c r="D3694" s="2" t="s">
        <v>5387</v>
      </c>
    </row>
    <row r="3695" spans="1:4" ht="12.95" customHeight="1" x14ac:dyDescent="0.25">
      <c r="A3695" s="2" t="s">
        <v>428</v>
      </c>
      <c r="B3695" s="2" t="s">
        <v>1113</v>
      </c>
      <c r="C3695" s="5" t="s">
        <v>5764</v>
      </c>
      <c r="D3695" s="2" t="s">
        <v>5389</v>
      </c>
    </row>
    <row r="3696" spans="1:4" ht="12.95" customHeight="1" x14ac:dyDescent="0.25">
      <c r="A3696" s="2" t="s">
        <v>428</v>
      </c>
      <c r="B3696" s="2" t="s">
        <v>1113</v>
      </c>
      <c r="C3696" s="5" t="s">
        <v>5765</v>
      </c>
      <c r="D3696" s="2" t="s">
        <v>4568</v>
      </c>
    </row>
    <row r="3697" spans="1:4" ht="12.95" customHeight="1" x14ac:dyDescent="0.25">
      <c r="A3697" s="2" t="s">
        <v>428</v>
      </c>
      <c r="B3697" s="2" t="s">
        <v>1113</v>
      </c>
      <c r="C3697" s="5" t="s">
        <v>5766</v>
      </c>
      <c r="D3697" s="2" t="s">
        <v>5393</v>
      </c>
    </row>
    <row r="3698" spans="1:4" ht="12.95" customHeight="1" x14ac:dyDescent="0.25">
      <c r="A3698" s="2" t="s">
        <v>428</v>
      </c>
      <c r="B3698" s="2" t="s">
        <v>1113</v>
      </c>
      <c r="C3698" s="5" t="s">
        <v>5767</v>
      </c>
      <c r="D3698" s="2" t="s">
        <v>4736</v>
      </c>
    </row>
    <row r="3699" spans="1:4" ht="12.95" customHeight="1" x14ac:dyDescent="0.25">
      <c r="A3699" s="2" t="s">
        <v>428</v>
      </c>
      <c r="B3699" s="2" t="s">
        <v>1113</v>
      </c>
      <c r="C3699" s="5" t="s">
        <v>5768</v>
      </c>
      <c r="D3699" s="2" t="s">
        <v>4738</v>
      </c>
    </row>
    <row r="3700" spans="1:4" ht="12.95" customHeight="1" x14ac:dyDescent="0.25">
      <c r="A3700" s="2" t="s">
        <v>428</v>
      </c>
      <c r="B3700" s="2" t="s">
        <v>1113</v>
      </c>
      <c r="C3700" s="5" t="s">
        <v>5769</v>
      </c>
      <c r="D3700" s="2" t="s">
        <v>4740</v>
      </c>
    </row>
    <row r="3701" spans="1:4" ht="12.95" customHeight="1" x14ac:dyDescent="0.25">
      <c r="A3701" s="2" t="s">
        <v>428</v>
      </c>
      <c r="B3701" s="2" t="s">
        <v>1113</v>
      </c>
      <c r="C3701" s="5" t="s">
        <v>5770</v>
      </c>
      <c r="D3701" s="2" t="s">
        <v>4568</v>
      </c>
    </row>
    <row r="3702" spans="1:4" ht="12.95" customHeight="1" x14ac:dyDescent="0.25">
      <c r="A3702" s="2" t="s">
        <v>428</v>
      </c>
      <c r="B3702" s="2" t="s">
        <v>1113</v>
      </c>
      <c r="C3702" s="5" t="s">
        <v>5771</v>
      </c>
      <c r="D3702" s="2" t="s">
        <v>5290</v>
      </c>
    </row>
    <row r="3703" spans="1:4" ht="12.95" customHeight="1" x14ac:dyDescent="0.25">
      <c r="A3703" s="2" t="s">
        <v>428</v>
      </c>
      <c r="B3703" s="2" t="s">
        <v>1113</v>
      </c>
      <c r="C3703" s="5" t="s">
        <v>5772</v>
      </c>
      <c r="D3703" s="2" t="s">
        <v>5225</v>
      </c>
    </row>
    <row r="3704" spans="1:4" ht="12.95" customHeight="1" x14ac:dyDescent="0.25">
      <c r="A3704" s="2" t="s">
        <v>428</v>
      </c>
      <c r="B3704" s="2" t="s">
        <v>1113</v>
      </c>
      <c r="C3704" s="5" t="s">
        <v>5773</v>
      </c>
      <c r="D3704" s="2" t="s">
        <v>4568</v>
      </c>
    </row>
    <row r="3705" spans="1:4" ht="12.95" customHeight="1" x14ac:dyDescent="0.25">
      <c r="A3705" s="2" t="s">
        <v>428</v>
      </c>
      <c r="B3705" s="2" t="s">
        <v>1113</v>
      </c>
      <c r="C3705" s="5" t="s">
        <v>5774</v>
      </c>
      <c r="D3705" s="2" t="s">
        <v>5290</v>
      </c>
    </row>
    <row r="3706" spans="1:4" ht="12.95" customHeight="1" x14ac:dyDescent="0.25">
      <c r="A3706" s="2" t="s">
        <v>428</v>
      </c>
      <c r="B3706" s="2" t="s">
        <v>1113</v>
      </c>
      <c r="C3706" s="5" t="s">
        <v>5775</v>
      </c>
      <c r="D3706" s="2" t="s">
        <v>3626</v>
      </c>
    </row>
    <row r="3707" spans="1:4" ht="12.95" customHeight="1" x14ac:dyDescent="0.25">
      <c r="A3707" s="2" t="s">
        <v>428</v>
      </c>
      <c r="B3707" s="2" t="s">
        <v>1113</v>
      </c>
      <c r="C3707" s="5" t="s">
        <v>5776</v>
      </c>
      <c r="D3707" s="2" t="s">
        <v>3632</v>
      </c>
    </row>
    <row r="3708" spans="1:4" ht="12.95" customHeight="1" x14ac:dyDescent="0.25">
      <c r="A3708" s="2" t="s">
        <v>428</v>
      </c>
      <c r="B3708" s="2" t="s">
        <v>1113</v>
      </c>
      <c r="C3708" s="5" t="s">
        <v>5777</v>
      </c>
      <c r="D3708" s="2" t="s">
        <v>3634</v>
      </c>
    </row>
    <row r="3709" spans="1:4" ht="12.95" customHeight="1" x14ac:dyDescent="0.25">
      <c r="A3709" s="2" t="s">
        <v>428</v>
      </c>
      <c r="B3709" s="2" t="s">
        <v>1113</v>
      </c>
      <c r="C3709" s="5" t="s">
        <v>5778</v>
      </c>
      <c r="D3709" s="2" t="s">
        <v>3636</v>
      </c>
    </row>
    <row r="3710" spans="1:4" ht="12.95" customHeight="1" x14ac:dyDescent="0.25">
      <c r="A3710" s="2" t="s">
        <v>428</v>
      </c>
      <c r="B3710" s="2" t="s">
        <v>1113</v>
      </c>
      <c r="C3710" s="5" t="s">
        <v>5779</v>
      </c>
      <c r="D3710" s="2" t="s">
        <v>3827</v>
      </c>
    </row>
    <row r="3711" spans="1:4" ht="12.95" customHeight="1" x14ac:dyDescent="0.25">
      <c r="A3711" s="2" t="s">
        <v>428</v>
      </c>
      <c r="B3711" s="2" t="s">
        <v>1113</v>
      </c>
      <c r="C3711" s="5" t="s">
        <v>5780</v>
      </c>
      <c r="D3711" s="2" t="s">
        <v>3640</v>
      </c>
    </row>
    <row r="3712" spans="1:4" ht="12.95" customHeight="1" x14ac:dyDescent="0.25">
      <c r="A3712" s="2" t="s">
        <v>428</v>
      </c>
      <c r="B3712" s="2" t="s">
        <v>1113</v>
      </c>
      <c r="C3712" s="5" t="s">
        <v>5781</v>
      </c>
      <c r="D3712" s="2" t="s">
        <v>3455</v>
      </c>
    </row>
    <row r="3713" spans="1:4" ht="12.95" customHeight="1" x14ac:dyDescent="0.25">
      <c r="A3713" s="2" t="s">
        <v>428</v>
      </c>
      <c r="B3713" s="2" t="s">
        <v>1113</v>
      </c>
      <c r="C3713" s="5" t="s">
        <v>5782</v>
      </c>
      <c r="D3713" s="2" t="s">
        <v>3643</v>
      </c>
    </row>
    <row r="3714" spans="1:4" ht="12.95" customHeight="1" x14ac:dyDescent="0.25">
      <c r="A3714" s="2" t="s">
        <v>428</v>
      </c>
      <c r="B3714" s="2" t="s">
        <v>1113</v>
      </c>
      <c r="C3714" s="5" t="s">
        <v>5783</v>
      </c>
      <c r="D3714" s="2" t="s">
        <v>4786</v>
      </c>
    </row>
    <row r="3715" spans="1:4" ht="12.95" customHeight="1" x14ac:dyDescent="0.25">
      <c r="A3715" s="2" t="s">
        <v>428</v>
      </c>
      <c r="B3715" s="2" t="s">
        <v>1113</v>
      </c>
      <c r="C3715" s="5" t="s">
        <v>5784</v>
      </c>
      <c r="D3715" s="2" t="s">
        <v>3457</v>
      </c>
    </row>
    <row r="3716" spans="1:4" ht="12.95" customHeight="1" x14ac:dyDescent="0.25">
      <c r="A3716" s="2" t="s">
        <v>428</v>
      </c>
      <c r="B3716" s="2" t="s">
        <v>1113</v>
      </c>
      <c r="C3716" s="5" t="s">
        <v>5785</v>
      </c>
      <c r="D3716" s="2" t="s">
        <v>3459</v>
      </c>
    </row>
    <row r="3717" spans="1:4" ht="12.95" customHeight="1" x14ac:dyDescent="0.25">
      <c r="A3717" s="2" t="s">
        <v>428</v>
      </c>
      <c r="B3717" s="2" t="s">
        <v>1113</v>
      </c>
      <c r="C3717" s="5" t="s">
        <v>5786</v>
      </c>
      <c r="D3717" s="2" t="s">
        <v>3646</v>
      </c>
    </row>
    <row r="3718" spans="1:4" ht="12.95" customHeight="1" x14ac:dyDescent="0.25">
      <c r="A3718" s="2" t="s">
        <v>428</v>
      </c>
      <c r="B3718" s="2" t="s">
        <v>1113</v>
      </c>
      <c r="C3718" s="5" t="s">
        <v>5787</v>
      </c>
      <c r="D3718" s="2" t="s">
        <v>3463</v>
      </c>
    </row>
    <row r="3719" spans="1:4" ht="12.95" customHeight="1" x14ac:dyDescent="0.25">
      <c r="A3719" s="2" t="s">
        <v>428</v>
      </c>
      <c r="B3719" s="2" t="s">
        <v>1113</v>
      </c>
      <c r="C3719" s="5" t="s">
        <v>5788</v>
      </c>
      <c r="D3719" s="2" t="s">
        <v>5789</v>
      </c>
    </row>
    <row r="3720" spans="1:4" ht="12.95" customHeight="1" x14ac:dyDescent="0.25">
      <c r="A3720" s="2" t="s">
        <v>428</v>
      </c>
      <c r="B3720" s="2" t="s">
        <v>1113</v>
      </c>
      <c r="C3720" s="5" t="s">
        <v>5790</v>
      </c>
      <c r="D3720" s="2" t="s">
        <v>3626</v>
      </c>
    </row>
    <row r="3721" spans="1:4" ht="12.95" customHeight="1" x14ac:dyDescent="0.25">
      <c r="A3721" s="2" t="s">
        <v>428</v>
      </c>
      <c r="B3721" s="2" t="s">
        <v>1113</v>
      </c>
      <c r="C3721" s="5" t="s">
        <v>5791</v>
      </c>
      <c r="D3721" s="2" t="s">
        <v>3632</v>
      </c>
    </row>
    <row r="3722" spans="1:4" ht="12.95" customHeight="1" x14ac:dyDescent="0.25">
      <c r="A3722" s="2" t="s">
        <v>428</v>
      </c>
      <c r="B3722" s="2" t="s">
        <v>1113</v>
      </c>
      <c r="C3722" s="5" t="s">
        <v>5792</v>
      </c>
      <c r="D3722" s="2" t="s">
        <v>3634</v>
      </c>
    </row>
    <row r="3723" spans="1:4" ht="12.95" customHeight="1" x14ac:dyDescent="0.25">
      <c r="A3723" s="2" t="s">
        <v>428</v>
      </c>
      <c r="B3723" s="2" t="s">
        <v>1113</v>
      </c>
      <c r="C3723" s="5" t="s">
        <v>5793</v>
      </c>
      <c r="D3723" s="2" t="s">
        <v>3636</v>
      </c>
    </row>
    <row r="3724" spans="1:4" ht="12.95" customHeight="1" x14ac:dyDescent="0.25">
      <c r="A3724" s="2" t="s">
        <v>428</v>
      </c>
      <c r="B3724" s="2" t="s">
        <v>1113</v>
      </c>
      <c r="C3724" s="5" t="s">
        <v>5794</v>
      </c>
      <c r="D3724" s="2" t="s">
        <v>3827</v>
      </c>
    </row>
    <row r="3725" spans="1:4" ht="12.95" customHeight="1" x14ac:dyDescent="0.25">
      <c r="A3725" s="2" t="s">
        <v>428</v>
      </c>
      <c r="B3725" s="2" t="s">
        <v>1113</v>
      </c>
      <c r="C3725" s="5" t="s">
        <v>5795</v>
      </c>
      <c r="D3725" s="2" t="s">
        <v>3640</v>
      </c>
    </row>
    <row r="3726" spans="1:4" ht="12.95" customHeight="1" x14ac:dyDescent="0.25">
      <c r="A3726" s="2" t="s">
        <v>428</v>
      </c>
      <c r="B3726" s="2" t="s">
        <v>1113</v>
      </c>
      <c r="C3726" s="5" t="s">
        <v>5796</v>
      </c>
      <c r="D3726" s="2" t="s">
        <v>3455</v>
      </c>
    </row>
    <row r="3727" spans="1:4" ht="12.95" customHeight="1" x14ac:dyDescent="0.25">
      <c r="A3727" s="2" t="s">
        <v>428</v>
      </c>
      <c r="B3727" s="2" t="s">
        <v>1113</v>
      </c>
      <c r="C3727" s="5" t="s">
        <v>5797</v>
      </c>
      <c r="D3727" s="2" t="s">
        <v>3643</v>
      </c>
    </row>
    <row r="3728" spans="1:4" ht="12.95" customHeight="1" x14ac:dyDescent="0.25">
      <c r="A3728" s="2" t="s">
        <v>428</v>
      </c>
      <c r="B3728" s="2" t="s">
        <v>1113</v>
      </c>
      <c r="C3728" s="5" t="s">
        <v>5798</v>
      </c>
      <c r="D3728" s="2" t="s">
        <v>4786</v>
      </c>
    </row>
    <row r="3729" spans="1:4" ht="12.95" customHeight="1" x14ac:dyDescent="0.25">
      <c r="A3729" s="2" t="s">
        <v>428</v>
      </c>
      <c r="B3729" s="2" t="s">
        <v>1113</v>
      </c>
      <c r="C3729" s="5" t="s">
        <v>5799</v>
      </c>
      <c r="D3729" s="2" t="s">
        <v>3457</v>
      </c>
    </row>
    <row r="3730" spans="1:4" ht="12.95" customHeight="1" x14ac:dyDescent="0.25">
      <c r="A3730" s="2" t="s">
        <v>428</v>
      </c>
      <c r="B3730" s="2" t="s">
        <v>1113</v>
      </c>
      <c r="C3730" s="5" t="s">
        <v>5800</v>
      </c>
      <c r="D3730" s="2" t="s">
        <v>3459</v>
      </c>
    </row>
    <row r="3731" spans="1:4" ht="12.95" customHeight="1" x14ac:dyDescent="0.25">
      <c r="A3731" s="2" t="s">
        <v>428</v>
      </c>
      <c r="B3731" s="2" t="s">
        <v>1113</v>
      </c>
      <c r="C3731" s="5" t="s">
        <v>5801</v>
      </c>
      <c r="D3731" s="2" t="s">
        <v>3646</v>
      </c>
    </row>
    <row r="3732" spans="1:4" ht="12.95" customHeight="1" x14ac:dyDescent="0.25">
      <c r="A3732" s="2" t="s">
        <v>428</v>
      </c>
      <c r="B3732" s="2" t="s">
        <v>1113</v>
      </c>
      <c r="C3732" s="5" t="s">
        <v>5802</v>
      </c>
      <c r="D3732" s="2" t="s">
        <v>3463</v>
      </c>
    </row>
    <row r="3733" spans="1:4" ht="12.95" customHeight="1" x14ac:dyDescent="0.25">
      <c r="A3733" s="2" t="s">
        <v>428</v>
      </c>
      <c r="B3733" s="2" t="s">
        <v>1113</v>
      </c>
      <c r="C3733" s="5" t="s">
        <v>5803</v>
      </c>
      <c r="D3733" s="2" t="s">
        <v>5804</v>
      </c>
    </row>
    <row r="3734" spans="1:4" ht="12.95" customHeight="1" x14ac:dyDescent="0.25">
      <c r="A3734" s="2" t="s">
        <v>428</v>
      </c>
      <c r="B3734" s="2" t="s">
        <v>1113</v>
      </c>
      <c r="C3734" s="5" t="s">
        <v>5805</v>
      </c>
      <c r="D3734" s="2" t="s">
        <v>5806</v>
      </c>
    </row>
    <row r="3735" spans="1:4" ht="12.95" customHeight="1" x14ac:dyDescent="0.25">
      <c r="A3735" s="2" t="s">
        <v>428</v>
      </c>
      <c r="B3735" s="2" t="s">
        <v>1113</v>
      </c>
      <c r="C3735" s="5" t="s">
        <v>5807</v>
      </c>
      <c r="D3735" s="2" t="s">
        <v>5808</v>
      </c>
    </row>
    <row r="3736" spans="1:4" ht="12.95" customHeight="1" x14ac:dyDescent="0.25">
      <c r="A3736" s="2" t="s">
        <v>428</v>
      </c>
      <c r="B3736" s="2" t="s">
        <v>1113</v>
      </c>
      <c r="C3736" s="5" t="s">
        <v>5809</v>
      </c>
      <c r="D3736" s="2" t="s">
        <v>3427</v>
      </c>
    </row>
    <row r="3737" spans="1:4" ht="12.95" customHeight="1" x14ac:dyDescent="0.25">
      <c r="A3737" s="2" t="s">
        <v>428</v>
      </c>
      <c r="B3737" s="2" t="s">
        <v>1113</v>
      </c>
      <c r="C3737" s="5" t="s">
        <v>5810</v>
      </c>
      <c r="D3737" s="2" t="s">
        <v>3429</v>
      </c>
    </row>
    <row r="3738" spans="1:4" ht="12.95" customHeight="1" x14ac:dyDescent="0.25">
      <c r="A3738" s="2" t="s">
        <v>428</v>
      </c>
      <c r="B3738" s="2" t="s">
        <v>1113</v>
      </c>
      <c r="C3738" s="5" t="s">
        <v>5811</v>
      </c>
      <c r="D3738" s="2" t="s">
        <v>3626</v>
      </c>
    </row>
    <row r="3739" spans="1:4" ht="12.95" customHeight="1" x14ac:dyDescent="0.25">
      <c r="A3739" s="2" t="s">
        <v>428</v>
      </c>
      <c r="B3739" s="2" t="s">
        <v>1113</v>
      </c>
      <c r="C3739" s="5" t="s">
        <v>5812</v>
      </c>
      <c r="D3739" s="2" t="s">
        <v>5813</v>
      </c>
    </row>
    <row r="3740" spans="1:4" ht="12.95" customHeight="1" x14ac:dyDescent="0.25">
      <c r="A3740" s="2" t="s">
        <v>428</v>
      </c>
      <c r="B3740" s="2" t="s">
        <v>1113</v>
      </c>
      <c r="C3740" s="5" t="s">
        <v>5814</v>
      </c>
      <c r="D3740" s="2" t="s">
        <v>3632</v>
      </c>
    </row>
    <row r="3741" spans="1:4" ht="12.95" customHeight="1" x14ac:dyDescent="0.25">
      <c r="A3741" s="2" t="s">
        <v>428</v>
      </c>
      <c r="B3741" s="2" t="s">
        <v>1113</v>
      </c>
      <c r="C3741" s="5" t="s">
        <v>5815</v>
      </c>
      <c r="D3741" s="2" t="s">
        <v>3634</v>
      </c>
    </row>
    <row r="3742" spans="1:4" ht="12.95" customHeight="1" x14ac:dyDescent="0.25">
      <c r="A3742" s="2" t="s">
        <v>428</v>
      </c>
      <c r="B3742" s="2" t="s">
        <v>1113</v>
      </c>
      <c r="C3742" s="5" t="s">
        <v>5816</v>
      </c>
      <c r="D3742" s="2" t="s">
        <v>3636</v>
      </c>
    </row>
    <row r="3743" spans="1:4" ht="12.95" customHeight="1" x14ac:dyDescent="0.25">
      <c r="A3743" s="2" t="s">
        <v>428</v>
      </c>
      <c r="B3743" s="2" t="s">
        <v>1113</v>
      </c>
      <c r="C3743" s="5" t="s">
        <v>5817</v>
      </c>
      <c r="D3743" s="2" t="s">
        <v>3827</v>
      </c>
    </row>
    <row r="3744" spans="1:4" ht="12.95" customHeight="1" x14ac:dyDescent="0.25">
      <c r="A3744" s="2" t="s">
        <v>428</v>
      </c>
      <c r="B3744" s="2" t="s">
        <v>1113</v>
      </c>
      <c r="C3744" s="5" t="s">
        <v>5818</v>
      </c>
      <c r="D3744" s="2" t="s">
        <v>3640</v>
      </c>
    </row>
    <row r="3745" spans="1:4" ht="12.95" customHeight="1" x14ac:dyDescent="0.25">
      <c r="A3745" s="2" t="s">
        <v>428</v>
      </c>
      <c r="B3745" s="2" t="s">
        <v>1113</v>
      </c>
      <c r="C3745" s="5" t="s">
        <v>5819</v>
      </c>
      <c r="D3745" s="2" t="s">
        <v>3455</v>
      </c>
    </row>
    <row r="3746" spans="1:4" ht="12.95" customHeight="1" x14ac:dyDescent="0.25">
      <c r="A3746" s="2" t="s">
        <v>428</v>
      </c>
      <c r="B3746" s="2" t="s">
        <v>1113</v>
      </c>
      <c r="C3746" s="5" t="s">
        <v>5820</v>
      </c>
      <c r="D3746" s="2" t="s">
        <v>3643</v>
      </c>
    </row>
    <row r="3747" spans="1:4" ht="12.95" customHeight="1" x14ac:dyDescent="0.25">
      <c r="A3747" s="2" t="s">
        <v>428</v>
      </c>
      <c r="B3747" s="2" t="s">
        <v>1113</v>
      </c>
      <c r="C3747" s="5" t="s">
        <v>5821</v>
      </c>
      <c r="D3747" s="2" t="s">
        <v>4786</v>
      </c>
    </row>
    <row r="3748" spans="1:4" ht="12.95" customHeight="1" x14ac:dyDescent="0.25">
      <c r="A3748" s="2" t="s">
        <v>428</v>
      </c>
      <c r="B3748" s="2" t="s">
        <v>1113</v>
      </c>
      <c r="C3748" s="5" t="s">
        <v>5822</v>
      </c>
      <c r="D3748" s="2" t="s">
        <v>3457</v>
      </c>
    </row>
    <row r="3749" spans="1:4" ht="12.95" customHeight="1" x14ac:dyDescent="0.25">
      <c r="A3749" s="2" t="s">
        <v>428</v>
      </c>
      <c r="B3749" s="2" t="s">
        <v>1113</v>
      </c>
      <c r="C3749" s="5" t="s">
        <v>5823</v>
      </c>
      <c r="D3749" s="2" t="s">
        <v>3832</v>
      </c>
    </row>
    <row r="3750" spans="1:4" ht="12.95" customHeight="1" x14ac:dyDescent="0.25">
      <c r="A3750" s="2" t="s">
        <v>428</v>
      </c>
      <c r="B3750" s="2" t="s">
        <v>1113</v>
      </c>
      <c r="C3750" s="5" t="s">
        <v>5824</v>
      </c>
      <c r="D3750" s="2" t="s">
        <v>3646</v>
      </c>
    </row>
    <row r="3751" spans="1:4" ht="12.95" customHeight="1" x14ac:dyDescent="0.25">
      <c r="A3751" s="2" t="s">
        <v>428</v>
      </c>
      <c r="B3751" s="2" t="s">
        <v>1113</v>
      </c>
      <c r="C3751" s="5" t="s">
        <v>5825</v>
      </c>
      <c r="D3751" s="2" t="s">
        <v>3648</v>
      </c>
    </row>
    <row r="3752" spans="1:4" ht="12.95" customHeight="1" x14ac:dyDescent="0.25">
      <c r="A3752" s="2" t="s">
        <v>428</v>
      </c>
      <c r="B3752" s="2" t="s">
        <v>1113</v>
      </c>
      <c r="C3752" s="5" t="s">
        <v>5826</v>
      </c>
      <c r="D3752" s="2" t="s">
        <v>5827</v>
      </c>
    </row>
    <row r="3753" spans="1:4" ht="12.95" customHeight="1" x14ac:dyDescent="0.25">
      <c r="A3753" s="2" t="s">
        <v>428</v>
      </c>
      <c r="B3753" s="2" t="s">
        <v>1113</v>
      </c>
      <c r="C3753" s="5" t="s">
        <v>5828</v>
      </c>
      <c r="D3753" s="2" t="s">
        <v>3626</v>
      </c>
    </row>
    <row r="3754" spans="1:4" ht="12.95" customHeight="1" x14ac:dyDescent="0.25">
      <c r="A3754" s="2" t="s">
        <v>428</v>
      </c>
      <c r="B3754" s="2" t="s">
        <v>1113</v>
      </c>
      <c r="C3754" s="5" t="s">
        <v>5829</v>
      </c>
      <c r="D3754" s="2" t="s">
        <v>3632</v>
      </c>
    </row>
    <row r="3755" spans="1:4" ht="12.95" customHeight="1" x14ac:dyDescent="0.25">
      <c r="A3755" s="2" t="s">
        <v>428</v>
      </c>
      <c r="B3755" s="2" t="s">
        <v>1113</v>
      </c>
      <c r="C3755" s="5" t="s">
        <v>5830</v>
      </c>
      <c r="D3755" s="2" t="s">
        <v>3634</v>
      </c>
    </row>
    <row r="3756" spans="1:4" ht="12.95" customHeight="1" x14ac:dyDescent="0.25">
      <c r="A3756" s="2" t="s">
        <v>428</v>
      </c>
      <c r="B3756" s="2" t="s">
        <v>1113</v>
      </c>
      <c r="C3756" s="5" t="s">
        <v>5831</v>
      </c>
      <c r="D3756" s="2" t="s">
        <v>3636</v>
      </c>
    </row>
    <row r="3757" spans="1:4" ht="12.95" customHeight="1" x14ac:dyDescent="0.25">
      <c r="A3757" s="2" t="s">
        <v>428</v>
      </c>
      <c r="B3757" s="2" t="s">
        <v>1113</v>
      </c>
      <c r="C3757" s="5" t="s">
        <v>5832</v>
      </c>
      <c r="D3757" s="2" t="s">
        <v>3827</v>
      </c>
    </row>
    <row r="3758" spans="1:4" ht="12.95" customHeight="1" x14ac:dyDescent="0.25">
      <c r="A3758" s="2" t="s">
        <v>428</v>
      </c>
      <c r="B3758" s="2" t="s">
        <v>1113</v>
      </c>
      <c r="C3758" s="5" t="s">
        <v>5833</v>
      </c>
      <c r="D3758" s="2" t="s">
        <v>3640</v>
      </c>
    </row>
    <row r="3759" spans="1:4" ht="12.95" customHeight="1" x14ac:dyDescent="0.25">
      <c r="A3759" s="2" t="s">
        <v>428</v>
      </c>
      <c r="B3759" s="2" t="s">
        <v>1113</v>
      </c>
      <c r="C3759" s="5" t="s">
        <v>5834</v>
      </c>
      <c r="D3759" s="2" t="s">
        <v>3455</v>
      </c>
    </row>
    <row r="3760" spans="1:4" ht="12.95" customHeight="1" x14ac:dyDescent="0.25">
      <c r="A3760" s="2" t="s">
        <v>428</v>
      </c>
      <c r="B3760" s="2" t="s">
        <v>1113</v>
      </c>
      <c r="C3760" s="5" t="s">
        <v>5835</v>
      </c>
      <c r="D3760" s="2" t="s">
        <v>3643</v>
      </c>
    </row>
    <row r="3761" spans="1:4" ht="12.95" customHeight="1" x14ac:dyDescent="0.25">
      <c r="A3761" s="2" t="s">
        <v>428</v>
      </c>
      <c r="B3761" s="2" t="s">
        <v>1113</v>
      </c>
      <c r="C3761" s="5" t="s">
        <v>5836</v>
      </c>
      <c r="D3761" s="2" t="s">
        <v>4786</v>
      </c>
    </row>
    <row r="3762" spans="1:4" ht="12.95" customHeight="1" x14ac:dyDescent="0.25">
      <c r="A3762" s="2" t="s">
        <v>428</v>
      </c>
      <c r="B3762" s="2" t="s">
        <v>1113</v>
      </c>
      <c r="C3762" s="5" t="s">
        <v>5837</v>
      </c>
      <c r="D3762" s="2" t="s">
        <v>3457</v>
      </c>
    </row>
    <row r="3763" spans="1:4" ht="12.95" customHeight="1" x14ac:dyDescent="0.25">
      <c r="A3763" s="2" t="s">
        <v>428</v>
      </c>
      <c r="B3763" s="2" t="s">
        <v>1113</v>
      </c>
      <c r="C3763" s="5" t="s">
        <v>5838</v>
      </c>
      <c r="D3763" s="2" t="s">
        <v>3832</v>
      </c>
    </row>
    <row r="3764" spans="1:4" ht="12.95" customHeight="1" x14ac:dyDescent="0.25">
      <c r="A3764" s="2" t="s">
        <v>428</v>
      </c>
      <c r="B3764" s="2" t="s">
        <v>1113</v>
      </c>
      <c r="C3764" s="5" t="s">
        <v>5839</v>
      </c>
      <c r="D3764" s="2" t="s">
        <v>4791</v>
      </c>
    </row>
    <row r="3765" spans="1:4" ht="12.95" customHeight="1" x14ac:dyDescent="0.25">
      <c r="A3765" s="2" t="s">
        <v>428</v>
      </c>
      <c r="B3765" s="2" t="s">
        <v>1113</v>
      </c>
      <c r="C3765" s="5" t="s">
        <v>5840</v>
      </c>
      <c r="D3765" s="2" t="s">
        <v>3648</v>
      </c>
    </row>
    <row r="3766" spans="1:4" ht="12.95" customHeight="1" x14ac:dyDescent="0.25">
      <c r="A3766" s="2" t="s">
        <v>428</v>
      </c>
      <c r="B3766" s="2" t="s">
        <v>1113</v>
      </c>
      <c r="C3766" s="5" t="s">
        <v>5841</v>
      </c>
      <c r="D3766" s="2" t="s">
        <v>5842</v>
      </c>
    </row>
    <row r="3767" spans="1:4" ht="12.95" customHeight="1" x14ac:dyDescent="0.25">
      <c r="A3767" s="2" t="s">
        <v>428</v>
      </c>
      <c r="B3767" s="2" t="s">
        <v>1113</v>
      </c>
      <c r="C3767" s="5" t="s">
        <v>5843</v>
      </c>
      <c r="D3767" s="2" t="s">
        <v>5844</v>
      </c>
    </row>
    <row r="3768" spans="1:4" ht="12.95" customHeight="1" x14ac:dyDescent="0.25">
      <c r="A3768" s="2" t="s">
        <v>428</v>
      </c>
      <c r="B3768" s="2" t="s">
        <v>1113</v>
      </c>
      <c r="C3768" s="5" t="s">
        <v>5845</v>
      </c>
      <c r="D3768" s="2" t="s">
        <v>5846</v>
      </c>
    </row>
    <row r="3769" spans="1:4" ht="12.95" customHeight="1" x14ac:dyDescent="0.25">
      <c r="A3769" s="2" t="s">
        <v>428</v>
      </c>
      <c r="B3769" s="2" t="s">
        <v>1113</v>
      </c>
      <c r="C3769" s="5" t="s">
        <v>5847</v>
      </c>
      <c r="D3769" s="2" t="s">
        <v>5848</v>
      </c>
    </row>
    <row r="3770" spans="1:4" ht="12.95" customHeight="1" x14ac:dyDescent="0.25">
      <c r="A3770" s="2" t="s">
        <v>428</v>
      </c>
      <c r="B3770" s="2" t="s">
        <v>1113</v>
      </c>
      <c r="C3770" s="5" t="s">
        <v>5849</v>
      </c>
      <c r="D3770" s="2" t="s">
        <v>5190</v>
      </c>
    </row>
    <row r="3771" spans="1:4" ht="12.95" customHeight="1" x14ac:dyDescent="0.25">
      <c r="A3771" s="2" t="s">
        <v>428</v>
      </c>
      <c r="B3771" s="2" t="s">
        <v>1113</v>
      </c>
      <c r="C3771" s="5" t="s">
        <v>5850</v>
      </c>
      <c r="D3771" s="2" t="s">
        <v>5376</v>
      </c>
    </row>
    <row r="3772" spans="1:4" ht="12.95" customHeight="1" x14ac:dyDescent="0.25">
      <c r="A3772" s="2" t="s">
        <v>428</v>
      </c>
      <c r="B3772" s="2" t="s">
        <v>1113</v>
      </c>
      <c r="C3772" s="5" t="s">
        <v>5851</v>
      </c>
      <c r="D3772" s="2" t="s">
        <v>3429</v>
      </c>
    </row>
    <row r="3773" spans="1:4" ht="12.95" customHeight="1" x14ac:dyDescent="0.25">
      <c r="A3773" s="2" t="s">
        <v>428</v>
      </c>
      <c r="B3773" s="2" t="s">
        <v>1113</v>
      </c>
      <c r="C3773" s="5" t="s">
        <v>5852</v>
      </c>
      <c r="D3773" s="2" t="s">
        <v>3626</v>
      </c>
    </row>
    <row r="3774" spans="1:4" ht="12.95" customHeight="1" x14ac:dyDescent="0.25">
      <c r="A3774" s="2" t="s">
        <v>428</v>
      </c>
      <c r="B3774" s="2" t="s">
        <v>1113</v>
      </c>
      <c r="C3774" s="5" t="s">
        <v>5853</v>
      </c>
      <c r="D3774" s="2" t="s">
        <v>3632</v>
      </c>
    </row>
    <row r="3775" spans="1:4" ht="12.95" customHeight="1" x14ac:dyDescent="0.25">
      <c r="A3775" s="2" t="s">
        <v>428</v>
      </c>
      <c r="B3775" s="2" t="s">
        <v>1113</v>
      </c>
      <c r="C3775" s="5" t="s">
        <v>5854</v>
      </c>
      <c r="D3775" s="2" t="s">
        <v>3634</v>
      </c>
    </row>
    <row r="3776" spans="1:4" ht="12.95" customHeight="1" x14ac:dyDescent="0.25">
      <c r="A3776" s="2" t="s">
        <v>428</v>
      </c>
      <c r="B3776" s="2" t="s">
        <v>1113</v>
      </c>
      <c r="C3776" s="5" t="s">
        <v>5855</v>
      </c>
      <c r="D3776" s="2" t="s">
        <v>3636</v>
      </c>
    </row>
    <row r="3777" spans="1:4" ht="12.95" customHeight="1" x14ac:dyDescent="0.25">
      <c r="A3777" s="2" t="s">
        <v>428</v>
      </c>
      <c r="B3777" s="2" t="s">
        <v>1113</v>
      </c>
      <c r="C3777" s="5" t="s">
        <v>5856</v>
      </c>
      <c r="D3777" s="2" t="s">
        <v>3827</v>
      </c>
    </row>
    <row r="3778" spans="1:4" ht="12.95" customHeight="1" x14ac:dyDescent="0.25">
      <c r="A3778" s="2" t="s">
        <v>428</v>
      </c>
      <c r="B3778" s="2" t="s">
        <v>1113</v>
      </c>
      <c r="C3778" s="5" t="s">
        <v>5857</v>
      </c>
      <c r="D3778" s="2" t="s">
        <v>3640</v>
      </c>
    </row>
    <row r="3779" spans="1:4" ht="12.95" customHeight="1" x14ac:dyDescent="0.25">
      <c r="A3779" s="2" t="s">
        <v>428</v>
      </c>
      <c r="B3779" s="2" t="s">
        <v>1113</v>
      </c>
      <c r="C3779" s="5" t="s">
        <v>5858</v>
      </c>
      <c r="D3779" s="2" t="s">
        <v>5859</v>
      </c>
    </row>
    <row r="3780" spans="1:4" ht="12.95" customHeight="1" x14ac:dyDescent="0.25">
      <c r="A3780" s="2" t="s">
        <v>428</v>
      </c>
      <c r="B3780" s="2" t="s">
        <v>1113</v>
      </c>
      <c r="C3780" s="5" t="s">
        <v>5860</v>
      </c>
      <c r="D3780" s="2" t="s">
        <v>3643</v>
      </c>
    </row>
    <row r="3781" spans="1:4" ht="12.95" customHeight="1" x14ac:dyDescent="0.25">
      <c r="A3781" s="2" t="s">
        <v>428</v>
      </c>
      <c r="B3781" s="2" t="s">
        <v>1113</v>
      </c>
      <c r="C3781" s="5" t="s">
        <v>5861</v>
      </c>
      <c r="D3781" s="2" t="s">
        <v>4786</v>
      </c>
    </row>
    <row r="3782" spans="1:4" ht="12.95" customHeight="1" x14ac:dyDescent="0.25">
      <c r="A3782" s="2" t="s">
        <v>428</v>
      </c>
      <c r="B3782" s="2" t="s">
        <v>1113</v>
      </c>
      <c r="C3782" s="5" t="s">
        <v>5862</v>
      </c>
      <c r="D3782" s="2" t="s">
        <v>3457</v>
      </c>
    </row>
    <row r="3783" spans="1:4" ht="12.95" customHeight="1" x14ac:dyDescent="0.25">
      <c r="A3783" s="2" t="s">
        <v>428</v>
      </c>
      <c r="B3783" s="2" t="s">
        <v>1113</v>
      </c>
      <c r="C3783" s="5" t="s">
        <v>5863</v>
      </c>
      <c r="D3783" s="2" t="s">
        <v>3832</v>
      </c>
    </row>
    <row r="3784" spans="1:4" ht="12.95" customHeight="1" x14ac:dyDescent="0.25">
      <c r="A3784" s="2" t="s">
        <v>428</v>
      </c>
      <c r="B3784" s="2" t="s">
        <v>1113</v>
      </c>
      <c r="C3784" s="5" t="s">
        <v>5864</v>
      </c>
      <c r="D3784" s="2" t="s">
        <v>3646</v>
      </c>
    </row>
    <row r="3785" spans="1:4" ht="12.95" customHeight="1" x14ac:dyDescent="0.25">
      <c r="A3785" s="2" t="s">
        <v>428</v>
      </c>
      <c r="B3785" s="2" t="s">
        <v>1113</v>
      </c>
      <c r="C3785" s="5" t="s">
        <v>5865</v>
      </c>
      <c r="D3785" s="2" t="s">
        <v>3648</v>
      </c>
    </row>
    <row r="3786" spans="1:4" ht="12.95" customHeight="1" x14ac:dyDescent="0.25">
      <c r="A3786" s="2" t="s">
        <v>428</v>
      </c>
      <c r="B3786" s="2" t="s">
        <v>1113</v>
      </c>
      <c r="C3786" s="5" t="s">
        <v>5866</v>
      </c>
      <c r="D3786" s="2" t="s">
        <v>5867</v>
      </c>
    </row>
    <row r="3787" spans="1:4" ht="12.95" customHeight="1" x14ac:dyDescent="0.25">
      <c r="A3787" s="2" t="s">
        <v>428</v>
      </c>
      <c r="B3787" s="2" t="s">
        <v>1113</v>
      </c>
      <c r="C3787" s="5" t="s">
        <v>5868</v>
      </c>
      <c r="D3787" s="2" t="s">
        <v>3626</v>
      </c>
    </row>
    <row r="3788" spans="1:4" ht="12.95" customHeight="1" x14ac:dyDescent="0.25">
      <c r="A3788" s="2" t="s">
        <v>428</v>
      </c>
      <c r="B3788" s="2" t="s">
        <v>1113</v>
      </c>
      <c r="C3788" s="5" t="s">
        <v>5869</v>
      </c>
      <c r="D3788" s="2" t="s">
        <v>3632</v>
      </c>
    </row>
    <row r="3789" spans="1:4" ht="12.95" customHeight="1" x14ac:dyDescent="0.25">
      <c r="A3789" s="2" t="s">
        <v>428</v>
      </c>
      <c r="B3789" s="2" t="s">
        <v>1113</v>
      </c>
      <c r="C3789" s="5" t="s">
        <v>5870</v>
      </c>
      <c r="D3789" s="2" t="s">
        <v>3634</v>
      </c>
    </row>
    <row r="3790" spans="1:4" ht="12.95" customHeight="1" x14ac:dyDescent="0.25">
      <c r="A3790" s="2" t="s">
        <v>428</v>
      </c>
      <c r="B3790" s="2" t="s">
        <v>1113</v>
      </c>
      <c r="C3790" s="5" t="s">
        <v>5871</v>
      </c>
      <c r="D3790" s="2" t="s">
        <v>3636</v>
      </c>
    </row>
    <row r="3791" spans="1:4" ht="12.95" customHeight="1" x14ac:dyDescent="0.25">
      <c r="A3791" s="2" t="s">
        <v>428</v>
      </c>
      <c r="B3791" s="2" t="s">
        <v>1113</v>
      </c>
      <c r="C3791" s="5" t="s">
        <v>5872</v>
      </c>
      <c r="D3791" s="2" t="s">
        <v>3827</v>
      </c>
    </row>
    <row r="3792" spans="1:4" ht="12.95" customHeight="1" x14ac:dyDescent="0.25">
      <c r="A3792" s="2" t="s">
        <v>428</v>
      </c>
      <c r="B3792" s="2" t="s">
        <v>1113</v>
      </c>
      <c r="C3792" s="5" t="s">
        <v>5873</v>
      </c>
      <c r="D3792" s="2" t="s">
        <v>3640</v>
      </c>
    </row>
    <row r="3793" spans="1:4" ht="12.95" customHeight="1" x14ac:dyDescent="0.25">
      <c r="A3793" s="2" t="s">
        <v>428</v>
      </c>
      <c r="B3793" s="2" t="s">
        <v>1113</v>
      </c>
      <c r="C3793" s="5" t="s">
        <v>5874</v>
      </c>
      <c r="D3793" s="2" t="s">
        <v>3455</v>
      </c>
    </row>
    <row r="3794" spans="1:4" ht="12.95" customHeight="1" x14ac:dyDescent="0.25">
      <c r="A3794" s="2" t="s">
        <v>428</v>
      </c>
      <c r="B3794" s="2" t="s">
        <v>1113</v>
      </c>
      <c r="C3794" s="5" t="s">
        <v>5875</v>
      </c>
      <c r="D3794" s="2" t="s">
        <v>3643</v>
      </c>
    </row>
    <row r="3795" spans="1:4" ht="12.95" customHeight="1" x14ac:dyDescent="0.25">
      <c r="A3795" s="2" t="s">
        <v>428</v>
      </c>
      <c r="B3795" s="2" t="s">
        <v>1113</v>
      </c>
      <c r="C3795" s="5" t="s">
        <v>5876</v>
      </c>
      <c r="D3795" s="2" t="s">
        <v>4786</v>
      </c>
    </row>
    <row r="3796" spans="1:4" ht="12.95" customHeight="1" x14ac:dyDescent="0.25">
      <c r="A3796" s="2" t="s">
        <v>428</v>
      </c>
      <c r="B3796" s="2" t="s">
        <v>1113</v>
      </c>
      <c r="C3796" s="5" t="s">
        <v>5877</v>
      </c>
      <c r="D3796" s="2" t="s">
        <v>3457</v>
      </c>
    </row>
    <row r="3797" spans="1:4" ht="12.95" customHeight="1" x14ac:dyDescent="0.25">
      <c r="A3797" s="2" t="s">
        <v>428</v>
      </c>
      <c r="B3797" s="2" t="s">
        <v>1113</v>
      </c>
      <c r="C3797" s="5" t="s">
        <v>5878</v>
      </c>
      <c r="D3797" s="2" t="s">
        <v>3832</v>
      </c>
    </row>
    <row r="3798" spans="1:4" ht="12.95" customHeight="1" x14ac:dyDescent="0.25">
      <c r="A3798" s="2" t="s">
        <v>428</v>
      </c>
      <c r="B3798" s="2" t="s">
        <v>1113</v>
      </c>
      <c r="C3798" s="5" t="s">
        <v>5879</v>
      </c>
      <c r="D3798" s="2" t="s">
        <v>4791</v>
      </c>
    </row>
    <row r="3799" spans="1:4" ht="12.95" customHeight="1" x14ac:dyDescent="0.25">
      <c r="A3799" s="2" t="s">
        <v>428</v>
      </c>
      <c r="B3799" s="2" t="s">
        <v>1113</v>
      </c>
      <c r="C3799" s="5" t="s">
        <v>5880</v>
      </c>
      <c r="D3799" s="2" t="s">
        <v>3648</v>
      </c>
    </row>
    <row r="3800" spans="1:4" ht="12.95" customHeight="1" x14ac:dyDescent="0.25">
      <c r="A3800" s="2" t="s">
        <v>428</v>
      </c>
      <c r="B3800" s="2" t="s">
        <v>1113</v>
      </c>
      <c r="C3800" s="5" t="s">
        <v>5881</v>
      </c>
      <c r="D3800" s="2" t="s">
        <v>5882</v>
      </c>
    </row>
    <row r="3801" spans="1:4" ht="12.95" customHeight="1" x14ac:dyDescent="0.25">
      <c r="A3801" s="2" t="s">
        <v>428</v>
      </c>
      <c r="B3801" s="2" t="s">
        <v>1113</v>
      </c>
      <c r="C3801" s="5" t="s">
        <v>5883</v>
      </c>
      <c r="D3801" s="2" t="s">
        <v>3626</v>
      </c>
    </row>
    <row r="3802" spans="1:4" ht="12.95" customHeight="1" x14ac:dyDescent="0.25">
      <c r="A3802" s="2" t="s">
        <v>428</v>
      </c>
      <c r="B3802" s="2" t="s">
        <v>1113</v>
      </c>
      <c r="C3802" s="5" t="s">
        <v>5884</v>
      </c>
      <c r="D3802" s="2" t="s">
        <v>3632</v>
      </c>
    </row>
    <row r="3803" spans="1:4" ht="12.95" customHeight="1" x14ac:dyDescent="0.25">
      <c r="A3803" s="2" t="s">
        <v>428</v>
      </c>
      <c r="B3803" s="2" t="s">
        <v>1113</v>
      </c>
      <c r="C3803" s="5" t="s">
        <v>5885</v>
      </c>
      <c r="D3803" s="2" t="s">
        <v>3634</v>
      </c>
    </row>
    <row r="3804" spans="1:4" ht="12.95" customHeight="1" x14ac:dyDescent="0.25">
      <c r="A3804" s="2" t="s">
        <v>428</v>
      </c>
      <c r="B3804" s="2" t="s">
        <v>1113</v>
      </c>
      <c r="C3804" s="5" t="s">
        <v>5886</v>
      </c>
      <c r="D3804" s="2" t="s">
        <v>3636</v>
      </c>
    </row>
    <row r="3805" spans="1:4" ht="12.95" customHeight="1" x14ac:dyDescent="0.25">
      <c r="A3805" s="2" t="s">
        <v>428</v>
      </c>
      <c r="B3805" s="2" t="s">
        <v>1113</v>
      </c>
      <c r="C3805" s="5" t="s">
        <v>5887</v>
      </c>
      <c r="D3805" s="2" t="s">
        <v>3827</v>
      </c>
    </row>
    <row r="3806" spans="1:4" ht="12.95" customHeight="1" x14ac:dyDescent="0.25">
      <c r="A3806" s="2" t="s">
        <v>428</v>
      </c>
      <c r="B3806" s="2" t="s">
        <v>1113</v>
      </c>
      <c r="C3806" s="5" t="s">
        <v>5888</v>
      </c>
      <c r="D3806" s="2" t="s">
        <v>3640</v>
      </c>
    </row>
    <row r="3807" spans="1:4" ht="12.95" customHeight="1" x14ac:dyDescent="0.25">
      <c r="A3807" s="2" t="s">
        <v>428</v>
      </c>
      <c r="B3807" s="2" t="s">
        <v>1113</v>
      </c>
      <c r="C3807" s="5" t="s">
        <v>5889</v>
      </c>
      <c r="D3807" s="2" t="s">
        <v>3455</v>
      </c>
    </row>
    <row r="3808" spans="1:4" ht="12.95" customHeight="1" x14ac:dyDescent="0.25">
      <c r="A3808" s="2" t="s">
        <v>428</v>
      </c>
      <c r="B3808" s="2" t="s">
        <v>1113</v>
      </c>
      <c r="C3808" s="5" t="s">
        <v>5890</v>
      </c>
      <c r="D3808" s="2" t="s">
        <v>3643</v>
      </c>
    </row>
    <row r="3809" spans="1:4" ht="12.95" customHeight="1" x14ac:dyDescent="0.25">
      <c r="A3809" s="2" t="s">
        <v>428</v>
      </c>
      <c r="B3809" s="2" t="s">
        <v>1113</v>
      </c>
      <c r="C3809" s="5" t="s">
        <v>5891</v>
      </c>
      <c r="D3809" s="2" t="s">
        <v>4786</v>
      </c>
    </row>
    <row r="3810" spans="1:4" ht="12.95" customHeight="1" x14ac:dyDescent="0.25">
      <c r="A3810" s="2" t="s">
        <v>428</v>
      </c>
      <c r="B3810" s="2" t="s">
        <v>1113</v>
      </c>
      <c r="C3810" s="5" t="s">
        <v>5892</v>
      </c>
      <c r="D3810" s="2" t="s">
        <v>3457</v>
      </c>
    </row>
    <row r="3811" spans="1:4" ht="12.95" customHeight="1" x14ac:dyDescent="0.25">
      <c r="A3811" s="2" t="s">
        <v>428</v>
      </c>
      <c r="B3811" s="2" t="s">
        <v>1113</v>
      </c>
      <c r="C3811" s="5" t="s">
        <v>5893</v>
      </c>
      <c r="D3811" s="2" t="s">
        <v>3832</v>
      </c>
    </row>
    <row r="3812" spans="1:4" ht="12.95" customHeight="1" x14ac:dyDescent="0.25">
      <c r="A3812" s="2" t="s">
        <v>428</v>
      </c>
      <c r="B3812" s="2" t="s">
        <v>1113</v>
      </c>
      <c r="C3812" s="5" t="s">
        <v>5894</v>
      </c>
      <c r="D3812" s="2" t="s">
        <v>4791</v>
      </c>
    </row>
    <row r="3813" spans="1:4" ht="12.95" customHeight="1" x14ac:dyDescent="0.25">
      <c r="A3813" s="2" t="s">
        <v>428</v>
      </c>
      <c r="B3813" s="2" t="s">
        <v>1113</v>
      </c>
      <c r="C3813" s="5" t="s">
        <v>5895</v>
      </c>
      <c r="D3813" s="2" t="s">
        <v>3648</v>
      </c>
    </row>
    <row r="3814" spans="1:4" ht="12.95" customHeight="1" x14ac:dyDescent="0.25">
      <c r="A3814" s="2" t="s">
        <v>428</v>
      </c>
      <c r="B3814" s="2" t="s">
        <v>1113</v>
      </c>
      <c r="C3814" s="5" t="s">
        <v>5896</v>
      </c>
      <c r="D3814" s="2" t="s">
        <v>5897</v>
      </c>
    </row>
    <row r="3815" spans="1:4" ht="12.95" customHeight="1" x14ac:dyDescent="0.25">
      <c r="A3815" s="2" t="s">
        <v>428</v>
      </c>
      <c r="B3815" s="2" t="s">
        <v>1113</v>
      </c>
      <c r="C3815" s="5" t="s">
        <v>5898</v>
      </c>
      <c r="D3815" s="2" t="s">
        <v>3626</v>
      </c>
    </row>
    <row r="3816" spans="1:4" ht="12.95" customHeight="1" x14ac:dyDescent="0.25">
      <c r="A3816" s="2" t="s">
        <v>428</v>
      </c>
      <c r="B3816" s="2" t="s">
        <v>1113</v>
      </c>
      <c r="C3816" s="5" t="s">
        <v>5899</v>
      </c>
      <c r="D3816" s="2" t="s">
        <v>3632</v>
      </c>
    </row>
    <row r="3817" spans="1:4" ht="12.95" customHeight="1" x14ac:dyDescent="0.25">
      <c r="A3817" s="2" t="s">
        <v>428</v>
      </c>
      <c r="B3817" s="2" t="s">
        <v>1113</v>
      </c>
      <c r="C3817" s="5" t="s">
        <v>5900</v>
      </c>
      <c r="D3817" s="2" t="s">
        <v>3634</v>
      </c>
    </row>
    <row r="3818" spans="1:4" ht="12.95" customHeight="1" x14ac:dyDescent="0.25">
      <c r="A3818" s="2" t="s">
        <v>428</v>
      </c>
      <c r="B3818" s="2" t="s">
        <v>1113</v>
      </c>
      <c r="C3818" s="5" t="s">
        <v>5901</v>
      </c>
      <c r="D3818" s="2" t="s">
        <v>3636</v>
      </c>
    </row>
    <row r="3819" spans="1:4" ht="12.95" customHeight="1" x14ac:dyDescent="0.25">
      <c r="A3819" s="2" t="s">
        <v>428</v>
      </c>
      <c r="B3819" s="2" t="s">
        <v>1113</v>
      </c>
      <c r="C3819" s="5" t="s">
        <v>5902</v>
      </c>
      <c r="D3819" s="2" t="s">
        <v>3827</v>
      </c>
    </row>
    <row r="3820" spans="1:4" ht="12.95" customHeight="1" x14ac:dyDescent="0.25">
      <c r="A3820" s="2" t="s">
        <v>428</v>
      </c>
      <c r="B3820" s="2" t="s">
        <v>1113</v>
      </c>
      <c r="C3820" s="5" t="s">
        <v>5903</v>
      </c>
      <c r="D3820" s="2" t="s">
        <v>3640</v>
      </c>
    </row>
    <row r="3821" spans="1:4" ht="12.95" customHeight="1" x14ac:dyDescent="0.25">
      <c r="A3821" s="2" t="s">
        <v>428</v>
      </c>
      <c r="B3821" s="2" t="s">
        <v>1113</v>
      </c>
      <c r="C3821" s="5" t="s">
        <v>5904</v>
      </c>
      <c r="D3821" s="2" t="s">
        <v>3455</v>
      </c>
    </row>
    <row r="3822" spans="1:4" ht="12.95" customHeight="1" x14ac:dyDescent="0.25">
      <c r="A3822" s="2" t="s">
        <v>428</v>
      </c>
      <c r="B3822" s="2" t="s">
        <v>1113</v>
      </c>
      <c r="C3822" s="5" t="s">
        <v>5905</v>
      </c>
      <c r="D3822" s="2" t="s">
        <v>3643</v>
      </c>
    </row>
    <row r="3823" spans="1:4" ht="12.95" customHeight="1" x14ac:dyDescent="0.25">
      <c r="A3823" s="2" t="s">
        <v>428</v>
      </c>
      <c r="B3823" s="2" t="s">
        <v>1113</v>
      </c>
      <c r="C3823" s="5" t="s">
        <v>5906</v>
      </c>
      <c r="D3823" s="2" t="s">
        <v>4786</v>
      </c>
    </row>
    <row r="3824" spans="1:4" ht="12.95" customHeight="1" x14ac:dyDescent="0.25">
      <c r="A3824" s="2" t="s">
        <v>428</v>
      </c>
      <c r="B3824" s="2" t="s">
        <v>1113</v>
      </c>
      <c r="C3824" s="5" t="s">
        <v>5907</v>
      </c>
      <c r="D3824" s="2" t="s">
        <v>3457</v>
      </c>
    </row>
    <row r="3825" spans="1:4" ht="12.95" customHeight="1" x14ac:dyDescent="0.25">
      <c r="A3825" s="2" t="s">
        <v>428</v>
      </c>
      <c r="B3825" s="2" t="s">
        <v>1113</v>
      </c>
      <c r="C3825" s="5" t="s">
        <v>5908</v>
      </c>
      <c r="D3825" s="2" t="s">
        <v>3832</v>
      </c>
    </row>
    <row r="3826" spans="1:4" ht="12.95" customHeight="1" x14ac:dyDescent="0.25">
      <c r="A3826" s="2" t="s">
        <v>428</v>
      </c>
      <c r="B3826" s="2" t="s">
        <v>1113</v>
      </c>
      <c r="C3826" s="5" t="s">
        <v>5909</v>
      </c>
      <c r="D3826" s="2" t="s">
        <v>4791</v>
      </c>
    </row>
    <row r="3827" spans="1:4" ht="12.95" customHeight="1" x14ac:dyDescent="0.25">
      <c r="A3827" s="2" t="s">
        <v>428</v>
      </c>
      <c r="B3827" s="2" t="s">
        <v>1113</v>
      </c>
      <c r="C3827" s="5" t="s">
        <v>5910</v>
      </c>
      <c r="D3827" s="2" t="s">
        <v>3648</v>
      </c>
    </row>
    <row r="3828" spans="1:4" ht="12.95" customHeight="1" x14ac:dyDescent="0.25">
      <c r="A3828" s="2" t="s">
        <v>428</v>
      </c>
      <c r="B3828" s="2" t="s">
        <v>1113</v>
      </c>
      <c r="C3828" s="5" t="s">
        <v>5911</v>
      </c>
      <c r="D3828" s="2" t="s">
        <v>5912</v>
      </c>
    </row>
    <row r="3829" spans="1:4" ht="12.95" customHeight="1" x14ac:dyDescent="0.25">
      <c r="A3829" s="2" t="s">
        <v>428</v>
      </c>
      <c r="B3829" s="2" t="s">
        <v>1113</v>
      </c>
      <c r="C3829" s="5" t="s">
        <v>5913</v>
      </c>
      <c r="D3829" s="2" t="s">
        <v>3626</v>
      </c>
    </row>
    <row r="3830" spans="1:4" ht="12.95" customHeight="1" x14ac:dyDescent="0.25">
      <c r="A3830" s="2" t="s">
        <v>428</v>
      </c>
      <c r="B3830" s="2" t="s">
        <v>1113</v>
      </c>
      <c r="C3830" s="5" t="s">
        <v>5914</v>
      </c>
      <c r="D3830" s="2" t="s">
        <v>3632</v>
      </c>
    </row>
    <row r="3831" spans="1:4" ht="12.95" customHeight="1" x14ac:dyDescent="0.25">
      <c r="A3831" s="2" t="s">
        <v>428</v>
      </c>
      <c r="B3831" s="2" t="s">
        <v>1113</v>
      </c>
      <c r="C3831" s="5" t="s">
        <v>5915</v>
      </c>
      <c r="D3831" s="2" t="s">
        <v>3634</v>
      </c>
    </row>
    <row r="3832" spans="1:4" ht="12.95" customHeight="1" x14ac:dyDescent="0.25">
      <c r="A3832" s="2" t="s">
        <v>428</v>
      </c>
      <c r="B3832" s="2" t="s">
        <v>1113</v>
      </c>
      <c r="C3832" s="5" t="s">
        <v>5916</v>
      </c>
      <c r="D3832" s="2" t="s">
        <v>3636</v>
      </c>
    </row>
    <row r="3833" spans="1:4" ht="12.95" customHeight="1" x14ac:dyDescent="0.25">
      <c r="A3833" s="2" t="s">
        <v>428</v>
      </c>
      <c r="B3833" s="2" t="s">
        <v>1113</v>
      </c>
      <c r="C3833" s="5" t="s">
        <v>5917</v>
      </c>
      <c r="D3833" s="2" t="s">
        <v>3827</v>
      </c>
    </row>
    <row r="3834" spans="1:4" ht="12.95" customHeight="1" x14ac:dyDescent="0.25">
      <c r="A3834" s="2" t="s">
        <v>428</v>
      </c>
      <c r="B3834" s="2" t="s">
        <v>1113</v>
      </c>
      <c r="C3834" s="5" t="s">
        <v>5918</v>
      </c>
      <c r="D3834" s="2" t="s">
        <v>3640</v>
      </c>
    </row>
    <row r="3835" spans="1:4" ht="12.95" customHeight="1" x14ac:dyDescent="0.25">
      <c r="A3835" s="2" t="s">
        <v>428</v>
      </c>
      <c r="B3835" s="2" t="s">
        <v>1113</v>
      </c>
      <c r="C3835" s="5" t="s">
        <v>5919</v>
      </c>
      <c r="D3835" s="2" t="s">
        <v>3455</v>
      </c>
    </row>
    <row r="3836" spans="1:4" ht="12.95" customHeight="1" x14ac:dyDescent="0.25">
      <c r="A3836" s="2" t="s">
        <v>428</v>
      </c>
      <c r="B3836" s="2" t="s">
        <v>1113</v>
      </c>
      <c r="C3836" s="5" t="s">
        <v>5920</v>
      </c>
      <c r="D3836" s="2" t="s">
        <v>3643</v>
      </c>
    </row>
    <row r="3837" spans="1:4" ht="12.95" customHeight="1" x14ac:dyDescent="0.25">
      <c r="A3837" s="2" t="s">
        <v>428</v>
      </c>
      <c r="B3837" s="2" t="s">
        <v>1113</v>
      </c>
      <c r="C3837" s="5" t="s">
        <v>5921</v>
      </c>
      <c r="D3837" s="2" t="s">
        <v>4786</v>
      </c>
    </row>
    <row r="3838" spans="1:4" ht="12.95" customHeight="1" x14ac:dyDescent="0.25">
      <c r="A3838" s="2" t="s">
        <v>428</v>
      </c>
      <c r="B3838" s="2" t="s">
        <v>1113</v>
      </c>
      <c r="C3838" s="5" t="s">
        <v>5922</v>
      </c>
      <c r="D3838" s="2" t="s">
        <v>3457</v>
      </c>
    </row>
    <row r="3839" spans="1:4" ht="12.95" customHeight="1" x14ac:dyDescent="0.25">
      <c r="A3839" s="2" t="s">
        <v>428</v>
      </c>
      <c r="B3839" s="2" t="s">
        <v>1113</v>
      </c>
      <c r="C3839" s="5" t="s">
        <v>5923</v>
      </c>
      <c r="D3839" s="2" t="s">
        <v>3459</v>
      </c>
    </row>
    <row r="3840" spans="1:4" ht="12.95" customHeight="1" x14ac:dyDescent="0.25">
      <c r="A3840" s="2" t="s">
        <v>428</v>
      </c>
      <c r="B3840" s="2" t="s">
        <v>1113</v>
      </c>
      <c r="C3840" s="5" t="s">
        <v>5924</v>
      </c>
      <c r="D3840" s="2" t="s">
        <v>3646</v>
      </c>
    </row>
    <row r="3841" spans="1:4" ht="12.95" customHeight="1" x14ac:dyDescent="0.25">
      <c r="A3841" s="2" t="s">
        <v>428</v>
      </c>
      <c r="B3841" s="2" t="s">
        <v>1113</v>
      </c>
      <c r="C3841" s="5" t="s">
        <v>5925</v>
      </c>
      <c r="D3841" s="2" t="s">
        <v>3463</v>
      </c>
    </row>
    <row r="3842" spans="1:4" ht="12.95" customHeight="1" x14ac:dyDescent="0.25">
      <c r="A3842" s="2" t="s">
        <v>428</v>
      </c>
      <c r="B3842" s="2" t="s">
        <v>1113</v>
      </c>
      <c r="C3842" s="5" t="s">
        <v>5926</v>
      </c>
      <c r="D3842" s="2" t="s">
        <v>5927</v>
      </c>
    </row>
    <row r="3843" spans="1:4" ht="12.95" customHeight="1" x14ac:dyDescent="0.25">
      <c r="A3843" s="2" t="s">
        <v>428</v>
      </c>
      <c r="B3843" s="2" t="s">
        <v>1113</v>
      </c>
      <c r="C3843" s="5" t="s">
        <v>5928</v>
      </c>
      <c r="D3843" s="2" t="s">
        <v>3626</v>
      </c>
    </row>
    <row r="3844" spans="1:4" ht="12.95" customHeight="1" x14ac:dyDescent="0.25">
      <c r="A3844" s="2" t="s">
        <v>428</v>
      </c>
      <c r="B3844" s="2" t="s">
        <v>1113</v>
      </c>
      <c r="C3844" s="5" t="s">
        <v>5929</v>
      </c>
      <c r="D3844" s="2" t="s">
        <v>3632</v>
      </c>
    </row>
    <row r="3845" spans="1:4" ht="12.95" customHeight="1" x14ac:dyDescent="0.25">
      <c r="A3845" s="2" t="s">
        <v>428</v>
      </c>
      <c r="B3845" s="2" t="s">
        <v>1113</v>
      </c>
      <c r="C3845" s="5" t="s">
        <v>5930</v>
      </c>
      <c r="D3845" s="2" t="s">
        <v>3634</v>
      </c>
    </row>
    <row r="3846" spans="1:4" ht="12.95" customHeight="1" x14ac:dyDescent="0.25">
      <c r="A3846" s="2" t="s">
        <v>428</v>
      </c>
      <c r="B3846" s="2" t="s">
        <v>1113</v>
      </c>
      <c r="C3846" s="5" t="s">
        <v>5931</v>
      </c>
      <c r="D3846" s="2" t="s">
        <v>3636</v>
      </c>
    </row>
    <row r="3847" spans="1:4" ht="12.95" customHeight="1" x14ac:dyDescent="0.25">
      <c r="A3847" s="2" t="s">
        <v>428</v>
      </c>
      <c r="B3847" s="2" t="s">
        <v>1113</v>
      </c>
      <c r="C3847" s="5" t="s">
        <v>5932</v>
      </c>
      <c r="D3847" s="2" t="s">
        <v>3827</v>
      </c>
    </row>
    <row r="3848" spans="1:4" ht="12.95" customHeight="1" x14ac:dyDescent="0.25">
      <c r="A3848" s="2" t="s">
        <v>428</v>
      </c>
      <c r="B3848" s="2" t="s">
        <v>1113</v>
      </c>
      <c r="C3848" s="5" t="s">
        <v>5933</v>
      </c>
      <c r="D3848" s="2" t="s">
        <v>3640</v>
      </c>
    </row>
    <row r="3849" spans="1:4" ht="12.95" customHeight="1" x14ac:dyDescent="0.25">
      <c r="A3849" s="2" t="s">
        <v>428</v>
      </c>
      <c r="B3849" s="2" t="s">
        <v>1113</v>
      </c>
      <c r="C3849" s="5" t="s">
        <v>5934</v>
      </c>
      <c r="D3849" s="2" t="s">
        <v>3455</v>
      </c>
    </row>
    <row r="3850" spans="1:4" ht="12.95" customHeight="1" x14ac:dyDescent="0.25">
      <c r="A3850" s="2" t="s">
        <v>428</v>
      </c>
      <c r="B3850" s="2" t="s">
        <v>1113</v>
      </c>
      <c r="C3850" s="5" t="s">
        <v>5935</v>
      </c>
      <c r="D3850" s="2" t="s">
        <v>3643</v>
      </c>
    </row>
    <row r="3851" spans="1:4" ht="12.95" customHeight="1" x14ac:dyDescent="0.25">
      <c r="A3851" s="2" t="s">
        <v>428</v>
      </c>
      <c r="B3851" s="2" t="s">
        <v>1113</v>
      </c>
      <c r="C3851" s="5" t="s">
        <v>5936</v>
      </c>
      <c r="D3851" s="2" t="s">
        <v>4786</v>
      </c>
    </row>
    <row r="3852" spans="1:4" ht="12.95" customHeight="1" x14ac:dyDescent="0.25">
      <c r="A3852" s="2" t="s">
        <v>428</v>
      </c>
      <c r="B3852" s="2" t="s">
        <v>1113</v>
      </c>
      <c r="C3852" s="5" t="s">
        <v>5937</v>
      </c>
      <c r="D3852" s="2" t="s">
        <v>3457</v>
      </c>
    </row>
    <row r="3853" spans="1:4" ht="12.95" customHeight="1" x14ac:dyDescent="0.25">
      <c r="A3853" s="2" t="s">
        <v>428</v>
      </c>
      <c r="B3853" s="2" t="s">
        <v>1113</v>
      </c>
      <c r="C3853" s="5" t="s">
        <v>5938</v>
      </c>
      <c r="D3853" s="2" t="s">
        <v>3832</v>
      </c>
    </row>
    <row r="3854" spans="1:4" ht="12.95" customHeight="1" x14ac:dyDescent="0.25">
      <c r="A3854" s="2" t="s">
        <v>428</v>
      </c>
      <c r="B3854" s="2" t="s">
        <v>1113</v>
      </c>
      <c r="C3854" s="5" t="s">
        <v>5939</v>
      </c>
      <c r="D3854" s="2" t="s">
        <v>4791</v>
      </c>
    </row>
    <row r="3855" spans="1:4" ht="12.95" customHeight="1" x14ac:dyDescent="0.25">
      <c r="A3855" s="2" t="s">
        <v>428</v>
      </c>
      <c r="B3855" s="2" t="s">
        <v>1113</v>
      </c>
      <c r="C3855" s="5" t="s">
        <v>5940</v>
      </c>
      <c r="D3855" s="2" t="s">
        <v>3648</v>
      </c>
    </row>
    <row r="3856" spans="1:4" ht="12.95" customHeight="1" x14ac:dyDescent="0.25">
      <c r="A3856" s="2" t="s">
        <v>428</v>
      </c>
      <c r="B3856" s="2" t="s">
        <v>1113</v>
      </c>
      <c r="C3856" s="5" t="s">
        <v>5941</v>
      </c>
      <c r="D3856" s="2" t="s">
        <v>5942</v>
      </c>
    </row>
    <row r="3857" spans="1:4" ht="12.95" customHeight="1" x14ac:dyDescent="0.25">
      <c r="A3857" s="2" t="s">
        <v>428</v>
      </c>
      <c r="B3857" s="2" t="s">
        <v>1113</v>
      </c>
      <c r="C3857" s="5" t="s">
        <v>5943</v>
      </c>
      <c r="D3857" s="2" t="s">
        <v>5944</v>
      </c>
    </row>
    <row r="3858" spans="1:4" ht="12.95" customHeight="1" x14ac:dyDescent="0.25">
      <c r="A3858" s="2" t="s">
        <v>428</v>
      </c>
      <c r="B3858" s="2" t="s">
        <v>1113</v>
      </c>
      <c r="C3858" s="5" t="s">
        <v>5945</v>
      </c>
      <c r="D3858" s="2" t="s">
        <v>3643</v>
      </c>
    </row>
    <row r="3859" spans="1:4" ht="12.95" customHeight="1" x14ac:dyDescent="0.25">
      <c r="A3859" s="2" t="s">
        <v>428</v>
      </c>
      <c r="B3859" s="2" t="s">
        <v>1113</v>
      </c>
      <c r="C3859" s="5" t="s">
        <v>5946</v>
      </c>
      <c r="D3859" s="2" t="s">
        <v>4786</v>
      </c>
    </row>
    <row r="3860" spans="1:4" ht="12.95" customHeight="1" x14ac:dyDescent="0.25">
      <c r="A3860" s="2" t="s">
        <v>428</v>
      </c>
      <c r="B3860" s="2" t="s">
        <v>1113</v>
      </c>
      <c r="C3860" s="5" t="s">
        <v>5947</v>
      </c>
      <c r="D3860" s="2" t="s">
        <v>3457</v>
      </c>
    </row>
    <row r="3861" spans="1:4" ht="12.95" customHeight="1" x14ac:dyDescent="0.25">
      <c r="A3861" s="2" t="s">
        <v>428</v>
      </c>
      <c r="B3861" s="2" t="s">
        <v>1113</v>
      </c>
      <c r="C3861" s="5" t="s">
        <v>5948</v>
      </c>
      <c r="D3861" s="2" t="s">
        <v>5949</v>
      </c>
    </row>
    <row r="3862" spans="1:4" ht="12.95" customHeight="1" x14ac:dyDescent="0.25">
      <c r="A3862" s="2" t="s">
        <v>428</v>
      </c>
      <c r="B3862" s="2" t="s">
        <v>1113</v>
      </c>
      <c r="C3862" s="5" t="s">
        <v>5950</v>
      </c>
      <c r="D3862" s="2" t="s">
        <v>4791</v>
      </c>
    </row>
    <row r="3863" spans="1:4" ht="12.95" customHeight="1" x14ac:dyDescent="0.25">
      <c r="A3863" s="2" t="s">
        <v>428</v>
      </c>
      <c r="B3863" s="2" t="s">
        <v>1113</v>
      </c>
      <c r="C3863" s="5" t="s">
        <v>5951</v>
      </c>
      <c r="D3863" s="2" t="s">
        <v>5952</v>
      </c>
    </row>
    <row r="3864" spans="1:4" ht="12.95" customHeight="1" x14ac:dyDescent="0.25">
      <c r="A3864" s="2" t="s">
        <v>428</v>
      </c>
      <c r="B3864" s="2" t="s">
        <v>1113</v>
      </c>
      <c r="C3864" s="5" t="s">
        <v>5953</v>
      </c>
      <c r="D3864" s="2" t="s">
        <v>3643</v>
      </c>
    </row>
    <row r="3865" spans="1:4" ht="12.95" customHeight="1" x14ac:dyDescent="0.25">
      <c r="A3865" s="2" t="s">
        <v>428</v>
      </c>
      <c r="B3865" s="2" t="s">
        <v>1113</v>
      </c>
      <c r="C3865" s="5" t="s">
        <v>5954</v>
      </c>
      <c r="D3865" s="2" t="s">
        <v>4786</v>
      </c>
    </row>
    <row r="3866" spans="1:4" ht="12.95" customHeight="1" x14ac:dyDescent="0.25">
      <c r="A3866" s="2" t="s">
        <v>428</v>
      </c>
      <c r="B3866" s="2" t="s">
        <v>1113</v>
      </c>
      <c r="C3866" s="5" t="s">
        <v>5955</v>
      </c>
      <c r="D3866" s="2" t="s">
        <v>3457</v>
      </c>
    </row>
    <row r="3867" spans="1:4" ht="12.95" customHeight="1" x14ac:dyDescent="0.25">
      <c r="A3867" s="2" t="s">
        <v>428</v>
      </c>
      <c r="B3867" s="2" t="s">
        <v>1113</v>
      </c>
      <c r="C3867" s="5" t="s">
        <v>5956</v>
      </c>
      <c r="D3867" s="2" t="s">
        <v>3643</v>
      </c>
    </row>
    <row r="3868" spans="1:4" ht="12.95" customHeight="1" x14ac:dyDescent="0.25">
      <c r="A3868" s="2" t="s">
        <v>428</v>
      </c>
      <c r="B3868" s="2" t="s">
        <v>1113</v>
      </c>
      <c r="C3868" s="5" t="s">
        <v>5957</v>
      </c>
      <c r="D3868" s="2" t="s">
        <v>4786</v>
      </c>
    </row>
    <row r="3869" spans="1:4" ht="12.95" customHeight="1" x14ac:dyDescent="0.25">
      <c r="A3869" s="2" t="s">
        <v>428</v>
      </c>
      <c r="B3869" s="2" t="s">
        <v>1113</v>
      </c>
      <c r="C3869" s="5" t="s">
        <v>5958</v>
      </c>
      <c r="D3869" s="2" t="s">
        <v>3457</v>
      </c>
    </row>
    <row r="3870" spans="1:4" ht="12.95" customHeight="1" x14ac:dyDescent="0.25">
      <c r="A3870" s="2" t="s">
        <v>428</v>
      </c>
      <c r="B3870" s="2" t="s">
        <v>1113</v>
      </c>
      <c r="C3870" s="5" t="s">
        <v>5959</v>
      </c>
      <c r="D3870" s="2" t="s">
        <v>3832</v>
      </c>
    </row>
    <row r="3871" spans="1:4" ht="12.95" customHeight="1" x14ac:dyDescent="0.25">
      <c r="A3871" s="2" t="s">
        <v>428</v>
      </c>
      <c r="B3871" s="2" t="s">
        <v>1113</v>
      </c>
      <c r="C3871" s="5" t="s">
        <v>5960</v>
      </c>
      <c r="D3871" s="2" t="s">
        <v>4791</v>
      </c>
    </row>
    <row r="3872" spans="1:4" ht="12.95" customHeight="1" x14ac:dyDescent="0.25">
      <c r="A3872" s="2" t="s">
        <v>428</v>
      </c>
      <c r="B3872" s="2" t="s">
        <v>1113</v>
      </c>
      <c r="C3872" s="5" t="s">
        <v>5961</v>
      </c>
      <c r="D3872" s="2" t="s">
        <v>3643</v>
      </c>
    </row>
    <row r="3873" spans="1:4" ht="12.95" customHeight="1" x14ac:dyDescent="0.25">
      <c r="A3873" s="2" t="s">
        <v>428</v>
      </c>
      <c r="B3873" s="2" t="s">
        <v>1113</v>
      </c>
      <c r="C3873" s="5" t="s">
        <v>5962</v>
      </c>
      <c r="D3873" s="2" t="s">
        <v>4786</v>
      </c>
    </row>
    <row r="3874" spans="1:4" ht="12.95" customHeight="1" x14ac:dyDescent="0.25">
      <c r="A3874" s="2" t="s">
        <v>428</v>
      </c>
      <c r="B3874" s="2" t="s">
        <v>1113</v>
      </c>
      <c r="C3874" s="5" t="s">
        <v>5963</v>
      </c>
      <c r="D3874" s="2" t="s">
        <v>3457</v>
      </c>
    </row>
    <row r="3875" spans="1:4" ht="12.95" customHeight="1" x14ac:dyDescent="0.25">
      <c r="A3875" s="2" t="s">
        <v>428</v>
      </c>
      <c r="B3875" s="2" t="s">
        <v>1113</v>
      </c>
      <c r="C3875" s="5" t="s">
        <v>5964</v>
      </c>
      <c r="D3875" s="2" t="s">
        <v>3832</v>
      </c>
    </row>
    <row r="3876" spans="1:4" ht="12.95" customHeight="1" x14ac:dyDescent="0.25">
      <c r="A3876" s="2" t="s">
        <v>428</v>
      </c>
      <c r="B3876" s="2" t="s">
        <v>1113</v>
      </c>
      <c r="C3876" s="5" t="s">
        <v>5965</v>
      </c>
      <c r="D3876" s="2" t="s">
        <v>4791</v>
      </c>
    </row>
    <row r="3877" spans="1:4" ht="12.95" customHeight="1" x14ac:dyDescent="0.25">
      <c r="A3877" s="2" t="s">
        <v>428</v>
      </c>
      <c r="B3877" s="2" t="s">
        <v>1113</v>
      </c>
      <c r="C3877" s="5" t="s">
        <v>5966</v>
      </c>
      <c r="D3877" s="2" t="s">
        <v>5944</v>
      </c>
    </row>
    <row r="3878" spans="1:4" ht="12.95" customHeight="1" x14ac:dyDescent="0.25">
      <c r="A3878" s="2" t="s">
        <v>428</v>
      </c>
      <c r="B3878" s="2" t="s">
        <v>1113</v>
      </c>
      <c r="C3878" s="5" t="s">
        <v>5967</v>
      </c>
      <c r="D3878" s="2" t="s">
        <v>3643</v>
      </c>
    </row>
    <row r="3879" spans="1:4" ht="12.95" customHeight="1" x14ac:dyDescent="0.25">
      <c r="A3879" s="2" t="s">
        <v>428</v>
      </c>
      <c r="B3879" s="2" t="s">
        <v>1113</v>
      </c>
      <c r="C3879" s="5" t="s">
        <v>5968</v>
      </c>
      <c r="D3879" s="2" t="s">
        <v>4786</v>
      </c>
    </row>
    <row r="3880" spans="1:4" ht="12.95" customHeight="1" x14ac:dyDescent="0.25">
      <c r="A3880" s="2" t="s">
        <v>428</v>
      </c>
      <c r="B3880" s="2" t="s">
        <v>1113</v>
      </c>
      <c r="C3880" s="5" t="s">
        <v>5969</v>
      </c>
      <c r="D3880" s="2" t="s">
        <v>3457</v>
      </c>
    </row>
    <row r="3881" spans="1:4" ht="12.95" customHeight="1" x14ac:dyDescent="0.25">
      <c r="A3881" s="2" t="s">
        <v>428</v>
      </c>
      <c r="B3881" s="2" t="s">
        <v>1113</v>
      </c>
      <c r="C3881" s="5" t="s">
        <v>5970</v>
      </c>
      <c r="D3881" s="2" t="s">
        <v>3832</v>
      </c>
    </row>
    <row r="3882" spans="1:4" ht="12.95" customHeight="1" x14ac:dyDescent="0.25">
      <c r="A3882" s="2" t="s">
        <v>428</v>
      </c>
      <c r="B3882" s="2" t="s">
        <v>1113</v>
      </c>
      <c r="C3882" s="5" t="s">
        <v>5971</v>
      </c>
      <c r="D3882" s="2" t="s">
        <v>5972</v>
      </c>
    </row>
    <row r="3883" spans="1:4" ht="12.95" customHeight="1" x14ac:dyDescent="0.25">
      <c r="A3883" s="2" t="s">
        <v>428</v>
      </c>
      <c r="B3883" s="2" t="s">
        <v>1113</v>
      </c>
      <c r="C3883" s="5" t="s">
        <v>5973</v>
      </c>
      <c r="D3883" s="2" t="s">
        <v>5974</v>
      </c>
    </row>
    <row r="3884" spans="1:4" ht="12.95" customHeight="1" x14ac:dyDescent="0.25">
      <c r="A3884" s="2" t="s">
        <v>428</v>
      </c>
      <c r="B3884" s="2" t="s">
        <v>1113</v>
      </c>
      <c r="C3884" s="5" t="s">
        <v>5975</v>
      </c>
      <c r="D3884" s="2" t="s">
        <v>5976</v>
      </c>
    </row>
    <row r="3885" spans="1:4" ht="12.95" customHeight="1" x14ac:dyDescent="0.25">
      <c r="A3885" s="2" t="s">
        <v>428</v>
      </c>
      <c r="B3885" s="2" t="s">
        <v>1113</v>
      </c>
      <c r="C3885" s="5" t="s">
        <v>5977</v>
      </c>
      <c r="D3885" s="2" t="s">
        <v>5978</v>
      </c>
    </row>
    <row r="3886" spans="1:4" ht="12.95" customHeight="1" x14ac:dyDescent="0.25">
      <c r="A3886" s="2" t="s">
        <v>428</v>
      </c>
      <c r="B3886" s="2" t="s">
        <v>1113</v>
      </c>
      <c r="C3886" s="5" t="s">
        <v>5979</v>
      </c>
      <c r="D3886" s="2" t="s">
        <v>3395</v>
      </c>
    </row>
    <row r="3887" spans="1:4" ht="12.95" customHeight="1" x14ac:dyDescent="0.25">
      <c r="A3887" s="2" t="s">
        <v>428</v>
      </c>
      <c r="B3887" s="2" t="s">
        <v>1113</v>
      </c>
      <c r="C3887" s="5" t="s">
        <v>5980</v>
      </c>
      <c r="D3887" s="2" t="s">
        <v>3427</v>
      </c>
    </row>
    <row r="3888" spans="1:4" ht="12.95" customHeight="1" x14ac:dyDescent="0.25">
      <c r="A3888" s="2" t="s">
        <v>428</v>
      </c>
      <c r="B3888" s="2" t="s">
        <v>1113</v>
      </c>
      <c r="C3888" s="5" t="s">
        <v>5981</v>
      </c>
      <c r="D3888" s="2" t="s">
        <v>5982</v>
      </c>
    </row>
    <row r="3889" spans="1:4" ht="12.95" customHeight="1" x14ac:dyDescent="0.25">
      <c r="A3889" s="2" t="s">
        <v>428</v>
      </c>
      <c r="B3889" s="2" t="s">
        <v>1113</v>
      </c>
      <c r="C3889" s="5" t="s">
        <v>5983</v>
      </c>
      <c r="D3889" s="2" t="s">
        <v>5218</v>
      </c>
    </row>
    <row r="3890" spans="1:4" ht="12.95" customHeight="1" x14ac:dyDescent="0.25">
      <c r="A3890" s="2" t="s">
        <v>428</v>
      </c>
      <c r="B3890" s="2" t="s">
        <v>1113</v>
      </c>
      <c r="C3890" s="5" t="s">
        <v>5984</v>
      </c>
      <c r="D3890" s="2" t="s">
        <v>5000</v>
      </c>
    </row>
    <row r="3891" spans="1:4" ht="12.95" customHeight="1" x14ac:dyDescent="0.25">
      <c r="A3891" s="2" t="s">
        <v>428</v>
      </c>
      <c r="B3891" s="2" t="s">
        <v>1113</v>
      </c>
      <c r="C3891" s="5" t="s">
        <v>5985</v>
      </c>
      <c r="D3891" s="2" t="s">
        <v>4562</v>
      </c>
    </row>
    <row r="3892" spans="1:4" ht="12.95" customHeight="1" x14ac:dyDescent="0.25">
      <c r="A3892" s="2" t="s">
        <v>428</v>
      </c>
      <c r="B3892" s="2" t="s">
        <v>1113</v>
      </c>
      <c r="C3892" s="5" t="s">
        <v>5986</v>
      </c>
      <c r="D3892" s="2" t="s">
        <v>5222</v>
      </c>
    </row>
    <row r="3893" spans="1:4" ht="12.95" customHeight="1" x14ac:dyDescent="0.25">
      <c r="A3893" s="2" t="s">
        <v>428</v>
      </c>
      <c r="B3893" s="2" t="s">
        <v>1113</v>
      </c>
      <c r="C3893" s="5" t="s">
        <v>5987</v>
      </c>
      <c r="D3893" s="2" t="s">
        <v>5988</v>
      </c>
    </row>
    <row r="3894" spans="1:4" ht="12.95" customHeight="1" x14ac:dyDescent="0.25">
      <c r="A3894" s="2" t="s">
        <v>428</v>
      </c>
      <c r="B3894" s="2" t="s">
        <v>1113</v>
      </c>
      <c r="C3894" s="5" t="s">
        <v>5989</v>
      </c>
      <c r="D3894" s="2" t="s">
        <v>5990</v>
      </c>
    </row>
    <row r="3895" spans="1:4" ht="12.95" customHeight="1" x14ac:dyDescent="0.25">
      <c r="A3895" s="2" t="s">
        <v>428</v>
      </c>
      <c r="B3895" s="2" t="s">
        <v>1113</v>
      </c>
      <c r="C3895" s="5" t="s">
        <v>5991</v>
      </c>
      <c r="D3895" s="2" t="s">
        <v>5002</v>
      </c>
    </row>
    <row r="3896" spans="1:4" ht="12.95" customHeight="1" x14ac:dyDescent="0.25">
      <c r="A3896" s="2" t="s">
        <v>428</v>
      </c>
      <c r="B3896" s="2" t="s">
        <v>1113</v>
      </c>
      <c r="C3896" s="5" t="s">
        <v>5992</v>
      </c>
      <c r="D3896" s="2" t="s">
        <v>5218</v>
      </c>
    </row>
    <row r="3897" spans="1:4" ht="12.95" customHeight="1" x14ac:dyDescent="0.25">
      <c r="A3897" s="2" t="s">
        <v>428</v>
      </c>
      <c r="B3897" s="2" t="s">
        <v>1113</v>
      </c>
      <c r="C3897" s="5" t="s">
        <v>5993</v>
      </c>
      <c r="D3897" s="2" t="s">
        <v>5000</v>
      </c>
    </row>
    <row r="3898" spans="1:4" ht="12.95" customHeight="1" x14ac:dyDescent="0.25">
      <c r="A3898" s="2" t="s">
        <v>428</v>
      </c>
      <c r="B3898" s="2" t="s">
        <v>1113</v>
      </c>
      <c r="C3898" s="5" t="s">
        <v>5994</v>
      </c>
      <c r="D3898" s="2" t="s">
        <v>5995</v>
      </c>
    </row>
    <row r="3899" spans="1:4" ht="12.95" customHeight="1" x14ac:dyDescent="0.25">
      <c r="A3899" s="2" t="s">
        <v>428</v>
      </c>
      <c r="B3899" s="2" t="s">
        <v>1113</v>
      </c>
      <c r="C3899" s="5" t="s">
        <v>5996</v>
      </c>
      <c r="D3899" s="2" t="s">
        <v>5997</v>
      </c>
    </row>
    <row r="3900" spans="1:4" ht="12.95" customHeight="1" x14ac:dyDescent="0.25">
      <c r="A3900" s="2" t="s">
        <v>428</v>
      </c>
      <c r="B3900" s="2" t="s">
        <v>1113</v>
      </c>
      <c r="C3900" s="5" t="s">
        <v>5998</v>
      </c>
      <c r="D3900" s="2" t="s">
        <v>4568</v>
      </c>
    </row>
    <row r="3901" spans="1:4" ht="12.95" customHeight="1" x14ac:dyDescent="0.25">
      <c r="A3901" s="2" t="s">
        <v>428</v>
      </c>
      <c r="B3901" s="2" t="s">
        <v>1113</v>
      </c>
      <c r="C3901" s="5" t="s">
        <v>5999</v>
      </c>
      <c r="D3901" s="2" t="s">
        <v>6000</v>
      </c>
    </row>
    <row r="3902" spans="1:4" ht="12.95" customHeight="1" x14ac:dyDescent="0.25">
      <c r="A3902" s="2" t="s">
        <v>428</v>
      </c>
      <c r="B3902" s="2" t="s">
        <v>1113</v>
      </c>
      <c r="C3902" s="5" t="s">
        <v>6001</v>
      </c>
      <c r="D3902" s="2" t="s">
        <v>6002</v>
      </c>
    </row>
    <row r="3903" spans="1:4" ht="12.95" customHeight="1" x14ac:dyDescent="0.25">
      <c r="A3903" s="2" t="s">
        <v>428</v>
      </c>
      <c r="B3903" s="2" t="s">
        <v>1113</v>
      </c>
      <c r="C3903" s="5" t="s">
        <v>6003</v>
      </c>
      <c r="D3903" s="2" t="s">
        <v>6004</v>
      </c>
    </row>
    <row r="3904" spans="1:4" ht="12.95" customHeight="1" x14ac:dyDescent="0.25">
      <c r="A3904" s="2" t="s">
        <v>428</v>
      </c>
      <c r="B3904" s="2" t="s">
        <v>1113</v>
      </c>
      <c r="C3904" s="5" t="s">
        <v>6005</v>
      </c>
      <c r="D3904" s="2" t="s">
        <v>6006</v>
      </c>
    </row>
    <row r="3905" spans="1:4" ht="12.95" customHeight="1" x14ac:dyDescent="0.25">
      <c r="A3905" s="2" t="s">
        <v>428</v>
      </c>
      <c r="B3905" s="2" t="s">
        <v>1113</v>
      </c>
      <c r="C3905" s="5" t="s">
        <v>6007</v>
      </c>
      <c r="D3905" s="2" t="s">
        <v>6008</v>
      </c>
    </row>
    <row r="3906" spans="1:4" ht="12.95" customHeight="1" x14ac:dyDescent="0.25">
      <c r="A3906" s="2" t="s">
        <v>428</v>
      </c>
      <c r="B3906" s="2" t="s">
        <v>1113</v>
      </c>
      <c r="C3906" s="5" t="s">
        <v>6009</v>
      </c>
      <c r="D3906" s="2" t="s">
        <v>6010</v>
      </c>
    </row>
    <row r="3907" spans="1:4" ht="12.95" customHeight="1" x14ac:dyDescent="0.25">
      <c r="A3907" s="2" t="s">
        <v>428</v>
      </c>
      <c r="B3907" s="2" t="s">
        <v>1113</v>
      </c>
      <c r="C3907" s="5" t="s">
        <v>6011</v>
      </c>
      <c r="D3907" s="2" t="s">
        <v>6012</v>
      </c>
    </row>
    <row r="3908" spans="1:4" ht="12.95" customHeight="1" x14ac:dyDescent="0.25">
      <c r="A3908" s="2" t="s">
        <v>428</v>
      </c>
      <c r="B3908" s="2" t="s">
        <v>1113</v>
      </c>
      <c r="C3908" s="5" t="s">
        <v>6013</v>
      </c>
      <c r="D3908" s="2" t="s">
        <v>6014</v>
      </c>
    </row>
    <row r="3909" spans="1:4" ht="12.95" customHeight="1" x14ac:dyDescent="0.25">
      <c r="A3909" s="2" t="s">
        <v>428</v>
      </c>
      <c r="B3909" s="2" t="s">
        <v>1113</v>
      </c>
      <c r="C3909" s="5" t="s">
        <v>6015</v>
      </c>
      <c r="D3909" s="2" t="s">
        <v>6016</v>
      </c>
    </row>
    <row r="3910" spans="1:4" ht="12.95" customHeight="1" x14ac:dyDescent="0.25">
      <c r="A3910" s="2" t="s">
        <v>428</v>
      </c>
      <c r="B3910" s="2" t="s">
        <v>1113</v>
      </c>
      <c r="C3910" s="5" t="s">
        <v>6017</v>
      </c>
      <c r="D3910" s="2" t="s">
        <v>6018</v>
      </c>
    </row>
    <row r="3911" spans="1:4" ht="12.95" customHeight="1" x14ac:dyDescent="0.25">
      <c r="A3911" s="2" t="s">
        <v>428</v>
      </c>
      <c r="B3911" s="2" t="s">
        <v>1113</v>
      </c>
      <c r="C3911" s="5" t="s">
        <v>6019</v>
      </c>
      <c r="D3911" s="2" t="s">
        <v>6020</v>
      </c>
    </row>
    <row r="3912" spans="1:4" ht="12.95" customHeight="1" x14ac:dyDescent="0.25">
      <c r="A3912" s="2" t="s">
        <v>428</v>
      </c>
      <c r="B3912" s="2" t="s">
        <v>1113</v>
      </c>
      <c r="C3912" s="5" t="s">
        <v>6021</v>
      </c>
      <c r="D3912" s="2" t="s">
        <v>6022</v>
      </c>
    </row>
    <row r="3913" spans="1:4" ht="12.95" customHeight="1" x14ac:dyDescent="0.25">
      <c r="A3913" s="2" t="s">
        <v>428</v>
      </c>
      <c r="B3913" s="2" t="s">
        <v>1113</v>
      </c>
      <c r="C3913" s="5" t="s">
        <v>6023</v>
      </c>
      <c r="D3913" s="2" t="s">
        <v>6024</v>
      </c>
    </row>
    <row r="3914" spans="1:4" ht="12.95" customHeight="1" x14ac:dyDescent="0.25">
      <c r="A3914" s="2" t="s">
        <v>428</v>
      </c>
      <c r="B3914" s="2" t="s">
        <v>1113</v>
      </c>
      <c r="C3914" s="5" t="s">
        <v>6025</v>
      </c>
      <c r="D3914" s="2" t="s">
        <v>6026</v>
      </c>
    </row>
    <row r="3915" spans="1:4" ht="12.95" customHeight="1" x14ac:dyDescent="0.25">
      <c r="A3915" s="2" t="s">
        <v>428</v>
      </c>
      <c r="B3915" s="2" t="s">
        <v>1113</v>
      </c>
      <c r="C3915" s="5" t="s">
        <v>6027</v>
      </c>
      <c r="D3915" s="2" t="s">
        <v>4782</v>
      </c>
    </row>
    <row r="3916" spans="1:4" ht="12.95" customHeight="1" x14ac:dyDescent="0.25">
      <c r="A3916" s="2" t="s">
        <v>428</v>
      </c>
      <c r="B3916" s="2" t="s">
        <v>1113</v>
      </c>
      <c r="C3916" s="5" t="s">
        <v>6028</v>
      </c>
      <c r="D3916" s="2" t="s">
        <v>6029</v>
      </c>
    </row>
    <row r="3917" spans="1:4" ht="12.95" customHeight="1" x14ac:dyDescent="0.25">
      <c r="A3917" s="2" t="s">
        <v>428</v>
      </c>
      <c r="B3917" s="2" t="s">
        <v>1113</v>
      </c>
      <c r="C3917" s="5" t="s">
        <v>6030</v>
      </c>
      <c r="D3917" s="2" t="s">
        <v>6031</v>
      </c>
    </row>
    <row r="3918" spans="1:4" ht="12.95" customHeight="1" x14ac:dyDescent="0.25">
      <c r="A3918" s="2" t="s">
        <v>428</v>
      </c>
      <c r="B3918" s="2" t="s">
        <v>1113</v>
      </c>
      <c r="C3918" s="5" t="s">
        <v>6032</v>
      </c>
      <c r="D3918" s="2" t="s">
        <v>6033</v>
      </c>
    </row>
    <row r="3919" spans="1:4" ht="12.95" customHeight="1" x14ac:dyDescent="0.25">
      <c r="A3919" s="2" t="s">
        <v>428</v>
      </c>
      <c r="B3919" s="2" t="s">
        <v>1113</v>
      </c>
      <c r="C3919" s="5" t="s">
        <v>6034</v>
      </c>
      <c r="D3919" s="2" t="s">
        <v>6035</v>
      </c>
    </row>
    <row r="3920" spans="1:4" ht="12.95" customHeight="1" x14ac:dyDescent="0.25">
      <c r="A3920" s="2" t="s">
        <v>428</v>
      </c>
      <c r="B3920" s="2" t="s">
        <v>1113</v>
      </c>
      <c r="C3920" s="5" t="s">
        <v>6036</v>
      </c>
      <c r="D3920" s="2" t="s">
        <v>6037</v>
      </c>
    </row>
    <row r="3921" spans="1:4" ht="12.95" customHeight="1" x14ac:dyDescent="0.25">
      <c r="A3921" s="2" t="s">
        <v>428</v>
      </c>
      <c r="B3921" s="2" t="s">
        <v>1113</v>
      </c>
      <c r="C3921" s="5" t="s">
        <v>6038</v>
      </c>
      <c r="D3921" s="2" t="s">
        <v>6039</v>
      </c>
    </row>
    <row r="3922" spans="1:4" ht="12.95" customHeight="1" x14ac:dyDescent="0.25">
      <c r="A3922" s="2" t="s">
        <v>428</v>
      </c>
      <c r="B3922" s="2" t="s">
        <v>1113</v>
      </c>
      <c r="C3922" s="5" t="s">
        <v>6040</v>
      </c>
      <c r="D3922" s="2" t="s">
        <v>6041</v>
      </c>
    </row>
    <row r="3923" spans="1:4" ht="12.95" customHeight="1" x14ac:dyDescent="0.25">
      <c r="A3923" s="2" t="s">
        <v>428</v>
      </c>
      <c r="B3923" s="2" t="s">
        <v>1113</v>
      </c>
      <c r="C3923" s="5" t="s">
        <v>6042</v>
      </c>
      <c r="D3923" s="2" t="s">
        <v>6043</v>
      </c>
    </row>
    <row r="3924" spans="1:4" ht="12.95" customHeight="1" x14ac:dyDescent="0.25">
      <c r="A3924" s="2" t="s">
        <v>428</v>
      </c>
      <c r="B3924" s="2" t="s">
        <v>1113</v>
      </c>
      <c r="C3924" s="5" t="s">
        <v>6044</v>
      </c>
      <c r="D3924" s="2" t="s">
        <v>6045</v>
      </c>
    </row>
    <row r="3925" spans="1:4" ht="12.95" customHeight="1" x14ac:dyDescent="0.25">
      <c r="A3925" s="2" t="s">
        <v>428</v>
      </c>
      <c r="B3925" s="2" t="s">
        <v>1113</v>
      </c>
      <c r="C3925" s="5" t="s">
        <v>6046</v>
      </c>
      <c r="D3925" s="2" t="s">
        <v>4786</v>
      </c>
    </row>
    <row r="3926" spans="1:4" ht="12.95" customHeight="1" x14ac:dyDescent="0.25">
      <c r="A3926" s="2" t="s">
        <v>428</v>
      </c>
      <c r="B3926" s="2" t="s">
        <v>1113</v>
      </c>
      <c r="C3926" s="5" t="s">
        <v>6047</v>
      </c>
      <c r="D3926" s="2" t="s">
        <v>3457</v>
      </c>
    </row>
    <row r="3927" spans="1:4" ht="12.95" customHeight="1" x14ac:dyDescent="0.25">
      <c r="A3927" s="2" t="s">
        <v>428</v>
      </c>
      <c r="B3927" s="2" t="s">
        <v>1113</v>
      </c>
      <c r="C3927" s="5" t="s">
        <v>6048</v>
      </c>
      <c r="D3927" s="2" t="s">
        <v>3832</v>
      </c>
    </row>
    <row r="3928" spans="1:4" ht="12.95" customHeight="1" x14ac:dyDescent="0.25">
      <c r="A3928" s="2" t="s">
        <v>428</v>
      </c>
      <c r="B3928" s="2" t="s">
        <v>1113</v>
      </c>
      <c r="C3928" s="5" t="s">
        <v>6049</v>
      </c>
      <c r="D3928" s="2" t="s">
        <v>3463</v>
      </c>
    </row>
    <row r="3929" spans="1:4" ht="12.95" customHeight="1" x14ac:dyDescent="0.25">
      <c r="A3929" s="2" t="s">
        <v>428</v>
      </c>
      <c r="B3929" s="2" t="s">
        <v>1113</v>
      </c>
      <c r="C3929" s="5" t="s">
        <v>6050</v>
      </c>
      <c r="D3929" s="2" t="s">
        <v>6051</v>
      </c>
    </row>
    <row r="3930" spans="1:4" ht="12.95" customHeight="1" x14ac:dyDescent="0.25">
      <c r="A3930" s="2" t="s">
        <v>428</v>
      </c>
      <c r="B3930" s="2" t="s">
        <v>1113</v>
      </c>
      <c r="C3930" s="5" t="s">
        <v>6052</v>
      </c>
      <c r="D3930" s="2" t="s">
        <v>4622</v>
      </c>
    </row>
    <row r="3931" spans="1:4" ht="12.95" customHeight="1" x14ac:dyDescent="0.25">
      <c r="A3931" s="2" t="s">
        <v>428</v>
      </c>
      <c r="B3931" s="2" t="s">
        <v>1113</v>
      </c>
      <c r="C3931" s="5" t="s">
        <v>6053</v>
      </c>
      <c r="D3931" s="2" t="s">
        <v>6054</v>
      </c>
    </row>
    <row r="3932" spans="1:4" ht="12.95" customHeight="1" x14ac:dyDescent="0.25">
      <c r="A3932" s="2" t="s">
        <v>428</v>
      </c>
      <c r="B3932" s="2" t="s">
        <v>1113</v>
      </c>
      <c r="C3932" s="5" t="s">
        <v>6055</v>
      </c>
      <c r="D3932" s="2" t="s">
        <v>6056</v>
      </c>
    </row>
    <row r="3933" spans="1:4" ht="12.95" customHeight="1" x14ac:dyDescent="0.25">
      <c r="A3933" s="2" t="s">
        <v>428</v>
      </c>
      <c r="B3933" s="2" t="s">
        <v>1113</v>
      </c>
      <c r="C3933" s="5" t="s">
        <v>6057</v>
      </c>
      <c r="D3933" s="2" t="s">
        <v>5218</v>
      </c>
    </row>
    <row r="3934" spans="1:4" ht="12.95" customHeight="1" x14ac:dyDescent="0.25">
      <c r="A3934" s="2" t="s">
        <v>428</v>
      </c>
      <c r="B3934" s="2" t="s">
        <v>1113</v>
      </c>
      <c r="C3934" s="5" t="s">
        <v>6058</v>
      </c>
      <c r="D3934" s="2" t="s">
        <v>5000</v>
      </c>
    </row>
    <row r="3935" spans="1:4" ht="12.95" customHeight="1" x14ac:dyDescent="0.25">
      <c r="A3935" s="2" t="s">
        <v>428</v>
      </c>
      <c r="B3935" s="2" t="s">
        <v>1113</v>
      </c>
      <c r="C3935" s="5" t="s">
        <v>6059</v>
      </c>
      <c r="D3935" s="2" t="s">
        <v>4562</v>
      </c>
    </row>
    <row r="3936" spans="1:4" ht="12.95" customHeight="1" x14ac:dyDescent="0.25">
      <c r="A3936" s="2" t="s">
        <v>428</v>
      </c>
      <c r="B3936" s="2" t="s">
        <v>1113</v>
      </c>
      <c r="C3936" s="5" t="s">
        <v>6060</v>
      </c>
      <c r="D3936" s="2" t="s">
        <v>5222</v>
      </c>
    </row>
    <row r="3937" spans="1:4" ht="12.95" customHeight="1" x14ac:dyDescent="0.25">
      <c r="A3937" s="2" t="s">
        <v>428</v>
      </c>
      <c r="B3937" s="2" t="s">
        <v>1113</v>
      </c>
      <c r="C3937" s="5" t="s">
        <v>6061</v>
      </c>
      <c r="D3937" s="2" t="s">
        <v>4564</v>
      </c>
    </row>
    <row r="3938" spans="1:4" ht="12.95" customHeight="1" x14ac:dyDescent="0.25">
      <c r="A3938" s="2" t="s">
        <v>428</v>
      </c>
      <c r="B3938" s="2" t="s">
        <v>1113</v>
      </c>
      <c r="C3938" s="5" t="s">
        <v>6062</v>
      </c>
      <c r="D3938" s="2" t="s">
        <v>5225</v>
      </c>
    </row>
    <row r="3939" spans="1:4" ht="12.95" customHeight="1" x14ac:dyDescent="0.25">
      <c r="A3939" s="2" t="s">
        <v>428</v>
      </c>
      <c r="B3939" s="2" t="s">
        <v>1113</v>
      </c>
      <c r="C3939" s="5" t="s">
        <v>6063</v>
      </c>
      <c r="D3939" s="2" t="s">
        <v>5002</v>
      </c>
    </row>
    <row r="3940" spans="1:4" ht="12.95" customHeight="1" x14ac:dyDescent="0.25">
      <c r="A3940" s="2" t="s">
        <v>428</v>
      </c>
      <c r="B3940" s="2" t="s">
        <v>1113</v>
      </c>
      <c r="C3940" s="5" t="s">
        <v>6064</v>
      </c>
      <c r="D3940" s="2" t="s">
        <v>6065</v>
      </c>
    </row>
    <row r="3941" spans="1:4" ht="12.95" customHeight="1" x14ac:dyDescent="0.25">
      <c r="A3941" s="2" t="s">
        <v>428</v>
      </c>
      <c r="B3941" s="2" t="s">
        <v>1113</v>
      </c>
      <c r="C3941" s="5" t="s">
        <v>6066</v>
      </c>
      <c r="D3941" s="2" t="s">
        <v>6067</v>
      </c>
    </row>
    <row r="3942" spans="1:4" ht="12.95" customHeight="1" x14ac:dyDescent="0.25">
      <c r="A3942" s="2" t="s">
        <v>428</v>
      </c>
      <c r="B3942" s="2" t="s">
        <v>1113</v>
      </c>
      <c r="C3942" s="5" t="s">
        <v>6068</v>
      </c>
      <c r="D3942" s="2" t="s">
        <v>6069</v>
      </c>
    </row>
    <row r="3943" spans="1:4" ht="12.95" customHeight="1" x14ac:dyDescent="0.25">
      <c r="A3943" s="2" t="s">
        <v>428</v>
      </c>
      <c r="B3943" s="2" t="s">
        <v>1113</v>
      </c>
      <c r="C3943" s="5" t="s">
        <v>6070</v>
      </c>
      <c r="D3943" s="2" t="s">
        <v>6071</v>
      </c>
    </row>
    <row r="3944" spans="1:4" ht="12.95" customHeight="1" x14ac:dyDescent="0.25">
      <c r="A3944" s="2" t="s">
        <v>428</v>
      </c>
      <c r="B3944" s="2" t="s">
        <v>1113</v>
      </c>
      <c r="C3944" s="5" t="s">
        <v>6072</v>
      </c>
      <c r="D3944" s="2" t="s">
        <v>6073</v>
      </c>
    </row>
    <row r="3945" spans="1:4" ht="12.95" customHeight="1" x14ac:dyDescent="0.25">
      <c r="A3945" s="2" t="s">
        <v>428</v>
      </c>
      <c r="B3945" s="2" t="s">
        <v>1113</v>
      </c>
      <c r="C3945" s="5" t="s">
        <v>6074</v>
      </c>
      <c r="D3945" s="2" t="s">
        <v>6016</v>
      </c>
    </row>
    <row r="3946" spans="1:4" ht="12.95" customHeight="1" x14ac:dyDescent="0.25">
      <c r="A3946" s="2" t="s">
        <v>428</v>
      </c>
      <c r="B3946" s="2" t="s">
        <v>1113</v>
      </c>
      <c r="C3946" s="5" t="s">
        <v>6075</v>
      </c>
      <c r="D3946" s="2" t="s">
        <v>6076</v>
      </c>
    </row>
    <row r="3947" spans="1:4" ht="12.95" customHeight="1" x14ac:dyDescent="0.25">
      <c r="A3947" s="2" t="s">
        <v>428</v>
      </c>
      <c r="B3947" s="2" t="s">
        <v>1113</v>
      </c>
      <c r="C3947" s="5" t="s">
        <v>6077</v>
      </c>
      <c r="D3947" s="2" t="s">
        <v>6078</v>
      </c>
    </row>
    <row r="3948" spans="1:4" ht="12.95" customHeight="1" x14ac:dyDescent="0.25">
      <c r="A3948" s="2" t="s">
        <v>428</v>
      </c>
      <c r="B3948" s="2" t="s">
        <v>1113</v>
      </c>
      <c r="C3948" s="5" t="s">
        <v>6079</v>
      </c>
      <c r="D3948" s="2" t="s">
        <v>6080</v>
      </c>
    </row>
    <row r="3949" spans="1:4" ht="12.95" customHeight="1" x14ac:dyDescent="0.25">
      <c r="A3949" s="2" t="s">
        <v>428</v>
      </c>
      <c r="B3949" s="2" t="s">
        <v>1113</v>
      </c>
      <c r="C3949" s="5" t="s">
        <v>6081</v>
      </c>
      <c r="D3949" s="2" t="s">
        <v>6082</v>
      </c>
    </row>
    <row r="3950" spans="1:4" ht="12.95" customHeight="1" x14ac:dyDescent="0.25">
      <c r="A3950" s="2" t="s">
        <v>428</v>
      </c>
      <c r="B3950" s="2" t="s">
        <v>1113</v>
      </c>
      <c r="C3950" s="5" t="s">
        <v>6083</v>
      </c>
      <c r="D3950" s="2" t="s">
        <v>3827</v>
      </c>
    </row>
    <row r="3951" spans="1:4" ht="12.95" customHeight="1" x14ac:dyDescent="0.25">
      <c r="A3951" s="2" t="s">
        <v>428</v>
      </c>
      <c r="B3951" s="2" t="s">
        <v>1113</v>
      </c>
      <c r="C3951" s="5" t="s">
        <v>6084</v>
      </c>
      <c r="D3951" s="2" t="s">
        <v>3640</v>
      </c>
    </row>
    <row r="3952" spans="1:4" ht="12.95" customHeight="1" x14ac:dyDescent="0.25">
      <c r="A3952" s="2" t="s">
        <v>428</v>
      </c>
      <c r="B3952" s="2" t="s">
        <v>1113</v>
      </c>
      <c r="C3952" s="5" t="s">
        <v>6085</v>
      </c>
      <c r="D3952" s="2" t="s">
        <v>6086</v>
      </c>
    </row>
    <row r="3953" spans="1:4" ht="12.95" customHeight="1" x14ac:dyDescent="0.25">
      <c r="A3953" s="2" t="s">
        <v>428</v>
      </c>
      <c r="B3953" s="2" t="s">
        <v>1113</v>
      </c>
      <c r="C3953" s="5" t="s">
        <v>6087</v>
      </c>
      <c r="D3953" s="2" t="s">
        <v>6088</v>
      </c>
    </row>
    <row r="3954" spans="1:4" ht="12.95" customHeight="1" x14ac:dyDescent="0.25">
      <c r="A3954" s="2" t="s">
        <v>428</v>
      </c>
      <c r="B3954" s="2" t="s">
        <v>1113</v>
      </c>
      <c r="C3954" s="5" t="s">
        <v>6089</v>
      </c>
      <c r="D3954" s="2" t="s">
        <v>6090</v>
      </c>
    </row>
    <row r="3955" spans="1:4" ht="12.95" customHeight="1" x14ac:dyDescent="0.25">
      <c r="A3955" s="2" t="s">
        <v>428</v>
      </c>
      <c r="B3955" s="2" t="s">
        <v>1113</v>
      </c>
      <c r="C3955" s="5" t="s">
        <v>6091</v>
      </c>
      <c r="D3955" s="2" t="s">
        <v>6092</v>
      </c>
    </row>
    <row r="3956" spans="1:4" ht="12.95" customHeight="1" x14ac:dyDescent="0.25">
      <c r="A3956" s="2" t="s">
        <v>428</v>
      </c>
      <c r="B3956" s="2" t="s">
        <v>1113</v>
      </c>
      <c r="C3956" s="5" t="s">
        <v>6093</v>
      </c>
      <c r="D3956" s="2" t="s">
        <v>3832</v>
      </c>
    </row>
    <row r="3957" spans="1:4" ht="12.95" customHeight="1" x14ac:dyDescent="0.25">
      <c r="A3957" s="2" t="s">
        <v>428</v>
      </c>
      <c r="B3957" s="2" t="s">
        <v>1113</v>
      </c>
      <c r="C3957" s="5" t="s">
        <v>6094</v>
      </c>
      <c r="D3957" s="2" t="s">
        <v>4791</v>
      </c>
    </row>
    <row r="3958" spans="1:4" ht="12.95" customHeight="1" x14ac:dyDescent="0.25">
      <c r="A3958" s="2" t="s">
        <v>428</v>
      </c>
      <c r="B3958" s="2" t="s">
        <v>1113</v>
      </c>
      <c r="C3958" s="5" t="s">
        <v>6095</v>
      </c>
      <c r="D3958" s="2" t="s">
        <v>1143</v>
      </c>
    </row>
    <row r="3959" spans="1:4" ht="12.95" customHeight="1" x14ac:dyDescent="0.25">
      <c r="A3959" s="2" t="s">
        <v>428</v>
      </c>
      <c r="B3959" s="2" t="s">
        <v>1113</v>
      </c>
      <c r="C3959" s="5" t="s">
        <v>6096</v>
      </c>
      <c r="D3959" s="2" t="s">
        <v>3463</v>
      </c>
    </row>
    <row r="3960" spans="1:4" ht="12.95" customHeight="1" x14ac:dyDescent="0.25">
      <c r="A3960" s="2" t="s">
        <v>428</v>
      </c>
      <c r="B3960" s="2" t="s">
        <v>1113</v>
      </c>
      <c r="C3960" s="5" t="s">
        <v>6097</v>
      </c>
      <c r="D3960" s="2" t="s">
        <v>6098</v>
      </c>
    </row>
    <row r="3961" spans="1:4" ht="12.95" customHeight="1" x14ac:dyDescent="0.25">
      <c r="A3961" s="2" t="s">
        <v>431</v>
      </c>
      <c r="B3961" s="2" t="s">
        <v>1113</v>
      </c>
      <c r="C3961" s="5" t="s">
        <v>1102</v>
      </c>
      <c r="D3961" s="2" t="s">
        <v>1103</v>
      </c>
    </row>
    <row r="3962" spans="1:4" ht="12.95" customHeight="1" x14ac:dyDescent="0.25">
      <c r="A3962" s="2" t="s">
        <v>431</v>
      </c>
      <c r="B3962" s="2" t="s">
        <v>1113</v>
      </c>
      <c r="C3962" s="5" t="s">
        <v>1088</v>
      </c>
      <c r="D3962" s="2" t="s">
        <v>1089</v>
      </c>
    </row>
    <row r="3963" spans="1:4" ht="12.95" customHeight="1" x14ac:dyDescent="0.25">
      <c r="A3963" s="2" t="s">
        <v>434</v>
      </c>
      <c r="B3963" s="2" t="s">
        <v>1146</v>
      </c>
      <c r="C3963" s="5" t="s">
        <v>1102</v>
      </c>
      <c r="D3963" s="2" t="s">
        <v>1103</v>
      </c>
    </row>
    <row r="3964" spans="1:4" ht="12.95" customHeight="1" x14ac:dyDescent="0.25">
      <c r="A3964" s="2" t="s">
        <v>434</v>
      </c>
      <c r="B3964" s="2" t="s">
        <v>1146</v>
      </c>
      <c r="C3964" s="5" t="s">
        <v>1090</v>
      </c>
      <c r="D3964" s="2" t="s">
        <v>6099</v>
      </c>
    </row>
    <row r="3965" spans="1:4" ht="12.95" customHeight="1" x14ac:dyDescent="0.25">
      <c r="A3965" s="2" t="s">
        <v>434</v>
      </c>
      <c r="B3965" s="2" t="s">
        <v>1146</v>
      </c>
      <c r="C3965" s="5" t="s">
        <v>1092</v>
      </c>
      <c r="D3965" s="2" t="s">
        <v>6100</v>
      </c>
    </row>
    <row r="3966" spans="1:4" ht="12.95" customHeight="1" x14ac:dyDescent="0.25">
      <c r="A3966" s="2" t="s">
        <v>434</v>
      </c>
      <c r="B3966" s="2" t="s">
        <v>1146</v>
      </c>
      <c r="C3966" s="5" t="s">
        <v>1094</v>
      </c>
      <c r="D3966" s="2" t="s">
        <v>6101</v>
      </c>
    </row>
    <row r="3967" spans="1:4" ht="12.95" customHeight="1" x14ac:dyDescent="0.25">
      <c r="A3967" s="2" t="s">
        <v>434</v>
      </c>
      <c r="B3967" s="2" t="s">
        <v>1146</v>
      </c>
      <c r="C3967" s="5" t="s">
        <v>1096</v>
      </c>
      <c r="D3967" s="2" t="s">
        <v>6102</v>
      </c>
    </row>
    <row r="3968" spans="1:4" ht="12.95" customHeight="1" x14ac:dyDescent="0.25">
      <c r="A3968" s="2" t="s">
        <v>436</v>
      </c>
      <c r="B3968" s="2" t="s">
        <v>1146</v>
      </c>
      <c r="C3968" s="5" t="s">
        <v>1102</v>
      </c>
      <c r="D3968" s="2" t="s">
        <v>1103</v>
      </c>
    </row>
    <row r="3969" spans="1:4" ht="12.95" customHeight="1" x14ac:dyDescent="0.25">
      <c r="A3969" s="2" t="s">
        <v>436</v>
      </c>
      <c r="B3969" s="2" t="s">
        <v>1146</v>
      </c>
      <c r="C3969" s="5" t="s">
        <v>1090</v>
      </c>
      <c r="D3969" s="2" t="s">
        <v>6103</v>
      </c>
    </row>
    <row r="3970" spans="1:4" ht="12.95" customHeight="1" x14ac:dyDescent="0.25">
      <c r="A3970" s="2" t="s">
        <v>436</v>
      </c>
      <c r="B3970" s="2" t="s">
        <v>1146</v>
      </c>
      <c r="C3970" s="5" t="s">
        <v>1092</v>
      </c>
      <c r="D3970" s="2" t="s">
        <v>6104</v>
      </c>
    </row>
    <row r="3971" spans="1:4" ht="12.95" customHeight="1" x14ac:dyDescent="0.25">
      <c r="A3971" s="2" t="s">
        <v>436</v>
      </c>
      <c r="B3971" s="2" t="s">
        <v>1146</v>
      </c>
      <c r="C3971" s="5" t="s">
        <v>1094</v>
      </c>
      <c r="D3971" s="2" t="s">
        <v>6105</v>
      </c>
    </row>
    <row r="3972" spans="1:4" ht="12.95" customHeight="1" x14ac:dyDescent="0.25">
      <c r="A3972" s="2" t="s">
        <v>436</v>
      </c>
      <c r="B3972" s="2" t="s">
        <v>1146</v>
      </c>
      <c r="C3972" s="5" t="s">
        <v>1096</v>
      </c>
      <c r="D3972" s="2" t="s">
        <v>6106</v>
      </c>
    </row>
    <row r="3973" spans="1:4" ht="12.95" customHeight="1" x14ac:dyDescent="0.25">
      <c r="A3973" s="2" t="s">
        <v>436</v>
      </c>
      <c r="B3973" s="2" t="s">
        <v>1146</v>
      </c>
      <c r="C3973" s="5" t="s">
        <v>1098</v>
      </c>
      <c r="D3973" s="2" t="s">
        <v>6107</v>
      </c>
    </row>
    <row r="3974" spans="1:4" ht="12.95" customHeight="1" x14ac:dyDescent="0.25">
      <c r="A3974" s="2" t="s">
        <v>436</v>
      </c>
      <c r="B3974" s="2" t="s">
        <v>1146</v>
      </c>
      <c r="C3974" s="5" t="s">
        <v>1100</v>
      </c>
      <c r="D3974" s="2" t="s">
        <v>6108</v>
      </c>
    </row>
    <row r="3975" spans="1:4" ht="12.95" customHeight="1" x14ac:dyDescent="0.25">
      <c r="A3975" s="2" t="s">
        <v>438</v>
      </c>
      <c r="B3975" s="2" t="s">
        <v>1083</v>
      </c>
      <c r="C3975" s="5" t="s">
        <v>1102</v>
      </c>
      <c r="D3975" s="2" t="s">
        <v>1103</v>
      </c>
    </row>
    <row r="3976" spans="1:4" ht="12.95" customHeight="1" x14ac:dyDescent="0.25">
      <c r="A3976" s="2" t="s">
        <v>438</v>
      </c>
      <c r="B3976" s="2" t="s">
        <v>1083</v>
      </c>
      <c r="C3976" s="5" t="s">
        <v>1084</v>
      </c>
      <c r="D3976" s="2" t="s">
        <v>1153</v>
      </c>
    </row>
    <row r="3977" spans="1:4" ht="12.95" customHeight="1" x14ac:dyDescent="0.25">
      <c r="A3977" s="2" t="s">
        <v>438</v>
      </c>
      <c r="B3977" s="2" t="s">
        <v>1083</v>
      </c>
      <c r="C3977" s="5" t="s">
        <v>1086</v>
      </c>
      <c r="D3977" s="2" t="s">
        <v>1147</v>
      </c>
    </row>
    <row r="3978" spans="1:4" ht="12.95" customHeight="1" x14ac:dyDescent="0.25">
      <c r="A3978" s="2" t="s">
        <v>441</v>
      </c>
      <c r="B3978" s="2" t="s">
        <v>1083</v>
      </c>
      <c r="C3978" s="5" t="s">
        <v>1102</v>
      </c>
      <c r="D3978" s="2" t="s">
        <v>1103</v>
      </c>
    </row>
    <row r="3979" spans="1:4" ht="12.95" customHeight="1" x14ac:dyDescent="0.25">
      <c r="A3979" s="2" t="s">
        <v>441</v>
      </c>
      <c r="B3979" s="2" t="s">
        <v>1083</v>
      </c>
      <c r="C3979" s="5" t="s">
        <v>1084</v>
      </c>
      <c r="D3979" s="2" t="s">
        <v>1153</v>
      </c>
    </row>
    <row r="3980" spans="1:4" ht="12.95" customHeight="1" x14ac:dyDescent="0.25">
      <c r="A3980" s="2" t="s">
        <v>441</v>
      </c>
      <c r="B3980" s="2" t="s">
        <v>1083</v>
      </c>
      <c r="C3980" s="5" t="s">
        <v>1086</v>
      </c>
      <c r="D3980" s="2" t="s">
        <v>1147</v>
      </c>
    </row>
    <row r="3981" spans="1:4" ht="12.95" customHeight="1" x14ac:dyDescent="0.25">
      <c r="A3981" s="2" t="s">
        <v>441</v>
      </c>
      <c r="B3981" s="2" t="s">
        <v>1083</v>
      </c>
      <c r="C3981" s="5" t="s">
        <v>1088</v>
      </c>
      <c r="D3981" s="2" t="s">
        <v>1089</v>
      </c>
    </row>
    <row r="3982" spans="1:4" ht="12.95" customHeight="1" x14ac:dyDescent="0.25">
      <c r="A3982" s="2" t="s">
        <v>444</v>
      </c>
      <c r="B3982" s="2" t="s">
        <v>1272</v>
      </c>
      <c r="C3982" s="5" t="s">
        <v>1102</v>
      </c>
      <c r="D3982" s="2" t="s">
        <v>1103</v>
      </c>
    </row>
    <row r="3983" spans="1:4" ht="12.95" customHeight="1" x14ac:dyDescent="0.25">
      <c r="A3983" s="2" t="s">
        <v>448</v>
      </c>
      <c r="B3983" s="2" t="s">
        <v>1272</v>
      </c>
      <c r="C3983" s="5" t="s">
        <v>1102</v>
      </c>
      <c r="D3983" s="2" t="s">
        <v>1103</v>
      </c>
    </row>
    <row r="3984" spans="1:4" ht="12.95" customHeight="1" x14ac:dyDescent="0.25">
      <c r="A3984" s="2" t="s">
        <v>450</v>
      </c>
      <c r="B3984" s="2" t="s">
        <v>1272</v>
      </c>
      <c r="C3984" s="5" t="s">
        <v>1102</v>
      </c>
      <c r="D3984" s="2" t="s">
        <v>1103</v>
      </c>
    </row>
    <row r="3985" spans="1:4" ht="12.95" customHeight="1" x14ac:dyDescent="0.25">
      <c r="A3985" s="2" t="s">
        <v>450</v>
      </c>
      <c r="B3985" s="2" t="s">
        <v>1272</v>
      </c>
      <c r="C3985" s="5" t="s">
        <v>1084</v>
      </c>
      <c r="D3985" s="2" t="s">
        <v>1153</v>
      </c>
    </row>
    <row r="3986" spans="1:4" ht="12.95" customHeight="1" x14ac:dyDescent="0.25">
      <c r="A3986" s="2" t="s">
        <v>450</v>
      </c>
      <c r="B3986" s="2" t="s">
        <v>1272</v>
      </c>
      <c r="C3986" s="5" t="s">
        <v>1086</v>
      </c>
      <c r="D3986" s="2" t="s">
        <v>1147</v>
      </c>
    </row>
    <row r="3987" spans="1:4" ht="12.95" customHeight="1" x14ac:dyDescent="0.25">
      <c r="A3987" s="2" t="s">
        <v>450</v>
      </c>
      <c r="B3987" s="2" t="s">
        <v>1272</v>
      </c>
      <c r="C3987" s="5" t="s">
        <v>1088</v>
      </c>
      <c r="D3987" s="2" t="s">
        <v>1089</v>
      </c>
    </row>
    <row r="3988" spans="1:4" ht="12.95" customHeight="1" x14ac:dyDescent="0.25">
      <c r="A3988" s="2" t="s">
        <v>453</v>
      </c>
      <c r="B3988" s="2" t="s">
        <v>1083</v>
      </c>
      <c r="C3988" s="5" t="s">
        <v>1102</v>
      </c>
      <c r="D3988" s="2" t="s">
        <v>1103</v>
      </c>
    </row>
    <row r="3989" spans="1:4" ht="12.95" customHeight="1" x14ac:dyDescent="0.25">
      <c r="A3989" s="2" t="s">
        <v>453</v>
      </c>
      <c r="B3989" s="2" t="s">
        <v>1083</v>
      </c>
      <c r="C3989" s="5" t="s">
        <v>1084</v>
      </c>
      <c r="D3989" s="2" t="s">
        <v>1085</v>
      </c>
    </row>
    <row r="3990" spans="1:4" ht="12.95" customHeight="1" x14ac:dyDescent="0.25">
      <c r="A3990" s="2" t="s">
        <v>453</v>
      </c>
      <c r="B3990" s="2" t="s">
        <v>1083</v>
      </c>
      <c r="C3990" s="5" t="s">
        <v>1086</v>
      </c>
      <c r="D3990" s="2" t="s">
        <v>1087</v>
      </c>
    </row>
    <row r="3991" spans="1:4" ht="12.95" customHeight="1" x14ac:dyDescent="0.25">
      <c r="A3991" s="2" t="s">
        <v>456</v>
      </c>
      <c r="B3991" s="2" t="s">
        <v>1083</v>
      </c>
      <c r="C3991" s="5" t="s">
        <v>1102</v>
      </c>
      <c r="D3991" s="2" t="s">
        <v>1103</v>
      </c>
    </row>
    <row r="3992" spans="1:4" ht="12.95" customHeight="1" x14ac:dyDescent="0.25">
      <c r="A3992" s="2" t="s">
        <v>456</v>
      </c>
      <c r="B3992" s="2" t="s">
        <v>1083</v>
      </c>
      <c r="C3992" s="5" t="s">
        <v>1084</v>
      </c>
      <c r="D3992" s="2" t="s">
        <v>1085</v>
      </c>
    </row>
    <row r="3993" spans="1:4" ht="12.95" customHeight="1" x14ac:dyDescent="0.25">
      <c r="A3993" s="2" t="s">
        <v>456</v>
      </c>
      <c r="B3993" s="2" t="s">
        <v>1083</v>
      </c>
      <c r="C3993" s="5" t="s">
        <v>1086</v>
      </c>
      <c r="D3993" s="2" t="s">
        <v>1087</v>
      </c>
    </row>
    <row r="3994" spans="1:4" ht="12.95" customHeight="1" x14ac:dyDescent="0.25">
      <c r="A3994" s="2" t="s">
        <v>456</v>
      </c>
      <c r="B3994" s="2" t="s">
        <v>1083</v>
      </c>
      <c r="C3994" s="5" t="s">
        <v>1088</v>
      </c>
      <c r="D3994" s="2" t="s">
        <v>1089</v>
      </c>
    </row>
    <row r="3995" spans="1:4" ht="12.95" customHeight="1" x14ac:dyDescent="0.25">
      <c r="A3995" s="2" t="s">
        <v>456</v>
      </c>
      <c r="B3995" s="2" t="s">
        <v>1083</v>
      </c>
      <c r="C3995" s="5" t="s">
        <v>1090</v>
      </c>
      <c r="D3995" s="2" t="s">
        <v>6109</v>
      </c>
    </row>
    <row r="3996" spans="1:4" ht="12.95" customHeight="1" x14ac:dyDescent="0.25">
      <c r="A3996" s="2" t="s">
        <v>456</v>
      </c>
      <c r="B3996" s="2" t="s">
        <v>1083</v>
      </c>
      <c r="C3996" s="5" t="s">
        <v>1092</v>
      </c>
      <c r="D3996" s="2" t="s">
        <v>6110</v>
      </c>
    </row>
    <row r="3997" spans="1:4" ht="12.95" customHeight="1" x14ac:dyDescent="0.25">
      <c r="A3997" s="2" t="s">
        <v>456</v>
      </c>
      <c r="B3997" s="2" t="s">
        <v>1083</v>
      </c>
      <c r="C3997" s="5" t="s">
        <v>1094</v>
      </c>
      <c r="D3997" s="2" t="s">
        <v>6111</v>
      </c>
    </row>
    <row r="3998" spans="1:4" ht="12.95" customHeight="1" x14ac:dyDescent="0.25">
      <c r="A3998" s="2" t="s">
        <v>456</v>
      </c>
      <c r="B3998" s="2" t="s">
        <v>1083</v>
      </c>
      <c r="C3998" s="5" t="s">
        <v>1096</v>
      </c>
      <c r="D3998" s="2" t="s">
        <v>6112</v>
      </c>
    </row>
    <row r="3999" spans="1:4" ht="12.95" customHeight="1" x14ac:dyDescent="0.25">
      <c r="A3999" s="2" t="s">
        <v>456</v>
      </c>
      <c r="B3999" s="2" t="s">
        <v>1083</v>
      </c>
      <c r="C3999" s="5" t="s">
        <v>1111</v>
      </c>
      <c r="D3999" s="2" t="s">
        <v>1143</v>
      </c>
    </row>
    <row r="4000" spans="1:4" ht="12.95" customHeight="1" x14ac:dyDescent="0.25">
      <c r="A4000" s="2" t="s">
        <v>459</v>
      </c>
      <c r="B4000" s="2" t="s">
        <v>1113</v>
      </c>
      <c r="C4000" s="5" t="s">
        <v>1286</v>
      </c>
      <c r="D4000" s="2" t="s">
        <v>1085</v>
      </c>
    </row>
    <row r="4001" spans="1:4" ht="12.95" customHeight="1" x14ac:dyDescent="0.25">
      <c r="A4001" s="2" t="s">
        <v>459</v>
      </c>
      <c r="B4001" s="2" t="s">
        <v>1113</v>
      </c>
      <c r="C4001" s="5" t="s">
        <v>1287</v>
      </c>
      <c r="D4001" s="2" t="s">
        <v>1087</v>
      </c>
    </row>
    <row r="4002" spans="1:4" ht="12.95" customHeight="1" x14ac:dyDescent="0.25">
      <c r="A4002" s="2" t="s">
        <v>459</v>
      </c>
      <c r="B4002" s="2" t="s">
        <v>1113</v>
      </c>
      <c r="C4002" s="5" t="s">
        <v>1102</v>
      </c>
      <c r="D4002" s="2" t="s">
        <v>1103</v>
      </c>
    </row>
    <row r="4003" spans="1:4" ht="12.95" customHeight="1" x14ac:dyDescent="0.25">
      <c r="A4003" s="2" t="s">
        <v>459</v>
      </c>
      <c r="B4003" s="2" t="s">
        <v>1113</v>
      </c>
      <c r="C4003" s="5" t="s">
        <v>1084</v>
      </c>
      <c r="D4003" s="2" t="s">
        <v>1085</v>
      </c>
    </row>
    <row r="4004" spans="1:4" ht="12.95" customHeight="1" x14ac:dyDescent="0.25">
      <c r="A4004" s="2" t="s">
        <v>459</v>
      </c>
      <c r="B4004" s="2" t="s">
        <v>1113</v>
      </c>
      <c r="C4004" s="5" t="s">
        <v>1086</v>
      </c>
      <c r="D4004" s="2" t="s">
        <v>1087</v>
      </c>
    </row>
    <row r="4005" spans="1:4" ht="12.95" customHeight="1" x14ac:dyDescent="0.25">
      <c r="A4005" s="2" t="s">
        <v>459</v>
      </c>
      <c r="B4005" s="2" t="s">
        <v>1113</v>
      </c>
      <c r="C4005" s="5" t="s">
        <v>1088</v>
      </c>
      <c r="D4005" s="2" t="s">
        <v>1089</v>
      </c>
    </row>
    <row r="4006" spans="1:4" ht="12.95" customHeight="1" x14ac:dyDescent="0.25">
      <c r="A4006" s="2" t="s">
        <v>462</v>
      </c>
      <c r="B4006" s="2" t="s">
        <v>1113</v>
      </c>
      <c r="C4006" s="5" t="s">
        <v>1102</v>
      </c>
      <c r="D4006" s="2" t="s">
        <v>1103</v>
      </c>
    </row>
    <row r="4007" spans="1:4" ht="12.95" customHeight="1" x14ac:dyDescent="0.25">
      <c r="A4007" s="2" t="s">
        <v>462</v>
      </c>
      <c r="B4007" s="2" t="s">
        <v>1113</v>
      </c>
      <c r="C4007" s="5" t="s">
        <v>1084</v>
      </c>
      <c r="D4007" s="2" t="s">
        <v>1085</v>
      </c>
    </row>
    <row r="4008" spans="1:4" ht="12.95" customHeight="1" x14ac:dyDescent="0.25">
      <c r="A4008" s="2" t="s">
        <v>462</v>
      </c>
      <c r="B4008" s="2" t="s">
        <v>1113</v>
      </c>
      <c r="C4008" s="5" t="s">
        <v>1086</v>
      </c>
      <c r="D4008" s="2" t="s">
        <v>1087</v>
      </c>
    </row>
    <row r="4009" spans="1:4" ht="12.95" customHeight="1" x14ac:dyDescent="0.25">
      <c r="A4009" s="2" t="s">
        <v>462</v>
      </c>
      <c r="B4009" s="2" t="s">
        <v>1113</v>
      </c>
      <c r="C4009" s="5" t="s">
        <v>1088</v>
      </c>
      <c r="D4009" s="2" t="s">
        <v>1089</v>
      </c>
    </row>
    <row r="4010" spans="1:4" ht="12.95" customHeight="1" x14ac:dyDescent="0.25">
      <c r="A4010" s="2" t="s">
        <v>464</v>
      </c>
      <c r="B4010" s="2" t="s">
        <v>1146</v>
      </c>
      <c r="C4010" s="5" t="s">
        <v>1084</v>
      </c>
      <c r="D4010" s="2" t="s">
        <v>1153</v>
      </c>
    </row>
    <row r="4011" spans="1:4" ht="12.95" customHeight="1" x14ac:dyDescent="0.25">
      <c r="A4011" s="2" t="s">
        <v>464</v>
      </c>
      <c r="B4011" s="2" t="s">
        <v>1146</v>
      </c>
      <c r="C4011" s="5" t="s">
        <v>1086</v>
      </c>
      <c r="D4011" s="2" t="s">
        <v>1087</v>
      </c>
    </row>
    <row r="4012" spans="1:4" ht="12.95" customHeight="1" x14ac:dyDescent="0.25">
      <c r="A4012" s="2" t="s">
        <v>464</v>
      </c>
      <c r="B4012" s="2" t="s">
        <v>1146</v>
      </c>
      <c r="C4012" s="5" t="s">
        <v>1088</v>
      </c>
      <c r="D4012" s="2" t="s">
        <v>1089</v>
      </c>
    </row>
    <row r="4013" spans="1:4" ht="12.95" customHeight="1" x14ac:dyDescent="0.25">
      <c r="A4013" s="2" t="s">
        <v>464</v>
      </c>
      <c r="B4013" s="2" t="s">
        <v>1146</v>
      </c>
      <c r="C4013" s="5" t="s">
        <v>1090</v>
      </c>
      <c r="D4013" s="2" t="s">
        <v>1148</v>
      </c>
    </row>
    <row r="4014" spans="1:4" ht="12.95" customHeight="1" x14ac:dyDescent="0.25">
      <c r="A4014" s="2" t="s">
        <v>464</v>
      </c>
      <c r="B4014" s="2" t="s">
        <v>1146</v>
      </c>
      <c r="C4014" s="5" t="s">
        <v>1092</v>
      </c>
      <c r="D4014" s="2" t="s">
        <v>1182</v>
      </c>
    </row>
    <row r="4015" spans="1:4" ht="12.95" customHeight="1" x14ac:dyDescent="0.25">
      <c r="A4015" s="2" t="s">
        <v>464</v>
      </c>
      <c r="B4015" s="2" t="s">
        <v>1146</v>
      </c>
      <c r="C4015" s="5" t="s">
        <v>1094</v>
      </c>
      <c r="D4015" s="2" t="s">
        <v>1150</v>
      </c>
    </row>
    <row r="4016" spans="1:4" ht="12.95" customHeight="1" x14ac:dyDescent="0.25">
      <c r="A4016" s="2" t="s">
        <v>464</v>
      </c>
      <c r="B4016" s="2" t="s">
        <v>1146</v>
      </c>
      <c r="C4016" s="5" t="s">
        <v>1096</v>
      </c>
      <c r="D4016" s="2" t="s">
        <v>1151</v>
      </c>
    </row>
    <row r="4017" spans="1:4" ht="12.95" customHeight="1" x14ac:dyDescent="0.25">
      <c r="A4017" s="2" t="s">
        <v>464</v>
      </c>
      <c r="B4017" s="2" t="s">
        <v>1146</v>
      </c>
      <c r="C4017" s="5" t="s">
        <v>1098</v>
      </c>
      <c r="D4017" s="2" t="s">
        <v>6113</v>
      </c>
    </row>
    <row r="4018" spans="1:4" ht="12.95" customHeight="1" x14ac:dyDescent="0.25">
      <c r="A4018" s="2" t="s">
        <v>467</v>
      </c>
      <c r="B4018" s="2" t="s">
        <v>1146</v>
      </c>
      <c r="C4018" s="5" t="s">
        <v>1102</v>
      </c>
      <c r="D4018" s="2" t="s">
        <v>1103</v>
      </c>
    </row>
    <row r="4019" spans="1:4" ht="12.95" customHeight="1" x14ac:dyDescent="0.25">
      <c r="A4019" s="2" t="s">
        <v>467</v>
      </c>
      <c r="B4019" s="2" t="s">
        <v>1146</v>
      </c>
      <c r="C4019" s="5" t="s">
        <v>1088</v>
      </c>
      <c r="D4019" s="2" t="s">
        <v>1089</v>
      </c>
    </row>
    <row r="4020" spans="1:4" ht="12.95" customHeight="1" x14ac:dyDescent="0.25">
      <c r="A4020" s="2" t="s">
        <v>469</v>
      </c>
      <c r="B4020" s="2" t="s">
        <v>1113</v>
      </c>
      <c r="C4020" s="5" t="s">
        <v>1102</v>
      </c>
      <c r="D4020" s="2" t="s">
        <v>1103</v>
      </c>
    </row>
    <row r="4021" spans="1:4" ht="12.95" customHeight="1" x14ac:dyDescent="0.25">
      <c r="A4021" s="2" t="s">
        <v>469</v>
      </c>
      <c r="B4021" s="2" t="s">
        <v>1113</v>
      </c>
      <c r="C4021" s="5" t="s">
        <v>1084</v>
      </c>
      <c r="D4021" s="2" t="s">
        <v>1085</v>
      </c>
    </row>
    <row r="4022" spans="1:4" ht="12.95" customHeight="1" x14ac:dyDescent="0.25">
      <c r="A4022" s="2" t="s">
        <v>469</v>
      </c>
      <c r="B4022" s="2" t="s">
        <v>1113</v>
      </c>
      <c r="C4022" s="5" t="s">
        <v>1086</v>
      </c>
      <c r="D4022" s="2" t="s">
        <v>1087</v>
      </c>
    </row>
    <row r="4023" spans="1:4" ht="12.95" customHeight="1" x14ac:dyDescent="0.25">
      <c r="A4023" s="2" t="s">
        <v>469</v>
      </c>
      <c r="B4023" s="2" t="s">
        <v>1113</v>
      </c>
      <c r="C4023" s="5" t="s">
        <v>1088</v>
      </c>
      <c r="D4023" s="2" t="s">
        <v>1089</v>
      </c>
    </row>
    <row r="4024" spans="1:4" ht="12.95" customHeight="1" x14ac:dyDescent="0.25">
      <c r="A4024" s="2" t="s">
        <v>471</v>
      </c>
      <c r="B4024" s="2" t="s">
        <v>1113</v>
      </c>
      <c r="C4024" s="5" t="s">
        <v>1286</v>
      </c>
      <c r="D4024" s="2" t="s">
        <v>1153</v>
      </c>
    </row>
    <row r="4025" spans="1:4" ht="12.95" customHeight="1" x14ac:dyDescent="0.25">
      <c r="A4025" s="2" t="s">
        <v>471</v>
      </c>
      <c r="B4025" s="2" t="s">
        <v>1113</v>
      </c>
      <c r="C4025" s="5" t="s">
        <v>1287</v>
      </c>
      <c r="D4025" s="2" t="s">
        <v>1087</v>
      </c>
    </row>
    <row r="4026" spans="1:4" ht="12.95" customHeight="1" x14ac:dyDescent="0.25">
      <c r="A4026" s="2" t="s">
        <v>471</v>
      </c>
      <c r="B4026" s="2" t="s">
        <v>1113</v>
      </c>
      <c r="C4026" s="5" t="s">
        <v>1102</v>
      </c>
      <c r="D4026" s="2" t="s">
        <v>1103</v>
      </c>
    </row>
    <row r="4027" spans="1:4" ht="12.95" customHeight="1" x14ac:dyDescent="0.25">
      <c r="A4027" s="2" t="s">
        <v>471</v>
      </c>
      <c r="B4027" s="2" t="s">
        <v>1113</v>
      </c>
      <c r="C4027" s="5" t="s">
        <v>1084</v>
      </c>
      <c r="D4027" s="2" t="s">
        <v>1153</v>
      </c>
    </row>
    <row r="4028" spans="1:4" ht="12.95" customHeight="1" x14ac:dyDescent="0.25">
      <c r="A4028" s="2" t="s">
        <v>471</v>
      </c>
      <c r="B4028" s="2" t="s">
        <v>1113</v>
      </c>
      <c r="C4028" s="5" t="s">
        <v>1086</v>
      </c>
      <c r="D4028" s="2" t="s">
        <v>1087</v>
      </c>
    </row>
    <row r="4029" spans="1:4" ht="12.95" customHeight="1" x14ac:dyDescent="0.25">
      <c r="A4029" s="2" t="s">
        <v>474</v>
      </c>
      <c r="B4029" s="2" t="s">
        <v>1113</v>
      </c>
      <c r="C4029" s="5" t="s">
        <v>1102</v>
      </c>
      <c r="D4029" s="2" t="s">
        <v>1103</v>
      </c>
    </row>
    <row r="4030" spans="1:4" ht="12.95" customHeight="1" x14ac:dyDescent="0.25">
      <c r="A4030" s="2" t="s">
        <v>474</v>
      </c>
      <c r="B4030" s="2" t="s">
        <v>1113</v>
      </c>
      <c r="C4030" s="5" t="s">
        <v>1084</v>
      </c>
      <c r="D4030" s="2" t="s">
        <v>1085</v>
      </c>
    </row>
    <row r="4031" spans="1:4" ht="12.95" customHeight="1" x14ac:dyDescent="0.25">
      <c r="A4031" s="2" t="s">
        <v>474</v>
      </c>
      <c r="B4031" s="2" t="s">
        <v>1113</v>
      </c>
      <c r="C4031" s="5" t="s">
        <v>1086</v>
      </c>
      <c r="D4031" s="2" t="s">
        <v>1087</v>
      </c>
    </row>
    <row r="4032" spans="1:4" ht="12.95" customHeight="1" x14ac:dyDescent="0.25">
      <c r="A4032" s="2" t="s">
        <v>474</v>
      </c>
      <c r="B4032" s="2" t="s">
        <v>1113</v>
      </c>
      <c r="C4032" s="5" t="s">
        <v>1088</v>
      </c>
      <c r="D4032" s="2" t="s">
        <v>1089</v>
      </c>
    </row>
    <row r="4033" spans="1:4" ht="12.95" customHeight="1" x14ac:dyDescent="0.25">
      <c r="A4033" s="2" t="s">
        <v>478</v>
      </c>
      <c r="B4033" s="2" t="s">
        <v>1272</v>
      </c>
      <c r="C4033" s="5" t="s">
        <v>1088</v>
      </c>
      <c r="D4033" s="2" t="s">
        <v>1089</v>
      </c>
    </row>
    <row r="4034" spans="1:4" ht="12.95" customHeight="1" x14ac:dyDescent="0.25">
      <c r="A4034" s="2" t="s">
        <v>478</v>
      </c>
      <c r="B4034" s="2" t="s">
        <v>1272</v>
      </c>
      <c r="C4034" s="5" t="s">
        <v>1090</v>
      </c>
      <c r="D4034" s="2" t="s">
        <v>1179</v>
      </c>
    </row>
    <row r="4035" spans="1:4" ht="12.95" customHeight="1" x14ac:dyDescent="0.25">
      <c r="A4035" s="2" t="s">
        <v>478</v>
      </c>
      <c r="B4035" s="2" t="s">
        <v>1272</v>
      </c>
      <c r="C4035" s="5" t="s">
        <v>1092</v>
      </c>
      <c r="D4035" s="2" t="s">
        <v>1180</v>
      </c>
    </row>
    <row r="4036" spans="1:4" ht="12.95" customHeight="1" x14ac:dyDescent="0.25">
      <c r="A4036" s="2" t="s">
        <v>480</v>
      </c>
      <c r="B4036" s="2" t="s">
        <v>1272</v>
      </c>
      <c r="C4036" s="5" t="s">
        <v>1088</v>
      </c>
      <c r="D4036" s="2" t="s">
        <v>1089</v>
      </c>
    </row>
    <row r="4037" spans="1:4" ht="12.95" customHeight="1" x14ac:dyDescent="0.25">
      <c r="A4037" s="2" t="s">
        <v>480</v>
      </c>
      <c r="B4037" s="2" t="s">
        <v>1272</v>
      </c>
      <c r="C4037" s="5" t="s">
        <v>1090</v>
      </c>
      <c r="D4037" s="2" t="s">
        <v>1179</v>
      </c>
    </row>
    <row r="4038" spans="1:4" ht="12.95" customHeight="1" x14ac:dyDescent="0.25">
      <c r="A4038" s="2" t="s">
        <v>480</v>
      </c>
      <c r="B4038" s="2" t="s">
        <v>1272</v>
      </c>
      <c r="C4038" s="5" t="s">
        <v>1092</v>
      </c>
      <c r="D4038" s="2" t="s">
        <v>1180</v>
      </c>
    </row>
    <row r="4039" spans="1:4" ht="12.95" customHeight="1" x14ac:dyDescent="0.25">
      <c r="A4039" s="2" t="s">
        <v>482</v>
      </c>
      <c r="B4039" s="2" t="s">
        <v>1272</v>
      </c>
      <c r="C4039" s="5" t="s">
        <v>1088</v>
      </c>
      <c r="D4039" s="2" t="s">
        <v>1089</v>
      </c>
    </row>
    <row r="4040" spans="1:4" ht="12.95" customHeight="1" x14ac:dyDescent="0.25">
      <c r="A4040" s="2" t="s">
        <v>482</v>
      </c>
      <c r="B4040" s="2" t="s">
        <v>1272</v>
      </c>
      <c r="C4040" s="5" t="s">
        <v>1090</v>
      </c>
      <c r="D4040" s="2" t="s">
        <v>1179</v>
      </c>
    </row>
    <row r="4041" spans="1:4" ht="12.95" customHeight="1" x14ac:dyDescent="0.25">
      <c r="A4041" s="2" t="s">
        <v>482</v>
      </c>
      <c r="B4041" s="2" t="s">
        <v>1272</v>
      </c>
      <c r="C4041" s="5" t="s">
        <v>1092</v>
      </c>
      <c r="D4041" s="2" t="s">
        <v>1180</v>
      </c>
    </row>
    <row r="4042" spans="1:4" ht="12.95" customHeight="1" x14ac:dyDescent="0.25">
      <c r="A4042" s="2" t="s">
        <v>484</v>
      </c>
      <c r="B4042" s="2" t="s">
        <v>1272</v>
      </c>
      <c r="C4042" s="5" t="s">
        <v>1088</v>
      </c>
      <c r="D4042" s="2" t="s">
        <v>1089</v>
      </c>
    </row>
    <row r="4043" spans="1:4" ht="12.95" customHeight="1" x14ac:dyDescent="0.25">
      <c r="A4043" s="2" t="s">
        <v>484</v>
      </c>
      <c r="B4043" s="2" t="s">
        <v>1272</v>
      </c>
      <c r="C4043" s="5" t="s">
        <v>1090</v>
      </c>
      <c r="D4043" s="2" t="s">
        <v>1179</v>
      </c>
    </row>
    <row r="4044" spans="1:4" ht="12.95" customHeight="1" x14ac:dyDescent="0.25">
      <c r="A4044" s="2" t="s">
        <v>484</v>
      </c>
      <c r="B4044" s="2" t="s">
        <v>1272</v>
      </c>
      <c r="C4044" s="5" t="s">
        <v>1092</v>
      </c>
      <c r="D4044" s="2" t="s">
        <v>1180</v>
      </c>
    </row>
    <row r="4045" spans="1:4" ht="12.95" customHeight="1" x14ac:dyDescent="0.25">
      <c r="A4045" s="2" t="s">
        <v>486</v>
      </c>
      <c r="B4045" s="2" t="s">
        <v>1272</v>
      </c>
      <c r="C4045" s="5" t="s">
        <v>1088</v>
      </c>
      <c r="D4045" s="2" t="s">
        <v>1089</v>
      </c>
    </row>
    <row r="4046" spans="1:4" ht="12.95" customHeight="1" x14ac:dyDescent="0.25">
      <c r="A4046" s="2" t="s">
        <v>486</v>
      </c>
      <c r="B4046" s="2" t="s">
        <v>1272</v>
      </c>
      <c r="C4046" s="5" t="s">
        <v>1090</v>
      </c>
      <c r="D4046" s="2" t="s">
        <v>1179</v>
      </c>
    </row>
    <row r="4047" spans="1:4" ht="12.95" customHeight="1" x14ac:dyDescent="0.25">
      <c r="A4047" s="2" t="s">
        <v>486</v>
      </c>
      <c r="B4047" s="2" t="s">
        <v>1272</v>
      </c>
      <c r="C4047" s="5" t="s">
        <v>1092</v>
      </c>
      <c r="D4047" s="2" t="s">
        <v>1180</v>
      </c>
    </row>
    <row r="4048" spans="1:4" ht="12.95" customHeight="1" x14ac:dyDescent="0.25">
      <c r="A4048" s="2" t="s">
        <v>488</v>
      </c>
      <c r="B4048" s="2" t="s">
        <v>1272</v>
      </c>
      <c r="C4048" s="5" t="s">
        <v>1088</v>
      </c>
      <c r="D4048" s="2" t="s">
        <v>1089</v>
      </c>
    </row>
    <row r="4049" spans="1:4" ht="12.95" customHeight="1" x14ac:dyDescent="0.25">
      <c r="A4049" s="2" t="s">
        <v>488</v>
      </c>
      <c r="B4049" s="2" t="s">
        <v>1272</v>
      </c>
      <c r="C4049" s="5" t="s">
        <v>1090</v>
      </c>
      <c r="D4049" s="2" t="s">
        <v>1179</v>
      </c>
    </row>
    <row r="4050" spans="1:4" ht="12.95" customHeight="1" x14ac:dyDescent="0.25">
      <c r="A4050" s="2" t="s">
        <v>488</v>
      </c>
      <c r="B4050" s="2" t="s">
        <v>1272</v>
      </c>
      <c r="C4050" s="5" t="s">
        <v>1092</v>
      </c>
      <c r="D4050" s="2" t="s">
        <v>1180</v>
      </c>
    </row>
    <row r="4051" spans="1:4" ht="12.95" customHeight="1" x14ac:dyDescent="0.25">
      <c r="A4051" s="2" t="s">
        <v>490</v>
      </c>
      <c r="B4051" s="2" t="s">
        <v>1272</v>
      </c>
      <c r="C4051" s="5" t="s">
        <v>1088</v>
      </c>
      <c r="D4051" s="2" t="s">
        <v>1089</v>
      </c>
    </row>
    <row r="4052" spans="1:4" ht="12.95" customHeight="1" x14ac:dyDescent="0.25">
      <c r="A4052" s="2" t="s">
        <v>490</v>
      </c>
      <c r="B4052" s="2" t="s">
        <v>1272</v>
      </c>
      <c r="C4052" s="5" t="s">
        <v>1090</v>
      </c>
      <c r="D4052" s="2" t="s">
        <v>1179</v>
      </c>
    </row>
    <row r="4053" spans="1:4" ht="12.95" customHeight="1" x14ac:dyDescent="0.25">
      <c r="A4053" s="2" t="s">
        <v>490</v>
      </c>
      <c r="B4053" s="2" t="s">
        <v>1272</v>
      </c>
      <c r="C4053" s="5" t="s">
        <v>1092</v>
      </c>
      <c r="D4053" s="2" t="s">
        <v>1180</v>
      </c>
    </row>
    <row r="4054" spans="1:4" ht="12.95" customHeight="1" x14ac:dyDescent="0.25">
      <c r="A4054" s="2" t="s">
        <v>492</v>
      </c>
      <c r="B4054" s="2" t="s">
        <v>1272</v>
      </c>
      <c r="C4054" s="5" t="s">
        <v>1088</v>
      </c>
      <c r="D4054" s="2" t="s">
        <v>1089</v>
      </c>
    </row>
    <row r="4055" spans="1:4" ht="12.95" customHeight="1" x14ac:dyDescent="0.25">
      <c r="A4055" s="2" t="s">
        <v>492</v>
      </c>
      <c r="B4055" s="2" t="s">
        <v>1272</v>
      </c>
      <c r="C4055" s="5" t="s">
        <v>1090</v>
      </c>
      <c r="D4055" s="2" t="s">
        <v>1179</v>
      </c>
    </row>
    <row r="4056" spans="1:4" ht="12.95" customHeight="1" x14ac:dyDescent="0.25">
      <c r="A4056" s="2" t="s">
        <v>492</v>
      </c>
      <c r="B4056" s="2" t="s">
        <v>1272</v>
      </c>
      <c r="C4056" s="5" t="s">
        <v>1092</v>
      </c>
      <c r="D4056" s="2" t="s">
        <v>1180</v>
      </c>
    </row>
    <row r="4057" spans="1:4" ht="12.95" customHeight="1" x14ac:dyDescent="0.25">
      <c r="A4057" s="2" t="s">
        <v>494</v>
      </c>
      <c r="B4057" s="2" t="s">
        <v>1272</v>
      </c>
      <c r="C4057" s="5" t="s">
        <v>1088</v>
      </c>
      <c r="D4057" s="2" t="s">
        <v>1089</v>
      </c>
    </row>
    <row r="4058" spans="1:4" ht="12.95" customHeight="1" x14ac:dyDescent="0.25">
      <c r="A4058" s="2" t="s">
        <v>494</v>
      </c>
      <c r="B4058" s="2" t="s">
        <v>1272</v>
      </c>
      <c r="C4058" s="5" t="s">
        <v>1090</v>
      </c>
      <c r="D4058" s="2" t="s">
        <v>1179</v>
      </c>
    </row>
    <row r="4059" spans="1:4" ht="12.95" customHeight="1" x14ac:dyDescent="0.25">
      <c r="A4059" s="2" t="s">
        <v>494</v>
      </c>
      <c r="B4059" s="2" t="s">
        <v>1272</v>
      </c>
      <c r="C4059" s="5" t="s">
        <v>1092</v>
      </c>
      <c r="D4059" s="2" t="s">
        <v>1180</v>
      </c>
    </row>
    <row r="4060" spans="1:4" ht="12.95" customHeight="1" x14ac:dyDescent="0.25">
      <c r="A4060" s="2" t="s">
        <v>496</v>
      </c>
      <c r="B4060" s="2" t="s">
        <v>1272</v>
      </c>
      <c r="C4060" s="5" t="s">
        <v>1088</v>
      </c>
      <c r="D4060" s="2" t="s">
        <v>1089</v>
      </c>
    </row>
    <row r="4061" spans="1:4" ht="12.95" customHeight="1" x14ac:dyDescent="0.25">
      <c r="A4061" s="2" t="s">
        <v>496</v>
      </c>
      <c r="B4061" s="2" t="s">
        <v>1272</v>
      </c>
      <c r="C4061" s="5" t="s">
        <v>1090</v>
      </c>
      <c r="D4061" s="2" t="s">
        <v>1179</v>
      </c>
    </row>
    <row r="4062" spans="1:4" ht="12.95" customHeight="1" x14ac:dyDescent="0.25">
      <c r="A4062" s="2" t="s">
        <v>496</v>
      </c>
      <c r="B4062" s="2" t="s">
        <v>1272</v>
      </c>
      <c r="C4062" s="5" t="s">
        <v>1092</v>
      </c>
      <c r="D4062" s="2" t="s">
        <v>1180</v>
      </c>
    </row>
    <row r="4063" spans="1:4" ht="12.95" customHeight="1" x14ac:dyDescent="0.25">
      <c r="A4063" s="2" t="s">
        <v>498</v>
      </c>
      <c r="B4063" s="2" t="s">
        <v>1272</v>
      </c>
      <c r="C4063" s="5" t="s">
        <v>1088</v>
      </c>
      <c r="D4063" s="2" t="s">
        <v>1089</v>
      </c>
    </row>
    <row r="4064" spans="1:4" ht="12.95" customHeight="1" x14ac:dyDescent="0.25">
      <c r="A4064" s="2" t="s">
        <v>498</v>
      </c>
      <c r="B4064" s="2" t="s">
        <v>1272</v>
      </c>
      <c r="C4064" s="5" t="s">
        <v>1090</v>
      </c>
      <c r="D4064" s="2" t="s">
        <v>1179</v>
      </c>
    </row>
    <row r="4065" spans="1:4" ht="12.95" customHeight="1" x14ac:dyDescent="0.25">
      <c r="A4065" s="2" t="s">
        <v>498</v>
      </c>
      <c r="B4065" s="2" t="s">
        <v>1272</v>
      </c>
      <c r="C4065" s="5" t="s">
        <v>1092</v>
      </c>
      <c r="D4065" s="2" t="s">
        <v>1180</v>
      </c>
    </row>
    <row r="4066" spans="1:4" ht="12.95" customHeight="1" x14ac:dyDescent="0.25">
      <c r="A4066" s="2" t="s">
        <v>500</v>
      </c>
      <c r="B4066" s="2" t="s">
        <v>1272</v>
      </c>
      <c r="C4066" s="5" t="s">
        <v>1088</v>
      </c>
      <c r="D4066" s="2" t="s">
        <v>1089</v>
      </c>
    </row>
    <row r="4067" spans="1:4" ht="12.95" customHeight="1" x14ac:dyDescent="0.25">
      <c r="A4067" s="2" t="s">
        <v>500</v>
      </c>
      <c r="B4067" s="2" t="s">
        <v>1272</v>
      </c>
      <c r="C4067" s="5" t="s">
        <v>1090</v>
      </c>
      <c r="D4067" s="2" t="s">
        <v>1179</v>
      </c>
    </row>
    <row r="4068" spans="1:4" ht="12.95" customHeight="1" x14ac:dyDescent="0.25">
      <c r="A4068" s="2" t="s">
        <v>500</v>
      </c>
      <c r="B4068" s="2" t="s">
        <v>1272</v>
      </c>
      <c r="C4068" s="5" t="s">
        <v>1092</v>
      </c>
      <c r="D4068" s="2" t="s">
        <v>1180</v>
      </c>
    </row>
    <row r="4069" spans="1:4" ht="12.95" customHeight="1" x14ac:dyDescent="0.25">
      <c r="A4069" s="2" t="s">
        <v>502</v>
      </c>
      <c r="B4069" s="2" t="s">
        <v>1272</v>
      </c>
      <c r="C4069" s="5" t="s">
        <v>1088</v>
      </c>
      <c r="D4069" s="2" t="s">
        <v>1089</v>
      </c>
    </row>
    <row r="4070" spans="1:4" ht="12.95" customHeight="1" x14ac:dyDescent="0.25">
      <c r="A4070" s="2" t="s">
        <v>502</v>
      </c>
      <c r="B4070" s="2" t="s">
        <v>1272</v>
      </c>
      <c r="C4070" s="5" t="s">
        <v>1090</v>
      </c>
      <c r="D4070" s="2" t="s">
        <v>1179</v>
      </c>
    </row>
    <row r="4071" spans="1:4" ht="12.95" customHeight="1" x14ac:dyDescent="0.25">
      <c r="A4071" s="2" t="s">
        <v>502</v>
      </c>
      <c r="B4071" s="2" t="s">
        <v>1272</v>
      </c>
      <c r="C4071" s="5" t="s">
        <v>1092</v>
      </c>
      <c r="D4071" s="2" t="s">
        <v>1180</v>
      </c>
    </row>
    <row r="4072" spans="1:4" ht="12.95" customHeight="1" x14ac:dyDescent="0.25">
      <c r="A4072" s="2" t="s">
        <v>504</v>
      </c>
      <c r="B4072" s="2" t="s">
        <v>1272</v>
      </c>
      <c r="C4072" s="5" t="s">
        <v>1088</v>
      </c>
      <c r="D4072" s="2" t="s">
        <v>1089</v>
      </c>
    </row>
    <row r="4073" spans="1:4" ht="12.95" customHeight="1" x14ac:dyDescent="0.25">
      <c r="A4073" s="2" t="s">
        <v>504</v>
      </c>
      <c r="B4073" s="2" t="s">
        <v>1272</v>
      </c>
      <c r="C4073" s="5" t="s">
        <v>1090</v>
      </c>
      <c r="D4073" s="2" t="s">
        <v>1179</v>
      </c>
    </row>
    <row r="4074" spans="1:4" ht="12.95" customHeight="1" x14ac:dyDescent="0.25">
      <c r="A4074" s="2" t="s">
        <v>504</v>
      </c>
      <c r="B4074" s="2" t="s">
        <v>1272</v>
      </c>
      <c r="C4074" s="5" t="s">
        <v>1092</v>
      </c>
      <c r="D4074" s="2" t="s">
        <v>1180</v>
      </c>
    </row>
    <row r="4075" spans="1:4" ht="12.95" customHeight="1" x14ac:dyDescent="0.25">
      <c r="A4075" s="2" t="s">
        <v>506</v>
      </c>
      <c r="B4075" s="2" t="s">
        <v>1272</v>
      </c>
      <c r="C4075" s="5" t="s">
        <v>1088</v>
      </c>
      <c r="D4075" s="2" t="s">
        <v>1089</v>
      </c>
    </row>
    <row r="4076" spans="1:4" ht="12.95" customHeight="1" x14ac:dyDescent="0.25">
      <c r="A4076" s="2" t="s">
        <v>506</v>
      </c>
      <c r="B4076" s="2" t="s">
        <v>1272</v>
      </c>
      <c r="C4076" s="5" t="s">
        <v>1090</v>
      </c>
      <c r="D4076" s="2" t="s">
        <v>1179</v>
      </c>
    </row>
    <row r="4077" spans="1:4" ht="12.95" customHeight="1" x14ac:dyDescent="0.25">
      <c r="A4077" s="2" t="s">
        <v>506</v>
      </c>
      <c r="B4077" s="2" t="s">
        <v>1272</v>
      </c>
      <c r="C4077" s="5" t="s">
        <v>1092</v>
      </c>
      <c r="D4077" s="2" t="s">
        <v>1180</v>
      </c>
    </row>
    <row r="4078" spans="1:4" ht="12.95" customHeight="1" x14ac:dyDescent="0.25">
      <c r="A4078" s="2" t="s">
        <v>508</v>
      </c>
      <c r="B4078" s="2" t="s">
        <v>1083</v>
      </c>
      <c r="C4078" s="5" t="s">
        <v>1090</v>
      </c>
      <c r="D4078" s="2" t="s">
        <v>1179</v>
      </c>
    </row>
    <row r="4079" spans="1:4" ht="12.95" customHeight="1" x14ac:dyDescent="0.25">
      <c r="A4079" s="2" t="s">
        <v>508</v>
      </c>
      <c r="B4079" s="2" t="s">
        <v>1083</v>
      </c>
      <c r="C4079" s="5" t="s">
        <v>1092</v>
      </c>
      <c r="D4079" s="2" t="s">
        <v>1180</v>
      </c>
    </row>
    <row r="4080" spans="1:4" ht="12.95" customHeight="1" x14ac:dyDescent="0.25">
      <c r="A4080" s="2" t="s">
        <v>510</v>
      </c>
      <c r="B4080" s="2" t="s">
        <v>1083</v>
      </c>
      <c r="C4080" s="5" t="s">
        <v>1090</v>
      </c>
      <c r="D4080" s="2" t="s">
        <v>1179</v>
      </c>
    </row>
    <row r="4081" spans="1:4" ht="12.95" customHeight="1" x14ac:dyDescent="0.25">
      <c r="A4081" s="2" t="s">
        <v>510</v>
      </c>
      <c r="B4081" s="2" t="s">
        <v>1083</v>
      </c>
      <c r="C4081" s="5" t="s">
        <v>1092</v>
      </c>
      <c r="D4081" s="2" t="s">
        <v>1180</v>
      </c>
    </row>
    <row r="4082" spans="1:4" ht="12.95" customHeight="1" x14ac:dyDescent="0.25">
      <c r="A4082" s="2" t="s">
        <v>512</v>
      </c>
      <c r="B4082" s="2" t="s">
        <v>1146</v>
      </c>
      <c r="C4082" s="5" t="s">
        <v>1084</v>
      </c>
      <c r="D4082" s="2" t="s">
        <v>1153</v>
      </c>
    </row>
    <row r="4083" spans="1:4" ht="12.95" customHeight="1" x14ac:dyDescent="0.25">
      <c r="A4083" s="2" t="s">
        <v>512</v>
      </c>
      <c r="B4083" s="2" t="s">
        <v>1146</v>
      </c>
      <c r="C4083" s="5" t="s">
        <v>1086</v>
      </c>
      <c r="D4083" s="2" t="s">
        <v>1087</v>
      </c>
    </row>
    <row r="4084" spans="1:4" ht="12.95" customHeight="1" x14ac:dyDescent="0.25">
      <c r="A4084" s="2" t="s">
        <v>512</v>
      </c>
      <c r="B4084" s="2" t="s">
        <v>1146</v>
      </c>
      <c r="C4084" s="5" t="s">
        <v>1088</v>
      </c>
      <c r="D4084" s="2" t="s">
        <v>1089</v>
      </c>
    </row>
    <row r="4085" spans="1:4" ht="12.95" customHeight="1" x14ac:dyDescent="0.25">
      <c r="A4085" s="2" t="s">
        <v>512</v>
      </c>
      <c r="B4085" s="2" t="s">
        <v>1146</v>
      </c>
      <c r="C4085" s="5" t="s">
        <v>1090</v>
      </c>
      <c r="D4085" s="2" t="s">
        <v>1148</v>
      </c>
    </row>
    <row r="4086" spans="1:4" ht="12.95" customHeight="1" x14ac:dyDescent="0.25">
      <c r="A4086" s="2" t="s">
        <v>512</v>
      </c>
      <c r="B4086" s="2" t="s">
        <v>1146</v>
      </c>
      <c r="C4086" s="5" t="s">
        <v>1092</v>
      </c>
      <c r="D4086" s="2" t="s">
        <v>1182</v>
      </c>
    </row>
    <row r="4087" spans="1:4" ht="12.95" customHeight="1" x14ac:dyDescent="0.25">
      <c r="A4087" s="2" t="s">
        <v>512</v>
      </c>
      <c r="B4087" s="2" t="s">
        <v>1146</v>
      </c>
      <c r="C4087" s="5" t="s">
        <v>1094</v>
      </c>
      <c r="D4087" s="2" t="s">
        <v>1150</v>
      </c>
    </row>
    <row r="4088" spans="1:4" ht="12.95" customHeight="1" x14ac:dyDescent="0.25">
      <c r="A4088" s="2" t="s">
        <v>512</v>
      </c>
      <c r="B4088" s="2" t="s">
        <v>1146</v>
      </c>
      <c r="C4088" s="5" t="s">
        <v>1096</v>
      </c>
      <c r="D4088" s="2" t="s">
        <v>1151</v>
      </c>
    </row>
    <row r="4089" spans="1:4" ht="12.95" customHeight="1" x14ac:dyDescent="0.25">
      <c r="A4089" s="2" t="s">
        <v>512</v>
      </c>
      <c r="B4089" s="2" t="s">
        <v>1146</v>
      </c>
      <c r="C4089" s="5" t="s">
        <v>1098</v>
      </c>
      <c r="D4089" s="2" t="s">
        <v>6113</v>
      </c>
    </row>
    <row r="4090" spans="1:4" ht="12.95" customHeight="1" x14ac:dyDescent="0.25">
      <c r="A4090" s="2" t="s">
        <v>515</v>
      </c>
      <c r="B4090" s="2" t="s">
        <v>1083</v>
      </c>
      <c r="C4090" s="5" t="s">
        <v>1084</v>
      </c>
      <c r="D4090" s="2" t="s">
        <v>1153</v>
      </c>
    </row>
    <row r="4091" spans="1:4" ht="12.95" customHeight="1" x14ac:dyDescent="0.25">
      <c r="A4091" s="2" t="s">
        <v>515</v>
      </c>
      <c r="B4091" s="2" t="s">
        <v>1083</v>
      </c>
      <c r="C4091" s="5" t="s">
        <v>1086</v>
      </c>
      <c r="D4091" s="2" t="s">
        <v>1147</v>
      </c>
    </row>
    <row r="4092" spans="1:4" ht="12.95" customHeight="1" x14ac:dyDescent="0.25">
      <c r="A4092" s="2" t="s">
        <v>515</v>
      </c>
      <c r="B4092" s="2" t="s">
        <v>1083</v>
      </c>
      <c r="C4092" s="5" t="s">
        <v>1088</v>
      </c>
      <c r="D4092" s="2" t="s">
        <v>1089</v>
      </c>
    </row>
    <row r="4093" spans="1:4" ht="12.95" customHeight="1" x14ac:dyDescent="0.25">
      <c r="A4093" s="2" t="s">
        <v>515</v>
      </c>
      <c r="B4093" s="2" t="s">
        <v>1083</v>
      </c>
      <c r="C4093" s="5" t="s">
        <v>1090</v>
      </c>
      <c r="D4093" s="2" t="s">
        <v>1179</v>
      </c>
    </row>
    <row r="4094" spans="1:4" ht="12.95" customHeight="1" x14ac:dyDescent="0.25">
      <c r="A4094" s="2" t="s">
        <v>515</v>
      </c>
      <c r="B4094" s="2" t="s">
        <v>1083</v>
      </c>
      <c r="C4094" s="5" t="s">
        <v>1092</v>
      </c>
      <c r="D4094" s="2" t="s">
        <v>1180</v>
      </c>
    </row>
    <row r="4095" spans="1:4" ht="12.95" customHeight="1" x14ac:dyDescent="0.25">
      <c r="A4095" s="2" t="s">
        <v>518</v>
      </c>
      <c r="B4095" s="2" t="s">
        <v>1146</v>
      </c>
      <c r="C4095" s="5" t="s">
        <v>1084</v>
      </c>
      <c r="D4095" s="2" t="s">
        <v>1153</v>
      </c>
    </row>
    <row r="4096" spans="1:4" ht="12.95" customHeight="1" x14ac:dyDescent="0.25">
      <c r="A4096" s="2" t="s">
        <v>518</v>
      </c>
      <c r="B4096" s="2" t="s">
        <v>1146</v>
      </c>
      <c r="C4096" s="5" t="s">
        <v>1086</v>
      </c>
      <c r="D4096" s="2" t="s">
        <v>1087</v>
      </c>
    </row>
    <row r="4097" spans="1:4" ht="12.95" customHeight="1" x14ac:dyDescent="0.25">
      <c r="A4097" s="2" t="s">
        <v>518</v>
      </c>
      <c r="B4097" s="2" t="s">
        <v>1146</v>
      </c>
      <c r="C4097" s="5" t="s">
        <v>1088</v>
      </c>
      <c r="D4097" s="2" t="s">
        <v>1089</v>
      </c>
    </row>
    <row r="4098" spans="1:4" ht="12.95" customHeight="1" x14ac:dyDescent="0.25">
      <c r="A4098" s="2" t="s">
        <v>518</v>
      </c>
      <c r="B4098" s="2" t="s">
        <v>1146</v>
      </c>
      <c r="C4098" s="5" t="s">
        <v>1090</v>
      </c>
      <c r="D4098" s="2" t="s">
        <v>1181</v>
      </c>
    </row>
    <row r="4099" spans="1:4" ht="12.95" customHeight="1" x14ac:dyDescent="0.25">
      <c r="A4099" s="2" t="s">
        <v>518</v>
      </c>
      <c r="B4099" s="2" t="s">
        <v>1146</v>
      </c>
      <c r="C4099" s="5" t="s">
        <v>1092</v>
      </c>
      <c r="D4099" s="2" t="s">
        <v>1149</v>
      </c>
    </row>
    <row r="4100" spans="1:4" ht="12.95" customHeight="1" x14ac:dyDescent="0.25">
      <c r="A4100" s="2" t="s">
        <v>518</v>
      </c>
      <c r="B4100" s="2" t="s">
        <v>1146</v>
      </c>
      <c r="C4100" s="5" t="s">
        <v>1094</v>
      </c>
      <c r="D4100" s="2" t="s">
        <v>1150</v>
      </c>
    </row>
    <row r="4101" spans="1:4" ht="12.95" customHeight="1" x14ac:dyDescent="0.25">
      <c r="A4101" s="2" t="s">
        <v>518</v>
      </c>
      <c r="B4101" s="2" t="s">
        <v>1146</v>
      </c>
      <c r="C4101" s="5" t="s">
        <v>1096</v>
      </c>
      <c r="D4101" s="2" t="s">
        <v>1151</v>
      </c>
    </row>
    <row r="4102" spans="1:4" ht="12.95" customHeight="1" x14ac:dyDescent="0.25">
      <c r="A4102" s="2" t="s">
        <v>518</v>
      </c>
      <c r="B4102" s="2" t="s">
        <v>1146</v>
      </c>
      <c r="C4102" s="5" t="s">
        <v>1098</v>
      </c>
      <c r="D4102" s="2" t="s">
        <v>6113</v>
      </c>
    </row>
    <row r="4103" spans="1:4" ht="12.95" customHeight="1" x14ac:dyDescent="0.25">
      <c r="A4103" s="2" t="s">
        <v>525</v>
      </c>
      <c r="B4103" s="2" t="s">
        <v>1083</v>
      </c>
      <c r="C4103" s="5" t="s">
        <v>1102</v>
      </c>
      <c r="D4103" s="2" t="s">
        <v>1103</v>
      </c>
    </row>
    <row r="4104" spans="1:4" ht="12.95" customHeight="1" x14ac:dyDescent="0.25">
      <c r="A4104" s="2" t="s">
        <v>525</v>
      </c>
      <c r="B4104" s="2" t="s">
        <v>1083</v>
      </c>
      <c r="C4104" s="5" t="s">
        <v>1084</v>
      </c>
      <c r="D4104" s="2" t="s">
        <v>1085</v>
      </c>
    </row>
    <row r="4105" spans="1:4" ht="12.95" customHeight="1" x14ac:dyDescent="0.25">
      <c r="A4105" s="2" t="s">
        <v>525</v>
      </c>
      <c r="B4105" s="2" t="s">
        <v>1083</v>
      </c>
      <c r="C4105" s="5" t="s">
        <v>1086</v>
      </c>
      <c r="D4105" s="2" t="s">
        <v>1087</v>
      </c>
    </row>
    <row r="4106" spans="1:4" ht="12.95" customHeight="1" x14ac:dyDescent="0.25">
      <c r="A4106" s="2" t="s">
        <v>525</v>
      </c>
      <c r="B4106" s="2" t="s">
        <v>1083</v>
      </c>
      <c r="C4106" s="5" t="s">
        <v>1090</v>
      </c>
      <c r="D4106" s="2" t="s">
        <v>6114</v>
      </c>
    </row>
    <row r="4107" spans="1:4" ht="12.95" customHeight="1" x14ac:dyDescent="0.25">
      <c r="A4107" s="2" t="s">
        <v>525</v>
      </c>
      <c r="B4107" s="2" t="s">
        <v>1083</v>
      </c>
      <c r="C4107" s="5" t="s">
        <v>1092</v>
      </c>
      <c r="D4107" s="2" t="s">
        <v>6115</v>
      </c>
    </row>
    <row r="4108" spans="1:4" ht="12.95" customHeight="1" x14ac:dyDescent="0.25">
      <c r="A4108" s="2" t="s">
        <v>525</v>
      </c>
      <c r="B4108" s="2" t="s">
        <v>1083</v>
      </c>
      <c r="C4108" s="5" t="s">
        <v>1094</v>
      </c>
      <c r="D4108" s="2" t="s">
        <v>6116</v>
      </c>
    </row>
    <row r="4109" spans="1:4" ht="12.95" customHeight="1" x14ac:dyDescent="0.25">
      <c r="A4109" s="2" t="s">
        <v>528</v>
      </c>
      <c r="B4109" s="2" t="s">
        <v>1146</v>
      </c>
      <c r="C4109" s="5" t="s">
        <v>1084</v>
      </c>
      <c r="D4109" s="2" t="s">
        <v>1085</v>
      </c>
    </row>
    <row r="4110" spans="1:4" ht="12.95" customHeight="1" x14ac:dyDescent="0.25">
      <c r="A4110" s="2" t="s">
        <v>528</v>
      </c>
      <c r="B4110" s="2" t="s">
        <v>1146</v>
      </c>
      <c r="C4110" s="5" t="s">
        <v>1086</v>
      </c>
      <c r="D4110" s="2" t="s">
        <v>1087</v>
      </c>
    </row>
    <row r="4111" spans="1:4" ht="12.95" customHeight="1" x14ac:dyDescent="0.25">
      <c r="A4111" s="2" t="s">
        <v>528</v>
      </c>
      <c r="B4111" s="2" t="s">
        <v>1146</v>
      </c>
      <c r="C4111" s="5" t="s">
        <v>1088</v>
      </c>
      <c r="D4111" s="2" t="s">
        <v>1089</v>
      </c>
    </row>
    <row r="4112" spans="1:4" ht="12.95" customHeight="1" x14ac:dyDescent="0.25">
      <c r="A4112" s="2" t="s">
        <v>528</v>
      </c>
      <c r="B4112" s="2" t="s">
        <v>1146</v>
      </c>
      <c r="C4112" s="5" t="s">
        <v>1090</v>
      </c>
      <c r="D4112" s="2" t="s">
        <v>1154</v>
      </c>
    </row>
    <row r="4113" spans="1:4" ht="12.95" customHeight="1" x14ac:dyDescent="0.25">
      <c r="A4113" s="2" t="s">
        <v>528</v>
      </c>
      <c r="B4113" s="2" t="s">
        <v>1146</v>
      </c>
      <c r="C4113" s="5" t="s">
        <v>1092</v>
      </c>
      <c r="D4113" s="2" t="s">
        <v>1155</v>
      </c>
    </row>
    <row r="4114" spans="1:4" ht="12.95" customHeight="1" x14ac:dyDescent="0.25">
      <c r="A4114" s="2" t="s">
        <v>528</v>
      </c>
      <c r="B4114" s="2" t="s">
        <v>1146</v>
      </c>
      <c r="C4114" s="5" t="s">
        <v>1094</v>
      </c>
      <c r="D4114" s="2" t="s">
        <v>1156</v>
      </c>
    </row>
    <row r="4115" spans="1:4" ht="12.95" customHeight="1" x14ac:dyDescent="0.25">
      <c r="A4115" s="2" t="s">
        <v>528</v>
      </c>
      <c r="B4115" s="2" t="s">
        <v>1146</v>
      </c>
      <c r="C4115" s="5" t="s">
        <v>1096</v>
      </c>
      <c r="D4115" s="2" t="s">
        <v>1157</v>
      </c>
    </row>
    <row r="4116" spans="1:4" ht="12.95" customHeight="1" x14ac:dyDescent="0.25">
      <c r="A4116" s="2" t="s">
        <v>528</v>
      </c>
      <c r="B4116" s="2" t="s">
        <v>1146</v>
      </c>
      <c r="C4116" s="5" t="s">
        <v>1098</v>
      </c>
      <c r="D4116" s="2" t="s">
        <v>1158</v>
      </c>
    </row>
    <row r="4117" spans="1:4" ht="12.95" customHeight="1" x14ac:dyDescent="0.25">
      <c r="A4117" s="2" t="s">
        <v>531</v>
      </c>
      <c r="B4117" s="2" t="s">
        <v>1146</v>
      </c>
      <c r="C4117" s="5" t="s">
        <v>1084</v>
      </c>
      <c r="D4117" s="2" t="s">
        <v>1085</v>
      </c>
    </row>
    <row r="4118" spans="1:4" ht="12.95" customHeight="1" x14ac:dyDescent="0.25">
      <c r="A4118" s="2" t="s">
        <v>531</v>
      </c>
      <c r="B4118" s="2" t="s">
        <v>1146</v>
      </c>
      <c r="C4118" s="5" t="s">
        <v>1086</v>
      </c>
      <c r="D4118" s="2" t="s">
        <v>1087</v>
      </c>
    </row>
    <row r="4119" spans="1:4" ht="12.95" customHeight="1" x14ac:dyDescent="0.25">
      <c r="A4119" s="2" t="s">
        <v>531</v>
      </c>
      <c r="B4119" s="2" t="s">
        <v>1146</v>
      </c>
      <c r="C4119" s="5" t="s">
        <v>1088</v>
      </c>
      <c r="D4119" s="2" t="s">
        <v>1089</v>
      </c>
    </row>
    <row r="4120" spans="1:4" ht="12.95" customHeight="1" x14ac:dyDescent="0.25">
      <c r="A4120" s="2" t="s">
        <v>531</v>
      </c>
      <c r="B4120" s="2" t="s">
        <v>1146</v>
      </c>
      <c r="C4120" s="5" t="s">
        <v>1090</v>
      </c>
      <c r="D4120" s="2" t="s">
        <v>1154</v>
      </c>
    </row>
    <row r="4121" spans="1:4" ht="12.95" customHeight="1" x14ac:dyDescent="0.25">
      <c r="A4121" s="2" t="s">
        <v>531</v>
      </c>
      <c r="B4121" s="2" t="s">
        <v>1146</v>
      </c>
      <c r="C4121" s="5" t="s">
        <v>1092</v>
      </c>
      <c r="D4121" s="2" t="s">
        <v>1155</v>
      </c>
    </row>
    <row r="4122" spans="1:4" ht="12.95" customHeight="1" x14ac:dyDescent="0.25">
      <c r="A4122" s="2" t="s">
        <v>531</v>
      </c>
      <c r="B4122" s="2" t="s">
        <v>1146</v>
      </c>
      <c r="C4122" s="5" t="s">
        <v>1094</v>
      </c>
      <c r="D4122" s="2" t="s">
        <v>1156</v>
      </c>
    </row>
    <row r="4123" spans="1:4" ht="12.95" customHeight="1" x14ac:dyDescent="0.25">
      <c r="A4123" s="2" t="s">
        <v>531</v>
      </c>
      <c r="B4123" s="2" t="s">
        <v>1146</v>
      </c>
      <c r="C4123" s="5" t="s">
        <v>1096</v>
      </c>
      <c r="D4123" s="2" t="s">
        <v>1157</v>
      </c>
    </row>
    <row r="4124" spans="1:4" ht="12.95" customHeight="1" x14ac:dyDescent="0.25">
      <c r="A4124" s="2" t="s">
        <v>531</v>
      </c>
      <c r="B4124" s="2" t="s">
        <v>1146</v>
      </c>
      <c r="C4124" s="5" t="s">
        <v>1098</v>
      </c>
      <c r="D4124" s="2" t="s">
        <v>1158</v>
      </c>
    </row>
    <row r="4125" spans="1:4" ht="12.95" customHeight="1" x14ac:dyDescent="0.25">
      <c r="A4125" s="2" t="s">
        <v>534</v>
      </c>
      <c r="B4125" s="2" t="s">
        <v>1083</v>
      </c>
      <c r="C4125" s="5" t="s">
        <v>1102</v>
      </c>
      <c r="D4125" s="2" t="s">
        <v>1103</v>
      </c>
    </row>
    <row r="4126" spans="1:4" ht="12.95" customHeight="1" x14ac:dyDescent="0.25">
      <c r="A4126" s="2" t="s">
        <v>534</v>
      </c>
      <c r="B4126" s="2" t="s">
        <v>1083</v>
      </c>
      <c r="C4126" s="5" t="s">
        <v>1084</v>
      </c>
      <c r="D4126" s="2" t="s">
        <v>1085</v>
      </c>
    </row>
    <row r="4127" spans="1:4" ht="12.95" customHeight="1" x14ac:dyDescent="0.25">
      <c r="A4127" s="2" t="s">
        <v>534</v>
      </c>
      <c r="B4127" s="2" t="s">
        <v>1083</v>
      </c>
      <c r="C4127" s="5" t="s">
        <v>1086</v>
      </c>
      <c r="D4127" s="2" t="s">
        <v>1087</v>
      </c>
    </row>
    <row r="4128" spans="1:4" ht="12.95" customHeight="1" x14ac:dyDescent="0.25">
      <c r="A4128" s="2" t="s">
        <v>534</v>
      </c>
      <c r="B4128" s="2" t="s">
        <v>1083</v>
      </c>
      <c r="C4128" s="5" t="s">
        <v>1088</v>
      </c>
      <c r="D4128" s="2" t="s">
        <v>1089</v>
      </c>
    </row>
    <row r="4129" spans="1:4" ht="12.95" customHeight="1" x14ac:dyDescent="0.25">
      <c r="A4129" s="2" t="s">
        <v>534</v>
      </c>
      <c r="B4129" s="2" t="s">
        <v>1083</v>
      </c>
      <c r="C4129" s="5" t="s">
        <v>1090</v>
      </c>
      <c r="D4129" s="2" t="s">
        <v>6117</v>
      </c>
    </row>
    <row r="4130" spans="1:4" ht="12.95" customHeight="1" x14ac:dyDescent="0.25">
      <c r="A4130" s="2" t="s">
        <v>534</v>
      </c>
      <c r="B4130" s="2" t="s">
        <v>1083</v>
      </c>
      <c r="C4130" s="5" t="s">
        <v>1092</v>
      </c>
      <c r="D4130" s="2" t="s">
        <v>6118</v>
      </c>
    </row>
    <row r="4131" spans="1:4" ht="12.95" customHeight="1" x14ac:dyDescent="0.25">
      <c r="A4131" s="2" t="s">
        <v>534</v>
      </c>
      <c r="B4131" s="2" t="s">
        <v>1083</v>
      </c>
      <c r="C4131" s="5" t="s">
        <v>1094</v>
      </c>
      <c r="D4131" s="2" t="s">
        <v>6119</v>
      </c>
    </row>
    <row r="4132" spans="1:4" ht="12.95" customHeight="1" x14ac:dyDescent="0.25">
      <c r="A4132" s="2" t="s">
        <v>534</v>
      </c>
      <c r="B4132" s="2" t="s">
        <v>1083</v>
      </c>
      <c r="C4132" s="5" t="s">
        <v>1096</v>
      </c>
      <c r="D4132" s="2" t="s">
        <v>6120</v>
      </c>
    </row>
    <row r="4133" spans="1:4" ht="12.95" customHeight="1" x14ac:dyDescent="0.25">
      <c r="A4133" s="2" t="s">
        <v>534</v>
      </c>
      <c r="B4133" s="2" t="s">
        <v>1083</v>
      </c>
      <c r="C4133" s="5" t="s">
        <v>1098</v>
      </c>
      <c r="D4133" s="2" t="s">
        <v>6121</v>
      </c>
    </row>
    <row r="4134" spans="1:4" ht="12.95" customHeight="1" x14ac:dyDescent="0.25">
      <c r="A4134" s="2" t="s">
        <v>534</v>
      </c>
      <c r="B4134" s="2" t="s">
        <v>1083</v>
      </c>
      <c r="C4134" s="5" t="s">
        <v>1100</v>
      </c>
      <c r="D4134" s="2" t="s">
        <v>6122</v>
      </c>
    </row>
    <row r="4135" spans="1:4" ht="12.95" customHeight="1" x14ac:dyDescent="0.25">
      <c r="A4135" s="2" t="s">
        <v>534</v>
      </c>
      <c r="B4135" s="2" t="s">
        <v>1083</v>
      </c>
      <c r="C4135" s="5" t="s">
        <v>1111</v>
      </c>
      <c r="D4135" s="2" t="s">
        <v>1143</v>
      </c>
    </row>
    <row r="4136" spans="1:4" ht="12.95" customHeight="1" x14ac:dyDescent="0.25">
      <c r="A4136" s="2" t="s">
        <v>537</v>
      </c>
      <c r="B4136" s="2" t="s">
        <v>1083</v>
      </c>
      <c r="C4136" s="5" t="s">
        <v>1090</v>
      </c>
      <c r="D4136" s="2" t="s">
        <v>6123</v>
      </c>
    </row>
    <row r="4137" spans="1:4" ht="12.95" customHeight="1" x14ac:dyDescent="0.25">
      <c r="A4137" s="2" t="s">
        <v>537</v>
      </c>
      <c r="B4137" s="2" t="s">
        <v>1083</v>
      </c>
      <c r="C4137" s="5" t="s">
        <v>1092</v>
      </c>
      <c r="D4137" s="2" t="s">
        <v>6124</v>
      </c>
    </row>
    <row r="4138" spans="1:4" ht="12.95" customHeight="1" x14ac:dyDescent="0.25">
      <c r="A4138" s="2" t="s">
        <v>539</v>
      </c>
      <c r="B4138" s="2" t="s">
        <v>1272</v>
      </c>
      <c r="C4138" s="5" t="s">
        <v>1088</v>
      </c>
      <c r="D4138" s="2" t="s">
        <v>1089</v>
      </c>
    </row>
    <row r="4139" spans="1:4" ht="12.95" customHeight="1" x14ac:dyDescent="0.25">
      <c r="A4139" s="2" t="s">
        <v>539</v>
      </c>
      <c r="B4139" s="2" t="s">
        <v>1272</v>
      </c>
      <c r="C4139" s="5" t="s">
        <v>1090</v>
      </c>
      <c r="D4139" s="2" t="s">
        <v>1179</v>
      </c>
    </row>
    <row r="4140" spans="1:4" ht="12.95" customHeight="1" x14ac:dyDescent="0.25">
      <c r="A4140" s="2" t="s">
        <v>539</v>
      </c>
      <c r="B4140" s="2" t="s">
        <v>1272</v>
      </c>
      <c r="C4140" s="5" t="s">
        <v>1092</v>
      </c>
      <c r="D4140" s="2" t="s">
        <v>1180</v>
      </c>
    </row>
    <row r="4141" spans="1:4" ht="12.95" customHeight="1" x14ac:dyDescent="0.25">
      <c r="A4141" s="2" t="s">
        <v>541</v>
      </c>
      <c r="B4141" s="2" t="s">
        <v>1083</v>
      </c>
      <c r="C4141" s="5" t="s">
        <v>1102</v>
      </c>
      <c r="D4141" s="2" t="s">
        <v>1103</v>
      </c>
    </row>
    <row r="4142" spans="1:4" ht="12.95" customHeight="1" x14ac:dyDescent="0.25">
      <c r="A4142" s="2" t="s">
        <v>541</v>
      </c>
      <c r="B4142" s="2" t="s">
        <v>1083</v>
      </c>
      <c r="C4142" s="5" t="s">
        <v>1084</v>
      </c>
      <c r="D4142" s="2" t="s">
        <v>1085</v>
      </c>
    </row>
    <row r="4143" spans="1:4" ht="12.95" customHeight="1" x14ac:dyDescent="0.25">
      <c r="A4143" s="2" t="s">
        <v>541</v>
      </c>
      <c r="B4143" s="2" t="s">
        <v>1083</v>
      </c>
      <c r="C4143" s="5" t="s">
        <v>1086</v>
      </c>
      <c r="D4143" s="2" t="s">
        <v>1087</v>
      </c>
    </row>
    <row r="4144" spans="1:4" ht="12.95" customHeight="1" x14ac:dyDescent="0.25">
      <c r="A4144" s="2" t="s">
        <v>541</v>
      </c>
      <c r="B4144" s="2" t="s">
        <v>1083</v>
      </c>
      <c r="C4144" s="5" t="s">
        <v>1088</v>
      </c>
      <c r="D4144" s="2" t="s">
        <v>1089</v>
      </c>
    </row>
    <row r="4145" spans="1:4" ht="12.95" customHeight="1" x14ac:dyDescent="0.25">
      <c r="A4145" s="2" t="s">
        <v>541</v>
      </c>
      <c r="B4145" s="2" t="s">
        <v>1083</v>
      </c>
      <c r="C4145" s="5" t="s">
        <v>1090</v>
      </c>
      <c r="D4145" s="2" t="s">
        <v>6125</v>
      </c>
    </row>
    <row r="4146" spans="1:4" ht="12.95" customHeight="1" x14ac:dyDescent="0.25">
      <c r="A4146" s="2" t="s">
        <v>541</v>
      </c>
      <c r="B4146" s="2" t="s">
        <v>1083</v>
      </c>
      <c r="C4146" s="5" t="s">
        <v>1092</v>
      </c>
      <c r="D4146" s="2" t="s">
        <v>6126</v>
      </c>
    </row>
    <row r="4147" spans="1:4" ht="12.95" customHeight="1" x14ac:dyDescent="0.25">
      <c r="A4147" s="2" t="s">
        <v>541</v>
      </c>
      <c r="B4147" s="2" t="s">
        <v>1083</v>
      </c>
      <c r="C4147" s="5" t="s">
        <v>1094</v>
      </c>
      <c r="D4147" s="2" t="s">
        <v>6127</v>
      </c>
    </row>
    <row r="4148" spans="1:4" ht="12.95" customHeight="1" x14ac:dyDescent="0.25">
      <c r="A4148" s="2" t="s">
        <v>541</v>
      </c>
      <c r="B4148" s="2" t="s">
        <v>1083</v>
      </c>
      <c r="C4148" s="5" t="s">
        <v>1096</v>
      </c>
      <c r="D4148" s="2" t="s">
        <v>6128</v>
      </c>
    </row>
    <row r="4149" spans="1:4" ht="12.95" customHeight="1" x14ac:dyDescent="0.25">
      <c r="A4149" s="2" t="s">
        <v>541</v>
      </c>
      <c r="B4149" s="2" t="s">
        <v>1083</v>
      </c>
      <c r="C4149" s="5" t="s">
        <v>1098</v>
      </c>
      <c r="D4149" s="2" t="s">
        <v>6129</v>
      </c>
    </row>
    <row r="4150" spans="1:4" ht="12.95" customHeight="1" x14ac:dyDescent="0.25">
      <c r="A4150" s="2" t="s">
        <v>541</v>
      </c>
      <c r="B4150" s="2" t="s">
        <v>1083</v>
      </c>
      <c r="C4150" s="5" t="s">
        <v>1100</v>
      </c>
      <c r="D4150" s="2" t="s">
        <v>6130</v>
      </c>
    </row>
    <row r="4151" spans="1:4" ht="12.95" customHeight="1" x14ac:dyDescent="0.25">
      <c r="A4151" s="2" t="s">
        <v>541</v>
      </c>
      <c r="B4151" s="2" t="s">
        <v>1083</v>
      </c>
      <c r="C4151" s="5" t="s">
        <v>1109</v>
      </c>
      <c r="D4151" s="2" t="s">
        <v>6131</v>
      </c>
    </row>
    <row r="4152" spans="1:4" ht="12.95" customHeight="1" x14ac:dyDescent="0.25">
      <c r="A4152" s="2" t="s">
        <v>541</v>
      </c>
      <c r="B4152" s="2" t="s">
        <v>1083</v>
      </c>
      <c r="C4152" s="5" t="s">
        <v>1119</v>
      </c>
      <c r="D4152" s="2" t="s">
        <v>1172</v>
      </c>
    </row>
    <row r="4153" spans="1:4" ht="12.95" customHeight="1" x14ac:dyDescent="0.25">
      <c r="A4153" s="2" t="s">
        <v>541</v>
      </c>
      <c r="B4153" s="2" t="s">
        <v>1083</v>
      </c>
      <c r="C4153" s="5" t="s">
        <v>1121</v>
      </c>
      <c r="D4153" s="2" t="s">
        <v>1174</v>
      </c>
    </row>
    <row r="4154" spans="1:4" ht="12.95" customHeight="1" x14ac:dyDescent="0.25">
      <c r="A4154" s="2" t="s">
        <v>541</v>
      </c>
      <c r="B4154" s="2" t="s">
        <v>1083</v>
      </c>
      <c r="C4154" s="5" t="s">
        <v>1123</v>
      </c>
      <c r="D4154" s="2" t="s">
        <v>1176</v>
      </c>
    </row>
    <row r="4155" spans="1:4" ht="12.95" customHeight="1" x14ac:dyDescent="0.25">
      <c r="A4155" s="2" t="s">
        <v>541</v>
      </c>
      <c r="B4155" s="2" t="s">
        <v>1083</v>
      </c>
      <c r="C4155" s="5" t="s">
        <v>1125</v>
      </c>
      <c r="D4155" s="2" t="s">
        <v>1177</v>
      </c>
    </row>
    <row r="4156" spans="1:4" ht="12.95" customHeight="1" x14ac:dyDescent="0.25">
      <c r="A4156" s="2" t="s">
        <v>541</v>
      </c>
      <c r="B4156" s="2" t="s">
        <v>1083</v>
      </c>
      <c r="C4156" s="5" t="s">
        <v>1111</v>
      </c>
      <c r="D4156" s="2" t="s">
        <v>1143</v>
      </c>
    </row>
    <row r="4157" spans="1:4" ht="12.95" customHeight="1" x14ac:dyDescent="0.25">
      <c r="A4157" s="2" t="s">
        <v>544</v>
      </c>
      <c r="B4157" s="2" t="s">
        <v>1083</v>
      </c>
      <c r="C4157" s="5" t="s">
        <v>1102</v>
      </c>
      <c r="D4157" s="2" t="s">
        <v>1103</v>
      </c>
    </row>
    <row r="4158" spans="1:4" ht="12.95" customHeight="1" x14ac:dyDescent="0.25">
      <c r="A4158" s="2" t="s">
        <v>544</v>
      </c>
      <c r="B4158" s="2" t="s">
        <v>1083</v>
      </c>
      <c r="C4158" s="5" t="s">
        <v>1084</v>
      </c>
      <c r="D4158" s="2" t="s">
        <v>1085</v>
      </c>
    </row>
    <row r="4159" spans="1:4" ht="12.95" customHeight="1" x14ac:dyDescent="0.25">
      <c r="A4159" s="2" t="s">
        <v>544</v>
      </c>
      <c r="B4159" s="2" t="s">
        <v>1083</v>
      </c>
      <c r="C4159" s="5" t="s">
        <v>1086</v>
      </c>
      <c r="D4159" s="2" t="s">
        <v>1087</v>
      </c>
    </row>
    <row r="4160" spans="1:4" ht="12.95" customHeight="1" x14ac:dyDescent="0.25">
      <c r="A4160" s="2" t="s">
        <v>544</v>
      </c>
      <c r="B4160" s="2" t="s">
        <v>1083</v>
      </c>
      <c r="C4160" s="5" t="s">
        <v>1088</v>
      </c>
      <c r="D4160" s="2" t="s">
        <v>1089</v>
      </c>
    </row>
    <row r="4161" spans="1:4" ht="12.95" customHeight="1" x14ac:dyDescent="0.25">
      <c r="A4161" s="2" t="s">
        <v>544</v>
      </c>
      <c r="B4161" s="2" t="s">
        <v>1083</v>
      </c>
      <c r="C4161" s="5" t="s">
        <v>1090</v>
      </c>
      <c r="D4161" s="2" t="s">
        <v>6125</v>
      </c>
    </row>
    <row r="4162" spans="1:4" ht="12.95" customHeight="1" x14ac:dyDescent="0.25">
      <c r="A4162" s="2" t="s">
        <v>544</v>
      </c>
      <c r="B4162" s="2" t="s">
        <v>1083</v>
      </c>
      <c r="C4162" s="5" t="s">
        <v>1092</v>
      </c>
      <c r="D4162" s="2" t="s">
        <v>6126</v>
      </c>
    </row>
    <row r="4163" spans="1:4" ht="12.95" customHeight="1" x14ac:dyDescent="0.25">
      <c r="A4163" s="2" t="s">
        <v>544</v>
      </c>
      <c r="B4163" s="2" t="s">
        <v>1083</v>
      </c>
      <c r="C4163" s="5" t="s">
        <v>1094</v>
      </c>
      <c r="D4163" s="2" t="s">
        <v>6127</v>
      </c>
    </row>
    <row r="4164" spans="1:4" ht="12.95" customHeight="1" x14ac:dyDescent="0.25">
      <c r="A4164" s="2" t="s">
        <v>544</v>
      </c>
      <c r="B4164" s="2" t="s">
        <v>1083</v>
      </c>
      <c r="C4164" s="5" t="s">
        <v>1096</v>
      </c>
      <c r="D4164" s="2" t="s">
        <v>6128</v>
      </c>
    </row>
    <row r="4165" spans="1:4" ht="12.95" customHeight="1" x14ac:dyDescent="0.25">
      <c r="A4165" s="2" t="s">
        <v>544</v>
      </c>
      <c r="B4165" s="2" t="s">
        <v>1083</v>
      </c>
      <c r="C4165" s="5" t="s">
        <v>1098</v>
      </c>
      <c r="D4165" s="2" t="s">
        <v>6129</v>
      </c>
    </row>
    <row r="4166" spans="1:4" ht="12.95" customHeight="1" x14ac:dyDescent="0.25">
      <c r="A4166" s="2" t="s">
        <v>544</v>
      </c>
      <c r="B4166" s="2" t="s">
        <v>1083</v>
      </c>
      <c r="C4166" s="5" t="s">
        <v>1100</v>
      </c>
      <c r="D4166" s="2" t="s">
        <v>6130</v>
      </c>
    </row>
    <row r="4167" spans="1:4" ht="12.95" customHeight="1" x14ac:dyDescent="0.25">
      <c r="A4167" s="2" t="s">
        <v>544</v>
      </c>
      <c r="B4167" s="2" t="s">
        <v>1083</v>
      </c>
      <c r="C4167" s="5" t="s">
        <v>1109</v>
      </c>
      <c r="D4167" s="2" t="s">
        <v>6131</v>
      </c>
    </row>
    <row r="4168" spans="1:4" ht="12.95" customHeight="1" x14ac:dyDescent="0.25">
      <c r="A4168" s="2" t="s">
        <v>544</v>
      </c>
      <c r="B4168" s="2" t="s">
        <v>1083</v>
      </c>
      <c r="C4168" s="5" t="s">
        <v>1119</v>
      </c>
      <c r="D4168" s="2" t="s">
        <v>1172</v>
      </c>
    </row>
    <row r="4169" spans="1:4" ht="12.95" customHeight="1" x14ac:dyDescent="0.25">
      <c r="A4169" s="2" t="s">
        <v>544</v>
      </c>
      <c r="B4169" s="2" t="s">
        <v>1083</v>
      </c>
      <c r="C4169" s="5" t="s">
        <v>1121</v>
      </c>
      <c r="D4169" s="2" t="s">
        <v>1174</v>
      </c>
    </row>
    <row r="4170" spans="1:4" ht="12.95" customHeight="1" x14ac:dyDescent="0.25">
      <c r="A4170" s="2" t="s">
        <v>544</v>
      </c>
      <c r="B4170" s="2" t="s">
        <v>1083</v>
      </c>
      <c r="C4170" s="5" t="s">
        <v>1123</v>
      </c>
      <c r="D4170" s="2" t="s">
        <v>1176</v>
      </c>
    </row>
    <row r="4171" spans="1:4" ht="12.95" customHeight="1" x14ac:dyDescent="0.25">
      <c r="A4171" s="2" t="s">
        <v>544</v>
      </c>
      <c r="B4171" s="2" t="s">
        <v>1083</v>
      </c>
      <c r="C4171" s="5" t="s">
        <v>1125</v>
      </c>
      <c r="D4171" s="2" t="s">
        <v>1177</v>
      </c>
    </row>
    <row r="4172" spans="1:4" ht="12.95" customHeight="1" x14ac:dyDescent="0.25">
      <c r="A4172" s="2" t="s">
        <v>544</v>
      </c>
      <c r="B4172" s="2" t="s">
        <v>1083</v>
      </c>
      <c r="C4172" s="5" t="s">
        <v>1111</v>
      </c>
      <c r="D4172" s="2" t="s">
        <v>1143</v>
      </c>
    </row>
    <row r="4173" spans="1:4" ht="12.95" customHeight="1" x14ac:dyDescent="0.25">
      <c r="A4173" s="2" t="s">
        <v>546</v>
      </c>
      <c r="B4173" s="2" t="s">
        <v>1083</v>
      </c>
      <c r="C4173" s="5" t="s">
        <v>1102</v>
      </c>
      <c r="D4173" s="2" t="s">
        <v>1103</v>
      </c>
    </row>
    <row r="4174" spans="1:4" ht="12.95" customHeight="1" x14ac:dyDescent="0.25">
      <c r="A4174" s="2" t="s">
        <v>546</v>
      </c>
      <c r="B4174" s="2" t="s">
        <v>1083</v>
      </c>
      <c r="C4174" s="5" t="s">
        <v>1084</v>
      </c>
      <c r="D4174" s="2" t="s">
        <v>1085</v>
      </c>
    </row>
    <row r="4175" spans="1:4" ht="12.95" customHeight="1" x14ac:dyDescent="0.25">
      <c r="A4175" s="2" t="s">
        <v>546</v>
      </c>
      <c r="B4175" s="2" t="s">
        <v>1083</v>
      </c>
      <c r="C4175" s="5" t="s">
        <v>1086</v>
      </c>
      <c r="D4175" s="2" t="s">
        <v>1087</v>
      </c>
    </row>
    <row r="4176" spans="1:4" ht="12.95" customHeight="1" x14ac:dyDescent="0.25">
      <c r="A4176" s="2" t="s">
        <v>546</v>
      </c>
      <c r="B4176" s="2" t="s">
        <v>1083</v>
      </c>
      <c r="C4176" s="5" t="s">
        <v>1088</v>
      </c>
      <c r="D4176" s="2" t="s">
        <v>1089</v>
      </c>
    </row>
    <row r="4177" spans="1:4" ht="12.95" customHeight="1" x14ac:dyDescent="0.25">
      <c r="A4177" s="2" t="s">
        <v>546</v>
      </c>
      <c r="B4177" s="2" t="s">
        <v>1083</v>
      </c>
      <c r="C4177" s="5" t="s">
        <v>1090</v>
      </c>
      <c r="D4177" s="2" t="s">
        <v>6125</v>
      </c>
    </row>
    <row r="4178" spans="1:4" ht="12.95" customHeight="1" x14ac:dyDescent="0.25">
      <c r="A4178" s="2" t="s">
        <v>546</v>
      </c>
      <c r="B4178" s="2" t="s">
        <v>1083</v>
      </c>
      <c r="C4178" s="5" t="s">
        <v>1092</v>
      </c>
      <c r="D4178" s="2" t="s">
        <v>6126</v>
      </c>
    </row>
    <row r="4179" spans="1:4" ht="12.95" customHeight="1" x14ac:dyDescent="0.25">
      <c r="A4179" s="2" t="s">
        <v>546</v>
      </c>
      <c r="B4179" s="2" t="s">
        <v>1083</v>
      </c>
      <c r="C4179" s="5" t="s">
        <v>1094</v>
      </c>
      <c r="D4179" s="2" t="s">
        <v>6127</v>
      </c>
    </row>
    <row r="4180" spans="1:4" ht="12.95" customHeight="1" x14ac:dyDescent="0.25">
      <c r="A4180" s="2" t="s">
        <v>546</v>
      </c>
      <c r="B4180" s="2" t="s">
        <v>1083</v>
      </c>
      <c r="C4180" s="5" t="s">
        <v>1096</v>
      </c>
      <c r="D4180" s="2" t="s">
        <v>6128</v>
      </c>
    </row>
    <row r="4181" spans="1:4" ht="12.95" customHeight="1" x14ac:dyDescent="0.25">
      <c r="A4181" s="2" t="s">
        <v>546</v>
      </c>
      <c r="B4181" s="2" t="s">
        <v>1083</v>
      </c>
      <c r="C4181" s="5" t="s">
        <v>1098</v>
      </c>
      <c r="D4181" s="2" t="s">
        <v>6129</v>
      </c>
    </row>
    <row r="4182" spans="1:4" ht="12.95" customHeight="1" x14ac:dyDescent="0.25">
      <c r="A4182" s="2" t="s">
        <v>546</v>
      </c>
      <c r="B4182" s="2" t="s">
        <v>1083</v>
      </c>
      <c r="C4182" s="5" t="s">
        <v>1100</v>
      </c>
      <c r="D4182" s="2" t="s">
        <v>6130</v>
      </c>
    </row>
    <row r="4183" spans="1:4" ht="12.95" customHeight="1" x14ac:dyDescent="0.25">
      <c r="A4183" s="2" t="s">
        <v>546</v>
      </c>
      <c r="B4183" s="2" t="s">
        <v>1083</v>
      </c>
      <c r="C4183" s="5" t="s">
        <v>1109</v>
      </c>
      <c r="D4183" s="2" t="s">
        <v>6131</v>
      </c>
    </row>
    <row r="4184" spans="1:4" ht="12.95" customHeight="1" x14ac:dyDescent="0.25">
      <c r="A4184" s="2" t="s">
        <v>546</v>
      </c>
      <c r="B4184" s="2" t="s">
        <v>1083</v>
      </c>
      <c r="C4184" s="5" t="s">
        <v>1119</v>
      </c>
      <c r="D4184" s="2" t="s">
        <v>1172</v>
      </c>
    </row>
    <row r="4185" spans="1:4" ht="12.95" customHeight="1" x14ac:dyDescent="0.25">
      <c r="A4185" s="2" t="s">
        <v>546</v>
      </c>
      <c r="B4185" s="2" t="s">
        <v>1083</v>
      </c>
      <c r="C4185" s="5" t="s">
        <v>1121</v>
      </c>
      <c r="D4185" s="2" t="s">
        <v>1174</v>
      </c>
    </row>
    <row r="4186" spans="1:4" ht="12.95" customHeight="1" x14ac:dyDescent="0.25">
      <c r="A4186" s="2" t="s">
        <v>546</v>
      </c>
      <c r="B4186" s="2" t="s">
        <v>1083</v>
      </c>
      <c r="C4186" s="5" t="s">
        <v>1123</v>
      </c>
      <c r="D4186" s="2" t="s">
        <v>1176</v>
      </c>
    </row>
    <row r="4187" spans="1:4" ht="12.95" customHeight="1" x14ac:dyDescent="0.25">
      <c r="A4187" s="2" t="s">
        <v>546</v>
      </c>
      <c r="B4187" s="2" t="s">
        <v>1083</v>
      </c>
      <c r="C4187" s="5" t="s">
        <v>1125</v>
      </c>
      <c r="D4187" s="2" t="s">
        <v>1177</v>
      </c>
    </row>
    <row r="4188" spans="1:4" ht="12.95" customHeight="1" x14ac:dyDescent="0.25">
      <c r="A4188" s="2" t="s">
        <v>546</v>
      </c>
      <c r="B4188" s="2" t="s">
        <v>1083</v>
      </c>
      <c r="C4188" s="5" t="s">
        <v>1111</v>
      </c>
      <c r="D4188" s="2" t="s">
        <v>1143</v>
      </c>
    </row>
    <row r="4189" spans="1:4" ht="12.95" customHeight="1" x14ac:dyDescent="0.25">
      <c r="A4189" s="2" t="s">
        <v>548</v>
      </c>
      <c r="B4189" s="2" t="s">
        <v>1083</v>
      </c>
      <c r="C4189" s="5" t="s">
        <v>1102</v>
      </c>
      <c r="D4189" s="2" t="s">
        <v>1103</v>
      </c>
    </row>
    <row r="4190" spans="1:4" ht="12.95" customHeight="1" x14ac:dyDescent="0.25">
      <c r="A4190" s="2" t="s">
        <v>548</v>
      </c>
      <c r="B4190" s="2" t="s">
        <v>1083</v>
      </c>
      <c r="C4190" s="5" t="s">
        <v>1084</v>
      </c>
      <c r="D4190" s="2" t="s">
        <v>1085</v>
      </c>
    </row>
    <row r="4191" spans="1:4" ht="12.95" customHeight="1" x14ac:dyDescent="0.25">
      <c r="A4191" s="2" t="s">
        <v>548</v>
      </c>
      <c r="B4191" s="2" t="s">
        <v>1083</v>
      </c>
      <c r="C4191" s="5" t="s">
        <v>1086</v>
      </c>
      <c r="D4191" s="2" t="s">
        <v>1087</v>
      </c>
    </row>
    <row r="4192" spans="1:4" ht="12.95" customHeight="1" x14ac:dyDescent="0.25">
      <c r="A4192" s="2" t="s">
        <v>548</v>
      </c>
      <c r="B4192" s="2" t="s">
        <v>1083</v>
      </c>
      <c r="C4192" s="5" t="s">
        <v>1088</v>
      </c>
      <c r="D4192" s="2" t="s">
        <v>1089</v>
      </c>
    </row>
    <row r="4193" spans="1:4" ht="12.95" customHeight="1" x14ac:dyDescent="0.25">
      <c r="A4193" s="2" t="s">
        <v>548</v>
      </c>
      <c r="B4193" s="2" t="s">
        <v>1083</v>
      </c>
      <c r="C4193" s="5" t="s">
        <v>1090</v>
      </c>
      <c r="D4193" s="2" t="s">
        <v>6125</v>
      </c>
    </row>
    <row r="4194" spans="1:4" ht="12.95" customHeight="1" x14ac:dyDescent="0.25">
      <c r="A4194" s="2" t="s">
        <v>548</v>
      </c>
      <c r="B4194" s="2" t="s">
        <v>1083</v>
      </c>
      <c r="C4194" s="5" t="s">
        <v>1092</v>
      </c>
      <c r="D4194" s="2" t="s">
        <v>6126</v>
      </c>
    </row>
    <row r="4195" spans="1:4" ht="12.95" customHeight="1" x14ac:dyDescent="0.25">
      <c r="A4195" s="2" t="s">
        <v>548</v>
      </c>
      <c r="B4195" s="2" t="s">
        <v>1083</v>
      </c>
      <c r="C4195" s="5" t="s">
        <v>1094</v>
      </c>
      <c r="D4195" s="2" t="s">
        <v>6127</v>
      </c>
    </row>
    <row r="4196" spans="1:4" ht="12.95" customHeight="1" x14ac:dyDescent="0.25">
      <c r="A4196" s="2" t="s">
        <v>548</v>
      </c>
      <c r="B4196" s="2" t="s">
        <v>1083</v>
      </c>
      <c r="C4196" s="5" t="s">
        <v>1096</v>
      </c>
      <c r="D4196" s="2" t="s">
        <v>6128</v>
      </c>
    </row>
    <row r="4197" spans="1:4" ht="12.95" customHeight="1" x14ac:dyDescent="0.25">
      <c r="A4197" s="2" t="s">
        <v>548</v>
      </c>
      <c r="B4197" s="2" t="s">
        <v>1083</v>
      </c>
      <c r="C4197" s="5" t="s">
        <v>1098</v>
      </c>
      <c r="D4197" s="2" t="s">
        <v>6129</v>
      </c>
    </row>
    <row r="4198" spans="1:4" ht="12.95" customHeight="1" x14ac:dyDescent="0.25">
      <c r="A4198" s="2" t="s">
        <v>548</v>
      </c>
      <c r="B4198" s="2" t="s">
        <v>1083</v>
      </c>
      <c r="C4198" s="5" t="s">
        <v>1100</v>
      </c>
      <c r="D4198" s="2" t="s">
        <v>6130</v>
      </c>
    </row>
    <row r="4199" spans="1:4" ht="12.95" customHeight="1" x14ac:dyDescent="0.25">
      <c r="A4199" s="2" t="s">
        <v>548</v>
      </c>
      <c r="B4199" s="2" t="s">
        <v>1083</v>
      </c>
      <c r="C4199" s="5" t="s">
        <v>1109</v>
      </c>
      <c r="D4199" s="2" t="s">
        <v>6131</v>
      </c>
    </row>
    <row r="4200" spans="1:4" ht="12.95" customHeight="1" x14ac:dyDescent="0.25">
      <c r="A4200" s="2" t="s">
        <v>548</v>
      </c>
      <c r="B4200" s="2" t="s">
        <v>1083</v>
      </c>
      <c r="C4200" s="5" t="s">
        <v>1119</v>
      </c>
      <c r="D4200" s="2" t="s">
        <v>1172</v>
      </c>
    </row>
    <row r="4201" spans="1:4" ht="12.95" customHeight="1" x14ac:dyDescent="0.25">
      <c r="A4201" s="2" t="s">
        <v>548</v>
      </c>
      <c r="B4201" s="2" t="s">
        <v>1083</v>
      </c>
      <c r="C4201" s="5" t="s">
        <v>1121</v>
      </c>
      <c r="D4201" s="2" t="s">
        <v>1174</v>
      </c>
    </row>
    <row r="4202" spans="1:4" ht="12.95" customHeight="1" x14ac:dyDescent="0.25">
      <c r="A4202" s="2" t="s">
        <v>548</v>
      </c>
      <c r="B4202" s="2" t="s">
        <v>1083</v>
      </c>
      <c r="C4202" s="5" t="s">
        <v>1123</v>
      </c>
      <c r="D4202" s="2" t="s">
        <v>1176</v>
      </c>
    </row>
    <row r="4203" spans="1:4" ht="12.95" customHeight="1" x14ac:dyDescent="0.25">
      <c r="A4203" s="2" t="s">
        <v>548</v>
      </c>
      <c r="B4203" s="2" t="s">
        <v>1083</v>
      </c>
      <c r="C4203" s="5" t="s">
        <v>1125</v>
      </c>
      <c r="D4203" s="2" t="s">
        <v>1177</v>
      </c>
    </row>
    <row r="4204" spans="1:4" ht="12.95" customHeight="1" x14ac:dyDescent="0.25">
      <c r="A4204" s="2" t="s">
        <v>548</v>
      </c>
      <c r="B4204" s="2" t="s">
        <v>1083</v>
      </c>
      <c r="C4204" s="5" t="s">
        <v>1111</v>
      </c>
      <c r="D4204" s="2" t="s">
        <v>1143</v>
      </c>
    </row>
    <row r="4205" spans="1:4" ht="12.95" customHeight="1" x14ac:dyDescent="0.25">
      <c r="A4205" s="2" t="s">
        <v>550</v>
      </c>
      <c r="B4205" s="2" t="s">
        <v>1083</v>
      </c>
      <c r="C4205" s="5" t="s">
        <v>1102</v>
      </c>
      <c r="D4205" s="2" t="s">
        <v>1103</v>
      </c>
    </row>
    <row r="4206" spans="1:4" ht="12.95" customHeight="1" x14ac:dyDescent="0.25">
      <c r="A4206" s="2" t="s">
        <v>550</v>
      </c>
      <c r="B4206" s="2" t="s">
        <v>1083</v>
      </c>
      <c r="C4206" s="5" t="s">
        <v>1084</v>
      </c>
      <c r="D4206" s="2" t="s">
        <v>1085</v>
      </c>
    </row>
    <row r="4207" spans="1:4" ht="12.95" customHeight="1" x14ac:dyDescent="0.25">
      <c r="A4207" s="2" t="s">
        <v>550</v>
      </c>
      <c r="B4207" s="2" t="s">
        <v>1083</v>
      </c>
      <c r="C4207" s="5" t="s">
        <v>1086</v>
      </c>
      <c r="D4207" s="2" t="s">
        <v>1087</v>
      </c>
    </row>
    <row r="4208" spans="1:4" ht="12.95" customHeight="1" x14ac:dyDescent="0.25">
      <c r="A4208" s="2" t="s">
        <v>550</v>
      </c>
      <c r="B4208" s="2" t="s">
        <v>1083</v>
      </c>
      <c r="C4208" s="5" t="s">
        <v>1088</v>
      </c>
      <c r="D4208" s="2" t="s">
        <v>1089</v>
      </c>
    </row>
    <row r="4209" spans="1:4" ht="12.95" customHeight="1" x14ac:dyDescent="0.25">
      <c r="A4209" s="2" t="s">
        <v>550</v>
      </c>
      <c r="B4209" s="2" t="s">
        <v>1083</v>
      </c>
      <c r="C4209" s="5" t="s">
        <v>1090</v>
      </c>
      <c r="D4209" s="2" t="s">
        <v>6125</v>
      </c>
    </row>
    <row r="4210" spans="1:4" ht="12.95" customHeight="1" x14ac:dyDescent="0.25">
      <c r="A4210" s="2" t="s">
        <v>550</v>
      </c>
      <c r="B4210" s="2" t="s">
        <v>1083</v>
      </c>
      <c r="C4210" s="5" t="s">
        <v>1092</v>
      </c>
      <c r="D4210" s="2" t="s">
        <v>6126</v>
      </c>
    </row>
    <row r="4211" spans="1:4" ht="12.95" customHeight="1" x14ac:dyDescent="0.25">
      <c r="A4211" s="2" t="s">
        <v>550</v>
      </c>
      <c r="B4211" s="2" t="s">
        <v>1083</v>
      </c>
      <c r="C4211" s="5" t="s">
        <v>1094</v>
      </c>
      <c r="D4211" s="2" t="s">
        <v>6127</v>
      </c>
    </row>
    <row r="4212" spans="1:4" ht="12.95" customHeight="1" x14ac:dyDescent="0.25">
      <c r="A4212" s="2" t="s">
        <v>550</v>
      </c>
      <c r="B4212" s="2" t="s">
        <v>1083</v>
      </c>
      <c r="C4212" s="5" t="s">
        <v>1096</v>
      </c>
      <c r="D4212" s="2" t="s">
        <v>6128</v>
      </c>
    </row>
    <row r="4213" spans="1:4" ht="12.95" customHeight="1" x14ac:dyDescent="0.25">
      <c r="A4213" s="2" t="s">
        <v>550</v>
      </c>
      <c r="B4213" s="2" t="s">
        <v>1083</v>
      </c>
      <c r="C4213" s="5" t="s">
        <v>1098</v>
      </c>
      <c r="D4213" s="2" t="s">
        <v>6129</v>
      </c>
    </row>
    <row r="4214" spans="1:4" ht="12.95" customHeight="1" x14ac:dyDescent="0.25">
      <c r="A4214" s="2" t="s">
        <v>550</v>
      </c>
      <c r="B4214" s="2" t="s">
        <v>1083</v>
      </c>
      <c r="C4214" s="5" t="s">
        <v>1100</v>
      </c>
      <c r="D4214" s="2" t="s">
        <v>6130</v>
      </c>
    </row>
    <row r="4215" spans="1:4" ht="12.95" customHeight="1" x14ac:dyDescent="0.25">
      <c r="A4215" s="2" t="s">
        <v>550</v>
      </c>
      <c r="B4215" s="2" t="s">
        <v>1083</v>
      </c>
      <c r="C4215" s="5" t="s">
        <v>1109</v>
      </c>
      <c r="D4215" s="2" t="s">
        <v>6131</v>
      </c>
    </row>
    <row r="4216" spans="1:4" ht="12.95" customHeight="1" x14ac:dyDescent="0.25">
      <c r="A4216" s="2" t="s">
        <v>550</v>
      </c>
      <c r="B4216" s="2" t="s">
        <v>1083</v>
      </c>
      <c r="C4216" s="5" t="s">
        <v>1119</v>
      </c>
      <c r="D4216" s="2" t="s">
        <v>1172</v>
      </c>
    </row>
    <row r="4217" spans="1:4" ht="12.95" customHeight="1" x14ac:dyDescent="0.25">
      <c r="A4217" s="2" t="s">
        <v>550</v>
      </c>
      <c r="B4217" s="2" t="s">
        <v>1083</v>
      </c>
      <c r="C4217" s="5" t="s">
        <v>1121</v>
      </c>
      <c r="D4217" s="2" t="s">
        <v>1174</v>
      </c>
    </row>
    <row r="4218" spans="1:4" ht="12.95" customHeight="1" x14ac:dyDescent="0.25">
      <c r="A4218" s="2" t="s">
        <v>550</v>
      </c>
      <c r="B4218" s="2" t="s">
        <v>1083</v>
      </c>
      <c r="C4218" s="5" t="s">
        <v>1123</v>
      </c>
      <c r="D4218" s="2" t="s">
        <v>1176</v>
      </c>
    </row>
    <row r="4219" spans="1:4" ht="12.95" customHeight="1" x14ac:dyDescent="0.25">
      <c r="A4219" s="2" t="s">
        <v>550</v>
      </c>
      <c r="B4219" s="2" t="s">
        <v>1083</v>
      </c>
      <c r="C4219" s="5" t="s">
        <v>1125</v>
      </c>
      <c r="D4219" s="2" t="s">
        <v>1177</v>
      </c>
    </row>
    <row r="4220" spans="1:4" ht="12.95" customHeight="1" x14ac:dyDescent="0.25">
      <c r="A4220" s="2" t="s">
        <v>550</v>
      </c>
      <c r="B4220" s="2" t="s">
        <v>1083</v>
      </c>
      <c r="C4220" s="5" t="s">
        <v>1111</v>
      </c>
      <c r="D4220" s="2" t="s">
        <v>1143</v>
      </c>
    </row>
    <row r="4221" spans="1:4" ht="12.95" customHeight="1" x14ac:dyDescent="0.25">
      <c r="A4221" s="2" t="s">
        <v>552</v>
      </c>
      <c r="B4221" s="2" t="s">
        <v>1083</v>
      </c>
      <c r="C4221" s="5" t="s">
        <v>1102</v>
      </c>
      <c r="D4221" s="2" t="s">
        <v>1103</v>
      </c>
    </row>
    <row r="4222" spans="1:4" ht="12.95" customHeight="1" x14ac:dyDescent="0.25">
      <c r="A4222" s="2" t="s">
        <v>552</v>
      </c>
      <c r="B4222" s="2" t="s">
        <v>1083</v>
      </c>
      <c r="C4222" s="5" t="s">
        <v>1084</v>
      </c>
      <c r="D4222" s="2" t="s">
        <v>1085</v>
      </c>
    </row>
    <row r="4223" spans="1:4" ht="12.95" customHeight="1" x14ac:dyDescent="0.25">
      <c r="A4223" s="2" t="s">
        <v>552</v>
      </c>
      <c r="B4223" s="2" t="s">
        <v>1083</v>
      </c>
      <c r="C4223" s="5" t="s">
        <v>1086</v>
      </c>
      <c r="D4223" s="2" t="s">
        <v>1087</v>
      </c>
    </row>
    <row r="4224" spans="1:4" ht="12.95" customHeight="1" x14ac:dyDescent="0.25">
      <c r="A4224" s="2" t="s">
        <v>552</v>
      </c>
      <c r="B4224" s="2" t="s">
        <v>1083</v>
      </c>
      <c r="C4224" s="5" t="s">
        <v>1088</v>
      </c>
      <c r="D4224" s="2" t="s">
        <v>1089</v>
      </c>
    </row>
    <row r="4225" spans="1:4" ht="12.95" customHeight="1" x14ac:dyDescent="0.25">
      <c r="A4225" s="2" t="s">
        <v>552</v>
      </c>
      <c r="B4225" s="2" t="s">
        <v>1083</v>
      </c>
      <c r="C4225" s="5" t="s">
        <v>1090</v>
      </c>
      <c r="D4225" s="2" t="s">
        <v>6125</v>
      </c>
    </row>
    <row r="4226" spans="1:4" ht="12.95" customHeight="1" x14ac:dyDescent="0.25">
      <c r="A4226" s="2" t="s">
        <v>552</v>
      </c>
      <c r="B4226" s="2" t="s">
        <v>1083</v>
      </c>
      <c r="C4226" s="5" t="s">
        <v>1092</v>
      </c>
      <c r="D4226" s="2" t="s">
        <v>6126</v>
      </c>
    </row>
    <row r="4227" spans="1:4" ht="12.95" customHeight="1" x14ac:dyDescent="0.25">
      <c r="A4227" s="2" t="s">
        <v>552</v>
      </c>
      <c r="B4227" s="2" t="s">
        <v>1083</v>
      </c>
      <c r="C4227" s="5" t="s">
        <v>1094</v>
      </c>
      <c r="D4227" s="2" t="s">
        <v>6127</v>
      </c>
    </row>
    <row r="4228" spans="1:4" ht="12.95" customHeight="1" x14ac:dyDescent="0.25">
      <c r="A4228" s="2" t="s">
        <v>552</v>
      </c>
      <c r="B4228" s="2" t="s">
        <v>1083</v>
      </c>
      <c r="C4228" s="5" t="s">
        <v>1096</v>
      </c>
      <c r="D4228" s="2" t="s">
        <v>6128</v>
      </c>
    </row>
    <row r="4229" spans="1:4" ht="12.95" customHeight="1" x14ac:dyDescent="0.25">
      <c r="A4229" s="2" t="s">
        <v>552</v>
      </c>
      <c r="B4229" s="2" t="s">
        <v>1083</v>
      </c>
      <c r="C4229" s="5" t="s">
        <v>1098</v>
      </c>
      <c r="D4229" s="2" t="s">
        <v>6129</v>
      </c>
    </row>
    <row r="4230" spans="1:4" ht="12.95" customHeight="1" x14ac:dyDescent="0.25">
      <c r="A4230" s="2" t="s">
        <v>552</v>
      </c>
      <c r="B4230" s="2" t="s">
        <v>1083</v>
      </c>
      <c r="C4230" s="5" t="s">
        <v>1100</v>
      </c>
      <c r="D4230" s="2" t="s">
        <v>6130</v>
      </c>
    </row>
    <row r="4231" spans="1:4" ht="12.95" customHeight="1" x14ac:dyDescent="0.25">
      <c r="A4231" s="2" t="s">
        <v>552</v>
      </c>
      <c r="B4231" s="2" t="s">
        <v>1083</v>
      </c>
      <c r="C4231" s="5" t="s">
        <v>1109</v>
      </c>
      <c r="D4231" s="2" t="s">
        <v>6131</v>
      </c>
    </row>
    <row r="4232" spans="1:4" ht="12.95" customHeight="1" x14ac:dyDescent="0.25">
      <c r="A4232" s="2" t="s">
        <v>552</v>
      </c>
      <c r="B4232" s="2" t="s">
        <v>1083</v>
      </c>
      <c r="C4232" s="5" t="s">
        <v>1119</v>
      </c>
      <c r="D4232" s="2" t="s">
        <v>1172</v>
      </c>
    </row>
    <row r="4233" spans="1:4" ht="12.95" customHeight="1" x14ac:dyDescent="0.25">
      <c r="A4233" s="2" t="s">
        <v>552</v>
      </c>
      <c r="B4233" s="2" t="s">
        <v>1083</v>
      </c>
      <c r="C4233" s="5" t="s">
        <v>1121</v>
      </c>
      <c r="D4233" s="2" t="s">
        <v>1174</v>
      </c>
    </row>
    <row r="4234" spans="1:4" ht="12.95" customHeight="1" x14ac:dyDescent="0.25">
      <c r="A4234" s="2" t="s">
        <v>552</v>
      </c>
      <c r="B4234" s="2" t="s">
        <v>1083</v>
      </c>
      <c r="C4234" s="5" t="s">
        <v>1123</v>
      </c>
      <c r="D4234" s="2" t="s">
        <v>1176</v>
      </c>
    </row>
    <row r="4235" spans="1:4" ht="12.95" customHeight="1" x14ac:dyDescent="0.25">
      <c r="A4235" s="2" t="s">
        <v>552</v>
      </c>
      <c r="B4235" s="2" t="s">
        <v>1083</v>
      </c>
      <c r="C4235" s="5" t="s">
        <v>1125</v>
      </c>
      <c r="D4235" s="2" t="s">
        <v>1177</v>
      </c>
    </row>
    <row r="4236" spans="1:4" ht="12.95" customHeight="1" x14ac:dyDescent="0.25">
      <c r="A4236" s="2" t="s">
        <v>552</v>
      </c>
      <c r="B4236" s="2" t="s">
        <v>1083</v>
      </c>
      <c r="C4236" s="5" t="s">
        <v>1111</v>
      </c>
      <c r="D4236" s="2" t="s">
        <v>1143</v>
      </c>
    </row>
    <row r="4237" spans="1:4" ht="12.95" customHeight="1" x14ac:dyDescent="0.25">
      <c r="A4237" s="2" t="s">
        <v>554</v>
      </c>
      <c r="B4237" s="2" t="s">
        <v>1083</v>
      </c>
      <c r="C4237" s="5" t="s">
        <v>1102</v>
      </c>
      <c r="D4237" s="2" t="s">
        <v>1103</v>
      </c>
    </row>
    <row r="4238" spans="1:4" ht="12.95" customHeight="1" x14ac:dyDescent="0.25">
      <c r="A4238" s="2" t="s">
        <v>554</v>
      </c>
      <c r="B4238" s="2" t="s">
        <v>1083</v>
      </c>
      <c r="C4238" s="5" t="s">
        <v>1084</v>
      </c>
      <c r="D4238" s="2" t="s">
        <v>1085</v>
      </c>
    </row>
    <row r="4239" spans="1:4" ht="12.95" customHeight="1" x14ac:dyDescent="0.25">
      <c r="A4239" s="2" t="s">
        <v>554</v>
      </c>
      <c r="B4239" s="2" t="s">
        <v>1083</v>
      </c>
      <c r="C4239" s="5" t="s">
        <v>1086</v>
      </c>
      <c r="D4239" s="2" t="s">
        <v>1087</v>
      </c>
    </row>
    <row r="4240" spans="1:4" ht="12.95" customHeight="1" x14ac:dyDescent="0.25">
      <c r="A4240" s="2" t="s">
        <v>554</v>
      </c>
      <c r="B4240" s="2" t="s">
        <v>1083</v>
      </c>
      <c r="C4240" s="5" t="s">
        <v>1088</v>
      </c>
      <c r="D4240" s="2" t="s">
        <v>1089</v>
      </c>
    </row>
    <row r="4241" spans="1:4" ht="12.95" customHeight="1" x14ac:dyDescent="0.25">
      <c r="A4241" s="2" t="s">
        <v>554</v>
      </c>
      <c r="B4241" s="2" t="s">
        <v>1083</v>
      </c>
      <c r="C4241" s="5" t="s">
        <v>1090</v>
      </c>
      <c r="D4241" s="2" t="s">
        <v>6125</v>
      </c>
    </row>
    <row r="4242" spans="1:4" ht="12.95" customHeight="1" x14ac:dyDescent="0.25">
      <c r="A4242" s="2" t="s">
        <v>554</v>
      </c>
      <c r="B4242" s="2" t="s">
        <v>1083</v>
      </c>
      <c r="C4242" s="5" t="s">
        <v>1092</v>
      </c>
      <c r="D4242" s="2" t="s">
        <v>6126</v>
      </c>
    </row>
    <row r="4243" spans="1:4" ht="12.95" customHeight="1" x14ac:dyDescent="0.25">
      <c r="A4243" s="2" t="s">
        <v>554</v>
      </c>
      <c r="B4243" s="2" t="s">
        <v>1083</v>
      </c>
      <c r="C4243" s="5" t="s">
        <v>1094</v>
      </c>
      <c r="D4243" s="2" t="s">
        <v>6127</v>
      </c>
    </row>
    <row r="4244" spans="1:4" ht="12.95" customHeight="1" x14ac:dyDescent="0.25">
      <c r="A4244" s="2" t="s">
        <v>554</v>
      </c>
      <c r="B4244" s="2" t="s">
        <v>1083</v>
      </c>
      <c r="C4244" s="5" t="s">
        <v>1096</v>
      </c>
      <c r="D4244" s="2" t="s">
        <v>6128</v>
      </c>
    </row>
    <row r="4245" spans="1:4" ht="12.95" customHeight="1" x14ac:dyDescent="0.25">
      <c r="A4245" s="2" t="s">
        <v>554</v>
      </c>
      <c r="B4245" s="2" t="s">
        <v>1083</v>
      </c>
      <c r="C4245" s="5" t="s">
        <v>1098</v>
      </c>
      <c r="D4245" s="2" t="s">
        <v>6129</v>
      </c>
    </row>
    <row r="4246" spans="1:4" ht="12.95" customHeight="1" x14ac:dyDescent="0.25">
      <c r="A4246" s="2" t="s">
        <v>554</v>
      </c>
      <c r="B4246" s="2" t="s">
        <v>1083</v>
      </c>
      <c r="C4246" s="5" t="s">
        <v>1100</v>
      </c>
      <c r="D4246" s="2" t="s">
        <v>6130</v>
      </c>
    </row>
    <row r="4247" spans="1:4" ht="12.95" customHeight="1" x14ac:dyDescent="0.25">
      <c r="A4247" s="2" t="s">
        <v>554</v>
      </c>
      <c r="B4247" s="2" t="s">
        <v>1083</v>
      </c>
      <c r="C4247" s="5" t="s">
        <v>1109</v>
      </c>
      <c r="D4247" s="2" t="s">
        <v>6131</v>
      </c>
    </row>
    <row r="4248" spans="1:4" ht="12.95" customHeight="1" x14ac:dyDescent="0.25">
      <c r="A4248" s="2" t="s">
        <v>554</v>
      </c>
      <c r="B4248" s="2" t="s">
        <v>1083</v>
      </c>
      <c r="C4248" s="5" t="s">
        <v>1119</v>
      </c>
      <c r="D4248" s="2" t="s">
        <v>1172</v>
      </c>
    </row>
    <row r="4249" spans="1:4" ht="12.95" customHeight="1" x14ac:dyDescent="0.25">
      <c r="A4249" s="2" t="s">
        <v>554</v>
      </c>
      <c r="B4249" s="2" t="s">
        <v>1083</v>
      </c>
      <c r="C4249" s="5" t="s">
        <v>1121</v>
      </c>
      <c r="D4249" s="2" t="s">
        <v>1174</v>
      </c>
    </row>
    <row r="4250" spans="1:4" ht="12.95" customHeight="1" x14ac:dyDescent="0.25">
      <c r="A4250" s="2" t="s">
        <v>554</v>
      </c>
      <c r="B4250" s="2" t="s">
        <v>1083</v>
      </c>
      <c r="C4250" s="5" t="s">
        <v>1123</v>
      </c>
      <c r="D4250" s="2" t="s">
        <v>1176</v>
      </c>
    </row>
    <row r="4251" spans="1:4" ht="12.95" customHeight="1" x14ac:dyDescent="0.25">
      <c r="A4251" s="2" t="s">
        <v>554</v>
      </c>
      <c r="B4251" s="2" t="s">
        <v>1083</v>
      </c>
      <c r="C4251" s="5" t="s">
        <v>1125</v>
      </c>
      <c r="D4251" s="2" t="s">
        <v>1177</v>
      </c>
    </row>
    <row r="4252" spans="1:4" ht="12.95" customHeight="1" x14ac:dyDescent="0.25">
      <c r="A4252" s="2" t="s">
        <v>554</v>
      </c>
      <c r="B4252" s="2" t="s">
        <v>1083</v>
      </c>
      <c r="C4252" s="5" t="s">
        <v>1111</v>
      </c>
      <c r="D4252" s="2" t="s">
        <v>1143</v>
      </c>
    </row>
    <row r="4253" spans="1:4" ht="12.95" customHeight="1" x14ac:dyDescent="0.25">
      <c r="A4253" s="2" t="s">
        <v>556</v>
      </c>
      <c r="B4253" s="2" t="s">
        <v>1083</v>
      </c>
      <c r="C4253" s="5" t="s">
        <v>1102</v>
      </c>
      <c r="D4253" s="2" t="s">
        <v>1103</v>
      </c>
    </row>
    <row r="4254" spans="1:4" ht="12.95" customHeight="1" x14ac:dyDescent="0.25">
      <c r="A4254" s="2" t="s">
        <v>556</v>
      </c>
      <c r="B4254" s="2" t="s">
        <v>1083</v>
      </c>
      <c r="C4254" s="5" t="s">
        <v>1084</v>
      </c>
      <c r="D4254" s="2" t="s">
        <v>1085</v>
      </c>
    </row>
    <row r="4255" spans="1:4" ht="12.95" customHeight="1" x14ac:dyDescent="0.25">
      <c r="A4255" s="2" t="s">
        <v>556</v>
      </c>
      <c r="B4255" s="2" t="s">
        <v>1083</v>
      </c>
      <c r="C4255" s="5" t="s">
        <v>1086</v>
      </c>
      <c r="D4255" s="2" t="s">
        <v>1087</v>
      </c>
    </row>
    <row r="4256" spans="1:4" ht="12.95" customHeight="1" x14ac:dyDescent="0.25">
      <c r="A4256" s="2" t="s">
        <v>556</v>
      </c>
      <c r="B4256" s="2" t="s">
        <v>1083</v>
      </c>
      <c r="C4256" s="5" t="s">
        <v>1088</v>
      </c>
      <c r="D4256" s="2" t="s">
        <v>1089</v>
      </c>
    </row>
    <row r="4257" spans="1:4" ht="12.95" customHeight="1" x14ac:dyDescent="0.25">
      <c r="A4257" s="2" t="s">
        <v>556</v>
      </c>
      <c r="B4257" s="2" t="s">
        <v>1083</v>
      </c>
      <c r="C4257" s="5" t="s">
        <v>1090</v>
      </c>
      <c r="D4257" s="2" t="s">
        <v>6125</v>
      </c>
    </row>
    <row r="4258" spans="1:4" ht="12.95" customHeight="1" x14ac:dyDescent="0.25">
      <c r="A4258" s="2" t="s">
        <v>556</v>
      </c>
      <c r="B4258" s="2" t="s">
        <v>1083</v>
      </c>
      <c r="C4258" s="5" t="s">
        <v>1092</v>
      </c>
      <c r="D4258" s="2" t="s">
        <v>6126</v>
      </c>
    </row>
    <row r="4259" spans="1:4" ht="12.95" customHeight="1" x14ac:dyDescent="0.25">
      <c r="A4259" s="2" t="s">
        <v>556</v>
      </c>
      <c r="B4259" s="2" t="s">
        <v>1083</v>
      </c>
      <c r="C4259" s="5" t="s">
        <v>1094</v>
      </c>
      <c r="D4259" s="2" t="s">
        <v>6127</v>
      </c>
    </row>
    <row r="4260" spans="1:4" ht="12.95" customHeight="1" x14ac:dyDescent="0.25">
      <c r="A4260" s="2" t="s">
        <v>556</v>
      </c>
      <c r="B4260" s="2" t="s">
        <v>1083</v>
      </c>
      <c r="C4260" s="5" t="s">
        <v>1096</v>
      </c>
      <c r="D4260" s="2" t="s">
        <v>6128</v>
      </c>
    </row>
    <row r="4261" spans="1:4" ht="12.95" customHeight="1" x14ac:dyDescent="0.25">
      <c r="A4261" s="2" t="s">
        <v>556</v>
      </c>
      <c r="B4261" s="2" t="s">
        <v>1083</v>
      </c>
      <c r="C4261" s="5" t="s">
        <v>1098</v>
      </c>
      <c r="D4261" s="2" t="s">
        <v>6129</v>
      </c>
    </row>
    <row r="4262" spans="1:4" ht="12.95" customHeight="1" x14ac:dyDescent="0.25">
      <c r="A4262" s="2" t="s">
        <v>556</v>
      </c>
      <c r="B4262" s="2" t="s">
        <v>1083</v>
      </c>
      <c r="C4262" s="5" t="s">
        <v>1100</v>
      </c>
      <c r="D4262" s="2" t="s">
        <v>6130</v>
      </c>
    </row>
    <row r="4263" spans="1:4" ht="12.95" customHeight="1" x14ac:dyDescent="0.25">
      <c r="A4263" s="2" t="s">
        <v>556</v>
      </c>
      <c r="B4263" s="2" t="s">
        <v>1083</v>
      </c>
      <c r="C4263" s="5" t="s">
        <v>1109</v>
      </c>
      <c r="D4263" s="2" t="s">
        <v>6131</v>
      </c>
    </row>
    <row r="4264" spans="1:4" ht="12.95" customHeight="1" x14ac:dyDescent="0.25">
      <c r="A4264" s="2" t="s">
        <v>556</v>
      </c>
      <c r="B4264" s="2" t="s">
        <v>1083</v>
      </c>
      <c r="C4264" s="5" t="s">
        <v>1119</v>
      </c>
      <c r="D4264" s="2" t="s">
        <v>1172</v>
      </c>
    </row>
    <row r="4265" spans="1:4" ht="12.95" customHeight="1" x14ac:dyDescent="0.25">
      <c r="A4265" s="2" t="s">
        <v>556</v>
      </c>
      <c r="B4265" s="2" t="s">
        <v>1083</v>
      </c>
      <c r="C4265" s="5" t="s">
        <v>1121</v>
      </c>
      <c r="D4265" s="2" t="s">
        <v>1174</v>
      </c>
    </row>
    <row r="4266" spans="1:4" ht="12.95" customHeight="1" x14ac:dyDescent="0.25">
      <c r="A4266" s="2" t="s">
        <v>556</v>
      </c>
      <c r="B4266" s="2" t="s">
        <v>1083</v>
      </c>
      <c r="C4266" s="5" t="s">
        <v>1123</v>
      </c>
      <c r="D4266" s="2" t="s">
        <v>1176</v>
      </c>
    </row>
    <row r="4267" spans="1:4" ht="12.95" customHeight="1" x14ac:dyDescent="0.25">
      <c r="A4267" s="2" t="s">
        <v>556</v>
      </c>
      <c r="B4267" s="2" t="s">
        <v>1083</v>
      </c>
      <c r="C4267" s="5" t="s">
        <v>1125</v>
      </c>
      <c r="D4267" s="2" t="s">
        <v>1177</v>
      </c>
    </row>
    <row r="4268" spans="1:4" ht="12.95" customHeight="1" x14ac:dyDescent="0.25">
      <c r="A4268" s="2" t="s">
        <v>556</v>
      </c>
      <c r="B4268" s="2" t="s">
        <v>1083</v>
      </c>
      <c r="C4268" s="5" t="s">
        <v>1111</v>
      </c>
      <c r="D4268" s="2" t="s">
        <v>1143</v>
      </c>
    </row>
    <row r="4269" spans="1:4" ht="12.95" customHeight="1" x14ac:dyDescent="0.25">
      <c r="A4269" s="2" t="s">
        <v>558</v>
      </c>
      <c r="B4269" s="2" t="s">
        <v>1083</v>
      </c>
      <c r="C4269" s="5" t="s">
        <v>1102</v>
      </c>
      <c r="D4269" s="2" t="s">
        <v>1103</v>
      </c>
    </row>
    <row r="4270" spans="1:4" ht="12.95" customHeight="1" x14ac:dyDescent="0.25">
      <c r="A4270" s="2" t="s">
        <v>558</v>
      </c>
      <c r="B4270" s="2" t="s">
        <v>1083</v>
      </c>
      <c r="C4270" s="5" t="s">
        <v>1084</v>
      </c>
      <c r="D4270" s="2" t="s">
        <v>1085</v>
      </c>
    </row>
    <row r="4271" spans="1:4" ht="12.95" customHeight="1" x14ac:dyDescent="0.25">
      <c r="A4271" s="2" t="s">
        <v>558</v>
      </c>
      <c r="B4271" s="2" t="s">
        <v>1083</v>
      </c>
      <c r="C4271" s="5" t="s">
        <v>1086</v>
      </c>
      <c r="D4271" s="2" t="s">
        <v>1087</v>
      </c>
    </row>
    <row r="4272" spans="1:4" ht="12.95" customHeight="1" x14ac:dyDescent="0.25">
      <c r="A4272" s="2" t="s">
        <v>558</v>
      </c>
      <c r="B4272" s="2" t="s">
        <v>1083</v>
      </c>
      <c r="C4272" s="5" t="s">
        <v>1088</v>
      </c>
      <c r="D4272" s="2" t="s">
        <v>1089</v>
      </c>
    </row>
    <row r="4273" spans="1:4" ht="12.95" customHeight="1" x14ac:dyDescent="0.25">
      <c r="A4273" s="2" t="s">
        <v>558</v>
      </c>
      <c r="B4273" s="2" t="s">
        <v>1083</v>
      </c>
      <c r="C4273" s="5" t="s">
        <v>1090</v>
      </c>
      <c r="D4273" s="2" t="s">
        <v>6125</v>
      </c>
    </row>
    <row r="4274" spans="1:4" ht="12.95" customHeight="1" x14ac:dyDescent="0.25">
      <c r="A4274" s="2" t="s">
        <v>558</v>
      </c>
      <c r="B4274" s="2" t="s">
        <v>1083</v>
      </c>
      <c r="C4274" s="5" t="s">
        <v>1092</v>
      </c>
      <c r="D4274" s="2" t="s">
        <v>6126</v>
      </c>
    </row>
    <row r="4275" spans="1:4" ht="12.95" customHeight="1" x14ac:dyDescent="0.25">
      <c r="A4275" s="2" t="s">
        <v>558</v>
      </c>
      <c r="B4275" s="2" t="s">
        <v>1083</v>
      </c>
      <c r="C4275" s="5" t="s">
        <v>1094</v>
      </c>
      <c r="D4275" s="2" t="s">
        <v>6127</v>
      </c>
    </row>
    <row r="4276" spans="1:4" ht="12.95" customHeight="1" x14ac:dyDescent="0.25">
      <c r="A4276" s="2" t="s">
        <v>558</v>
      </c>
      <c r="B4276" s="2" t="s">
        <v>1083</v>
      </c>
      <c r="C4276" s="5" t="s">
        <v>1096</v>
      </c>
      <c r="D4276" s="2" t="s">
        <v>6128</v>
      </c>
    </row>
    <row r="4277" spans="1:4" ht="12.95" customHeight="1" x14ac:dyDescent="0.25">
      <c r="A4277" s="2" t="s">
        <v>558</v>
      </c>
      <c r="B4277" s="2" t="s">
        <v>1083</v>
      </c>
      <c r="C4277" s="5" t="s">
        <v>1098</v>
      </c>
      <c r="D4277" s="2" t="s">
        <v>6129</v>
      </c>
    </row>
    <row r="4278" spans="1:4" ht="12.95" customHeight="1" x14ac:dyDescent="0.25">
      <c r="A4278" s="2" t="s">
        <v>558</v>
      </c>
      <c r="B4278" s="2" t="s">
        <v>1083</v>
      </c>
      <c r="C4278" s="5" t="s">
        <v>1100</v>
      </c>
      <c r="D4278" s="2" t="s">
        <v>6130</v>
      </c>
    </row>
    <row r="4279" spans="1:4" ht="12.95" customHeight="1" x14ac:dyDescent="0.25">
      <c r="A4279" s="2" t="s">
        <v>558</v>
      </c>
      <c r="B4279" s="2" t="s">
        <v>1083</v>
      </c>
      <c r="C4279" s="5" t="s">
        <v>1109</v>
      </c>
      <c r="D4279" s="2" t="s">
        <v>6131</v>
      </c>
    </row>
    <row r="4280" spans="1:4" ht="12.95" customHeight="1" x14ac:dyDescent="0.25">
      <c r="A4280" s="2" t="s">
        <v>558</v>
      </c>
      <c r="B4280" s="2" t="s">
        <v>1083</v>
      </c>
      <c r="C4280" s="5" t="s">
        <v>1119</v>
      </c>
      <c r="D4280" s="2" t="s">
        <v>1172</v>
      </c>
    </row>
    <row r="4281" spans="1:4" ht="12.95" customHeight="1" x14ac:dyDescent="0.25">
      <c r="A4281" s="2" t="s">
        <v>558</v>
      </c>
      <c r="B4281" s="2" t="s">
        <v>1083</v>
      </c>
      <c r="C4281" s="5" t="s">
        <v>1121</v>
      </c>
      <c r="D4281" s="2" t="s">
        <v>1174</v>
      </c>
    </row>
    <row r="4282" spans="1:4" ht="12.95" customHeight="1" x14ac:dyDescent="0.25">
      <c r="A4282" s="2" t="s">
        <v>558</v>
      </c>
      <c r="B4282" s="2" t="s">
        <v>1083</v>
      </c>
      <c r="C4282" s="5" t="s">
        <v>1123</v>
      </c>
      <c r="D4282" s="2" t="s">
        <v>1176</v>
      </c>
    </row>
    <row r="4283" spans="1:4" ht="12.95" customHeight="1" x14ac:dyDescent="0.25">
      <c r="A4283" s="2" t="s">
        <v>558</v>
      </c>
      <c r="B4283" s="2" t="s">
        <v>1083</v>
      </c>
      <c r="C4283" s="5" t="s">
        <v>1125</v>
      </c>
      <c r="D4283" s="2" t="s">
        <v>1177</v>
      </c>
    </row>
    <row r="4284" spans="1:4" ht="12.95" customHeight="1" x14ac:dyDescent="0.25">
      <c r="A4284" s="2" t="s">
        <v>558</v>
      </c>
      <c r="B4284" s="2" t="s">
        <v>1083</v>
      </c>
      <c r="C4284" s="5" t="s">
        <v>1111</v>
      </c>
      <c r="D4284" s="2" t="s">
        <v>1143</v>
      </c>
    </row>
    <row r="4285" spans="1:4" ht="12.95" customHeight="1" x14ac:dyDescent="0.25">
      <c r="A4285" s="2" t="s">
        <v>560</v>
      </c>
      <c r="B4285" s="2" t="s">
        <v>1083</v>
      </c>
      <c r="C4285" s="5" t="s">
        <v>1102</v>
      </c>
      <c r="D4285" s="2" t="s">
        <v>1103</v>
      </c>
    </row>
    <row r="4286" spans="1:4" ht="12.95" customHeight="1" x14ac:dyDescent="0.25">
      <c r="A4286" s="2" t="s">
        <v>560</v>
      </c>
      <c r="B4286" s="2" t="s">
        <v>1083</v>
      </c>
      <c r="C4286" s="5" t="s">
        <v>1084</v>
      </c>
      <c r="D4286" s="2" t="s">
        <v>1085</v>
      </c>
    </row>
    <row r="4287" spans="1:4" ht="12.95" customHeight="1" x14ac:dyDescent="0.25">
      <c r="A4287" s="2" t="s">
        <v>560</v>
      </c>
      <c r="B4287" s="2" t="s">
        <v>1083</v>
      </c>
      <c r="C4287" s="5" t="s">
        <v>1086</v>
      </c>
      <c r="D4287" s="2" t="s">
        <v>1087</v>
      </c>
    </row>
    <row r="4288" spans="1:4" ht="12.95" customHeight="1" x14ac:dyDescent="0.25">
      <c r="A4288" s="2" t="s">
        <v>560</v>
      </c>
      <c r="B4288" s="2" t="s">
        <v>1083</v>
      </c>
      <c r="C4288" s="5" t="s">
        <v>1088</v>
      </c>
      <c r="D4288" s="2" t="s">
        <v>1089</v>
      </c>
    </row>
    <row r="4289" spans="1:4" ht="12.95" customHeight="1" x14ac:dyDescent="0.25">
      <c r="A4289" s="2" t="s">
        <v>560</v>
      </c>
      <c r="B4289" s="2" t="s">
        <v>1083</v>
      </c>
      <c r="C4289" s="5" t="s">
        <v>1090</v>
      </c>
      <c r="D4289" s="2" t="s">
        <v>6125</v>
      </c>
    </row>
    <row r="4290" spans="1:4" ht="12.95" customHeight="1" x14ac:dyDescent="0.25">
      <c r="A4290" s="2" t="s">
        <v>560</v>
      </c>
      <c r="B4290" s="2" t="s">
        <v>1083</v>
      </c>
      <c r="C4290" s="5" t="s">
        <v>1092</v>
      </c>
      <c r="D4290" s="2" t="s">
        <v>6126</v>
      </c>
    </row>
    <row r="4291" spans="1:4" ht="12.95" customHeight="1" x14ac:dyDescent="0.25">
      <c r="A4291" s="2" t="s">
        <v>560</v>
      </c>
      <c r="B4291" s="2" t="s">
        <v>1083</v>
      </c>
      <c r="C4291" s="5" t="s">
        <v>1094</v>
      </c>
      <c r="D4291" s="2" t="s">
        <v>6127</v>
      </c>
    </row>
    <row r="4292" spans="1:4" ht="12.95" customHeight="1" x14ac:dyDescent="0.25">
      <c r="A4292" s="2" t="s">
        <v>560</v>
      </c>
      <c r="B4292" s="2" t="s">
        <v>1083</v>
      </c>
      <c r="C4292" s="5" t="s">
        <v>1096</v>
      </c>
      <c r="D4292" s="2" t="s">
        <v>6128</v>
      </c>
    </row>
    <row r="4293" spans="1:4" ht="12.95" customHeight="1" x14ac:dyDescent="0.25">
      <c r="A4293" s="2" t="s">
        <v>560</v>
      </c>
      <c r="B4293" s="2" t="s">
        <v>1083</v>
      </c>
      <c r="C4293" s="5" t="s">
        <v>1098</v>
      </c>
      <c r="D4293" s="2" t="s">
        <v>6129</v>
      </c>
    </row>
    <row r="4294" spans="1:4" ht="12.95" customHeight="1" x14ac:dyDescent="0.25">
      <c r="A4294" s="2" t="s">
        <v>560</v>
      </c>
      <c r="B4294" s="2" t="s">
        <v>1083</v>
      </c>
      <c r="C4294" s="5" t="s">
        <v>1100</v>
      </c>
      <c r="D4294" s="2" t="s">
        <v>6130</v>
      </c>
    </row>
    <row r="4295" spans="1:4" ht="12.95" customHeight="1" x14ac:dyDescent="0.25">
      <c r="A4295" s="2" t="s">
        <v>560</v>
      </c>
      <c r="B4295" s="2" t="s">
        <v>1083</v>
      </c>
      <c r="C4295" s="5" t="s">
        <v>1109</v>
      </c>
      <c r="D4295" s="2" t="s">
        <v>6131</v>
      </c>
    </row>
    <row r="4296" spans="1:4" ht="12.95" customHeight="1" x14ac:dyDescent="0.25">
      <c r="A4296" s="2" t="s">
        <v>560</v>
      </c>
      <c r="B4296" s="2" t="s">
        <v>1083</v>
      </c>
      <c r="C4296" s="5" t="s">
        <v>1119</v>
      </c>
      <c r="D4296" s="2" t="s">
        <v>1172</v>
      </c>
    </row>
    <row r="4297" spans="1:4" ht="12.95" customHeight="1" x14ac:dyDescent="0.25">
      <c r="A4297" s="2" t="s">
        <v>560</v>
      </c>
      <c r="B4297" s="2" t="s">
        <v>1083</v>
      </c>
      <c r="C4297" s="5" t="s">
        <v>1121</v>
      </c>
      <c r="D4297" s="2" t="s">
        <v>1174</v>
      </c>
    </row>
    <row r="4298" spans="1:4" ht="12.95" customHeight="1" x14ac:dyDescent="0.25">
      <c r="A4298" s="2" t="s">
        <v>560</v>
      </c>
      <c r="B4298" s="2" t="s">
        <v>1083</v>
      </c>
      <c r="C4298" s="5" t="s">
        <v>1123</v>
      </c>
      <c r="D4298" s="2" t="s">
        <v>1176</v>
      </c>
    </row>
    <row r="4299" spans="1:4" ht="12.95" customHeight="1" x14ac:dyDescent="0.25">
      <c r="A4299" s="2" t="s">
        <v>560</v>
      </c>
      <c r="B4299" s="2" t="s">
        <v>1083</v>
      </c>
      <c r="C4299" s="5" t="s">
        <v>1125</v>
      </c>
      <c r="D4299" s="2" t="s">
        <v>1177</v>
      </c>
    </row>
    <row r="4300" spans="1:4" ht="12.95" customHeight="1" x14ac:dyDescent="0.25">
      <c r="A4300" s="2" t="s">
        <v>560</v>
      </c>
      <c r="B4300" s="2" t="s">
        <v>1083</v>
      </c>
      <c r="C4300" s="5" t="s">
        <v>1111</v>
      </c>
      <c r="D4300" s="2" t="s">
        <v>1143</v>
      </c>
    </row>
    <row r="4301" spans="1:4" ht="12.95" customHeight="1" x14ac:dyDescent="0.25">
      <c r="A4301" s="2" t="s">
        <v>562</v>
      </c>
      <c r="B4301" s="2" t="s">
        <v>1083</v>
      </c>
      <c r="C4301" s="5" t="s">
        <v>1102</v>
      </c>
      <c r="D4301" s="2" t="s">
        <v>1103</v>
      </c>
    </row>
    <row r="4302" spans="1:4" ht="12.95" customHeight="1" x14ac:dyDescent="0.25">
      <c r="A4302" s="2" t="s">
        <v>562</v>
      </c>
      <c r="B4302" s="2" t="s">
        <v>1083</v>
      </c>
      <c r="C4302" s="5" t="s">
        <v>1084</v>
      </c>
      <c r="D4302" s="2" t="s">
        <v>1085</v>
      </c>
    </row>
    <row r="4303" spans="1:4" ht="12.95" customHeight="1" x14ac:dyDescent="0.25">
      <c r="A4303" s="2" t="s">
        <v>562</v>
      </c>
      <c r="B4303" s="2" t="s">
        <v>1083</v>
      </c>
      <c r="C4303" s="5" t="s">
        <v>1086</v>
      </c>
      <c r="D4303" s="2" t="s">
        <v>1087</v>
      </c>
    </row>
    <row r="4304" spans="1:4" ht="12.95" customHeight="1" x14ac:dyDescent="0.25">
      <c r="A4304" s="2" t="s">
        <v>562</v>
      </c>
      <c r="B4304" s="2" t="s">
        <v>1083</v>
      </c>
      <c r="C4304" s="5" t="s">
        <v>1088</v>
      </c>
      <c r="D4304" s="2" t="s">
        <v>1089</v>
      </c>
    </row>
    <row r="4305" spans="1:4" ht="12.95" customHeight="1" x14ac:dyDescent="0.25">
      <c r="A4305" s="2" t="s">
        <v>562</v>
      </c>
      <c r="B4305" s="2" t="s">
        <v>1083</v>
      </c>
      <c r="C4305" s="5" t="s">
        <v>1090</v>
      </c>
      <c r="D4305" s="2" t="s">
        <v>6125</v>
      </c>
    </row>
    <row r="4306" spans="1:4" ht="12.95" customHeight="1" x14ac:dyDescent="0.25">
      <c r="A4306" s="2" t="s">
        <v>562</v>
      </c>
      <c r="B4306" s="2" t="s">
        <v>1083</v>
      </c>
      <c r="C4306" s="5" t="s">
        <v>1092</v>
      </c>
      <c r="D4306" s="2" t="s">
        <v>6126</v>
      </c>
    </row>
    <row r="4307" spans="1:4" ht="12.95" customHeight="1" x14ac:dyDescent="0.25">
      <c r="A4307" s="2" t="s">
        <v>562</v>
      </c>
      <c r="B4307" s="2" t="s">
        <v>1083</v>
      </c>
      <c r="C4307" s="5" t="s">
        <v>1094</v>
      </c>
      <c r="D4307" s="2" t="s">
        <v>6127</v>
      </c>
    </row>
    <row r="4308" spans="1:4" ht="12.95" customHeight="1" x14ac:dyDescent="0.25">
      <c r="A4308" s="2" t="s">
        <v>562</v>
      </c>
      <c r="B4308" s="2" t="s">
        <v>1083</v>
      </c>
      <c r="C4308" s="5" t="s">
        <v>1096</v>
      </c>
      <c r="D4308" s="2" t="s">
        <v>6128</v>
      </c>
    </row>
    <row r="4309" spans="1:4" ht="12.95" customHeight="1" x14ac:dyDescent="0.25">
      <c r="A4309" s="2" t="s">
        <v>562</v>
      </c>
      <c r="B4309" s="2" t="s">
        <v>1083</v>
      </c>
      <c r="C4309" s="5" t="s">
        <v>1098</v>
      </c>
      <c r="D4309" s="2" t="s">
        <v>6129</v>
      </c>
    </row>
    <row r="4310" spans="1:4" ht="12.95" customHeight="1" x14ac:dyDescent="0.25">
      <c r="A4310" s="2" t="s">
        <v>562</v>
      </c>
      <c r="B4310" s="2" t="s">
        <v>1083</v>
      </c>
      <c r="C4310" s="5" t="s">
        <v>1100</v>
      </c>
      <c r="D4310" s="2" t="s">
        <v>6130</v>
      </c>
    </row>
    <row r="4311" spans="1:4" ht="12.95" customHeight="1" x14ac:dyDescent="0.25">
      <c r="A4311" s="2" t="s">
        <v>562</v>
      </c>
      <c r="B4311" s="2" t="s">
        <v>1083</v>
      </c>
      <c r="C4311" s="5" t="s">
        <v>1109</v>
      </c>
      <c r="D4311" s="2" t="s">
        <v>6131</v>
      </c>
    </row>
    <row r="4312" spans="1:4" ht="12.95" customHeight="1" x14ac:dyDescent="0.25">
      <c r="A4312" s="2" t="s">
        <v>562</v>
      </c>
      <c r="B4312" s="2" t="s">
        <v>1083</v>
      </c>
      <c r="C4312" s="5" t="s">
        <v>1119</v>
      </c>
      <c r="D4312" s="2" t="s">
        <v>1172</v>
      </c>
    </row>
    <row r="4313" spans="1:4" ht="12.95" customHeight="1" x14ac:dyDescent="0.25">
      <c r="A4313" s="2" t="s">
        <v>562</v>
      </c>
      <c r="B4313" s="2" t="s">
        <v>1083</v>
      </c>
      <c r="C4313" s="5" t="s">
        <v>1121</v>
      </c>
      <c r="D4313" s="2" t="s">
        <v>1174</v>
      </c>
    </row>
    <row r="4314" spans="1:4" ht="12.95" customHeight="1" x14ac:dyDescent="0.25">
      <c r="A4314" s="2" t="s">
        <v>562</v>
      </c>
      <c r="B4314" s="2" t="s">
        <v>1083</v>
      </c>
      <c r="C4314" s="5" t="s">
        <v>1123</v>
      </c>
      <c r="D4314" s="2" t="s">
        <v>1176</v>
      </c>
    </row>
    <row r="4315" spans="1:4" ht="12.95" customHeight="1" x14ac:dyDescent="0.25">
      <c r="A4315" s="2" t="s">
        <v>562</v>
      </c>
      <c r="B4315" s="2" t="s">
        <v>1083</v>
      </c>
      <c r="C4315" s="5" t="s">
        <v>1125</v>
      </c>
      <c r="D4315" s="2" t="s">
        <v>1177</v>
      </c>
    </row>
    <row r="4316" spans="1:4" ht="12.95" customHeight="1" x14ac:dyDescent="0.25">
      <c r="A4316" s="2" t="s">
        <v>562</v>
      </c>
      <c r="B4316" s="2" t="s">
        <v>1083</v>
      </c>
      <c r="C4316" s="5" t="s">
        <v>1111</v>
      </c>
      <c r="D4316" s="2" t="s">
        <v>1143</v>
      </c>
    </row>
    <row r="4317" spans="1:4" ht="12.95" customHeight="1" x14ac:dyDescent="0.25">
      <c r="A4317" s="2" t="s">
        <v>564</v>
      </c>
      <c r="B4317" s="2" t="s">
        <v>1083</v>
      </c>
      <c r="C4317" s="5" t="s">
        <v>1102</v>
      </c>
      <c r="D4317" s="2" t="s">
        <v>1103</v>
      </c>
    </row>
    <row r="4318" spans="1:4" ht="12.95" customHeight="1" x14ac:dyDescent="0.25">
      <c r="A4318" s="2" t="s">
        <v>564</v>
      </c>
      <c r="B4318" s="2" t="s">
        <v>1083</v>
      </c>
      <c r="C4318" s="5" t="s">
        <v>1084</v>
      </c>
      <c r="D4318" s="2" t="s">
        <v>1085</v>
      </c>
    </row>
    <row r="4319" spans="1:4" ht="12.95" customHeight="1" x14ac:dyDescent="0.25">
      <c r="A4319" s="2" t="s">
        <v>564</v>
      </c>
      <c r="B4319" s="2" t="s">
        <v>1083</v>
      </c>
      <c r="C4319" s="5" t="s">
        <v>1086</v>
      </c>
      <c r="D4319" s="2" t="s">
        <v>1087</v>
      </c>
    </row>
    <row r="4320" spans="1:4" ht="12.95" customHeight="1" x14ac:dyDescent="0.25">
      <c r="A4320" s="2" t="s">
        <v>564</v>
      </c>
      <c r="B4320" s="2" t="s">
        <v>1083</v>
      </c>
      <c r="C4320" s="5" t="s">
        <v>1088</v>
      </c>
      <c r="D4320" s="2" t="s">
        <v>1089</v>
      </c>
    </row>
    <row r="4321" spans="1:4" ht="12.95" customHeight="1" x14ac:dyDescent="0.25">
      <c r="A4321" s="2" t="s">
        <v>564</v>
      </c>
      <c r="B4321" s="2" t="s">
        <v>1083</v>
      </c>
      <c r="C4321" s="5" t="s">
        <v>1090</v>
      </c>
      <c r="D4321" s="2" t="s">
        <v>6125</v>
      </c>
    </row>
    <row r="4322" spans="1:4" ht="12.95" customHeight="1" x14ac:dyDescent="0.25">
      <c r="A4322" s="2" t="s">
        <v>564</v>
      </c>
      <c r="B4322" s="2" t="s">
        <v>1083</v>
      </c>
      <c r="C4322" s="5" t="s">
        <v>1092</v>
      </c>
      <c r="D4322" s="2" t="s">
        <v>6126</v>
      </c>
    </row>
    <row r="4323" spans="1:4" ht="12.95" customHeight="1" x14ac:dyDescent="0.25">
      <c r="A4323" s="2" t="s">
        <v>564</v>
      </c>
      <c r="B4323" s="2" t="s">
        <v>1083</v>
      </c>
      <c r="C4323" s="5" t="s">
        <v>1094</v>
      </c>
      <c r="D4323" s="2" t="s">
        <v>6127</v>
      </c>
    </row>
    <row r="4324" spans="1:4" ht="12.95" customHeight="1" x14ac:dyDescent="0.25">
      <c r="A4324" s="2" t="s">
        <v>564</v>
      </c>
      <c r="B4324" s="2" t="s">
        <v>1083</v>
      </c>
      <c r="C4324" s="5" t="s">
        <v>1096</v>
      </c>
      <c r="D4324" s="2" t="s">
        <v>6128</v>
      </c>
    </row>
    <row r="4325" spans="1:4" ht="12.95" customHeight="1" x14ac:dyDescent="0.25">
      <c r="A4325" s="2" t="s">
        <v>564</v>
      </c>
      <c r="B4325" s="2" t="s">
        <v>1083</v>
      </c>
      <c r="C4325" s="5" t="s">
        <v>1098</v>
      </c>
      <c r="D4325" s="2" t="s">
        <v>6129</v>
      </c>
    </row>
    <row r="4326" spans="1:4" ht="12.95" customHeight="1" x14ac:dyDescent="0.25">
      <c r="A4326" s="2" t="s">
        <v>564</v>
      </c>
      <c r="B4326" s="2" t="s">
        <v>1083</v>
      </c>
      <c r="C4326" s="5" t="s">
        <v>1100</v>
      </c>
      <c r="D4326" s="2" t="s">
        <v>6130</v>
      </c>
    </row>
    <row r="4327" spans="1:4" ht="12.95" customHeight="1" x14ac:dyDescent="0.25">
      <c r="A4327" s="2" t="s">
        <v>564</v>
      </c>
      <c r="B4327" s="2" t="s">
        <v>1083</v>
      </c>
      <c r="C4327" s="5" t="s">
        <v>1109</v>
      </c>
      <c r="D4327" s="2" t="s">
        <v>6131</v>
      </c>
    </row>
    <row r="4328" spans="1:4" ht="12.95" customHeight="1" x14ac:dyDescent="0.25">
      <c r="A4328" s="2" t="s">
        <v>564</v>
      </c>
      <c r="B4328" s="2" t="s">
        <v>1083</v>
      </c>
      <c r="C4328" s="5" t="s">
        <v>1119</v>
      </c>
      <c r="D4328" s="2" t="s">
        <v>1172</v>
      </c>
    </row>
    <row r="4329" spans="1:4" ht="12.95" customHeight="1" x14ac:dyDescent="0.25">
      <c r="A4329" s="2" t="s">
        <v>564</v>
      </c>
      <c r="B4329" s="2" t="s">
        <v>1083</v>
      </c>
      <c r="C4329" s="5" t="s">
        <v>1121</v>
      </c>
      <c r="D4329" s="2" t="s">
        <v>1174</v>
      </c>
    </row>
    <row r="4330" spans="1:4" ht="12.95" customHeight="1" x14ac:dyDescent="0.25">
      <c r="A4330" s="2" t="s">
        <v>564</v>
      </c>
      <c r="B4330" s="2" t="s">
        <v>1083</v>
      </c>
      <c r="C4330" s="5" t="s">
        <v>1123</v>
      </c>
      <c r="D4330" s="2" t="s">
        <v>1176</v>
      </c>
    </row>
    <row r="4331" spans="1:4" ht="12.95" customHeight="1" x14ac:dyDescent="0.25">
      <c r="A4331" s="2" t="s">
        <v>564</v>
      </c>
      <c r="B4331" s="2" t="s">
        <v>1083</v>
      </c>
      <c r="C4331" s="5" t="s">
        <v>1125</v>
      </c>
      <c r="D4331" s="2" t="s">
        <v>1177</v>
      </c>
    </row>
    <row r="4332" spans="1:4" ht="12.95" customHeight="1" x14ac:dyDescent="0.25">
      <c r="A4332" s="2" t="s">
        <v>564</v>
      </c>
      <c r="B4332" s="2" t="s">
        <v>1083</v>
      </c>
      <c r="C4332" s="5" t="s">
        <v>1111</v>
      </c>
      <c r="D4332" s="2" t="s">
        <v>1143</v>
      </c>
    </row>
    <row r="4333" spans="1:4" ht="12.95" customHeight="1" x14ac:dyDescent="0.25">
      <c r="A4333" s="2" t="s">
        <v>566</v>
      </c>
      <c r="B4333" s="2" t="s">
        <v>1083</v>
      </c>
      <c r="C4333" s="5" t="s">
        <v>1088</v>
      </c>
      <c r="D4333" s="2" t="s">
        <v>1089</v>
      </c>
    </row>
    <row r="4334" spans="1:4" ht="12.95" customHeight="1" x14ac:dyDescent="0.25">
      <c r="A4334" s="2" t="s">
        <v>569</v>
      </c>
      <c r="B4334" s="2" t="s">
        <v>1083</v>
      </c>
      <c r="C4334" s="5" t="s">
        <v>1102</v>
      </c>
      <c r="D4334" s="2" t="s">
        <v>1103</v>
      </c>
    </row>
    <row r="4335" spans="1:4" ht="12.95" customHeight="1" x14ac:dyDescent="0.25">
      <c r="A4335" s="2" t="s">
        <v>569</v>
      </c>
      <c r="B4335" s="2" t="s">
        <v>1083</v>
      </c>
      <c r="C4335" s="5" t="s">
        <v>1084</v>
      </c>
      <c r="D4335" s="2" t="s">
        <v>1085</v>
      </c>
    </row>
    <row r="4336" spans="1:4" ht="12.95" customHeight="1" x14ac:dyDescent="0.25">
      <c r="A4336" s="2" t="s">
        <v>569</v>
      </c>
      <c r="B4336" s="2" t="s">
        <v>1083</v>
      </c>
      <c r="C4336" s="5" t="s">
        <v>1086</v>
      </c>
      <c r="D4336" s="2" t="s">
        <v>1087</v>
      </c>
    </row>
    <row r="4337" spans="1:4" ht="12.95" customHeight="1" x14ac:dyDescent="0.25">
      <c r="A4337" s="2" t="s">
        <v>569</v>
      </c>
      <c r="B4337" s="2" t="s">
        <v>1083</v>
      </c>
      <c r="C4337" s="5" t="s">
        <v>1088</v>
      </c>
      <c r="D4337" s="2" t="s">
        <v>1089</v>
      </c>
    </row>
    <row r="4338" spans="1:4" ht="12.95" customHeight="1" x14ac:dyDescent="0.25">
      <c r="A4338" s="2" t="s">
        <v>569</v>
      </c>
      <c r="B4338" s="2" t="s">
        <v>1083</v>
      </c>
      <c r="C4338" s="5" t="s">
        <v>1090</v>
      </c>
      <c r="D4338" s="2" t="s">
        <v>6125</v>
      </c>
    </row>
    <row r="4339" spans="1:4" ht="12.95" customHeight="1" x14ac:dyDescent="0.25">
      <c r="A4339" s="2" t="s">
        <v>569</v>
      </c>
      <c r="B4339" s="2" t="s">
        <v>1083</v>
      </c>
      <c r="C4339" s="5" t="s">
        <v>1092</v>
      </c>
      <c r="D4339" s="2" t="s">
        <v>6126</v>
      </c>
    </row>
    <row r="4340" spans="1:4" ht="12.95" customHeight="1" x14ac:dyDescent="0.25">
      <c r="A4340" s="2" t="s">
        <v>569</v>
      </c>
      <c r="B4340" s="2" t="s">
        <v>1083</v>
      </c>
      <c r="C4340" s="5" t="s">
        <v>1094</v>
      </c>
      <c r="D4340" s="2" t="s">
        <v>6127</v>
      </c>
    </row>
    <row r="4341" spans="1:4" ht="12.95" customHeight="1" x14ac:dyDescent="0.25">
      <c r="A4341" s="2" t="s">
        <v>569</v>
      </c>
      <c r="B4341" s="2" t="s">
        <v>1083</v>
      </c>
      <c r="C4341" s="5" t="s">
        <v>1096</v>
      </c>
      <c r="D4341" s="2" t="s">
        <v>6128</v>
      </c>
    </row>
    <row r="4342" spans="1:4" ht="12.95" customHeight="1" x14ac:dyDescent="0.25">
      <c r="A4342" s="2" t="s">
        <v>569</v>
      </c>
      <c r="B4342" s="2" t="s">
        <v>1083</v>
      </c>
      <c r="C4342" s="5" t="s">
        <v>1098</v>
      </c>
      <c r="D4342" s="2" t="s">
        <v>6129</v>
      </c>
    </row>
    <row r="4343" spans="1:4" ht="12.95" customHeight="1" x14ac:dyDescent="0.25">
      <c r="A4343" s="2" t="s">
        <v>569</v>
      </c>
      <c r="B4343" s="2" t="s">
        <v>1083</v>
      </c>
      <c r="C4343" s="5" t="s">
        <v>1100</v>
      </c>
      <c r="D4343" s="2" t="s">
        <v>6130</v>
      </c>
    </row>
    <row r="4344" spans="1:4" ht="12.95" customHeight="1" x14ac:dyDescent="0.25">
      <c r="A4344" s="2" t="s">
        <v>569</v>
      </c>
      <c r="B4344" s="2" t="s">
        <v>1083</v>
      </c>
      <c r="C4344" s="5" t="s">
        <v>1109</v>
      </c>
      <c r="D4344" s="2" t="s">
        <v>6131</v>
      </c>
    </row>
    <row r="4345" spans="1:4" ht="12.95" customHeight="1" x14ac:dyDescent="0.25">
      <c r="A4345" s="2" t="s">
        <v>569</v>
      </c>
      <c r="B4345" s="2" t="s">
        <v>1083</v>
      </c>
      <c r="C4345" s="5" t="s">
        <v>1119</v>
      </c>
      <c r="D4345" s="2" t="s">
        <v>1172</v>
      </c>
    </row>
    <row r="4346" spans="1:4" ht="12.95" customHeight="1" x14ac:dyDescent="0.25">
      <c r="A4346" s="2" t="s">
        <v>569</v>
      </c>
      <c r="B4346" s="2" t="s">
        <v>1083</v>
      </c>
      <c r="C4346" s="5" t="s">
        <v>1121</v>
      </c>
      <c r="D4346" s="2" t="s">
        <v>1174</v>
      </c>
    </row>
    <row r="4347" spans="1:4" ht="12.95" customHeight="1" x14ac:dyDescent="0.25">
      <c r="A4347" s="2" t="s">
        <v>569</v>
      </c>
      <c r="B4347" s="2" t="s">
        <v>1083</v>
      </c>
      <c r="C4347" s="5" t="s">
        <v>1123</v>
      </c>
      <c r="D4347" s="2" t="s">
        <v>1176</v>
      </c>
    </row>
    <row r="4348" spans="1:4" ht="12.95" customHeight="1" x14ac:dyDescent="0.25">
      <c r="A4348" s="2" t="s">
        <v>569</v>
      </c>
      <c r="B4348" s="2" t="s">
        <v>1083</v>
      </c>
      <c r="C4348" s="5" t="s">
        <v>1125</v>
      </c>
      <c r="D4348" s="2" t="s">
        <v>1177</v>
      </c>
    </row>
    <row r="4349" spans="1:4" ht="12.95" customHeight="1" x14ac:dyDescent="0.25">
      <c r="A4349" s="2" t="s">
        <v>569</v>
      </c>
      <c r="B4349" s="2" t="s">
        <v>1083</v>
      </c>
      <c r="C4349" s="5" t="s">
        <v>1111</v>
      </c>
      <c r="D4349" s="2" t="s">
        <v>1143</v>
      </c>
    </row>
    <row r="4350" spans="1:4" ht="12.95" customHeight="1" x14ac:dyDescent="0.25">
      <c r="A4350" s="2" t="s">
        <v>571</v>
      </c>
      <c r="B4350" s="2" t="s">
        <v>1083</v>
      </c>
      <c r="C4350" s="5" t="s">
        <v>1102</v>
      </c>
      <c r="D4350" s="2" t="s">
        <v>1103</v>
      </c>
    </row>
    <row r="4351" spans="1:4" ht="12.95" customHeight="1" x14ac:dyDescent="0.25">
      <c r="A4351" s="2" t="s">
        <v>571</v>
      </c>
      <c r="B4351" s="2" t="s">
        <v>1083</v>
      </c>
      <c r="C4351" s="5" t="s">
        <v>1084</v>
      </c>
      <c r="D4351" s="2" t="s">
        <v>1085</v>
      </c>
    </row>
    <row r="4352" spans="1:4" ht="12.95" customHeight="1" x14ac:dyDescent="0.25">
      <c r="A4352" s="2" t="s">
        <v>571</v>
      </c>
      <c r="B4352" s="2" t="s">
        <v>1083</v>
      </c>
      <c r="C4352" s="5" t="s">
        <v>1086</v>
      </c>
      <c r="D4352" s="2" t="s">
        <v>1087</v>
      </c>
    </row>
    <row r="4353" spans="1:4" ht="12.95" customHeight="1" x14ac:dyDescent="0.25">
      <c r="A4353" s="2" t="s">
        <v>571</v>
      </c>
      <c r="B4353" s="2" t="s">
        <v>1083</v>
      </c>
      <c r="C4353" s="5" t="s">
        <v>1088</v>
      </c>
      <c r="D4353" s="2" t="s">
        <v>1089</v>
      </c>
    </row>
    <row r="4354" spans="1:4" ht="12.95" customHeight="1" x14ac:dyDescent="0.25">
      <c r="A4354" s="2" t="s">
        <v>571</v>
      </c>
      <c r="B4354" s="2" t="s">
        <v>1083</v>
      </c>
      <c r="C4354" s="5" t="s">
        <v>1090</v>
      </c>
      <c r="D4354" s="2" t="s">
        <v>6125</v>
      </c>
    </row>
    <row r="4355" spans="1:4" ht="12.95" customHeight="1" x14ac:dyDescent="0.25">
      <c r="A4355" s="2" t="s">
        <v>571</v>
      </c>
      <c r="B4355" s="2" t="s">
        <v>1083</v>
      </c>
      <c r="C4355" s="5" t="s">
        <v>1092</v>
      </c>
      <c r="D4355" s="2" t="s">
        <v>6126</v>
      </c>
    </row>
    <row r="4356" spans="1:4" ht="12.95" customHeight="1" x14ac:dyDescent="0.25">
      <c r="A4356" s="2" t="s">
        <v>571</v>
      </c>
      <c r="B4356" s="2" t="s">
        <v>1083</v>
      </c>
      <c r="C4356" s="5" t="s">
        <v>1094</v>
      </c>
      <c r="D4356" s="2" t="s">
        <v>6127</v>
      </c>
    </row>
    <row r="4357" spans="1:4" ht="12.95" customHeight="1" x14ac:dyDescent="0.25">
      <c r="A4357" s="2" t="s">
        <v>571</v>
      </c>
      <c r="B4357" s="2" t="s">
        <v>1083</v>
      </c>
      <c r="C4357" s="5" t="s">
        <v>1096</v>
      </c>
      <c r="D4357" s="2" t="s">
        <v>6128</v>
      </c>
    </row>
    <row r="4358" spans="1:4" ht="12.95" customHeight="1" x14ac:dyDescent="0.25">
      <c r="A4358" s="2" t="s">
        <v>571</v>
      </c>
      <c r="B4358" s="2" t="s">
        <v>1083</v>
      </c>
      <c r="C4358" s="5" t="s">
        <v>1098</v>
      </c>
      <c r="D4358" s="2" t="s">
        <v>6129</v>
      </c>
    </row>
    <row r="4359" spans="1:4" ht="12.95" customHeight="1" x14ac:dyDescent="0.25">
      <c r="A4359" s="2" t="s">
        <v>571</v>
      </c>
      <c r="B4359" s="2" t="s">
        <v>1083</v>
      </c>
      <c r="C4359" s="5" t="s">
        <v>1100</v>
      </c>
      <c r="D4359" s="2" t="s">
        <v>6130</v>
      </c>
    </row>
    <row r="4360" spans="1:4" ht="12.95" customHeight="1" x14ac:dyDescent="0.25">
      <c r="A4360" s="2" t="s">
        <v>571</v>
      </c>
      <c r="B4360" s="2" t="s">
        <v>1083</v>
      </c>
      <c r="C4360" s="5" t="s">
        <v>1109</v>
      </c>
      <c r="D4360" s="2" t="s">
        <v>6131</v>
      </c>
    </row>
    <row r="4361" spans="1:4" ht="12.95" customHeight="1" x14ac:dyDescent="0.25">
      <c r="A4361" s="2" t="s">
        <v>571</v>
      </c>
      <c r="B4361" s="2" t="s">
        <v>1083</v>
      </c>
      <c r="C4361" s="5" t="s">
        <v>1119</v>
      </c>
      <c r="D4361" s="2" t="s">
        <v>1172</v>
      </c>
    </row>
    <row r="4362" spans="1:4" ht="12.95" customHeight="1" x14ac:dyDescent="0.25">
      <c r="A4362" s="2" t="s">
        <v>571</v>
      </c>
      <c r="B4362" s="2" t="s">
        <v>1083</v>
      </c>
      <c r="C4362" s="5" t="s">
        <v>1121</v>
      </c>
      <c r="D4362" s="2" t="s">
        <v>1174</v>
      </c>
    </row>
    <row r="4363" spans="1:4" ht="12.95" customHeight="1" x14ac:dyDescent="0.25">
      <c r="A4363" s="2" t="s">
        <v>571</v>
      </c>
      <c r="B4363" s="2" t="s">
        <v>1083</v>
      </c>
      <c r="C4363" s="5" t="s">
        <v>1123</v>
      </c>
      <c r="D4363" s="2" t="s">
        <v>1176</v>
      </c>
    </row>
    <row r="4364" spans="1:4" ht="12.95" customHeight="1" x14ac:dyDescent="0.25">
      <c r="A4364" s="2" t="s">
        <v>571</v>
      </c>
      <c r="B4364" s="2" t="s">
        <v>1083</v>
      </c>
      <c r="C4364" s="5" t="s">
        <v>1125</v>
      </c>
      <c r="D4364" s="2" t="s">
        <v>1177</v>
      </c>
    </row>
    <row r="4365" spans="1:4" ht="12.95" customHeight="1" x14ac:dyDescent="0.25">
      <c r="A4365" s="2" t="s">
        <v>571</v>
      </c>
      <c r="B4365" s="2" t="s">
        <v>1083</v>
      </c>
      <c r="C4365" s="5" t="s">
        <v>1111</v>
      </c>
      <c r="D4365" s="2" t="s">
        <v>1143</v>
      </c>
    </row>
    <row r="4366" spans="1:4" ht="12.95" customHeight="1" x14ac:dyDescent="0.25">
      <c r="A4366" s="2" t="s">
        <v>573</v>
      </c>
      <c r="B4366" s="2" t="s">
        <v>1146</v>
      </c>
      <c r="C4366" s="5" t="s">
        <v>1084</v>
      </c>
      <c r="D4366" s="2" t="s">
        <v>1153</v>
      </c>
    </row>
    <row r="4367" spans="1:4" ht="12.95" customHeight="1" x14ac:dyDescent="0.25">
      <c r="A4367" s="2" t="s">
        <v>573</v>
      </c>
      <c r="B4367" s="2" t="s">
        <v>1146</v>
      </c>
      <c r="C4367" s="5" t="s">
        <v>1086</v>
      </c>
      <c r="D4367" s="2" t="s">
        <v>1087</v>
      </c>
    </row>
    <row r="4368" spans="1:4" ht="12.95" customHeight="1" x14ac:dyDescent="0.25">
      <c r="A4368" s="2" t="s">
        <v>573</v>
      </c>
      <c r="B4368" s="2" t="s">
        <v>1146</v>
      </c>
      <c r="C4368" s="5" t="s">
        <v>1088</v>
      </c>
      <c r="D4368" s="2" t="s">
        <v>1089</v>
      </c>
    </row>
    <row r="4369" spans="1:4" ht="12.95" customHeight="1" x14ac:dyDescent="0.25">
      <c r="A4369" s="2" t="s">
        <v>573</v>
      </c>
      <c r="B4369" s="2" t="s">
        <v>1146</v>
      </c>
      <c r="C4369" s="5" t="s">
        <v>1090</v>
      </c>
      <c r="D4369" s="2" t="s">
        <v>1154</v>
      </c>
    </row>
    <row r="4370" spans="1:4" ht="12.95" customHeight="1" x14ac:dyDescent="0.25">
      <c r="A4370" s="2" t="s">
        <v>573</v>
      </c>
      <c r="B4370" s="2" t="s">
        <v>1146</v>
      </c>
      <c r="C4370" s="5" t="s">
        <v>1092</v>
      </c>
      <c r="D4370" s="2" t="s">
        <v>1155</v>
      </c>
    </row>
    <row r="4371" spans="1:4" ht="12.95" customHeight="1" x14ac:dyDescent="0.25">
      <c r="A4371" s="2" t="s">
        <v>573</v>
      </c>
      <c r="B4371" s="2" t="s">
        <v>1146</v>
      </c>
      <c r="C4371" s="5" t="s">
        <v>1094</v>
      </c>
      <c r="D4371" s="2" t="s">
        <v>1156</v>
      </c>
    </row>
    <row r="4372" spans="1:4" ht="12.95" customHeight="1" x14ac:dyDescent="0.25">
      <c r="A4372" s="2" t="s">
        <v>573</v>
      </c>
      <c r="B4372" s="2" t="s">
        <v>1146</v>
      </c>
      <c r="C4372" s="5" t="s">
        <v>1096</v>
      </c>
      <c r="D4372" s="2" t="s">
        <v>1157</v>
      </c>
    </row>
    <row r="4373" spans="1:4" ht="12.95" customHeight="1" x14ac:dyDescent="0.25">
      <c r="A4373" s="2" t="s">
        <v>573</v>
      </c>
      <c r="B4373" s="2" t="s">
        <v>1146</v>
      </c>
      <c r="C4373" s="5" t="s">
        <v>1098</v>
      </c>
      <c r="D4373" s="2" t="s">
        <v>1158</v>
      </c>
    </row>
    <row r="4374" spans="1:4" ht="12.95" customHeight="1" x14ac:dyDescent="0.25">
      <c r="A4374" s="2" t="s">
        <v>576</v>
      </c>
      <c r="B4374" s="2" t="s">
        <v>1083</v>
      </c>
      <c r="C4374" s="5" t="s">
        <v>1102</v>
      </c>
      <c r="D4374" s="2" t="s">
        <v>1103</v>
      </c>
    </row>
    <row r="4375" spans="1:4" ht="12.95" customHeight="1" x14ac:dyDescent="0.25">
      <c r="A4375" s="2" t="s">
        <v>576</v>
      </c>
      <c r="B4375" s="2" t="s">
        <v>1083</v>
      </c>
      <c r="C4375" s="5" t="s">
        <v>1084</v>
      </c>
      <c r="D4375" s="2" t="s">
        <v>1153</v>
      </c>
    </row>
    <row r="4376" spans="1:4" ht="12.95" customHeight="1" x14ac:dyDescent="0.25">
      <c r="A4376" s="2" t="s">
        <v>576</v>
      </c>
      <c r="B4376" s="2" t="s">
        <v>1083</v>
      </c>
      <c r="C4376" s="5" t="s">
        <v>1086</v>
      </c>
      <c r="D4376" s="2" t="s">
        <v>1147</v>
      </c>
    </row>
    <row r="4377" spans="1:4" ht="12.95" customHeight="1" x14ac:dyDescent="0.25">
      <c r="A4377" s="2" t="s">
        <v>579</v>
      </c>
      <c r="B4377" s="2" t="s">
        <v>1083</v>
      </c>
      <c r="C4377" s="5" t="s">
        <v>1102</v>
      </c>
      <c r="D4377" s="2" t="s">
        <v>1103</v>
      </c>
    </row>
    <row r="4378" spans="1:4" ht="12.95" customHeight="1" x14ac:dyDescent="0.25">
      <c r="A4378" s="2" t="s">
        <v>579</v>
      </c>
      <c r="B4378" s="2" t="s">
        <v>1083</v>
      </c>
      <c r="C4378" s="5" t="s">
        <v>1084</v>
      </c>
      <c r="D4378" s="2" t="s">
        <v>1085</v>
      </c>
    </row>
    <row r="4379" spans="1:4" ht="12.95" customHeight="1" x14ac:dyDescent="0.25">
      <c r="A4379" s="2" t="s">
        <v>579</v>
      </c>
      <c r="B4379" s="2" t="s">
        <v>1083</v>
      </c>
      <c r="C4379" s="5" t="s">
        <v>1086</v>
      </c>
      <c r="D4379" s="2" t="s">
        <v>1087</v>
      </c>
    </row>
    <row r="4380" spans="1:4" ht="12.95" customHeight="1" x14ac:dyDescent="0.25">
      <c r="A4380" s="2" t="s">
        <v>579</v>
      </c>
      <c r="B4380" s="2" t="s">
        <v>1083</v>
      </c>
      <c r="C4380" s="5" t="s">
        <v>1088</v>
      </c>
      <c r="D4380" s="2" t="s">
        <v>1089</v>
      </c>
    </row>
    <row r="4381" spans="1:4" ht="12.95" customHeight="1" x14ac:dyDescent="0.25">
      <c r="A4381" s="2" t="s">
        <v>582</v>
      </c>
      <c r="B4381" s="2" t="s">
        <v>1272</v>
      </c>
      <c r="C4381" s="5" t="s">
        <v>1090</v>
      </c>
      <c r="D4381" s="2" t="s">
        <v>1179</v>
      </c>
    </row>
    <row r="4382" spans="1:4" ht="12.95" customHeight="1" x14ac:dyDescent="0.25">
      <c r="A4382" s="2" t="s">
        <v>582</v>
      </c>
      <c r="B4382" s="2" t="s">
        <v>1272</v>
      </c>
      <c r="C4382" s="5" t="s">
        <v>1092</v>
      </c>
      <c r="D4382" s="2" t="s">
        <v>1180</v>
      </c>
    </row>
    <row r="4383" spans="1:4" ht="12.95" customHeight="1" x14ac:dyDescent="0.25">
      <c r="A4383" s="2" t="s">
        <v>584</v>
      </c>
      <c r="B4383" s="2" t="s">
        <v>1083</v>
      </c>
      <c r="C4383" s="5" t="s">
        <v>1090</v>
      </c>
      <c r="D4383" s="2" t="s">
        <v>1179</v>
      </c>
    </row>
    <row r="4384" spans="1:4" ht="12.95" customHeight="1" x14ac:dyDescent="0.25">
      <c r="A4384" s="2" t="s">
        <v>584</v>
      </c>
      <c r="B4384" s="2" t="s">
        <v>1083</v>
      </c>
      <c r="C4384" s="5" t="s">
        <v>1092</v>
      </c>
      <c r="D4384" s="2" t="s">
        <v>1180</v>
      </c>
    </row>
    <row r="4385" spans="1:4" ht="12.95" customHeight="1" x14ac:dyDescent="0.25">
      <c r="A4385" s="2" t="s">
        <v>586</v>
      </c>
      <c r="B4385" s="2" t="s">
        <v>1083</v>
      </c>
      <c r="C4385" s="5" t="s">
        <v>1090</v>
      </c>
      <c r="D4385" s="2" t="s">
        <v>1179</v>
      </c>
    </row>
    <row r="4386" spans="1:4" ht="12.95" customHeight="1" x14ac:dyDescent="0.25">
      <c r="A4386" s="2" t="s">
        <v>586</v>
      </c>
      <c r="B4386" s="2" t="s">
        <v>1083</v>
      </c>
      <c r="C4386" s="5" t="s">
        <v>1092</v>
      </c>
      <c r="D4386" s="2" t="s">
        <v>1180</v>
      </c>
    </row>
    <row r="4387" spans="1:4" ht="12.95" customHeight="1" x14ac:dyDescent="0.25">
      <c r="A4387" s="2" t="s">
        <v>588</v>
      </c>
      <c r="B4387" s="2" t="s">
        <v>1083</v>
      </c>
      <c r="C4387" s="5" t="s">
        <v>1090</v>
      </c>
      <c r="D4387" s="2" t="s">
        <v>1179</v>
      </c>
    </row>
    <row r="4388" spans="1:4" ht="12.95" customHeight="1" x14ac:dyDescent="0.25">
      <c r="A4388" s="2" t="s">
        <v>588</v>
      </c>
      <c r="B4388" s="2" t="s">
        <v>1083</v>
      </c>
      <c r="C4388" s="5" t="s">
        <v>1092</v>
      </c>
      <c r="D4388" s="2" t="s">
        <v>1180</v>
      </c>
    </row>
    <row r="4389" spans="1:4" ht="12.95" customHeight="1" x14ac:dyDescent="0.25">
      <c r="A4389" s="2" t="s">
        <v>590</v>
      </c>
      <c r="B4389" s="2" t="s">
        <v>1083</v>
      </c>
      <c r="C4389" s="5" t="s">
        <v>1090</v>
      </c>
      <c r="D4389" s="2" t="s">
        <v>1179</v>
      </c>
    </row>
    <row r="4390" spans="1:4" ht="12.95" customHeight="1" x14ac:dyDescent="0.25">
      <c r="A4390" s="2" t="s">
        <v>590</v>
      </c>
      <c r="B4390" s="2" t="s">
        <v>1083</v>
      </c>
      <c r="C4390" s="5" t="s">
        <v>1092</v>
      </c>
      <c r="D4390" s="2" t="s">
        <v>1180</v>
      </c>
    </row>
    <row r="4391" spans="1:4" ht="12.95" customHeight="1" x14ac:dyDescent="0.25">
      <c r="A4391" s="2" t="s">
        <v>592</v>
      </c>
      <c r="B4391" s="2" t="s">
        <v>1083</v>
      </c>
      <c r="C4391" s="5" t="s">
        <v>1090</v>
      </c>
      <c r="D4391" s="2" t="s">
        <v>1179</v>
      </c>
    </row>
    <row r="4392" spans="1:4" ht="12.95" customHeight="1" x14ac:dyDescent="0.25">
      <c r="A4392" s="2" t="s">
        <v>592</v>
      </c>
      <c r="B4392" s="2" t="s">
        <v>1083</v>
      </c>
      <c r="C4392" s="5" t="s">
        <v>1092</v>
      </c>
      <c r="D4392" s="2" t="s">
        <v>1180</v>
      </c>
    </row>
    <row r="4393" spans="1:4" ht="12.95" customHeight="1" x14ac:dyDescent="0.25">
      <c r="A4393" s="2" t="s">
        <v>594</v>
      </c>
      <c r="B4393" s="2" t="s">
        <v>1083</v>
      </c>
      <c r="C4393" s="5" t="s">
        <v>1084</v>
      </c>
      <c r="D4393" s="2" t="s">
        <v>1085</v>
      </c>
    </row>
    <row r="4394" spans="1:4" ht="12.95" customHeight="1" x14ac:dyDescent="0.25">
      <c r="A4394" s="2" t="s">
        <v>594</v>
      </c>
      <c r="B4394" s="2" t="s">
        <v>1083</v>
      </c>
      <c r="C4394" s="5" t="s">
        <v>1086</v>
      </c>
      <c r="D4394" s="2" t="s">
        <v>1087</v>
      </c>
    </row>
    <row r="4395" spans="1:4" ht="12.95" customHeight="1" x14ac:dyDescent="0.25">
      <c r="A4395" s="2" t="s">
        <v>594</v>
      </c>
      <c r="B4395" s="2" t="s">
        <v>1083</v>
      </c>
      <c r="C4395" s="5" t="s">
        <v>1088</v>
      </c>
      <c r="D4395" s="2" t="s">
        <v>1089</v>
      </c>
    </row>
    <row r="4396" spans="1:4" ht="12.95" customHeight="1" x14ac:dyDescent="0.25">
      <c r="A4396" s="2" t="s">
        <v>594</v>
      </c>
      <c r="B4396" s="2" t="s">
        <v>1083</v>
      </c>
      <c r="C4396" s="5" t="s">
        <v>1090</v>
      </c>
      <c r="D4396" s="2" t="s">
        <v>3129</v>
      </c>
    </row>
    <row r="4397" spans="1:4" ht="12.95" customHeight="1" x14ac:dyDescent="0.25">
      <c r="A4397" s="2" t="s">
        <v>594</v>
      </c>
      <c r="B4397" s="2" t="s">
        <v>1083</v>
      </c>
      <c r="C4397" s="5" t="s">
        <v>1092</v>
      </c>
      <c r="D4397" s="2" t="s">
        <v>3130</v>
      </c>
    </row>
    <row r="4398" spans="1:4" ht="12.95" customHeight="1" x14ac:dyDescent="0.25">
      <c r="A4398" s="2" t="s">
        <v>594</v>
      </c>
      <c r="B4398" s="2" t="s">
        <v>1083</v>
      </c>
      <c r="C4398" s="5" t="s">
        <v>1094</v>
      </c>
      <c r="D4398" s="2" t="s">
        <v>3131</v>
      </c>
    </row>
    <row r="4399" spans="1:4" ht="12.95" customHeight="1" x14ac:dyDescent="0.25">
      <c r="A4399" s="2" t="s">
        <v>594</v>
      </c>
      <c r="B4399" s="2" t="s">
        <v>1083</v>
      </c>
      <c r="C4399" s="5" t="s">
        <v>1096</v>
      </c>
      <c r="D4399" s="2" t="s">
        <v>6132</v>
      </c>
    </row>
    <row r="4400" spans="1:4" ht="12.95" customHeight="1" x14ac:dyDescent="0.25">
      <c r="A4400" s="2" t="s">
        <v>594</v>
      </c>
      <c r="B4400" s="2" t="s">
        <v>1083</v>
      </c>
      <c r="C4400" s="5" t="s">
        <v>1098</v>
      </c>
      <c r="D4400" s="2" t="s">
        <v>6133</v>
      </c>
    </row>
    <row r="4401" spans="1:4" ht="12.95" customHeight="1" x14ac:dyDescent="0.25">
      <c r="A4401" s="2" t="s">
        <v>594</v>
      </c>
      <c r="B4401" s="2" t="s">
        <v>1083</v>
      </c>
      <c r="C4401" s="5" t="s">
        <v>1111</v>
      </c>
      <c r="D4401" s="2" t="s">
        <v>3135</v>
      </c>
    </row>
    <row r="4402" spans="1:4" ht="12.95" customHeight="1" x14ac:dyDescent="0.25">
      <c r="A4402" s="2" t="s">
        <v>597</v>
      </c>
      <c r="B4402" s="2" t="s">
        <v>1083</v>
      </c>
      <c r="C4402" s="5" t="s">
        <v>1084</v>
      </c>
      <c r="D4402" s="2" t="s">
        <v>1085</v>
      </c>
    </row>
    <row r="4403" spans="1:4" ht="12.95" customHeight="1" x14ac:dyDescent="0.25">
      <c r="A4403" s="2" t="s">
        <v>597</v>
      </c>
      <c r="B4403" s="2" t="s">
        <v>1083</v>
      </c>
      <c r="C4403" s="5" t="s">
        <v>1086</v>
      </c>
      <c r="D4403" s="2" t="s">
        <v>1087</v>
      </c>
    </row>
    <row r="4404" spans="1:4" ht="12.95" customHeight="1" x14ac:dyDescent="0.25">
      <c r="A4404" s="2" t="s">
        <v>597</v>
      </c>
      <c r="B4404" s="2" t="s">
        <v>1083</v>
      </c>
      <c r="C4404" s="5" t="s">
        <v>1088</v>
      </c>
      <c r="D4404" s="2" t="s">
        <v>1089</v>
      </c>
    </row>
    <row r="4405" spans="1:4" ht="12.95" customHeight="1" x14ac:dyDescent="0.25">
      <c r="A4405" s="2" t="s">
        <v>597</v>
      </c>
      <c r="B4405" s="2" t="s">
        <v>1083</v>
      </c>
      <c r="C4405" s="5" t="s">
        <v>1090</v>
      </c>
      <c r="D4405" s="2" t="s">
        <v>3129</v>
      </c>
    </row>
    <row r="4406" spans="1:4" ht="12.95" customHeight="1" x14ac:dyDescent="0.25">
      <c r="A4406" s="2" t="s">
        <v>597</v>
      </c>
      <c r="B4406" s="2" t="s">
        <v>1083</v>
      </c>
      <c r="C4406" s="5" t="s">
        <v>1092</v>
      </c>
      <c r="D4406" s="2" t="s">
        <v>3130</v>
      </c>
    </row>
    <row r="4407" spans="1:4" ht="12.95" customHeight="1" x14ac:dyDescent="0.25">
      <c r="A4407" s="2" t="s">
        <v>597</v>
      </c>
      <c r="B4407" s="2" t="s">
        <v>1083</v>
      </c>
      <c r="C4407" s="5" t="s">
        <v>1094</v>
      </c>
      <c r="D4407" s="2" t="s">
        <v>3131</v>
      </c>
    </row>
    <row r="4408" spans="1:4" ht="12.95" customHeight="1" x14ac:dyDescent="0.25">
      <c r="A4408" s="2" t="s">
        <v>597</v>
      </c>
      <c r="B4408" s="2" t="s">
        <v>1083</v>
      </c>
      <c r="C4408" s="5" t="s">
        <v>1096</v>
      </c>
      <c r="D4408" s="2" t="s">
        <v>6132</v>
      </c>
    </row>
    <row r="4409" spans="1:4" ht="12.95" customHeight="1" x14ac:dyDescent="0.25">
      <c r="A4409" s="2" t="s">
        <v>597</v>
      </c>
      <c r="B4409" s="2" t="s">
        <v>1083</v>
      </c>
      <c r="C4409" s="5" t="s">
        <v>1098</v>
      </c>
      <c r="D4409" s="2" t="s">
        <v>6133</v>
      </c>
    </row>
    <row r="4410" spans="1:4" ht="12.95" customHeight="1" x14ac:dyDescent="0.25">
      <c r="A4410" s="2" t="s">
        <v>597</v>
      </c>
      <c r="B4410" s="2" t="s">
        <v>1083</v>
      </c>
      <c r="C4410" s="5" t="s">
        <v>1111</v>
      </c>
      <c r="D4410" s="2" t="s">
        <v>3135</v>
      </c>
    </row>
    <row r="4411" spans="1:4" ht="12.95" customHeight="1" x14ac:dyDescent="0.25">
      <c r="A4411" s="2" t="s">
        <v>599</v>
      </c>
      <c r="B4411" s="2" t="s">
        <v>1083</v>
      </c>
      <c r="C4411" s="5" t="s">
        <v>1084</v>
      </c>
      <c r="D4411" s="2" t="s">
        <v>1085</v>
      </c>
    </row>
    <row r="4412" spans="1:4" ht="12.95" customHeight="1" x14ac:dyDescent="0.25">
      <c r="A4412" s="2" t="s">
        <v>599</v>
      </c>
      <c r="B4412" s="2" t="s">
        <v>1083</v>
      </c>
      <c r="C4412" s="5" t="s">
        <v>1086</v>
      </c>
      <c r="D4412" s="2" t="s">
        <v>1087</v>
      </c>
    </row>
    <row r="4413" spans="1:4" ht="12.95" customHeight="1" x14ac:dyDescent="0.25">
      <c r="A4413" s="2" t="s">
        <v>599</v>
      </c>
      <c r="B4413" s="2" t="s">
        <v>1083</v>
      </c>
      <c r="C4413" s="5" t="s">
        <v>1088</v>
      </c>
      <c r="D4413" s="2" t="s">
        <v>1089</v>
      </c>
    </row>
    <row r="4414" spans="1:4" ht="12.95" customHeight="1" x14ac:dyDescent="0.25">
      <c r="A4414" s="2" t="s">
        <v>599</v>
      </c>
      <c r="B4414" s="2" t="s">
        <v>1083</v>
      </c>
      <c r="C4414" s="5" t="s">
        <v>1090</v>
      </c>
      <c r="D4414" s="2" t="s">
        <v>3129</v>
      </c>
    </row>
    <row r="4415" spans="1:4" ht="12.95" customHeight="1" x14ac:dyDescent="0.25">
      <c r="A4415" s="2" t="s">
        <v>599</v>
      </c>
      <c r="B4415" s="2" t="s">
        <v>1083</v>
      </c>
      <c r="C4415" s="5" t="s">
        <v>1092</v>
      </c>
      <c r="D4415" s="2" t="s">
        <v>3130</v>
      </c>
    </row>
    <row r="4416" spans="1:4" ht="12.95" customHeight="1" x14ac:dyDescent="0.25">
      <c r="A4416" s="2" t="s">
        <v>599</v>
      </c>
      <c r="B4416" s="2" t="s">
        <v>1083</v>
      </c>
      <c r="C4416" s="5" t="s">
        <v>1094</v>
      </c>
      <c r="D4416" s="2" t="s">
        <v>3131</v>
      </c>
    </row>
    <row r="4417" spans="1:4" ht="12.95" customHeight="1" x14ac:dyDescent="0.25">
      <c r="A4417" s="2" t="s">
        <v>599</v>
      </c>
      <c r="B4417" s="2" t="s">
        <v>1083</v>
      </c>
      <c r="C4417" s="5" t="s">
        <v>1096</v>
      </c>
      <c r="D4417" s="2" t="s">
        <v>6132</v>
      </c>
    </row>
    <row r="4418" spans="1:4" ht="12.95" customHeight="1" x14ac:dyDescent="0.25">
      <c r="A4418" s="2" t="s">
        <v>599</v>
      </c>
      <c r="B4418" s="2" t="s">
        <v>1083</v>
      </c>
      <c r="C4418" s="5" t="s">
        <v>1098</v>
      </c>
      <c r="D4418" s="2" t="s">
        <v>6133</v>
      </c>
    </row>
    <row r="4419" spans="1:4" ht="12.95" customHeight="1" x14ac:dyDescent="0.25">
      <c r="A4419" s="2" t="s">
        <v>599</v>
      </c>
      <c r="B4419" s="2" t="s">
        <v>1083</v>
      </c>
      <c r="C4419" s="5" t="s">
        <v>1111</v>
      </c>
      <c r="D4419" s="2" t="s">
        <v>3135</v>
      </c>
    </row>
    <row r="4420" spans="1:4" ht="12.95" customHeight="1" x14ac:dyDescent="0.25">
      <c r="A4420" s="2" t="s">
        <v>601</v>
      </c>
      <c r="B4420" s="2" t="s">
        <v>1083</v>
      </c>
      <c r="C4420" s="5" t="s">
        <v>1084</v>
      </c>
      <c r="D4420" s="2" t="s">
        <v>1085</v>
      </c>
    </row>
    <row r="4421" spans="1:4" ht="12.95" customHeight="1" x14ac:dyDescent="0.25">
      <c r="A4421" s="2" t="s">
        <v>601</v>
      </c>
      <c r="B4421" s="2" t="s">
        <v>1083</v>
      </c>
      <c r="C4421" s="5" t="s">
        <v>1086</v>
      </c>
      <c r="D4421" s="2" t="s">
        <v>1087</v>
      </c>
    </row>
    <row r="4422" spans="1:4" ht="12.95" customHeight="1" x14ac:dyDescent="0.25">
      <c r="A4422" s="2" t="s">
        <v>601</v>
      </c>
      <c r="B4422" s="2" t="s">
        <v>1083</v>
      </c>
      <c r="C4422" s="5" t="s">
        <v>1088</v>
      </c>
      <c r="D4422" s="2" t="s">
        <v>1089</v>
      </c>
    </row>
    <row r="4423" spans="1:4" ht="12.95" customHeight="1" x14ac:dyDescent="0.25">
      <c r="A4423" s="2" t="s">
        <v>601</v>
      </c>
      <c r="B4423" s="2" t="s">
        <v>1083</v>
      </c>
      <c r="C4423" s="5" t="s">
        <v>1090</v>
      </c>
      <c r="D4423" s="2" t="s">
        <v>3129</v>
      </c>
    </row>
    <row r="4424" spans="1:4" ht="12.95" customHeight="1" x14ac:dyDescent="0.25">
      <c r="A4424" s="2" t="s">
        <v>601</v>
      </c>
      <c r="B4424" s="2" t="s">
        <v>1083</v>
      </c>
      <c r="C4424" s="5" t="s">
        <v>1092</v>
      </c>
      <c r="D4424" s="2" t="s">
        <v>3130</v>
      </c>
    </row>
    <row r="4425" spans="1:4" ht="12.95" customHeight="1" x14ac:dyDescent="0.25">
      <c r="A4425" s="2" t="s">
        <v>601</v>
      </c>
      <c r="B4425" s="2" t="s">
        <v>1083</v>
      </c>
      <c r="C4425" s="5" t="s">
        <v>1094</v>
      </c>
      <c r="D4425" s="2" t="s">
        <v>3131</v>
      </c>
    </row>
    <row r="4426" spans="1:4" ht="12.95" customHeight="1" x14ac:dyDescent="0.25">
      <c r="A4426" s="2" t="s">
        <v>601</v>
      </c>
      <c r="B4426" s="2" t="s">
        <v>1083</v>
      </c>
      <c r="C4426" s="5" t="s">
        <v>1096</v>
      </c>
      <c r="D4426" s="2" t="s">
        <v>6132</v>
      </c>
    </row>
    <row r="4427" spans="1:4" ht="12.95" customHeight="1" x14ac:dyDescent="0.25">
      <c r="A4427" s="2" t="s">
        <v>601</v>
      </c>
      <c r="B4427" s="2" t="s">
        <v>1083</v>
      </c>
      <c r="C4427" s="5" t="s">
        <v>1098</v>
      </c>
      <c r="D4427" s="2" t="s">
        <v>6133</v>
      </c>
    </row>
    <row r="4428" spans="1:4" ht="12.95" customHeight="1" x14ac:dyDescent="0.25">
      <c r="A4428" s="2" t="s">
        <v>601</v>
      </c>
      <c r="B4428" s="2" t="s">
        <v>1083</v>
      </c>
      <c r="C4428" s="5" t="s">
        <v>1111</v>
      </c>
      <c r="D4428" s="2" t="s">
        <v>3135</v>
      </c>
    </row>
    <row r="4429" spans="1:4" ht="12.95" customHeight="1" x14ac:dyDescent="0.25">
      <c r="A4429" s="2" t="s">
        <v>603</v>
      </c>
      <c r="B4429" s="2" t="s">
        <v>1083</v>
      </c>
      <c r="C4429" s="5" t="s">
        <v>1084</v>
      </c>
      <c r="D4429" s="2" t="s">
        <v>1085</v>
      </c>
    </row>
    <row r="4430" spans="1:4" ht="12.95" customHeight="1" x14ac:dyDescent="0.25">
      <c r="A4430" s="2" t="s">
        <v>603</v>
      </c>
      <c r="B4430" s="2" t="s">
        <v>1083</v>
      </c>
      <c r="C4430" s="5" t="s">
        <v>1086</v>
      </c>
      <c r="D4430" s="2" t="s">
        <v>1087</v>
      </c>
    </row>
    <row r="4431" spans="1:4" ht="12.95" customHeight="1" x14ac:dyDescent="0.25">
      <c r="A4431" s="2" t="s">
        <v>603</v>
      </c>
      <c r="B4431" s="2" t="s">
        <v>1083</v>
      </c>
      <c r="C4431" s="5" t="s">
        <v>1088</v>
      </c>
      <c r="D4431" s="2" t="s">
        <v>1089</v>
      </c>
    </row>
    <row r="4432" spans="1:4" ht="12.95" customHeight="1" x14ac:dyDescent="0.25">
      <c r="A4432" s="2" t="s">
        <v>603</v>
      </c>
      <c r="B4432" s="2" t="s">
        <v>1083</v>
      </c>
      <c r="C4432" s="5" t="s">
        <v>1090</v>
      </c>
      <c r="D4432" s="2" t="s">
        <v>3129</v>
      </c>
    </row>
    <row r="4433" spans="1:4" ht="12.95" customHeight="1" x14ac:dyDescent="0.25">
      <c r="A4433" s="2" t="s">
        <v>603</v>
      </c>
      <c r="B4433" s="2" t="s">
        <v>1083</v>
      </c>
      <c r="C4433" s="5" t="s">
        <v>1092</v>
      </c>
      <c r="D4433" s="2" t="s">
        <v>3130</v>
      </c>
    </row>
    <row r="4434" spans="1:4" ht="12.95" customHeight="1" x14ac:dyDescent="0.25">
      <c r="A4434" s="2" t="s">
        <v>603</v>
      </c>
      <c r="B4434" s="2" t="s">
        <v>1083</v>
      </c>
      <c r="C4434" s="5" t="s">
        <v>1094</v>
      </c>
      <c r="D4434" s="2" t="s">
        <v>3131</v>
      </c>
    </row>
    <row r="4435" spans="1:4" ht="12.95" customHeight="1" x14ac:dyDescent="0.25">
      <c r="A4435" s="2" t="s">
        <v>603</v>
      </c>
      <c r="B4435" s="2" t="s">
        <v>1083</v>
      </c>
      <c r="C4435" s="5" t="s">
        <v>1096</v>
      </c>
      <c r="D4435" s="2" t="s">
        <v>6132</v>
      </c>
    </row>
    <row r="4436" spans="1:4" ht="12.95" customHeight="1" x14ac:dyDescent="0.25">
      <c r="A4436" s="2" t="s">
        <v>603</v>
      </c>
      <c r="B4436" s="2" t="s">
        <v>1083</v>
      </c>
      <c r="C4436" s="5" t="s">
        <v>1098</v>
      </c>
      <c r="D4436" s="2" t="s">
        <v>6133</v>
      </c>
    </row>
    <row r="4437" spans="1:4" ht="12.95" customHeight="1" x14ac:dyDescent="0.25">
      <c r="A4437" s="2" t="s">
        <v>603</v>
      </c>
      <c r="B4437" s="2" t="s">
        <v>1083</v>
      </c>
      <c r="C4437" s="5" t="s">
        <v>1111</v>
      </c>
      <c r="D4437" s="2" t="s">
        <v>3135</v>
      </c>
    </row>
    <row r="4438" spans="1:4" ht="12.95" customHeight="1" x14ac:dyDescent="0.25">
      <c r="A4438" s="2" t="s">
        <v>605</v>
      </c>
      <c r="B4438" s="2" t="s">
        <v>1083</v>
      </c>
      <c r="C4438" s="5" t="s">
        <v>1084</v>
      </c>
      <c r="D4438" s="2" t="s">
        <v>1085</v>
      </c>
    </row>
    <row r="4439" spans="1:4" ht="12.95" customHeight="1" x14ac:dyDescent="0.25">
      <c r="A4439" s="2" t="s">
        <v>605</v>
      </c>
      <c r="B4439" s="2" t="s">
        <v>1083</v>
      </c>
      <c r="C4439" s="5" t="s">
        <v>1086</v>
      </c>
      <c r="D4439" s="2" t="s">
        <v>1087</v>
      </c>
    </row>
    <row r="4440" spans="1:4" ht="12.95" customHeight="1" x14ac:dyDescent="0.25">
      <c r="A4440" s="2" t="s">
        <v>605</v>
      </c>
      <c r="B4440" s="2" t="s">
        <v>1083</v>
      </c>
      <c r="C4440" s="5" t="s">
        <v>1088</v>
      </c>
      <c r="D4440" s="2" t="s">
        <v>1089</v>
      </c>
    </row>
    <row r="4441" spans="1:4" ht="12.95" customHeight="1" x14ac:dyDescent="0.25">
      <c r="A4441" s="2" t="s">
        <v>605</v>
      </c>
      <c r="B4441" s="2" t="s">
        <v>1083</v>
      </c>
      <c r="C4441" s="5" t="s">
        <v>1090</v>
      </c>
      <c r="D4441" s="2" t="s">
        <v>3129</v>
      </c>
    </row>
    <row r="4442" spans="1:4" ht="12.95" customHeight="1" x14ac:dyDescent="0.25">
      <c r="A4442" s="2" t="s">
        <v>605</v>
      </c>
      <c r="B4442" s="2" t="s">
        <v>1083</v>
      </c>
      <c r="C4442" s="5" t="s">
        <v>1092</v>
      </c>
      <c r="D4442" s="2" t="s">
        <v>3130</v>
      </c>
    </row>
    <row r="4443" spans="1:4" ht="12.95" customHeight="1" x14ac:dyDescent="0.25">
      <c r="A4443" s="2" t="s">
        <v>605</v>
      </c>
      <c r="B4443" s="2" t="s">
        <v>1083</v>
      </c>
      <c r="C4443" s="5" t="s">
        <v>1094</v>
      </c>
      <c r="D4443" s="2" t="s">
        <v>3131</v>
      </c>
    </row>
    <row r="4444" spans="1:4" ht="12.95" customHeight="1" x14ac:dyDescent="0.25">
      <c r="A4444" s="2" t="s">
        <v>605</v>
      </c>
      <c r="B4444" s="2" t="s">
        <v>1083</v>
      </c>
      <c r="C4444" s="5" t="s">
        <v>1096</v>
      </c>
      <c r="D4444" s="2" t="s">
        <v>6132</v>
      </c>
    </row>
    <row r="4445" spans="1:4" ht="12.95" customHeight="1" x14ac:dyDescent="0.25">
      <c r="A4445" s="2" t="s">
        <v>605</v>
      </c>
      <c r="B4445" s="2" t="s">
        <v>1083</v>
      </c>
      <c r="C4445" s="5" t="s">
        <v>1098</v>
      </c>
      <c r="D4445" s="2" t="s">
        <v>6133</v>
      </c>
    </row>
    <row r="4446" spans="1:4" ht="12.95" customHeight="1" x14ac:dyDescent="0.25">
      <c r="A4446" s="2" t="s">
        <v>605</v>
      </c>
      <c r="B4446" s="2" t="s">
        <v>1083</v>
      </c>
      <c r="C4446" s="5" t="s">
        <v>1111</v>
      </c>
      <c r="D4446" s="2" t="s">
        <v>3135</v>
      </c>
    </row>
    <row r="4447" spans="1:4" ht="12.95" customHeight="1" x14ac:dyDescent="0.25">
      <c r="A4447" s="2" t="s">
        <v>607</v>
      </c>
      <c r="B4447" s="2" t="s">
        <v>1083</v>
      </c>
      <c r="C4447" s="5" t="s">
        <v>1086</v>
      </c>
      <c r="D4447" s="2" t="s">
        <v>1087</v>
      </c>
    </row>
    <row r="4448" spans="1:4" ht="12.95" customHeight="1" x14ac:dyDescent="0.25">
      <c r="A4448" s="2" t="s">
        <v>607</v>
      </c>
      <c r="B4448" s="2" t="s">
        <v>1083</v>
      </c>
      <c r="C4448" s="5" t="s">
        <v>1088</v>
      </c>
      <c r="D4448" s="2" t="s">
        <v>1089</v>
      </c>
    </row>
    <row r="4449" spans="1:4" ht="12.95" customHeight="1" x14ac:dyDescent="0.25">
      <c r="A4449" s="2" t="s">
        <v>610</v>
      </c>
      <c r="B4449" s="2" t="s">
        <v>1083</v>
      </c>
      <c r="C4449" s="5" t="s">
        <v>1084</v>
      </c>
      <c r="D4449" s="2" t="s">
        <v>1085</v>
      </c>
    </row>
    <row r="4450" spans="1:4" ht="12.95" customHeight="1" x14ac:dyDescent="0.25">
      <c r="A4450" s="2" t="s">
        <v>610</v>
      </c>
      <c r="B4450" s="2" t="s">
        <v>1083</v>
      </c>
      <c r="C4450" s="5" t="s">
        <v>1086</v>
      </c>
      <c r="D4450" s="2" t="s">
        <v>1087</v>
      </c>
    </row>
    <row r="4451" spans="1:4" ht="12.95" customHeight="1" x14ac:dyDescent="0.25">
      <c r="A4451" s="2" t="s">
        <v>610</v>
      </c>
      <c r="B4451" s="2" t="s">
        <v>1083</v>
      </c>
      <c r="C4451" s="5" t="s">
        <v>1088</v>
      </c>
      <c r="D4451" s="2" t="s">
        <v>1089</v>
      </c>
    </row>
    <row r="4452" spans="1:4" ht="12.95" customHeight="1" x14ac:dyDescent="0.25">
      <c r="A4452" s="2" t="s">
        <v>610</v>
      </c>
      <c r="B4452" s="2" t="s">
        <v>1083</v>
      </c>
      <c r="C4452" s="5" t="s">
        <v>1090</v>
      </c>
      <c r="D4452" s="2" t="s">
        <v>3129</v>
      </c>
    </row>
    <row r="4453" spans="1:4" ht="12.95" customHeight="1" x14ac:dyDescent="0.25">
      <c r="A4453" s="2" t="s">
        <v>610</v>
      </c>
      <c r="B4453" s="2" t="s">
        <v>1083</v>
      </c>
      <c r="C4453" s="5" t="s">
        <v>1092</v>
      </c>
      <c r="D4453" s="2" t="s">
        <v>3130</v>
      </c>
    </row>
    <row r="4454" spans="1:4" ht="12.95" customHeight="1" x14ac:dyDescent="0.25">
      <c r="A4454" s="2" t="s">
        <v>610</v>
      </c>
      <c r="B4454" s="2" t="s">
        <v>1083</v>
      </c>
      <c r="C4454" s="5" t="s">
        <v>1094</v>
      </c>
      <c r="D4454" s="2" t="s">
        <v>3131</v>
      </c>
    </row>
    <row r="4455" spans="1:4" ht="12.95" customHeight="1" x14ac:dyDescent="0.25">
      <c r="A4455" s="2" t="s">
        <v>610</v>
      </c>
      <c r="B4455" s="2" t="s">
        <v>1083</v>
      </c>
      <c r="C4455" s="5" t="s">
        <v>1096</v>
      </c>
      <c r="D4455" s="2" t="s">
        <v>6132</v>
      </c>
    </row>
    <row r="4456" spans="1:4" ht="12.95" customHeight="1" x14ac:dyDescent="0.25">
      <c r="A4456" s="2" t="s">
        <v>610</v>
      </c>
      <c r="B4456" s="2" t="s">
        <v>1083</v>
      </c>
      <c r="C4456" s="5" t="s">
        <v>1098</v>
      </c>
      <c r="D4456" s="2" t="s">
        <v>6133</v>
      </c>
    </row>
    <row r="4457" spans="1:4" ht="12.95" customHeight="1" x14ac:dyDescent="0.25">
      <c r="A4457" s="2" t="s">
        <v>610</v>
      </c>
      <c r="B4457" s="2" t="s">
        <v>1083</v>
      </c>
      <c r="C4457" s="5" t="s">
        <v>1111</v>
      </c>
      <c r="D4457" s="2" t="s">
        <v>3135</v>
      </c>
    </row>
    <row r="4458" spans="1:4" ht="12.95" customHeight="1" x14ac:dyDescent="0.25">
      <c r="A4458" s="2" t="s">
        <v>612</v>
      </c>
      <c r="B4458" s="2" t="s">
        <v>1083</v>
      </c>
      <c r="C4458" s="5" t="s">
        <v>1084</v>
      </c>
      <c r="D4458" s="2" t="s">
        <v>1085</v>
      </c>
    </row>
    <row r="4459" spans="1:4" ht="12.95" customHeight="1" x14ac:dyDescent="0.25">
      <c r="A4459" s="2" t="s">
        <v>612</v>
      </c>
      <c r="B4459" s="2" t="s">
        <v>1083</v>
      </c>
      <c r="C4459" s="5" t="s">
        <v>1086</v>
      </c>
      <c r="D4459" s="2" t="s">
        <v>1087</v>
      </c>
    </row>
    <row r="4460" spans="1:4" ht="12.95" customHeight="1" x14ac:dyDescent="0.25">
      <c r="A4460" s="2" t="s">
        <v>612</v>
      </c>
      <c r="B4460" s="2" t="s">
        <v>1083</v>
      </c>
      <c r="C4460" s="5" t="s">
        <v>1088</v>
      </c>
      <c r="D4460" s="2" t="s">
        <v>1089</v>
      </c>
    </row>
    <row r="4461" spans="1:4" ht="12.95" customHeight="1" x14ac:dyDescent="0.25">
      <c r="A4461" s="2" t="s">
        <v>612</v>
      </c>
      <c r="B4461" s="2" t="s">
        <v>1083</v>
      </c>
      <c r="C4461" s="5" t="s">
        <v>1090</v>
      </c>
      <c r="D4461" s="2" t="s">
        <v>3129</v>
      </c>
    </row>
    <row r="4462" spans="1:4" ht="12.95" customHeight="1" x14ac:dyDescent="0.25">
      <c r="A4462" s="2" t="s">
        <v>612</v>
      </c>
      <c r="B4462" s="2" t="s">
        <v>1083</v>
      </c>
      <c r="C4462" s="5" t="s">
        <v>1092</v>
      </c>
      <c r="D4462" s="2" t="s">
        <v>3130</v>
      </c>
    </row>
    <row r="4463" spans="1:4" ht="12.95" customHeight="1" x14ac:dyDescent="0.25">
      <c r="A4463" s="2" t="s">
        <v>612</v>
      </c>
      <c r="B4463" s="2" t="s">
        <v>1083</v>
      </c>
      <c r="C4463" s="5" t="s">
        <v>1094</v>
      </c>
      <c r="D4463" s="2" t="s">
        <v>3131</v>
      </c>
    </row>
    <row r="4464" spans="1:4" ht="12.95" customHeight="1" x14ac:dyDescent="0.25">
      <c r="A4464" s="2" t="s">
        <v>612</v>
      </c>
      <c r="B4464" s="2" t="s">
        <v>1083</v>
      </c>
      <c r="C4464" s="5" t="s">
        <v>1096</v>
      </c>
      <c r="D4464" s="2" t="s">
        <v>6132</v>
      </c>
    </row>
    <row r="4465" spans="1:4" ht="12.95" customHeight="1" x14ac:dyDescent="0.25">
      <c r="A4465" s="2" t="s">
        <v>612</v>
      </c>
      <c r="B4465" s="2" t="s">
        <v>1083</v>
      </c>
      <c r="C4465" s="5" t="s">
        <v>1098</v>
      </c>
      <c r="D4465" s="2" t="s">
        <v>6133</v>
      </c>
    </row>
    <row r="4466" spans="1:4" ht="12.95" customHeight="1" x14ac:dyDescent="0.25">
      <c r="A4466" s="2" t="s">
        <v>612</v>
      </c>
      <c r="B4466" s="2" t="s">
        <v>1083</v>
      </c>
      <c r="C4466" s="5" t="s">
        <v>1111</v>
      </c>
      <c r="D4466" s="2" t="s">
        <v>3135</v>
      </c>
    </row>
    <row r="4467" spans="1:4" ht="12.95" customHeight="1" x14ac:dyDescent="0.25">
      <c r="A4467" s="2" t="s">
        <v>614</v>
      </c>
      <c r="B4467" s="2" t="s">
        <v>1083</v>
      </c>
      <c r="C4467" s="5" t="s">
        <v>1102</v>
      </c>
      <c r="D4467" s="2" t="s">
        <v>1103</v>
      </c>
    </row>
    <row r="4468" spans="1:4" ht="12.95" customHeight="1" x14ac:dyDescent="0.25">
      <c r="A4468" s="2" t="s">
        <v>614</v>
      </c>
      <c r="B4468" s="2" t="s">
        <v>1083</v>
      </c>
      <c r="C4468" s="5" t="s">
        <v>1084</v>
      </c>
      <c r="D4468" s="2" t="s">
        <v>1085</v>
      </c>
    </row>
    <row r="4469" spans="1:4" ht="12.95" customHeight="1" x14ac:dyDescent="0.25">
      <c r="A4469" s="2" t="s">
        <v>614</v>
      </c>
      <c r="B4469" s="2" t="s">
        <v>1083</v>
      </c>
      <c r="C4469" s="5" t="s">
        <v>1086</v>
      </c>
      <c r="D4469" s="2" t="s">
        <v>1087</v>
      </c>
    </row>
    <row r="4470" spans="1:4" ht="12.95" customHeight="1" x14ac:dyDescent="0.25">
      <c r="A4470" s="2" t="s">
        <v>619</v>
      </c>
      <c r="B4470" s="2" t="s">
        <v>1146</v>
      </c>
      <c r="C4470" s="5" t="s">
        <v>1090</v>
      </c>
      <c r="D4470" s="2" t="s">
        <v>6134</v>
      </c>
    </row>
    <row r="4471" spans="1:4" ht="12.95" customHeight="1" x14ac:dyDescent="0.25">
      <c r="A4471" s="2" t="s">
        <v>619</v>
      </c>
      <c r="B4471" s="2" t="s">
        <v>1146</v>
      </c>
      <c r="C4471" s="5" t="s">
        <v>1092</v>
      </c>
      <c r="D4471" s="2" t="s">
        <v>6135</v>
      </c>
    </row>
    <row r="4472" spans="1:4" ht="12.95" customHeight="1" x14ac:dyDescent="0.25">
      <c r="A4472" s="2" t="s">
        <v>621</v>
      </c>
      <c r="B4472" s="2" t="s">
        <v>1083</v>
      </c>
      <c r="C4472" s="5" t="s">
        <v>1102</v>
      </c>
      <c r="D4472" s="2" t="s">
        <v>1103</v>
      </c>
    </row>
    <row r="4473" spans="1:4" ht="12.95" customHeight="1" x14ac:dyDescent="0.25">
      <c r="A4473" s="2" t="s">
        <v>621</v>
      </c>
      <c r="B4473" s="2" t="s">
        <v>1083</v>
      </c>
      <c r="C4473" s="5" t="s">
        <v>1084</v>
      </c>
      <c r="D4473" s="2" t="s">
        <v>1153</v>
      </c>
    </row>
    <row r="4474" spans="1:4" ht="12.95" customHeight="1" x14ac:dyDescent="0.25">
      <c r="A4474" s="2" t="s">
        <v>621</v>
      </c>
      <c r="B4474" s="2" t="s">
        <v>1083</v>
      </c>
      <c r="C4474" s="5" t="s">
        <v>1086</v>
      </c>
      <c r="D4474" s="2" t="s">
        <v>1147</v>
      </c>
    </row>
    <row r="4475" spans="1:4" ht="12.95" customHeight="1" x14ac:dyDescent="0.25">
      <c r="A4475" s="2" t="s">
        <v>621</v>
      </c>
      <c r="B4475" s="2" t="s">
        <v>1083</v>
      </c>
      <c r="C4475" s="5" t="s">
        <v>1088</v>
      </c>
      <c r="D4475" s="2" t="s">
        <v>1089</v>
      </c>
    </row>
    <row r="4476" spans="1:4" ht="12.95" customHeight="1" x14ac:dyDescent="0.25">
      <c r="A4476" s="2" t="s">
        <v>621</v>
      </c>
      <c r="B4476" s="2" t="s">
        <v>1083</v>
      </c>
      <c r="C4476" s="5" t="s">
        <v>1090</v>
      </c>
      <c r="D4476" s="2" t="s">
        <v>1179</v>
      </c>
    </row>
    <row r="4477" spans="1:4" ht="12.95" customHeight="1" x14ac:dyDescent="0.25">
      <c r="A4477" s="2" t="s">
        <v>621</v>
      </c>
      <c r="B4477" s="2" t="s">
        <v>1083</v>
      </c>
      <c r="C4477" s="5" t="s">
        <v>1092</v>
      </c>
      <c r="D4477" s="2" t="s">
        <v>1180</v>
      </c>
    </row>
    <row r="4478" spans="1:4" ht="12.95" customHeight="1" x14ac:dyDescent="0.25">
      <c r="A4478" s="2" t="s">
        <v>624</v>
      </c>
      <c r="B4478" s="2" t="s">
        <v>1083</v>
      </c>
      <c r="C4478" s="5" t="s">
        <v>1102</v>
      </c>
      <c r="D4478" s="2" t="s">
        <v>1103</v>
      </c>
    </row>
    <row r="4479" spans="1:4" ht="12.95" customHeight="1" x14ac:dyDescent="0.25">
      <c r="A4479" s="2" t="s">
        <v>624</v>
      </c>
      <c r="B4479" s="2" t="s">
        <v>1083</v>
      </c>
      <c r="C4479" s="5" t="s">
        <v>1084</v>
      </c>
      <c r="D4479" s="2" t="s">
        <v>1153</v>
      </c>
    </row>
    <row r="4480" spans="1:4" ht="12.95" customHeight="1" x14ac:dyDescent="0.25">
      <c r="A4480" s="2" t="s">
        <v>624</v>
      </c>
      <c r="B4480" s="2" t="s">
        <v>1083</v>
      </c>
      <c r="C4480" s="5" t="s">
        <v>1086</v>
      </c>
      <c r="D4480" s="2" t="s">
        <v>1147</v>
      </c>
    </row>
    <row r="4481" spans="1:4" ht="12.95" customHeight="1" x14ac:dyDescent="0.25">
      <c r="A4481" s="2" t="s">
        <v>624</v>
      </c>
      <c r="B4481" s="2" t="s">
        <v>1083</v>
      </c>
      <c r="C4481" s="5" t="s">
        <v>1088</v>
      </c>
      <c r="D4481" s="2" t="s">
        <v>1089</v>
      </c>
    </row>
    <row r="4482" spans="1:4" ht="12.95" customHeight="1" x14ac:dyDescent="0.25">
      <c r="A4482" s="2" t="s">
        <v>627</v>
      </c>
      <c r="B4482" s="2" t="s">
        <v>1083</v>
      </c>
      <c r="C4482" s="5" t="s">
        <v>1102</v>
      </c>
      <c r="D4482" s="2" t="s">
        <v>1103</v>
      </c>
    </row>
    <row r="4483" spans="1:4" ht="12.95" customHeight="1" x14ac:dyDescent="0.25">
      <c r="A4483" s="2" t="s">
        <v>627</v>
      </c>
      <c r="B4483" s="2" t="s">
        <v>1083</v>
      </c>
      <c r="C4483" s="5" t="s">
        <v>1084</v>
      </c>
      <c r="D4483" s="2" t="s">
        <v>1153</v>
      </c>
    </row>
    <row r="4484" spans="1:4" ht="12.95" customHeight="1" x14ac:dyDescent="0.25">
      <c r="A4484" s="2" t="s">
        <v>627</v>
      </c>
      <c r="B4484" s="2" t="s">
        <v>1083</v>
      </c>
      <c r="C4484" s="5" t="s">
        <v>1086</v>
      </c>
      <c r="D4484" s="2" t="s">
        <v>1147</v>
      </c>
    </row>
    <row r="4485" spans="1:4" ht="12.95" customHeight="1" x14ac:dyDescent="0.25">
      <c r="A4485" s="2" t="s">
        <v>627</v>
      </c>
      <c r="B4485" s="2" t="s">
        <v>1083</v>
      </c>
      <c r="C4485" s="5" t="s">
        <v>1088</v>
      </c>
      <c r="D4485" s="2" t="s">
        <v>1089</v>
      </c>
    </row>
    <row r="4486" spans="1:4" ht="12.95" customHeight="1" x14ac:dyDescent="0.25">
      <c r="A4486" s="2" t="s">
        <v>630</v>
      </c>
      <c r="B4486" s="2" t="s">
        <v>1083</v>
      </c>
      <c r="C4486" s="5" t="s">
        <v>1102</v>
      </c>
      <c r="D4486" s="2" t="s">
        <v>1103</v>
      </c>
    </row>
    <row r="4487" spans="1:4" ht="12.95" customHeight="1" x14ac:dyDescent="0.25">
      <c r="A4487" s="2" t="s">
        <v>630</v>
      </c>
      <c r="B4487" s="2" t="s">
        <v>1083</v>
      </c>
      <c r="C4487" s="5" t="s">
        <v>1084</v>
      </c>
      <c r="D4487" s="2" t="s">
        <v>1153</v>
      </c>
    </row>
    <row r="4488" spans="1:4" ht="12.95" customHeight="1" x14ac:dyDescent="0.25">
      <c r="A4488" s="2" t="s">
        <v>630</v>
      </c>
      <c r="B4488" s="2" t="s">
        <v>1083</v>
      </c>
      <c r="C4488" s="5" t="s">
        <v>1086</v>
      </c>
      <c r="D4488" s="2" t="s">
        <v>1147</v>
      </c>
    </row>
    <row r="4489" spans="1:4" ht="12.95" customHeight="1" x14ac:dyDescent="0.25">
      <c r="A4489" s="2" t="s">
        <v>630</v>
      </c>
      <c r="B4489" s="2" t="s">
        <v>1083</v>
      </c>
      <c r="C4489" s="5" t="s">
        <v>1088</v>
      </c>
      <c r="D4489" s="2" t="s">
        <v>1089</v>
      </c>
    </row>
    <row r="4490" spans="1:4" ht="12.95" customHeight="1" x14ac:dyDescent="0.25">
      <c r="A4490" s="2" t="s">
        <v>633</v>
      </c>
      <c r="B4490" s="2" t="s">
        <v>1083</v>
      </c>
      <c r="C4490" s="5" t="s">
        <v>1102</v>
      </c>
      <c r="D4490" s="2" t="s">
        <v>1103</v>
      </c>
    </row>
    <row r="4491" spans="1:4" ht="12.95" customHeight="1" x14ac:dyDescent="0.25">
      <c r="A4491" s="2" t="s">
        <v>633</v>
      </c>
      <c r="B4491" s="2" t="s">
        <v>1083</v>
      </c>
      <c r="C4491" s="5" t="s">
        <v>1084</v>
      </c>
      <c r="D4491" s="2" t="s">
        <v>1153</v>
      </c>
    </row>
    <row r="4492" spans="1:4" ht="12.95" customHeight="1" x14ac:dyDescent="0.25">
      <c r="A4492" s="2" t="s">
        <v>633</v>
      </c>
      <c r="B4492" s="2" t="s">
        <v>1083</v>
      </c>
      <c r="C4492" s="5" t="s">
        <v>1086</v>
      </c>
      <c r="D4492" s="2" t="s">
        <v>1147</v>
      </c>
    </row>
    <row r="4493" spans="1:4" ht="12.95" customHeight="1" x14ac:dyDescent="0.25">
      <c r="A4493" s="2" t="s">
        <v>633</v>
      </c>
      <c r="B4493" s="2" t="s">
        <v>1083</v>
      </c>
      <c r="C4493" s="5" t="s">
        <v>1088</v>
      </c>
      <c r="D4493" s="2" t="s">
        <v>1089</v>
      </c>
    </row>
    <row r="4494" spans="1:4" ht="12.95" customHeight="1" x14ac:dyDescent="0.25">
      <c r="A4494" s="2" t="s">
        <v>636</v>
      </c>
      <c r="B4494" s="2" t="s">
        <v>1146</v>
      </c>
      <c r="C4494" s="5" t="s">
        <v>1090</v>
      </c>
      <c r="D4494" s="2" t="s">
        <v>6136</v>
      </c>
    </row>
    <row r="4495" spans="1:4" ht="12.95" customHeight="1" x14ac:dyDescent="0.25">
      <c r="A4495" s="2" t="s">
        <v>636</v>
      </c>
      <c r="B4495" s="2" t="s">
        <v>1146</v>
      </c>
      <c r="C4495" s="5" t="s">
        <v>1092</v>
      </c>
      <c r="D4495" s="2" t="s">
        <v>6137</v>
      </c>
    </row>
    <row r="4496" spans="1:4" ht="12.95" customHeight="1" x14ac:dyDescent="0.25">
      <c r="A4496" s="2" t="s">
        <v>636</v>
      </c>
      <c r="B4496" s="2" t="s">
        <v>1146</v>
      </c>
      <c r="C4496" s="5" t="s">
        <v>1094</v>
      </c>
      <c r="D4496" s="2" t="s">
        <v>6138</v>
      </c>
    </row>
    <row r="4497" spans="1:4" ht="12.95" customHeight="1" x14ac:dyDescent="0.25">
      <c r="A4497" s="2" t="s">
        <v>640</v>
      </c>
      <c r="B4497" s="2" t="s">
        <v>1146</v>
      </c>
      <c r="C4497" s="5" t="s">
        <v>1092</v>
      </c>
      <c r="D4497" s="2" t="s">
        <v>6137</v>
      </c>
    </row>
    <row r="4498" spans="1:4" ht="12.95" customHeight="1" x14ac:dyDescent="0.25">
      <c r="A4498" s="2" t="s">
        <v>640</v>
      </c>
      <c r="B4498" s="2" t="s">
        <v>1146</v>
      </c>
      <c r="C4498" s="5" t="s">
        <v>1094</v>
      </c>
      <c r="D4498" s="2" t="s">
        <v>6138</v>
      </c>
    </row>
    <row r="4499" spans="1:4" ht="12.95" customHeight="1" x14ac:dyDescent="0.25">
      <c r="A4499" s="2" t="s">
        <v>642</v>
      </c>
      <c r="B4499" s="2" t="s">
        <v>1083</v>
      </c>
      <c r="C4499" s="5" t="s">
        <v>1084</v>
      </c>
      <c r="D4499" s="2" t="s">
        <v>1085</v>
      </c>
    </row>
    <row r="4500" spans="1:4" ht="12.95" customHeight="1" x14ac:dyDescent="0.25">
      <c r="A4500" s="2" t="s">
        <v>642</v>
      </c>
      <c r="B4500" s="2" t="s">
        <v>1083</v>
      </c>
      <c r="C4500" s="5" t="s">
        <v>1086</v>
      </c>
      <c r="D4500" s="2" t="s">
        <v>1087</v>
      </c>
    </row>
    <row r="4501" spans="1:4" ht="12.95" customHeight="1" x14ac:dyDescent="0.25">
      <c r="A4501" s="2" t="s">
        <v>642</v>
      </c>
      <c r="B4501" s="2" t="s">
        <v>1083</v>
      </c>
      <c r="C4501" s="5" t="s">
        <v>1090</v>
      </c>
      <c r="D4501" s="2" t="s">
        <v>6139</v>
      </c>
    </row>
    <row r="4502" spans="1:4" ht="12.95" customHeight="1" x14ac:dyDescent="0.25">
      <c r="A4502" s="2" t="s">
        <v>642</v>
      </c>
      <c r="B4502" s="2" t="s">
        <v>1083</v>
      </c>
      <c r="C4502" s="5" t="s">
        <v>1092</v>
      </c>
      <c r="D4502" s="2" t="s">
        <v>6140</v>
      </c>
    </row>
    <row r="4503" spans="1:4" ht="12.95" customHeight="1" x14ac:dyDescent="0.25">
      <c r="A4503" s="2" t="s">
        <v>647</v>
      </c>
      <c r="B4503" s="2" t="s">
        <v>1083</v>
      </c>
      <c r="C4503" s="5" t="s">
        <v>1102</v>
      </c>
      <c r="D4503" s="2" t="s">
        <v>1103</v>
      </c>
    </row>
    <row r="4504" spans="1:4" ht="12.95" customHeight="1" x14ac:dyDescent="0.25">
      <c r="A4504" s="2" t="s">
        <v>647</v>
      </c>
      <c r="B4504" s="2" t="s">
        <v>1083</v>
      </c>
      <c r="C4504" s="5" t="s">
        <v>1084</v>
      </c>
      <c r="D4504" s="2" t="s">
        <v>1153</v>
      </c>
    </row>
    <row r="4505" spans="1:4" ht="12.95" customHeight="1" x14ac:dyDescent="0.25">
      <c r="A4505" s="2" t="s">
        <v>647</v>
      </c>
      <c r="B4505" s="2" t="s">
        <v>1083</v>
      </c>
      <c r="C4505" s="5" t="s">
        <v>1086</v>
      </c>
      <c r="D4505" s="2" t="s">
        <v>1147</v>
      </c>
    </row>
    <row r="4506" spans="1:4" ht="12.95" customHeight="1" x14ac:dyDescent="0.25">
      <c r="A4506" s="2" t="s">
        <v>647</v>
      </c>
      <c r="B4506" s="2" t="s">
        <v>1083</v>
      </c>
      <c r="C4506" s="5" t="s">
        <v>1088</v>
      </c>
      <c r="D4506" s="2" t="s">
        <v>1089</v>
      </c>
    </row>
    <row r="4507" spans="1:4" ht="12.95" customHeight="1" x14ac:dyDescent="0.25">
      <c r="A4507" s="2" t="s">
        <v>650</v>
      </c>
      <c r="B4507" s="2" t="s">
        <v>1083</v>
      </c>
      <c r="C4507" s="5" t="s">
        <v>1102</v>
      </c>
      <c r="D4507" s="2" t="s">
        <v>1103</v>
      </c>
    </row>
    <row r="4508" spans="1:4" ht="12.95" customHeight="1" x14ac:dyDescent="0.25">
      <c r="A4508" s="2" t="s">
        <v>650</v>
      </c>
      <c r="B4508" s="2" t="s">
        <v>1083</v>
      </c>
      <c r="C4508" s="5" t="s">
        <v>1084</v>
      </c>
      <c r="D4508" s="2" t="s">
        <v>3128</v>
      </c>
    </row>
    <row r="4509" spans="1:4" ht="12.95" customHeight="1" x14ac:dyDescent="0.25">
      <c r="A4509" s="2" t="s">
        <v>650</v>
      </c>
      <c r="B4509" s="2" t="s">
        <v>1083</v>
      </c>
      <c r="C4509" s="5" t="s">
        <v>1086</v>
      </c>
      <c r="D4509" s="2" t="s">
        <v>3127</v>
      </c>
    </row>
    <row r="4510" spans="1:4" ht="12.95" customHeight="1" x14ac:dyDescent="0.25">
      <c r="A4510" s="2" t="s">
        <v>650</v>
      </c>
      <c r="B4510" s="2" t="s">
        <v>1083</v>
      </c>
      <c r="C4510" s="5" t="s">
        <v>1090</v>
      </c>
      <c r="D4510" s="2" t="s">
        <v>3129</v>
      </c>
    </row>
    <row r="4511" spans="1:4" ht="12.95" customHeight="1" x14ac:dyDescent="0.25">
      <c r="A4511" s="2" t="s">
        <v>650</v>
      </c>
      <c r="B4511" s="2" t="s">
        <v>1083</v>
      </c>
      <c r="C4511" s="5" t="s">
        <v>1092</v>
      </c>
      <c r="D4511" s="2" t="s">
        <v>3130</v>
      </c>
    </row>
    <row r="4512" spans="1:4" ht="12.95" customHeight="1" x14ac:dyDescent="0.25">
      <c r="A4512" s="2" t="s">
        <v>650</v>
      </c>
      <c r="B4512" s="2" t="s">
        <v>1083</v>
      </c>
      <c r="C4512" s="5" t="s">
        <v>1094</v>
      </c>
      <c r="D4512" s="2" t="s">
        <v>3131</v>
      </c>
    </row>
    <row r="4513" spans="1:4" ht="12.95" customHeight="1" x14ac:dyDescent="0.25">
      <c r="A4513" s="2" t="s">
        <v>650</v>
      </c>
      <c r="B4513" s="2" t="s">
        <v>1083</v>
      </c>
      <c r="C4513" s="5" t="s">
        <v>1096</v>
      </c>
      <c r="D4513" s="2" t="s">
        <v>3132</v>
      </c>
    </row>
    <row r="4514" spans="1:4" ht="12.95" customHeight="1" x14ac:dyDescent="0.25">
      <c r="A4514" s="2" t="s">
        <v>650</v>
      </c>
      <c r="B4514" s="2" t="s">
        <v>1083</v>
      </c>
      <c r="C4514" s="5" t="s">
        <v>1098</v>
      </c>
      <c r="D4514" s="2" t="s">
        <v>3133</v>
      </c>
    </row>
    <row r="4515" spans="1:4" ht="12.95" customHeight="1" x14ac:dyDescent="0.25">
      <c r="A4515" s="2" t="s">
        <v>650</v>
      </c>
      <c r="B4515" s="2" t="s">
        <v>1083</v>
      </c>
      <c r="C4515" s="5" t="s">
        <v>1100</v>
      </c>
      <c r="D4515" s="2" t="s">
        <v>3134</v>
      </c>
    </row>
    <row r="4516" spans="1:4" ht="12.95" customHeight="1" x14ac:dyDescent="0.25">
      <c r="A4516" s="2" t="s">
        <v>650</v>
      </c>
      <c r="B4516" s="2" t="s">
        <v>1083</v>
      </c>
      <c r="C4516" s="5" t="s">
        <v>1111</v>
      </c>
      <c r="D4516" s="2" t="s">
        <v>3135</v>
      </c>
    </row>
    <row r="4517" spans="1:4" ht="12.95" customHeight="1" x14ac:dyDescent="0.25">
      <c r="A4517" s="2" t="s">
        <v>654</v>
      </c>
      <c r="B4517" s="2" t="s">
        <v>1083</v>
      </c>
      <c r="C4517" s="5" t="s">
        <v>1084</v>
      </c>
      <c r="D4517" s="2" t="s">
        <v>1085</v>
      </c>
    </row>
    <row r="4518" spans="1:4" ht="12.95" customHeight="1" x14ac:dyDescent="0.25">
      <c r="A4518" s="2" t="s">
        <v>654</v>
      </c>
      <c r="B4518" s="2" t="s">
        <v>1083</v>
      </c>
      <c r="C4518" s="5" t="s">
        <v>1086</v>
      </c>
      <c r="D4518" s="2" t="s">
        <v>1087</v>
      </c>
    </row>
    <row r="4519" spans="1:4" ht="12.95" customHeight="1" x14ac:dyDescent="0.25">
      <c r="A4519" s="2" t="s">
        <v>654</v>
      </c>
      <c r="B4519" s="2" t="s">
        <v>1083</v>
      </c>
      <c r="C4519" s="5" t="s">
        <v>1090</v>
      </c>
      <c r="D4519" s="2" t="s">
        <v>6141</v>
      </c>
    </row>
    <row r="4520" spans="1:4" ht="12.95" customHeight="1" x14ac:dyDescent="0.25">
      <c r="A4520" s="2" t="s">
        <v>654</v>
      </c>
      <c r="B4520" s="2" t="s">
        <v>1083</v>
      </c>
      <c r="C4520" s="5" t="s">
        <v>1092</v>
      </c>
      <c r="D4520" s="2" t="s">
        <v>6142</v>
      </c>
    </row>
    <row r="4521" spans="1:4" ht="12.95" customHeight="1" x14ac:dyDescent="0.25">
      <c r="A4521" s="2" t="s">
        <v>654</v>
      </c>
      <c r="B4521" s="2" t="s">
        <v>1083</v>
      </c>
      <c r="C4521" s="5" t="s">
        <v>1094</v>
      </c>
      <c r="D4521" s="2" t="s">
        <v>6143</v>
      </c>
    </row>
    <row r="4522" spans="1:4" ht="12.95" customHeight="1" x14ac:dyDescent="0.25">
      <c r="A4522" s="2" t="s">
        <v>654</v>
      </c>
      <c r="B4522" s="2" t="s">
        <v>1083</v>
      </c>
      <c r="C4522" s="5" t="s">
        <v>1096</v>
      </c>
      <c r="D4522" s="2" t="s">
        <v>6144</v>
      </c>
    </row>
    <row r="4523" spans="1:4" ht="12.95" customHeight="1" x14ac:dyDescent="0.25">
      <c r="A4523" s="2" t="s">
        <v>654</v>
      </c>
      <c r="B4523" s="2" t="s">
        <v>1083</v>
      </c>
      <c r="C4523" s="5" t="s">
        <v>1098</v>
      </c>
      <c r="D4523" s="2" t="s">
        <v>6145</v>
      </c>
    </row>
    <row r="4524" spans="1:4" ht="12.95" customHeight="1" x14ac:dyDescent="0.25">
      <c r="A4524" s="2" t="s">
        <v>654</v>
      </c>
      <c r="B4524" s="2" t="s">
        <v>1083</v>
      </c>
      <c r="C4524" s="5" t="s">
        <v>1100</v>
      </c>
      <c r="D4524" s="2" t="s">
        <v>6146</v>
      </c>
    </row>
    <row r="4525" spans="1:4" ht="12.95" customHeight="1" x14ac:dyDescent="0.25">
      <c r="A4525" s="2" t="s">
        <v>654</v>
      </c>
      <c r="B4525" s="2" t="s">
        <v>1083</v>
      </c>
      <c r="C4525" s="5" t="s">
        <v>1109</v>
      </c>
      <c r="D4525" s="2" t="s">
        <v>6147</v>
      </c>
    </row>
    <row r="4526" spans="1:4" ht="12.95" customHeight="1" x14ac:dyDescent="0.25">
      <c r="A4526" s="2" t="s">
        <v>657</v>
      </c>
      <c r="B4526" s="2" t="s">
        <v>1083</v>
      </c>
      <c r="C4526" s="5" t="s">
        <v>1092</v>
      </c>
      <c r="D4526" s="2" t="s">
        <v>6137</v>
      </c>
    </row>
    <row r="4527" spans="1:4" ht="12.95" customHeight="1" x14ac:dyDescent="0.25">
      <c r="A4527" s="2" t="s">
        <v>657</v>
      </c>
      <c r="B4527" s="2" t="s">
        <v>1083</v>
      </c>
      <c r="C4527" s="5" t="s">
        <v>1094</v>
      </c>
      <c r="D4527" s="2" t="s">
        <v>6138</v>
      </c>
    </row>
    <row r="4528" spans="1:4" ht="12.95" customHeight="1" x14ac:dyDescent="0.25">
      <c r="A4528" s="2" t="s">
        <v>658</v>
      </c>
      <c r="B4528" s="2" t="s">
        <v>1083</v>
      </c>
      <c r="C4528" s="5" t="s">
        <v>1102</v>
      </c>
      <c r="D4528" s="2" t="s">
        <v>1103</v>
      </c>
    </row>
    <row r="4529" spans="1:4" ht="12.95" customHeight="1" x14ac:dyDescent="0.25">
      <c r="A4529" s="2" t="s">
        <v>658</v>
      </c>
      <c r="B4529" s="2" t="s">
        <v>1083</v>
      </c>
      <c r="C4529" s="5" t="s">
        <v>1084</v>
      </c>
      <c r="D4529" s="2" t="s">
        <v>1153</v>
      </c>
    </row>
    <row r="4530" spans="1:4" ht="12.95" customHeight="1" x14ac:dyDescent="0.25">
      <c r="A4530" s="2" t="s">
        <v>658</v>
      </c>
      <c r="B4530" s="2" t="s">
        <v>1083</v>
      </c>
      <c r="C4530" s="5" t="s">
        <v>1086</v>
      </c>
      <c r="D4530" s="2" t="s">
        <v>1147</v>
      </c>
    </row>
    <row r="4531" spans="1:4" ht="12.95" customHeight="1" x14ac:dyDescent="0.25">
      <c r="A4531" s="2" t="s">
        <v>658</v>
      </c>
      <c r="B4531" s="2" t="s">
        <v>1083</v>
      </c>
      <c r="C4531" s="5" t="s">
        <v>1090</v>
      </c>
      <c r="D4531" s="2" t="s">
        <v>6148</v>
      </c>
    </row>
    <row r="4532" spans="1:4" ht="12.95" customHeight="1" x14ac:dyDescent="0.25">
      <c r="A4532" s="2" t="s">
        <v>658</v>
      </c>
      <c r="B4532" s="2" t="s">
        <v>1083</v>
      </c>
      <c r="C4532" s="5" t="s">
        <v>1092</v>
      </c>
      <c r="D4532" s="2" t="s">
        <v>6149</v>
      </c>
    </row>
    <row r="4533" spans="1:4" ht="12.95" customHeight="1" x14ac:dyDescent="0.25">
      <c r="A4533" s="2" t="s">
        <v>663</v>
      </c>
      <c r="B4533" s="2" t="s">
        <v>1083</v>
      </c>
      <c r="C4533" s="5" t="s">
        <v>1102</v>
      </c>
      <c r="D4533" s="2" t="s">
        <v>1103</v>
      </c>
    </row>
    <row r="4534" spans="1:4" ht="12.95" customHeight="1" x14ac:dyDescent="0.25">
      <c r="A4534" s="2" t="s">
        <v>663</v>
      </c>
      <c r="B4534" s="2" t="s">
        <v>1083</v>
      </c>
      <c r="C4534" s="5" t="s">
        <v>1084</v>
      </c>
      <c r="D4534" s="2" t="s">
        <v>1085</v>
      </c>
    </row>
    <row r="4535" spans="1:4" ht="12.95" customHeight="1" x14ac:dyDescent="0.25">
      <c r="A4535" s="2" t="s">
        <v>663</v>
      </c>
      <c r="B4535" s="2" t="s">
        <v>1083</v>
      </c>
      <c r="C4535" s="5" t="s">
        <v>1086</v>
      </c>
      <c r="D4535" s="2" t="s">
        <v>1087</v>
      </c>
    </row>
    <row r="4536" spans="1:4" ht="12.95" customHeight="1" x14ac:dyDescent="0.25">
      <c r="A4536" s="2" t="s">
        <v>663</v>
      </c>
      <c r="B4536" s="2" t="s">
        <v>1083</v>
      </c>
      <c r="C4536" s="5" t="s">
        <v>1088</v>
      </c>
      <c r="D4536" s="2" t="s">
        <v>1089</v>
      </c>
    </row>
    <row r="4537" spans="1:4" ht="12.95" customHeight="1" x14ac:dyDescent="0.25">
      <c r="A4537" s="2" t="s">
        <v>663</v>
      </c>
      <c r="B4537" s="2" t="s">
        <v>1083</v>
      </c>
      <c r="C4537" s="5" t="s">
        <v>1090</v>
      </c>
      <c r="D4537" s="2" t="s">
        <v>6150</v>
      </c>
    </row>
    <row r="4538" spans="1:4" ht="12.95" customHeight="1" x14ac:dyDescent="0.25">
      <c r="A4538" s="2" t="s">
        <v>663</v>
      </c>
      <c r="B4538" s="2" t="s">
        <v>1083</v>
      </c>
      <c r="C4538" s="5" t="s">
        <v>1092</v>
      </c>
      <c r="D4538" s="2" t="s">
        <v>6151</v>
      </c>
    </row>
    <row r="4539" spans="1:4" ht="12.95" customHeight="1" x14ac:dyDescent="0.25">
      <c r="A4539" s="2" t="s">
        <v>663</v>
      </c>
      <c r="B4539" s="2" t="s">
        <v>1083</v>
      </c>
      <c r="C4539" s="5" t="s">
        <v>1094</v>
      </c>
      <c r="D4539" s="2" t="s">
        <v>6152</v>
      </c>
    </row>
    <row r="4540" spans="1:4" ht="12.95" customHeight="1" x14ac:dyDescent="0.25">
      <c r="A4540" s="2" t="s">
        <v>663</v>
      </c>
      <c r="B4540" s="2" t="s">
        <v>1083</v>
      </c>
      <c r="C4540" s="5" t="s">
        <v>1096</v>
      </c>
      <c r="D4540" s="2" t="s">
        <v>6153</v>
      </c>
    </row>
    <row r="4541" spans="1:4" ht="12.95" customHeight="1" x14ac:dyDescent="0.25">
      <c r="A4541" s="2" t="s">
        <v>663</v>
      </c>
      <c r="B4541" s="2" t="s">
        <v>1083</v>
      </c>
      <c r="C4541" s="5" t="s">
        <v>1098</v>
      </c>
      <c r="D4541" s="2" t="s">
        <v>6154</v>
      </c>
    </row>
    <row r="4542" spans="1:4" ht="12.95" customHeight="1" x14ac:dyDescent="0.25">
      <c r="A4542" s="2" t="s">
        <v>663</v>
      </c>
      <c r="B4542" s="2" t="s">
        <v>1083</v>
      </c>
      <c r="C4542" s="5" t="s">
        <v>1100</v>
      </c>
      <c r="D4542" s="2" t="s">
        <v>6155</v>
      </c>
    </row>
    <row r="4543" spans="1:4" ht="12.95" customHeight="1" x14ac:dyDescent="0.25">
      <c r="A4543" s="2" t="s">
        <v>663</v>
      </c>
      <c r="B4543" s="2" t="s">
        <v>1083</v>
      </c>
      <c r="C4543" s="5" t="s">
        <v>1109</v>
      </c>
      <c r="D4543" s="2" t="s">
        <v>6156</v>
      </c>
    </row>
    <row r="4544" spans="1:4" ht="12.95" customHeight="1" x14ac:dyDescent="0.25">
      <c r="A4544" s="2" t="s">
        <v>663</v>
      </c>
      <c r="B4544" s="2" t="s">
        <v>1083</v>
      </c>
      <c r="C4544" s="5" t="s">
        <v>1119</v>
      </c>
      <c r="D4544" s="2" t="s">
        <v>6157</v>
      </c>
    </row>
    <row r="4545" spans="1:4" ht="12.95" customHeight="1" x14ac:dyDescent="0.25">
      <c r="A4545" s="2" t="s">
        <v>663</v>
      </c>
      <c r="B4545" s="2" t="s">
        <v>1083</v>
      </c>
      <c r="C4545" s="5" t="s">
        <v>1121</v>
      </c>
      <c r="D4545" s="2" t="s">
        <v>6158</v>
      </c>
    </row>
    <row r="4546" spans="1:4" ht="12.95" customHeight="1" x14ac:dyDescent="0.25">
      <c r="A4546" s="2" t="s">
        <v>663</v>
      </c>
      <c r="B4546" s="2" t="s">
        <v>1083</v>
      </c>
      <c r="C4546" s="5" t="s">
        <v>1123</v>
      </c>
      <c r="D4546" s="2" t="s">
        <v>6159</v>
      </c>
    </row>
    <row r="4547" spans="1:4" ht="12.95" customHeight="1" x14ac:dyDescent="0.25">
      <c r="A4547" s="2" t="s">
        <v>663</v>
      </c>
      <c r="B4547" s="2" t="s">
        <v>1083</v>
      </c>
      <c r="C4547" s="5" t="s">
        <v>1125</v>
      </c>
      <c r="D4547" s="2" t="s">
        <v>6160</v>
      </c>
    </row>
    <row r="4548" spans="1:4" ht="12.95" customHeight="1" x14ac:dyDescent="0.25">
      <c r="A4548" s="2" t="s">
        <v>663</v>
      </c>
      <c r="B4548" s="2" t="s">
        <v>1083</v>
      </c>
      <c r="C4548" s="5" t="s">
        <v>1111</v>
      </c>
      <c r="D4548" s="2" t="s">
        <v>1143</v>
      </c>
    </row>
    <row r="4549" spans="1:4" ht="12.95" customHeight="1" x14ac:dyDescent="0.25">
      <c r="A4549" s="2" t="s">
        <v>666</v>
      </c>
      <c r="B4549" s="2" t="s">
        <v>1083</v>
      </c>
      <c r="C4549" s="5" t="s">
        <v>1088</v>
      </c>
      <c r="D4549" s="2" t="s">
        <v>1089</v>
      </c>
    </row>
    <row r="4550" spans="1:4" ht="12.95" customHeight="1" x14ac:dyDescent="0.25">
      <c r="A4550" s="2" t="s">
        <v>668</v>
      </c>
      <c r="B4550" s="2" t="s">
        <v>1146</v>
      </c>
      <c r="C4550" s="5" t="s">
        <v>1292</v>
      </c>
      <c r="D4550" s="2" t="s">
        <v>6161</v>
      </c>
    </row>
    <row r="4551" spans="1:4" ht="12.95" customHeight="1" x14ac:dyDescent="0.25">
      <c r="A4551" s="2" t="s">
        <v>668</v>
      </c>
      <c r="B4551" s="2" t="s">
        <v>1146</v>
      </c>
      <c r="C4551" s="5" t="s">
        <v>1090</v>
      </c>
      <c r="D4551" s="2" t="s">
        <v>6162</v>
      </c>
    </row>
    <row r="4552" spans="1:4" ht="12.95" customHeight="1" x14ac:dyDescent="0.25">
      <c r="A4552" s="2" t="s">
        <v>668</v>
      </c>
      <c r="B4552" s="2" t="s">
        <v>1146</v>
      </c>
      <c r="C4552" s="5" t="s">
        <v>1092</v>
      </c>
      <c r="D4552" s="2" t="s">
        <v>80</v>
      </c>
    </row>
    <row r="4553" spans="1:4" ht="12.95" customHeight="1" x14ac:dyDescent="0.25">
      <c r="A4553" s="2" t="s">
        <v>668</v>
      </c>
      <c r="B4553" s="2" t="s">
        <v>1146</v>
      </c>
      <c r="C4553" s="5" t="s">
        <v>1094</v>
      </c>
      <c r="D4553" s="2" t="s">
        <v>6163</v>
      </c>
    </row>
    <row r="4554" spans="1:4" ht="12.95" customHeight="1" x14ac:dyDescent="0.25">
      <c r="A4554" s="2" t="s">
        <v>668</v>
      </c>
      <c r="B4554" s="2" t="s">
        <v>1146</v>
      </c>
      <c r="C4554" s="5" t="s">
        <v>1096</v>
      </c>
      <c r="D4554" s="2" t="s">
        <v>6164</v>
      </c>
    </row>
    <row r="4555" spans="1:4" ht="12.95" customHeight="1" x14ac:dyDescent="0.25">
      <c r="A4555" s="2" t="s">
        <v>668</v>
      </c>
      <c r="B4555" s="2" t="s">
        <v>1146</v>
      </c>
      <c r="C4555" s="5" t="s">
        <v>1098</v>
      </c>
      <c r="D4555" s="2" t="s">
        <v>6165</v>
      </c>
    </row>
    <row r="4556" spans="1:4" ht="12.95" customHeight="1" x14ac:dyDescent="0.25">
      <c r="A4556" s="2" t="s">
        <v>668</v>
      </c>
      <c r="B4556" s="2" t="s">
        <v>1146</v>
      </c>
      <c r="C4556" s="5" t="s">
        <v>1100</v>
      </c>
      <c r="D4556" s="2" t="s">
        <v>6166</v>
      </c>
    </row>
    <row r="4557" spans="1:4" ht="12.95" customHeight="1" x14ac:dyDescent="0.25">
      <c r="A4557" s="2" t="s">
        <v>668</v>
      </c>
      <c r="B4557" s="2" t="s">
        <v>1146</v>
      </c>
      <c r="C4557" s="5" t="s">
        <v>1109</v>
      </c>
      <c r="D4557" s="2" t="s">
        <v>6167</v>
      </c>
    </row>
    <row r="4558" spans="1:4" ht="12.95" customHeight="1" x14ac:dyDescent="0.25">
      <c r="A4558" s="2" t="s">
        <v>668</v>
      </c>
      <c r="B4558" s="2" t="s">
        <v>1146</v>
      </c>
      <c r="C4558" s="5" t="s">
        <v>1119</v>
      </c>
      <c r="D4558" s="2" t="s">
        <v>6168</v>
      </c>
    </row>
    <row r="4559" spans="1:4" ht="12.95" customHeight="1" x14ac:dyDescent="0.25">
      <c r="A4559" s="2" t="s">
        <v>668</v>
      </c>
      <c r="B4559" s="2" t="s">
        <v>1146</v>
      </c>
      <c r="C4559" s="5" t="s">
        <v>1121</v>
      </c>
      <c r="D4559" s="2" t="s">
        <v>6169</v>
      </c>
    </row>
    <row r="4560" spans="1:4" ht="12.95" customHeight="1" x14ac:dyDescent="0.25">
      <c r="A4560" s="2" t="s">
        <v>668</v>
      </c>
      <c r="B4560" s="2" t="s">
        <v>1146</v>
      </c>
      <c r="C4560" s="5" t="s">
        <v>1123</v>
      </c>
      <c r="D4560" s="2" t="s">
        <v>6170</v>
      </c>
    </row>
    <row r="4561" spans="1:4" ht="12.95" customHeight="1" x14ac:dyDescent="0.25">
      <c r="A4561" s="2" t="s">
        <v>668</v>
      </c>
      <c r="B4561" s="2" t="s">
        <v>1146</v>
      </c>
      <c r="C4561" s="5" t="s">
        <v>1125</v>
      </c>
      <c r="D4561" s="2" t="s">
        <v>6171</v>
      </c>
    </row>
    <row r="4562" spans="1:4" ht="12.95" customHeight="1" x14ac:dyDescent="0.25">
      <c r="A4562" s="2" t="s">
        <v>668</v>
      </c>
      <c r="B4562" s="2" t="s">
        <v>1146</v>
      </c>
      <c r="C4562" s="5" t="s">
        <v>1127</v>
      </c>
      <c r="D4562" s="2" t="s">
        <v>6172</v>
      </c>
    </row>
    <row r="4563" spans="1:4" ht="12.95" customHeight="1" x14ac:dyDescent="0.25">
      <c r="A4563" s="2" t="s">
        <v>668</v>
      </c>
      <c r="B4563" s="2" t="s">
        <v>1146</v>
      </c>
      <c r="C4563" s="5" t="s">
        <v>1129</v>
      </c>
      <c r="D4563" s="2" t="s">
        <v>6173</v>
      </c>
    </row>
    <row r="4564" spans="1:4" ht="12.95" customHeight="1" x14ac:dyDescent="0.25">
      <c r="A4564" s="2" t="s">
        <v>670</v>
      </c>
      <c r="B4564" s="2" t="s">
        <v>1146</v>
      </c>
      <c r="C4564" s="5" t="s">
        <v>1090</v>
      </c>
      <c r="D4564" s="2" t="s">
        <v>6174</v>
      </c>
    </row>
    <row r="4565" spans="1:4" ht="12.95" customHeight="1" x14ac:dyDescent="0.25">
      <c r="A4565" s="2" t="s">
        <v>670</v>
      </c>
      <c r="B4565" s="2" t="s">
        <v>1146</v>
      </c>
      <c r="C4565" s="5" t="s">
        <v>1092</v>
      </c>
      <c r="D4565" s="2" t="s">
        <v>6175</v>
      </c>
    </row>
    <row r="4566" spans="1:4" ht="12.95" customHeight="1" x14ac:dyDescent="0.25">
      <c r="A4566" s="2" t="s">
        <v>670</v>
      </c>
      <c r="B4566" s="2" t="s">
        <v>1146</v>
      </c>
      <c r="C4566" s="5" t="s">
        <v>1094</v>
      </c>
      <c r="D4566" s="2" t="s">
        <v>6176</v>
      </c>
    </row>
    <row r="4567" spans="1:4" ht="12.95" customHeight="1" x14ac:dyDescent="0.25">
      <c r="A4567" s="2" t="s">
        <v>670</v>
      </c>
      <c r="B4567" s="2" t="s">
        <v>1146</v>
      </c>
      <c r="C4567" s="5" t="s">
        <v>1096</v>
      </c>
      <c r="D4567" s="2" t="s">
        <v>6177</v>
      </c>
    </row>
    <row r="4568" spans="1:4" ht="12.95" customHeight="1" x14ac:dyDescent="0.25">
      <c r="A4568" s="2" t="s">
        <v>672</v>
      </c>
      <c r="B4568" s="2" t="s">
        <v>1083</v>
      </c>
      <c r="C4568" s="5" t="s">
        <v>1102</v>
      </c>
      <c r="D4568" s="2" t="s">
        <v>1103</v>
      </c>
    </row>
    <row r="4569" spans="1:4" ht="12.95" customHeight="1" x14ac:dyDescent="0.25">
      <c r="A4569" s="2" t="s">
        <v>672</v>
      </c>
      <c r="B4569" s="2" t="s">
        <v>1083</v>
      </c>
      <c r="C4569" s="5" t="s">
        <v>1084</v>
      </c>
      <c r="D4569" s="2" t="s">
        <v>1085</v>
      </c>
    </row>
    <row r="4570" spans="1:4" ht="12.95" customHeight="1" x14ac:dyDescent="0.25">
      <c r="A4570" s="2" t="s">
        <v>672</v>
      </c>
      <c r="B4570" s="2" t="s">
        <v>1083</v>
      </c>
      <c r="C4570" s="5" t="s">
        <v>1086</v>
      </c>
      <c r="D4570" s="2" t="s">
        <v>1087</v>
      </c>
    </row>
    <row r="4571" spans="1:4" ht="12.95" customHeight="1" x14ac:dyDescent="0.25">
      <c r="A4571" s="2" t="s">
        <v>672</v>
      </c>
      <c r="B4571" s="2" t="s">
        <v>1083</v>
      </c>
      <c r="C4571" s="5" t="s">
        <v>1088</v>
      </c>
      <c r="D4571" s="2" t="s">
        <v>1089</v>
      </c>
    </row>
    <row r="4572" spans="1:4" ht="12.95" customHeight="1" x14ac:dyDescent="0.25">
      <c r="A4572" s="2" t="s">
        <v>672</v>
      </c>
      <c r="B4572" s="2" t="s">
        <v>1083</v>
      </c>
      <c r="C4572" s="5" t="s">
        <v>1090</v>
      </c>
      <c r="D4572" s="2" t="s">
        <v>927</v>
      </c>
    </row>
    <row r="4573" spans="1:4" ht="12.95" customHeight="1" x14ac:dyDescent="0.25">
      <c r="A4573" s="2" t="s">
        <v>672</v>
      </c>
      <c r="B4573" s="2" t="s">
        <v>1083</v>
      </c>
      <c r="C4573" s="5" t="s">
        <v>1092</v>
      </c>
      <c r="D4573" s="2" t="s">
        <v>1107</v>
      </c>
    </row>
    <row r="4574" spans="1:4" ht="12.95" customHeight="1" x14ac:dyDescent="0.25">
      <c r="A4574" s="2" t="s">
        <v>672</v>
      </c>
      <c r="B4574" s="2" t="s">
        <v>1083</v>
      </c>
      <c r="C4574" s="5" t="s">
        <v>1094</v>
      </c>
      <c r="D4574" s="2" t="s">
        <v>6178</v>
      </c>
    </row>
    <row r="4575" spans="1:4" ht="12.95" customHeight="1" x14ac:dyDescent="0.25">
      <c r="A4575" s="2" t="s">
        <v>672</v>
      </c>
      <c r="B4575" s="2" t="s">
        <v>1083</v>
      </c>
      <c r="C4575" s="5" t="s">
        <v>1096</v>
      </c>
      <c r="D4575" s="2" t="s">
        <v>6179</v>
      </c>
    </row>
    <row r="4576" spans="1:4" ht="12.95" customHeight="1" x14ac:dyDescent="0.25">
      <c r="A4576" s="2" t="s">
        <v>672</v>
      </c>
      <c r="B4576" s="2" t="s">
        <v>1083</v>
      </c>
      <c r="C4576" s="5" t="s">
        <v>1098</v>
      </c>
      <c r="D4576" s="2" t="s">
        <v>4632</v>
      </c>
    </row>
    <row r="4577" spans="1:4" ht="12.95" customHeight="1" x14ac:dyDescent="0.25">
      <c r="A4577" s="2" t="s">
        <v>672</v>
      </c>
      <c r="B4577" s="2" t="s">
        <v>1083</v>
      </c>
      <c r="C4577" s="5" t="s">
        <v>1100</v>
      </c>
      <c r="D4577" s="2" t="s">
        <v>6180</v>
      </c>
    </row>
    <row r="4578" spans="1:4" ht="12.95" customHeight="1" x14ac:dyDescent="0.25">
      <c r="A4578" s="2" t="s">
        <v>672</v>
      </c>
      <c r="B4578" s="2" t="s">
        <v>1083</v>
      </c>
      <c r="C4578" s="5" t="s">
        <v>1109</v>
      </c>
      <c r="D4578" s="2" t="s">
        <v>6181</v>
      </c>
    </row>
    <row r="4579" spans="1:4" ht="12.95" customHeight="1" x14ac:dyDescent="0.25">
      <c r="A4579" s="2" t="s">
        <v>672</v>
      </c>
      <c r="B4579" s="2" t="s">
        <v>1083</v>
      </c>
      <c r="C4579" s="5" t="s">
        <v>1119</v>
      </c>
      <c r="D4579" s="2" t="s">
        <v>6182</v>
      </c>
    </row>
    <row r="4580" spans="1:4" ht="12.95" customHeight="1" x14ac:dyDescent="0.25">
      <c r="A4580" s="2" t="s">
        <v>672</v>
      </c>
      <c r="B4580" s="2" t="s">
        <v>1083</v>
      </c>
      <c r="C4580" s="5" t="s">
        <v>1121</v>
      </c>
      <c r="D4580" s="2" t="s">
        <v>6183</v>
      </c>
    </row>
    <row r="4581" spans="1:4" ht="12.95" customHeight="1" x14ac:dyDescent="0.25">
      <c r="A4581" s="2" t="s">
        <v>672</v>
      </c>
      <c r="B4581" s="2" t="s">
        <v>1083</v>
      </c>
      <c r="C4581" s="5" t="s">
        <v>1123</v>
      </c>
      <c r="D4581" s="2" t="s">
        <v>6184</v>
      </c>
    </row>
    <row r="4582" spans="1:4" ht="12.95" customHeight="1" x14ac:dyDescent="0.25">
      <c r="A4582" s="2" t="s">
        <v>672</v>
      </c>
      <c r="B4582" s="2" t="s">
        <v>1083</v>
      </c>
      <c r="C4582" s="5" t="s">
        <v>1125</v>
      </c>
      <c r="D4582" s="2" t="s">
        <v>6185</v>
      </c>
    </row>
    <row r="4583" spans="1:4" ht="12.95" customHeight="1" x14ac:dyDescent="0.25">
      <c r="A4583" s="2" t="s">
        <v>672</v>
      </c>
      <c r="B4583" s="2" t="s">
        <v>1083</v>
      </c>
      <c r="C4583" s="5" t="s">
        <v>1127</v>
      </c>
      <c r="D4583" s="2" t="s">
        <v>6186</v>
      </c>
    </row>
    <row r="4584" spans="1:4" ht="12.95" customHeight="1" x14ac:dyDescent="0.25">
      <c r="A4584" s="2" t="s">
        <v>672</v>
      </c>
      <c r="B4584" s="2" t="s">
        <v>1083</v>
      </c>
      <c r="C4584" s="5" t="s">
        <v>1129</v>
      </c>
      <c r="D4584" s="2" t="s">
        <v>6187</v>
      </c>
    </row>
    <row r="4585" spans="1:4" ht="12.95" customHeight="1" x14ac:dyDescent="0.25">
      <c r="A4585" s="2" t="s">
        <v>672</v>
      </c>
      <c r="B4585" s="2" t="s">
        <v>1083</v>
      </c>
      <c r="C4585" s="5" t="s">
        <v>1131</v>
      </c>
      <c r="D4585" s="2" t="s">
        <v>6188</v>
      </c>
    </row>
    <row r="4586" spans="1:4" ht="12.95" customHeight="1" x14ac:dyDescent="0.25">
      <c r="A4586" s="2" t="s">
        <v>672</v>
      </c>
      <c r="B4586" s="2" t="s">
        <v>1083</v>
      </c>
      <c r="C4586" s="5" t="s">
        <v>1133</v>
      </c>
      <c r="D4586" s="2" t="s">
        <v>6189</v>
      </c>
    </row>
    <row r="4587" spans="1:4" ht="12.95" customHeight="1" x14ac:dyDescent="0.25">
      <c r="A4587" s="2" t="s">
        <v>672</v>
      </c>
      <c r="B4587" s="2" t="s">
        <v>1083</v>
      </c>
      <c r="C4587" s="5" t="s">
        <v>1135</v>
      </c>
      <c r="D4587" s="2" t="s">
        <v>6190</v>
      </c>
    </row>
    <row r="4588" spans="1:4" ht="12.95" customHeight="1" x14ac:dyDescent="0.25">
      <c r="A4588" s="2" t="s">
        <v>672</v>
      </c>
      <c r="B4588" s="2" t="s">
        <v>1083</v>
      </c>
      <c r="C4588" s="5" t="s">
        <v>1137</v>
      </c>
      <c r="D4588" s="2" t="s">
        <v>6191</v>
      </c>
    </row>
    <row r="4589" spans="1:4" ht="12.95" customHeight="1" x14ac:dyDescent="0.25">
      <c r="A4589" s="2" t="s">
        <v>672</v>
      </c>
      <c r="B4589" s="2" t="s">
        <v>1083</v>
      </c>
      <c r="C4589" s="5" t="s">
        <v>1139</v>
      </c>
      <c r="D4589" s="2" t="s">
        <v>6192</v>
      </c>
    </row>
    <row r="4590" spans="1:4" ht="12.95" customHeight="1" x14ac:dyDescent="0.25">
      <c r="A4590" s="2" t="s">
        <v>672</v>
      </c>
      <c r="B4590" s="2" t="s">
        <v>1083</v>
      </c>
      <c r="C4590" s="5" t="s">
        <v>1141</v>
      </c>
      <c r="D4590" s="2" t="s">
        <v>6193</v>
      </c>
    </row>
    <row r="4591" spans="1:4" ht="12.95" customHeight="1" x14ac:dyDescent="0.25">
      <c r="A4591" s="2" t="s">
        <v>672</v>
      </c>
      <c r="B4591" s="2" t="s">
        <v>1083</v>
      </c>
      <c r="C4591" s="5" t="s">
        <v>1295</v>
      </c>
      <c r="D4591" s="2" t="s">
        <v>6194</v>
      </c>
    </row>
    <row r="4592" spans="1:4" ht="12.95" customHeight="1" x14ac:dyDescent="0.25">
      <c r="A4592" s="2" t="s">
        <v>672</v>
      </c>
      <c r="B4592" s="2" t="s">
        <v>1083</v>
      </c>
      <c r="C4592" s="5" t="s">
        <v>1111</v>
      </c>
      <c r="D4592" s="2" t="s">
        <v>1112</v>
      </c>
    </row>
    <row r="4593" spans="1:4" ht="12.95" customHeight="1" x14ac:dyDescent="0.25">
      <c r="A4593" s="2" t="s">
        <v>675</v>
      </c>
      <c r="B4593" s="2" t="s">
        <v>1083</v>
      </c>
      <c r="C4593" s="5" t="s">
        <v>1088</v>
      </c>
      <c r="D4593" s="2" t="s">
        <v>1089</v>
      </c>
    </row>
    <row r="4594" spans="1:4" ht="12.95" customHeight="1" x14ac:dyDescent="0.25">
      <c r="A4594" s="2" t="s">
        <v>678</v>
      </c>
      <c r="B4594" s="2" t="s">
        <v>1083</v>
      </c>
      <c r="C4594" s="5" t="s">
        <v>1102</v>
      </c>
      <c r="D4594" s="2" t="s">
        <v>1103</v>
      </c>
    </row>
    <row r="4595" spans="1:4" ht="12.95" customHeight="1" x14ac:dyDescent="0.25">
      <c r="A4595" s="2" t="s">
        <v>678</v>
      </c>
      <c r="B4595" s="2" t="s">
        <v>1083</v>
      </c>
      <c r="C4595" s="5" t="s">
        <v>1084</v>
      </c>
      <c r="D4595" s="2" t="s">
        <v>1085</v>
      </c>
    </row>
    <row r="4596" spans="1:4" ht="12.95" customHeight="1" x14ac:dyDescent="0.25">
      <c r="A4596" s="2" t="s">
        <v>678</v>
      </c>
      <c r="B4596" s="2" t="s">
        <v>1083</v>
      </c>
      <c r="C4596" s="5" t="s">
        <v>1086</v>
      </c>
      <c r="D4596" s="2" t="s">
        <v>1087</v>
      </c>
    </row>
    <row r="4597" spans="1:4" ht="12.95" customHeight="1" x14ac:dyDescent="0.25">
      <c r="A4597" s="2" t="s">
        <v>678</v>
      </c>
      <c r="B4597" s="2" t="s">
        <v>1083</v>
      </c>
      <c r="C4597" s="5" t="s">
        <v>1088</v>
      </c>
      <c r="D4597" s="2" t="s">
        <v>1089</v>
      </c>
    </row>
    <row r="4598" spans="1:4" ht="12.95" customHeight="1" x14ac:dyDescent="0.25">
      <c r="A4598" s="2" t="s">
        <v>678</v>
      </c>
      <c r="B4598" s="2" t="s">
        <v>1083</v>
      </c>
      <c r="C4598" s="5" t="s">
        <v>1090</v>
      </c>
      <c r="D4598" s="2" t="s">
        <v>927</v>
      </c>
    </row>
    <row r="4599" spans="1:4" ht="12.95" customHeight="1" x14ac:dyDescent="0.25">
      <c r="A4599" s="2" t="s">
        <v>678</v>
      </c>
      <c r="B4599" s="2" t="s">
        <v>1083</v>
      </c>
      <c r="C4599" s="5" t="s">
        <v>1092</v>
      </c>
      <c r="D4599" s="2" t="s">
        <v>1107</v>
      </c>
    </row>
    <row r="4600" spans="1:4" ht="12.95" customHeight="1" x14ac:dyDescent="0.25">
      <c r="A4600" s="2" t="s">
        <v>678</v>
      </c>
      <c r="B4600" s="2" t="s">
        <v>1083</v>
      </c>
      <c r="C4600" s="5" t="s">
        <v>1094</v>
      </c>
      <c r="D4600" s="2" t="s">
        <v>6178</v>
      </c>
    </row>
    <row r="4601" spans="1:4" ht="12.95" customHeight="1" x14ac:dyDescent="0.25">
      <c r="A4601" s="2" t="s">
        <v>678</v>
      </c>
      <c r="B4601" s="2" t="s">
        <v>1083</v>
      </c>
      <c r="C4601" s="5" t="s">
        <v>1096</v>
      </c>
      <c r="D4601" s="2" t="s">
        <v>6179</v>
      </c>
    </row>
    <row r="4602" spans="1:4" ht="12.95" customHeight="1" x14ac:dyDescent="0.25">
      <c r="A4602" s="2" t="s">
        <v>678</v>
      </c>
      <c r="B4602" s="2" t="s">
        <v>1083</v>
      </c>
      <c r="C4602" s="5" t="s">
        <v>1098</v>
      </c>
      <c r="D4602" s="2" t="s">
        <v>4632</v>
      </c>
    </row>
    <row r="4603" spans="1:4" ht="12.95" customHeight="1" x14ac:dyDescent="0.25">
      <c r="A4603" s="2" t="s">
        <v>678</v>
      </c>
      <c r="B4603" s="2" t="s">
        <v>1083</v>
      </c>
      <c r="C4603" s="5" t="s">
        <v>1100</v>
      </c>
      <c r="D4603" s="2" t="s">
        <v>6180</v>
      </c>
    </row>
    <row r="4604" spans="1:4" ht="12.95" customHeight="1" x14ac:dyDescent="0.25">
      <c r="A4604" s="2" t="s">
        <v>678</v>
      </c>
      <c r="B4604" s="2" t="s">
        <v>1083</v>
      </c>
      <c r="C4604" s="5" t="s">
        <v>1109</v>
      </c>
      <c r="D4604" s="2" t="s">
        <v>6181</v>
      </c>
    </row>
    <row r="4605" spans="1:4" ht="12.95" customHeight="1" x14ac:dyDescent="0.25">
      <c r="A4605" s="2" t="s">
        <v>678</v>
      </c>
      <c r="B4605" s="2" t="s">
        <v>1083</v>
      </c>
      <c r="C4605" s="5" t="s">
        <v>1119</v>
      </c>
      <c r="D4605" s="2" t="s">
        <v>6182</v>
      </c>
    </row>
    <row r="4606" spans="1:4" ht="12.95" customHeight="1" x14ac:dyDescent="0.25">
      <c r="A4606" s="2" t="s">
        <v>678</v>
      </c>
      <c r="B4606" s="2" t="s">
        <v>1083</v>
      </c>
      <c r="C4606" s="5" t="s">
        <v>1121</v>
      </c>
      <c r="D4606" s="2" t="s">
        <v>6183</v>
      </c>
    </row>
    <row r="4607" spans="1:4" ht="12.95" customHeight="1" x14ac:dyDescent="0.25">
      <c r="A4607" s="2" t="s">
        <v>678</v>
      </c>
      <c r="B4607" s="2" t="s">
        <v>1083</v>
      </c>
      <c r="C4607" s="5" t="s">
        <v>1123</v>
      </c>
      <c r="D4607" s="2" t="s">
        <v>6184</v>
      </c>
    </row>
    <row r="4608" spans="1:4" ht="12.95" customHeight="1" x14ac:dyDescent="0.25">
      <c r="A4608" s="2" t="s">
        <v>678</v>
      </c>
      <c r="B4608" s="2" t="s">
        <v>1083</v>
      </c>
      <c r="C4608" s="5" t="s">
        <v>1125</v>
      </c>
      <c r="D4608" s="2" t="s">
        <v>6185</v>
      </c>
    </row>
    <row r="4609" spans="1:4" ht="12.95" customHeight="1" x14ac:dyDescent="0.25">
      <c r="A4609" s="2" t="s">
        <v>678</v>
      </c>
      <c r="B4609" s="2" t="s">
        <v>1083</v>
      </c>
      <c r="C4609" s="5" t="s">
        <v>1127</v>
      </c>
      <c r="D4609" s="2" t="s">
        <v>6186</v>
      </c>
    </row>
    <row r="4610" spans="1:4" ht="12.95" customHeight="1" x14ac:dyDescent="0.25">
      <c r="A4610" s="2" t="s">
        <v>678</v>
      </c>
      <c r="B4610" s="2" t="s">
        <v>1083</v>
      </c>
      <c r="C4610" s="5" t="s">
        <v>1129</v>
      </c>
      <c r="D4610" s="2" t="s">
        <v>6187</v>
      </c>
    </row>
    <row r="4611" spans="1:4" ht="12.95" customHeight="1" x14ac:dyDescent="0.25">
      <c r="A4611" s="2" t="s">
        <v>678</v>
      </c>
      <c r="B4611" s="2" t="s">
        <v>1083</v>
      </c>
      <c r="C4611" s="5" t="s">
        <v>1131</v>
      </c>
      <c r="D4611" s="2" t="s">
        <v>6188</v>
      </c>
    </row>
    <row r="4612" spans="1:4" ht="12.95" customHeight="1" x14ac:dyDescent="0.25">
      <c r="A4612" s="2" t="s">
        <v>678</v>
      </c>
      <c r="B4612" s="2" t="s">
        <v>1083</v>
      </c>
      <c r="C4612" s="5" t="s">
        <v>1133</v>
      </c>
      <c r="D4612" s="2" t="s">
        <v>6189</v>
      </c>
    </row>
    <row r="4613" spans="1:4" ht="12.95" customHeight="1" x14ac:dyDescent="0.25">
      <c r="A4613" s="2" t="s">
        <v>678</v>
      </c>
      <c r="B4613" s="2" t="s">
        <v>1083</v>
      </c>
      <c r="C4613" s="5" t="s">
        <v>1135</v>
      </c>
      <c r="D4613" s="2" t="s">
        <v>6190</v>
      </c>
    </row>
    <row r="4614" spans="1:4" ht="12.95" customHeight="1" x14ac:dyDescent="0.25">
      <c r="A4614" s="2" t="s">
        <v>678</v>
      </c>
      <c r="B4614" s="2" t="s">
        <v>1083</v>
      </c>
      <c r="C4614" s="5" t="s">
        <v>1137</v>
      </c>
      <c r="D4614" s="2" t="s">
        <v>6191</v>
      </c>
    </row>
    <row r="4615" spans="1:4" ht="12.95" customHeight="1" x14ac:dyDescent="0.25">
      <c r="A4615" s="2" t="s">
        <v>678</v>
      </c>
      <c r="B4615" s="2" t="s">
        <v>1083</v>
      </c>
      <c r="C4615" s="5" t="s">
        <v>1139</v>
      </c>
      <c r="D4615" s="2" t="s">
        <v>6192</v>
      </c>
    </row>
    <row r="4616" spans="1:4" ht="12.95" customHeight="1" x14ac:dyDescent="0.25">
      <c r="A4616" s="2" t="s">
        <v>678</v>
      </c>
      <c r="B4616" s="2" t="s">
        <v>1083</v>
      </c>
      <c r="C4616" s="5" t="s">
        <v>1141</v>
      </c>
      <c r="D4616" s="2" t="s">
        <v>6193</v>
      </c>
    </row>
    <row r="4617" spans="1:4" ht="12.95" customHeight="1" x14ac:dyDescent="0.25">
      <c r="A4617" s="2" t="s">
        <v>678</v>
      </c>
      <c r="B4617" s="2" t="s">
        <v>1083</v>
      </c>
      <c r="C4617" s="5" t="s">
        <v>1295</v>
      </c>
      <c r="D4617" s="2" t="s">
        <v>6194</v>
      </c>
    </row>
    <row r="4618" spans="1:4" ht="12.95" customHeight="1" x14ac:dyDescent="0.25">
      <c r="A4618" s="2" t="s">
        <v>678</v>
      </c>
      <c r="B4618" s="2" t="s">
        <v>1083</v>
      </c>
      <c r="C4618" s="5" t="s">
        <v>1111</v>
      </c>
      <c r="D4618" s="2" t="s">
        <v>1112</v>
      </c>
    </row>
    <row r="4619" spans="1:4" ht="12.95" customHeight="1" x14ac:dyDescent="0.25">
      <c r="A4619" s="2" t="s">
        <v>681</v>
      </c>
      <c r="B4619" s="2" t="s">
        <v>1083</v>
      </c>
      <c r="C4619" s="5" t="s">
        <v>1088</v>
      </c>
      <c r="D4619" s="2" t="s">
        <v>1089</v>
      </c>
    </row>
    <row r="4620" spans="1:4" ht="12.95" customHeight="1" x14ac:dyDescent="0.25">
      <c r="A4620" s="2" t="s">
        <v>684</v>
      </c>
      <c r="B4620" s="2" t="s">
        <v>1083</v>
      </c>
      <c r="C4620" s="5" t="s">
        <v>1102</v>
      </c>
      <c r="D4620" s="2" t="s">
        <v>1103</v>
      </c>
    </row>
    <row r="4621" spans="1:4" ht="12.95" customHeight="1" x14ac:dyDescent="0.25">
      <c r="A4621" s="2" t="s">
        <v>684</v>
      </c>
      <c r="B4621" s="2" t="s">
        <v>1083</v>
      </c>
      <c r="C4621" s="5" t="s">
        <v>1084</v>
      </c>
      <c r="D4621" s="2" t="s">
        <v>1085</v>
      </c>
    </row>
    <row r="4622" spans="1:4" ht="12.95" customHeight="1" x14ac:dyDescent="0.25">
      <c r="A4622" s="2" t="s">
        <v>684</v>
      </c>
      <c r="B4622" s="2" t="s">
        <v>1083</v>
      </c>
      <c r="C4622" s="5" t="s">
        <v>1086</v>
      </c>
      <c r="D4622" s="2" t="s">
        <v>1087</v>
      </c>
    </row>
    <row r="4623" spans="1:4" ht="12.95" customHeight="1" x14ac:dyDescent="0.25">
      <c r="A4623" s="2" t="s">
        <v>684</v>
      </c>
      <c r="B4623" s="2" t="s">
        <v>1083</v>
      </c>
      <c r="C4623" s="5" t="s">
        <v>1088</v>
      </c>
      <c r="D4623" s="2" t="s">
        <v>1089</v>
      </c>
    </row>
    <row r="4624" spans="1:4" ht="12.95" customHeight="1" x14ac:dyDescent="0.25">
      <c r="A4624" s="2" t="s">
        <v>684</v>
      </c>
      <c r="B4624" s="2" t="s">
        <v>1083</v>
      </c>
      <c r="C4624" s="5" t="s">
        <v>1090</v>
      </c>
      <c r="D4624" s="2" t="s">
        <v>6195</v>
      </c>
    </row>
    <row r="4625" spans="1:4" ht="12.95" customHeight="1" x14ac:dyDescent="0.25">
      <c r="A4625" s="2" t="s">
        <v>684</v>
      </c>
      <c r="B4625" s="2" t="s">
        <v>1083</v>
      </c>
      <c r="C4625" s="5" t="s">
        <v>1092</v>
      </c>
      <c r="D4625" s="2" t="s">
        <v>6196</v>
      </c>
    </row>
    <row r="4626" spans="1:4" ht="12.95" customHeight="1" x14ac:dyDescent="0.25">
      <c r="A4626" s="2" t="s">
        <v>684</v>
      </c>
      <c r="B4626" s="2" t="s">
        <v>1083</v>
      </c>
      <c r="C4626" s="5" t="s">
        <v>1094</v>
      </c>
      <c r="D4626" s="2" t="s">
        <v>6197</v>
      </c>
    </row>
    <row r="4627" spans="1:4" ht="12.95" customHeight="1" x14ac:dyDescent="0.25">
      <c r="A4627" s="2" t="s">
        <v>687</v>
      </c>
      <c r="B4627" s="2" t="s">
        <v>1146</v>
      </c>
      <c r="C4627" s="5" t="s">
        <v>1088</v>
      </c>
      <c r="D4627" s="2" t="s">
        <v>1089</v>
      </c>
    </row>
    <row r="4628" spans="1:4" ht="12.95" customHeight="1" x14ac:dyDescent="0.25">
      <c r="A4628" s="2" t="s">
        <v>689</v>
      </c>
      <c r="B4628" s="2" t="s">
        <v>1146</v>
      </c>
      <c r="C4628" s="5" t="s">
        <v>1084</v>
      </c>
      <c r="D4628" s="2" t="s">
        <v>1153</v>
      </c>
    </row>
    <row r="4629" spans="1:4" ht="12.95" customHeight="1" x14ac:dyDescent="0.25">
      <c r="A4629" s="2" t="s">
        <v>689</v>
      </c>
      <c r="B4629" s="2" t="s">
        <v>1146</v>
      </c>
      <c r="C4629" s="5" t="s">
        <v>1086</v>
      </c>
      <c r="D4629" s="2" t="s">
        <v>1087</v>
      </c>
    </row>
    <row r="4630" spans="1:4" ht="12.95" customHeight="1" x14ac:dyDescent="0.25">
      <c r="A4630" s="2" t="s">
        <v>689</v>
      </c>
      <c r="B4630" s="2" t="s">
        <v>1146</v>
      </c>
      <c r="C4630" s="5" t="s">
        <v>1088</v>
      </c>
      <c r="D4630" s="2" t="s">
        <v>1089</v>
      </c>
    </row>
    <row r="4631" spans="1:4" ht="12.95" customHeight="1" x14ac:dyDescent="0.25">
      <c r="A4631" s="2" t="s">
        <v>689</v>
      </c>
      <c r="B4631" s="2" t="s">
        <v>1146</v>
      </c>
      <c r="C4631" s="5" t="s">
        <v>1090</v>
      </c>
      <c r="D4631" s="2" t="s">
        <v>1148</v>
      </c>
    </row>
    <row r="4632" spans="1:4" ht="12.95" customHeight="1" x14ac:dyDescent="0.25">
      <c r="A4632" s="2" t="s">
        <v>689</v>
      </c>
      <c r="B4632" s="2" t="s">
        <v>1146</v>
      </c>
      <c r="C4632" s="5" t="s">
        <v>1092</v>
      </c>
      <c r="D4632" s="2" t="s">
        <v>1182</v>
      </c>
    </row>
    <row r="4633" spans="1:4" ht="12.95" customHeight="1" x14ac:dyDescent="0.25">
      <c r="A4633" s="2" t="s">
        <v>689</v>
      </c>
      <c r="B4633" s="2" t="s">
        <v>1146</v>
      </c>
      <c r="C4633" s="5" t="s">
        <v>1094</v>
      </c>
      <c r="D4633" s="2" t="s">
        <v>1150</v>
      </c>
    </row>
    <row r="4634" spans="1:4" ht="12.95" customHeight="1" x14ac:dyDescent="0.25">
      <c r="A4634" s="2" t="s">
        <v>689</v>
      </c>
      <c r="B4634" s="2" t="s">
        <v>1146</v>
      </c>
      <c r="C4634" s="5" t="s">
        <v>1096</v>
      </c>
      <c r="D4634" s="2" t="s">
        <v>1151</v>
      </c>
    </row>
    <row r="4635" spans="1:4" ht="12.95" customHeight="1" x14ac:dyDescent="0.25">
      <c r="A4635" s="2" t="s">
        <v>689</v>
      </c>
      <c r="B4635" s="2" t="s">
        <v>1146</v>
      </c>
      <c r="C4635" s="5" t="s">
        <v>1098</v>
      </c>
      <c r="D4635" s="2" t="s">
        <v>1152</v>
      </c>
    </row>
    <row r="4636" spans="1:4" ht="12.95" customHeight="1" x14ac:dyDescent="0.25">
      <c r="A4636" s="2" t="s">
        <v>692</v>
      </c>
      <c r="B4636" s="2" t="s">
        <v>1146</v>
      </c>
      <c r="C4636" s="5" t="s">
        <v>1090</v>
      </c>
      <c r="D4636" s="2" t="s">
        <v>1179</v>
      </c>
    </row>
    <row r="4637" spans="1:4" ht="12.95" customHeight="1" x14ac:dyDescent="0.25">
      <c r="A4637" s="2" t="s">
        <v>692</v>
      </c>
      <c r="B4637" s="2" t="s">
        <v>1146</v>
      </c>
      <c r="C4637" s="5" t="s">
        <v>1092</v>
      </c>
      <c r="D4637" s="2" t="s">
        <v>1180</v>
      </c>
    </row>
    <row r="4638" spans="1:4" ht="12.95" customHeight="1" x14ac:dyDescent="0.25">
      <c r="A4638" s="2" t="s">
        <v>694</v>
      </c>
      <c r="B4638" s="2" t="s">
        <v>1146</v>
      </c>
      <c r="C4638" s="5" t="s">
        <v>1292</v>
      </c>
      <c r="D4638" s="2" t="s">
        <v>6161</v>
      </c>
    </row>
    <row r="4639" spans="1:4" ht="12.95" customHeight="1" x14ac:dyDescent="0.25">
      <c r="A4639" s="2" t="s">
        <v>694</v>
      </c>
      <c r="B4639" s="2" t="s">
        <v>1146</v>
      </c>
      <c r="C4639" s="5" t="s">
        <v>1090</v>
      </c>
      <c r="D4639" s="2" t="s">
        <v>6162</v>
      </c>
    </row>
    <row r="4640" spans="1:4" ht="12.95" customHeight="1" x14ac:dyDescent="0.25">
      <c r="A4640" s="2" t="s">
        <v>694</v>
      </c>
      <c r="B4640" s="2" t="s">
        <v>1146</v>
      </c>
      <c r="C4640" s="5" t="s">
        <v>1092</v>
      </c>
      <c r="D4640" s="2" t="s">
        <v>80</v>
      </c>
    </row>
    <row r="4641" spans="1:4" ht="12.95" customHeight="1" x14ac:dyDescent="0.25">
      <c r="A4641" s="2" t="s">
        <v>694</v>
      </c>
      <c r="B4641" s="2" t="s">
        <v>1146</v>
      </c>
      <c r="C4641" s="5" t="s">
        <v>1094</v>
      </c>
      <c r="D4641" s="2" t="s">
        <v>6163</v>
      </c>
    </row>
    <row r="4642" spans="1:4" ht="12.95" customHeight="1" x14ac:dyDescent="0.25">
      <c r="A4642" s="2" t="s">
        <v>694</v>
      </c>
      <c r="B4642" s="2" t="s">
        <v>1146</v>
      </c>
      <c r="C4642" s="5" t="s">
        <v>1096</v>
      </c>
      <c r="D4642" s="2" t="s">
        <v>6164</v>
      </c>
    </row>
    <row r="4643" spans="1:4" ht="12.95" customHeight="1" x14ac:dyDescent="0.25">
      <c r="A4643" s="2" t="s">
        <v>694</v>
      </c>
      <c r="B4643" s="2" t="s">
        <v>1146</v>
      </c>
      <c r="C4643" s="5" t="s">
        <v>1098</v>
      </c>
      <c r="D4643" s="2" t="s">
        <v>6165</v>
      </c>
    </row>
    <row r="4644" spans="1:4" ht="12.95" customHeight="1" x14ac:dyDescent="0.25">
      <c r="A4644" s="2" t="s">
        <v>694</v>
      </c>
      <c r="B4644" s="2" t="s">
        <v>1146</v>
      </c>
      <c r="C4644" s="5" t="s">
        <v>1100</v>
      </c>
      <c r="D4644" s="2" t="s">
        <v>6166</v>
      </c>
    </row>
    <row r="4645" spans="1:4" ht="12.95" customHeight="1" x14ac:dyDescent="0.25">
      <c r="A4645" s="2" t="s">
        <v>694</v>
      </c>
      <c r="B4645" s="2" t="s">
        <v>1146</v>
      </c>
      <c r="C4645" s="5" t="s">
        <v>1109</v>
      </c>
      <c r="D4645" s="2" t="s">
        <v>6167</v>
      </c>
    </row>
    <row r="4646" spans="1:4" ht="12.95" customHeight="1" x14ac:dyDescent="0.25">
      <c r="A4646" s="2" t="s">
        <v>694</v>
      </c>
      <c r="B4646" s="2" t="s">
        <v>1146</v>
      </c>
      <c r="C4646" s="5" t="s">
        <v>1119</v>
      </c>
      <c r="D4646" s="2" t="s">
        <v>6168</v>
      </c>
    </row>
    <row r="4647" spans="1:4" ht="12.95" customHeight="1" x14ac:dyDescent="0.25">
      <c r="A4647" s="2" t="s">
        <v>694</v>
      </c>
      <c r="B4647" s="2" t="s">
        <v>1146</v>
      </c>
      <c r="C4647" s="5" t="s">
        <v>1121</v>
      </c>
      <c r="D4647" s="2" t="s">
        <v>6198</v>
      </c>
    </row>
    <row r="4648" spans="1:4" ht="12.95" customHeight="1" x14ac:dyDescent="0.25">
      <c r="A4648" s="2" t="s">
        <v>694</v>
      </c>
      <c r="B4648" s="2" t="s">
        <v>1146</v>
      </c>
      <c r="C4648" s="5" t="s">
        <v>1123</v>
      </c>
      <c r="D4648" s="2" t="s">
        <v>6170</v>
      </c>
    </row>
    <row r="4649" spans="1:4" ht="12.95" customHeight="1" x14ac:dyDescent="0.25">
      <c r="A4649" s="2" t="s">
        <v>694</v>
      </c>
      <c r="B4649" s="2" t="s">
        <v>1146</v>
      </c>
      <c r="C4649" s="5" t="s">
        <v>1125</v>
      </c>
      <c r="D4649" s="2" t="s">
        <v>6171</v>
      </c>
    </row>
    <row r="4650" spans="1:4" ht="12.95" customHeight="1" x14ac:dyDescent="0.25">
      <c r="A4650" s="2" t="s">
        <v>694</v>
      </c>
      <c r="B4650" s="2" t="s">
        <v>1146</v>
      </c>
      <c r="C4650" s="5" t="s">
        <v>1129</v>
      </c>
      <c r="D4650" s="2" t="s">
        <v>6173</v>
      </c>
    </row>
    <row r="4651" spans="1:4" ht="12.95" customHeight="1" x14ac:dyDescent="0.25">
      <c r="A4651" s="2" t="s">
        <v>696</v>
      </c>
      <c r="B4651" s="2" t="s">
        <v>1178</v>
      </c>
      <c r="C4651" s="5" t="s">
        <v>1102</v>
      </c>
      <c r="D4651" s="2" t="s">
        <v>1103</v>
      </c>
    </row>
    <row r="4652" spans="1:4" ht="12.95" customHeight="1" x14ac:dyDescent="0.25">
      <c r="A4652" s="2" t="s">
        <v>698</v>
      </c>
      <c r="B4652" s="2" t="s">
        <v>1178</v>
      </c>
      <c r="C4652" s="5" t="s">
        <v>1102</v>
      </c>
      <c r="D4652" s="2" t="s">
        <v>1103</v>
      </c>
    </row>
    <row r="4653" spans="1:4" ht="12.95" customHeight="1" x14ac:dyDescent="0.25">
      <c r="A4653" s="2" t="s">
        <v>713</v>
      </c>
      <c r="B4653" s="2" t="s">
        <v>1146</v>
      </c>
      <c r="C4653" s="5" t="s">
        <v>1084</v>
      </c>
      <c r="D4653" s="2" t="s">
        <v>1153</v>
      </c>
    </row>
    <row r="4654" spans="1:4" ht="12.95" customHeight="1" x14ac:dyDescent="0.25">
      <c r="A4654" s="2" t="s">
        <v>713</v>
      </c>
      <c r="B4654" s="2" t="s">
        <v>1146</v>
      </c>
      <c r="C4654" s="5" t="s">
        <v>1086</v>
      </c>
      <c r="D4654" s="2" t="s">
        <v>1087</v>
      </c>
    </row>
    <row r="4655" spans="1:4" ht="12.95" customHeight="1" x14ac:dyDescent="0.25">
      <c r="A4655" s="2" t="s">
        <v>713</v>
      </c>
      <c r="B4655" s="2" t="s">
        <v>1146</v>
      </c>
      <c r="C4655" s="5" t="s">
        <v>1088</v>
      </c>
      <c r="D4655" s="2" t="s">
        <v>1089</v>
      </c>
    </row>
    <row r="4656" spans="1:4" ht="12.95" customHeight="1" x14ac:dyDescent="0.25">
      <c r="A4656" s="2" t="s">
        <v>713</v>
      </c>
      <c r="B4656" s="2" t="s">
        <v>1146</v>
      </c>
      <c r="C4656" s="5" t="s">
        <v>1090</v>
      </c>
      <c r="D4656" s="2" t="s">
        <v>1148</v>
      </c>
    </row>
    <row r="4657" spans="1:4" ht="12.95" customHeight="1" x14ac:dyDescent="0.25">
      <c r="A4657" s="2" t="s">
        <v>713</v>
      </c>
      <c r="B4657" s="2" t="s">
        <v>1146</v>
      </c>
      <c r="C4657" s="5" t="s">
        <v>1092</v>
      </c>
      <c r="D4657" s="2" t="s">
        <v>1182</v>
      </c>
    </row>
    <row r="4658" spans="1:4" ht="12.95" customHeight="1" x14ac:dyDescent="0.25">
      <c r="A4658" s="2" t="s">
        <v>713</v>
      </c>
      <c r="B4658" s="2" t="s">
        <v>1146</v>
      </c>
      <c r="C4658" s="5" t="s">
        <v>1094</v>
      </c>
      <c r="D4658" s="2" t="s">
        <v>1150</v>
      </c>
    </row>
    <row r="4659" spans="1:4" ht="12.95" customHeight="1" x14ac:dyDescent="0.25">
      <c r="A4659" s="2" t="s">
        <v>713</v>
      </c>
      <c r="B4659" s="2" t="s">
        <v>1146</v>
      </c>
      <c r="C4659" s="5" t="s">
        <v>1096</v>
      </c>
      <c r="D4659" s="2" t="s">
        <v>1151</v>
      </c>
    </row>
    <row r="4660" spans="1:4" ht="12.95" customHeight="1" x14ac:dyDescent="0.25">
      <c r="A4660" s="2" t="s">
        <v>713</v>
      </c>
      <c r="B4660" s="2" t="s">
        <v>1146</v>
      </c>
      <c r="C4660" s="5" t="s">
        <v>1098</v>
      </c>
      <c r="D4660" s="2" t="s">
        <v>6113</v>
      </c>
    </row>
    <row r="4661" spans="1:4" ht="12.95" customHeight="1" x14ac:dyDescent="0.25">
      <c r="A4661" s="2" t="s">
        <v>716</v>
      </c>
      <c r="B4661" s="2" t="s">
        <v>1146</v>
      </c>
      <c r="C4661" s="5" t="s">
        <v>1084</v>
      </c>
      <c r="D4661" s="2" t="s">
        <v>1153</v>
      </c>
    </row>
    <row r="4662" spans="1:4" ht="12.95" customHeight="1" x14ac:dyDescent="0.25">
      <c r="A4662" s="2" t="s">
        <v>716</v>
      </c>
      <c r="B4662" s="2" t="s">
        <v>1146</v>
      </c>
      <c r="C4662" s="5" t="s">
        <v>1086</v>
      </c>
      <c r="D4662" s="2" t="s">
        <v>1087</v>
      </c>
    </row>
    <row r="4663" spans="1:4" ht="12.95" customHeight="1" x14ac:dyDescent="0.25">
      <c r="A4663" s="2" t="s">
        <v>716</v>
      </c>
      <c r="B4663" s="2" t="s">
        <v>1146</v>
      </c>
      <c r="C4663" s="5" t="s">
        <v>1088</v>
      </c>
      <c r="D4663" s="2" t="s">
        <v>1089</v>
      </c>
    </row>
    <row r="4664" spans="1:4" ht="12.95" customHeight="1" x14ac:dyDescent="0.25">
      <c r="A4664" s="2" t="s">
        <v>716</v>
      </c>
      <c r="B4664" s="2" t="s">
        <v>1146</v>
      </c>
      <c r="C4664" s="5" t="s">
        <v>1090</v>
      </c>
      <c r="D4664" s="2" t="s">
        <v>1148</v>
      </c>
    </row>
    <row r="4665" spans="1:4" ht="12.95" customHeight="1" x14ac:dyDescent="0.25">
      <c r="A4665" s="2" t="s">
        <v>716</v>
      </c>
      <c r="B4665" s="2" t="s">
        <v>1146</v>
      </c>
      <c r="C4665" s="5" t="s">
        <v>1092</v>
      </c>
      <c r="D4665" s="2" t="s">
        <v>1149</v>
      </c>
    </row>
    <row r="4666" spans="1:4" ht="12.95" customHeight="1" x14ac:dyDescent="0.25">
      <c r="A4666" s="2" t="s">
        <v>716</v>
      </c>
      <c r="B4666" s="2" t="s">
        <v>1146</v>
      </c>
      <c r="C4666" s="5" t="s">
        <v>1094</v>
      </c>
      <c r="D4666" s="2" t="s">
        <v>1150</v>
      </c>
    </row>
    <row r="4667" spans="1:4" ht="12.95" customHeight="1" x14ac:dyDescent="0.25">
      <c r="A4667" s="2" t="s">
        <v>716</v>
      </c>
      <c r="B4667" s="2" t="s">
        <v>1146</v>
      </c>
      <c r="C4667" s="5" t="s">
        <v>1096</v>
      </c>
      <c r="D4667" s="2" t="s">
        <v>1151</v>
      </c>
    </row>
    <row r="4668" spans="1:4" ht="12.95" customHeight="1" x14ac:dyDescent="0.25">
      <c r="A4668" s="2" t="s">
        <v>716</v>
      </c>
      <c r="B4668" s="2" t="s">
        <v>1146</v>
      </c>
      <c r="C4668" s="5" t="s">
        <v>1098</v>
      </c>
      <c r="D4668" s="2" t="s">
        <v>6113</v>
      </c>
    </row>
    <row r="4669" spans="1:4" ht="12.95" customHeight="1" x14ac:dyDescent="0.25">
      <c r="A4669" s="2" t="s">
        <v>725</v>
      </c>
      <c r="B4669" s="2" t="s">
        <v>1083</v>
      </c>
      <c r="C4669" s="5" t="s">
        <v>1090</v>
      </c>
      <c r="D4669" s="2" t="s">
        <v>1179</v>
      </c>
    </row>
    <row r="4670" spans="1:4" ht="12.95" customHeight="1" x14ac:dyDescent="0.25">
      <c r="A4670" s="2" t="s">
        <v>725</v>
      </c>
      <c r="B4670" s="2" t="s">
        <v>1083</v>
      </c>
      <c r="C4670" s="5" t="s">
        <v>1092</v>
      </c>
      <c r="D4670" s="2" t="s">
        <v>1180</v>
      </c>
    </row>
    <row r="4671" spans="1:4" ht="12.95" customHeight="1" x14ac:dyDescent="0.25">
      <c r="A4671" s="2" t="s">
        <v>729</v>
      </c>
      <c r="B4671" s="2" t="s">
        <v>1272</v>
      </c>
      <c r="C4671" s="5" t="s">
        <v>1090</v>
      </c>
      <c r="D4671" s="2" t="s">
        <v>1179</v>
      </c>
    </row>
    <row r="4672" spans="1:4" ht="12.95" customHeight="1" x14ac:dyDescent="0.25">
      <c r="A4672" s="2" t="s">
        <v>729</v>
      </c>
      <c r="B4672" s="2" t="s">
        <v>1272</v>
      </c>
      <c r="C4672" s="5" t="s">
        <v>1092</v>
      </c>
      <c r="D4672" s="2" t="s">
        <v>1180</v>
      </c>
    </row>
    <row r="4673" spans="1:4" ht="12.95" customHeight="1" x14ac:dyDescent="0.25">
      <c r="A4673" s="2" t="s">
        <v>731</v>
      </c>
      <c r="B4673" s="2" t="s">
        <v>1083</v>
      </c>
      <c r="C4673" s="5" t="s">
        <v>1102</v>
      </c>
      <c r="D4673" s="2" t="s">
        <v>1103</v>
      </c>
    </row>
    <row r="4674" spans="1:4" ht="12.95" customHeight="1" x14ac:dyDescent="0.25">
      <c r="A4674" s="2" t="s">
        <v>731</v>
      </c>
      <c r="B4674" s="2" t="s">
        <v>1083</v>
      </c>
      <c r="C4674" s="5" t="s">
        <v>1084</v>
      </c>
      <c r="D4674" s="2" t="s">
        <v>1085</v>
      </c>
    </row>
    <row r="4675" spans="1:4" ht="12.95" customHeight="1" x14ac:dyDescent="0.25">
      <c r="A4675" s="2" t="s">
        <v>731</v>
      </c>
      <c r="B4675" s="2" t="s">
        <v>1083</v>
      </c>
      <c r="C4675" s="5" t="s">
        <v>1086</v>
      </c>
      <c r="D4675" s="2" t="s">
        <v>1087</v>
      </c>
    </row>
    <row r="4676" spans="1:4" ht="12.95" customHeight="1" x14ac:dyDescent="0.25">
      <c r="A4676" s="2" t="s">
        <v>731</v>
      </c>
      <c r="B4676" s="2" t="s">
        <v>1083</v>
      </c>
      <c r="C4676" s="5" t="s">
        <v>1088</v>
      </c>
      <c r="D4676" s="2" t="s">
        <v>1089</v>
      </c>
    </row>
    <row r="4677" spans="1:4" ht="12.95" customHeight="1" x14ac:dyDescent="0.25">
      <c r="A4677" s="2" t="s">
        <v>736</v>
      </c>
      <c r="B4677" s="2" t="s">
        <v>1272</v>
      </c>
      <c r="C4677" s="5" t="s">
        <v>1102</v>
      </c>
      <c r="D4677" s="2" t="s">
        <v>1103</v>
      </c>
    </row>
    <row r="4678" spans="1:4" ht="12.95" customHeight="1" x14ac:dyDescent="0.25">
      <c r="A4678" s="2" t="s">
        <v>736</v>
      </c>
      <c r="B4678" s="2" t="s">
        <v>1272</v>
      </c>
      <c r="C4678" s="5" t="s">
        <v>1084</v>
      </c>
      <c r="D4678" s="2" t="s">
        <v>1153</v>
      </c>
    </row>
    <row r="4679" spans="1:4" ht="12.95" customHeight="1" x14ac:dyDescent="0.25">
      <c r="A4679" s="2" t="s">
        <v>736</v>
      </c>
      <c r="B4679" s="2" t="s">
        <v>1272</v>
      </c>
      <c r="C4679" s="5" t="s">
        <v>1086</v>
      </c>
      <c r="D4679" s="2" t="s">
        <v>1147</v>
      </c>
    </row>
    <row r="4680" spans="1:4" ht="12.95" customHeight="1" x14ac:dyDescent="0.25">
      <c r="A4680" s="2" t="s">
        <v>736</v>
      </c>
      <c r="B4680" s="2" t="s">
        <v>1272</v>
      </c>
      <c r="C4680" s="5" t="s">
        <v>1088</v>
      </c>
      <c r="D4680" s="2" t="s">
        <v>1089</v>
      </c>
    </row>
    <row r="4681" spans="1:4" ht="12.95" customHeight="1" x14ac:dyDescent="0.25">
      <c r="A4681" s="2" t="s">
        <v>736</v>
      </c>
      <c r="B4681" s="2" t="s">
        <v>1272</v>
      </c>
      <c r="C4681" s="5" t="s">
        <v>1090</v>
      </c>
      <c r="D4681" s="2" t="s">
        <v>927</v>
      </c>
    </row>
    <row r="4682" spans="1:4" ht="12.95" customHeight="1" x14ac:dyDescent="0.25">
      <c r="A4682" s="2" t="s">
        <v>736</v>
      </c>
      <c r="B4682" s="2" t="s">
        <v>1272</v>
      </c>
      <c r="C4682" s="5" t="s">
        <v>1092</v>
      </c>
      <c r="D4682" s="2" t="s">
        <v>6199</v>
      </c>
    </row>
    <row r="4683" spans="1:4" ht="12.95" customHeight="1" x14ac:dyDescent="0.25">
      <c r="A4683" s="2" t="s">
        <v>736</v>
      </c>
      <c r="B4683" s="2" t="s">
        <v>1272</v>
      </c>
      <c r="C4683" s="5" t="s">
        <v>1094</v>
      </c>
      <c r="D4683" s="2" t="s">
        <v>6178</v>
      </c>
    </row>
    <row r="4684" spans="1:4" ht="12.95" customHeight="1" x14ac:dyDescent="0.25">
      <c r="A4684" s="2" t="s">
        <v>736</v>
      </c>
      <c r="B4684" s="2" t="s">
        <v>1272</v>
      </c>
      <c r="C4684" s="5" t="s">
        <v>1096</v>
      </c>
      <c r="D4684" s="2" t="s">
        <v>6179</v>
      </c>
    </row>
    <row r="4685" spans="1:4" ht="12.95" customHeight="1" x14ac:dyDescent="0.25">
      <c r="A4685" s="2" t="s">
        <v>736</v>
      </c>
      <c r="B4685" s="2" t="s">
        <v>1272</v>
      </c>
      <c r="C4685" s="5" t="s">
        <v>1098</v>
      </c>
      <c r="D4685" s="2" t="s">
        <v>6200</v>
      </c>
    </row>
    <row r="4686" spans="1:4" ht="12.95" customHeight="1" x14ac:dyDescent="0.25">
      <c r="A4686" s="2" t="s">
        <v>736</v>
      </c>
      <c r="B4686" s="2" t="s">
        <v>1272</v>
      </c>
      <c r="C4686" s="5" t="s">
        <v>1100</v>
      </c>
      <c r="D4686" s="2" t="s">
        <v>6201</v>
      </c>
    </row>
    <row r="4687" spans="1:4" ht="12.95" customHeight="1" x14ac:dyDescent="0.25">
      <c r="A4687" s="2" t="s">
        <v>736</v>
      </c>
      <c r="B4687" s="2" t="s">
        <v>1272</v>
      </c>
      <c r="C4687" s="5" t="s">
        <v>1109</v>
      </c>
      <c r="D4687" s="2" t="s">
        <v>6202</v>
      </c>
    </row>
    <row r="4688" spans="1:4" ht="12.95" customHeight="1" x14ac:dyDescent="0.25">
      <c r="A4688" s="2" t="s">
        <v>736</v>
      </c>
      <c r="B4688" s="2" t="s">
        <v>1272</v>
      </c>
      <c r="C4688" s="5" t="s">
        <v>1119</v>
      </c>
      <c r="D4688" s="2" t="s">
        <v>6203</v>
      </c>
    </row>
    <row r="4689" spans="1:4" ht="12.95" customHeight="1" x14ac:dyDescent="0.25">
      <c r="A4689" s="2" t="s">
        <v>736</v>
      </c>
      <c r="B4689" s="2" t="s">
        <v>1272</v>
      </c>
      <c r="C4689" s="5" t="s">
        <v>1121</v>
      </c>
      <c r="D4689" s="2" t="s">
        <v>6204</v>
      </c>
    </row>
    <row r="4690" spans="1:4" ht="12.95" customHeight="1" x14ac:dyDescent="0.25">
      <c r="A4690" s="2" t="s">
        <v>736</v>
      </c>
      <c r="B4690" s="2" t="s">
        <v>1272</v>
      </c>
      <c r="C4690" s="5" t="s">
        <v>1123</v>
      </c>
      <c r="D4690" s="2" t="s">
        <v>6205</v>
      </c>
    </row>
    <row r="4691" spans="1:4" ht="12.95" customHeight="1" x14ac:dyDescent="0.25">
      <c r="A4691" s="2" t="s">
        <v>736</v>
      </c>
      <c r="B4691" s="2" t="s">
        <v>1272</v>
      </c>
      <c r="C4691" s="5" t="s">
        <v>1125</v>
      </c>
      <c r="D4691" s="2" t="s">
        <v>6206</v>
      </c>
    </row>
    <row r="4692" spans="1:4" ht="12.95" customHeight="1" x14ac:dyDescent="0.25">
      <c r="A4692" s="2" t="s">
        <v>736</v>
      </c>
      <c r="B4692" s="2" t="s">
        <v>1272</v>
      </c>
      <c r="C4692" s="5" t="s">
        <v>1127</v>
      </c>
      <c r="D4692" s="2" t="s">
        <v>6186</v>
      </c>
    </row>
    <row r="4693" spans="1:4" ht="12.95" customHeight="1" x14ac:dyDescent="0.25">
      <c r="A4693" s="2" t="s">
        <v>736</v>
      </c>
      <c r="B4693" s="2" t="s">
        <v>1272</v>
      </c>
      <c r="C4693" s="5" t="s">
        <v>1129</v>
      </c>
      <c r="D4693" s="2" t="s">
        <v>6207</v>
      </c>
    </row>
    <row r="4694" spans="1:4" ht="12.95" customHeight="1" x14ac:dyDescent="0.25">
      <c r="A4694" s="2" t="s">
        <v>736</v>
      </c>
      <c r="B4694" s="2" t="s">
        <v>1272</v>
      </c>
      <c r="C4694" s="5" t="s">
        <v>1131</v>
      </c>
      <c r="D4694" s="2" t="s">
        <v>6188</v>
      </c>
    </row>
    <row r="4695" spans="1:4" ht="12.95" customHeight="1" x14ac:dyDescent="0.25">
      <c r="A4695" s="2" t="s">
        <v>736</v>
      </c>
      <c r="B4695" s="2" t="s">
        <v>1272</v>
      </c>
      <c r="C4695" s="5" t="s">
        <v>1133</v>
      </c>
      <c r="D4695" s="2" t="s">
        <v>6189</v>
      </c>
    </row>
    <row r="4696" spans="1:4" ht="12.95" customHeight="1" x14ac:dyDescent="0.25">
      <c r="A4696" s="2" t="s">
        <v>736</v>
      </c>
      <c r="B4696" s="2" t="s">
        <v>1272</v>
      </c>
      <c r="C4696" s="5" t="s">
        <v>1135</v>
      </c>
      <c r="D4696" s="2" t="s">
        <v>6208</v>
      </c>
    </row>
    <row r="4697" spans="1:4" ht="12.95" customHeight="1" x14ac:dyDescent="0.25">
      <c r="A4697" s="2" t="s">
        <v>736</v>
      </c>
      <c r="B4697" s="2" t="s">
        <v>1272</v>
      </c>
      <c r="C4697" s="5" t="s">
        <v>1137</v>
      </c>
      <c r="D4697" s="2" t="s">
        <v>6209</v>
      </c>
    </row>
    <row r="4698" spans="1:4" ht="12.95" customHeight="1" x14ac:dyDescent="0.25">
      <c r="A4698" s="2" t="s">
        <v>736</v>
      </c>
      <c r="B4698" s="2" t="s">
        <v>1272</v>
      </c>
      <c r="C4698" s="5" t="s">
        <v>1139</v>
      </c>
      <c r="D4698" s="2" t="s">
        <v>1106</v>
      </c>
    </row>
    <row r="4699" spans="1:4" ht="12.95" customHeight="1" x14ac:dyDescent="0.25">
      <c r="A4699" s="2" t="s">
        <v>736</v>
      </c>
      <c r="B4699" s="2" t="s">
        <v>1272</v>
      </c>
      <c r="C4699" s="5" t="s">
        <v>1141</v>
      </c>
      <c r="D4699" s="2" t="s">
        <v>6210</v>
      </c>
    </row>
    <row r="4700" spans="1:4" ht="12.95" customHeight="1" x14ac:dyDescent="0.25">
      <c r="A4700" s="2" t="s">
        <v>736</v>
      </c>
      <c r="B4700" s="2" t="s">
        <v>1272</v>
      </c>
      <c r="C4700" s="5" t="s">
        <v>1295</v>
      </c>
      <c r="D4700" s="2" t="s">
        <v>6194</v>
      </c>
    </row>
    <row r="4701" spans="1:4" ht="12.95" customHeight="1" x14ac:dyDescent="0.25">
      <c r="A4701" s="2" t="s">
        <v>736</v>
      </c>
      <c r="B4701" s="2" t="s">
        <v>1272</v>
      </c>
      <c r="C4701" s="5" t="s">
        <v>1111</v>
      </c>
      <c r="D4701" s="2" t="s">
        <v>6211</v>
      </c>
    </row>
    <row r="4702" spans="1:4" ht="12.95" customHeight="1" x14ac:dyDescent="0.25">
      <c r="A4702" s="2" t="s">
        <v>739</v>
      </c>
      <c r="B4702" s="2" t="s">
        <v>1272</v>
      </c>
      <c r="C4702" s="5" t="s">
        <v>1102</v>
      </c>
      <c r="D4702" s="2" t="s">
        <v>1103</v>
      </c>
    </row>
    <row r="4703" spans="1:4" ht="12.95" customHeight="1" x14ac:dyDescent="0.25">
      <c r="A4703" s="2" t="s">
        <v>739</v>
      </c>
      <c r="B4703" s="2" t="s">
        <v>1272</v>
      </c>
      <c r="C4703" s="5" t="s">
        <v>1084</v>
      </c>
      <c r="D4703" s="2" t="s">
        <v>1153</v>
      </c>
    </row>
    <row r="4704" spans="1:4" ht="12.95" customHeight="1" x14ac:dyDescent="0.25">
      <c r="A4704" s="2" t="s">
        <v>739</v>
      </c>
      <c r="B4704" s="2" t="s">
        <v>1272</v>
      </c>
      <c r="C4704" s="5" t="s">
        <v>1086</v>
      </c>
      <c r="D4704" s="2" t="s">
        <v>1147</v>
      </c>
    </row>
    <row r="4705" spans="1:4" ht="12.95" customHeight="1" x14ac:dyDescent="0.25">
      <c r="A4705" s="2" t="s">
        <v>739</v>
      </c>
      <c r="B4705" s="2" t="s">
        <v>1272</v>
      </c>
      <c r="C4705" s="5" t="s">
        <v>1088</v>
      </c>
      <c r="D4705" s="2" t="s">
        <v>1089</v>
      </c>
    </row>
    <row r="4706" spans="1:4" ht="12.95" customHeight="1" x14ac:dyDescent="0.25">
      <c r="A4706" s="2" t="s">
        <v>739</v>
      </c>
      <c r="B4706" s="2" t="s">
        <v>1272</v>
      </c>
      <c r="C4706" s="5" t="s">
        <v>1090</v>
      </c>
      <c r="D4706" s="2" t="s">
        <v>927</v>
      </c>
    </row>
    <row r="4707" spans="1:4" ht="12.95" customHeight="1" x14ac:dyDescent="0.25">
      <c r="A4707" s="2" t="s">
        <v>739</v>
      </c>
      <c r="B4707" s="2" t="s">
        <v>1272</v>
      </c>
      <c r="C4707" s="5" t="s">
        <v>1092</v>
      </c>
      <c r="D4707" s="2" t="s">
        <v>6199</v>
      </c>
    </row>
    <row r="4708" spans="1:4" ht="12.95" customHeight="1" x14ac:dyDescent="0.25">
      <c r="A4708" s="2" t="s">
        <v>739</v>
      </c>
      <c r="B4708" s="2" t="s">
        <v>1272</v>
      </c>
      <c r="C4708" s="5" t="s">
        <v>1094</v>
      </c>
      <c r="D4708" s="2" t="s">
        <v>6178</v>
      </c>
    </row>
    <row r="4709" spans="1:4" ht="12.95" customHeight="1" x14ac:dyDescent="0.25">
      <c r="A4709" s="2" t="s">
        <v>739</v>
      </c>
      <c r="B4709" s="2" t="s">
        <v>1272</v>
      </c>
      <c r="C4709" s="5" t="s">
        <v>1096</v>
      </c>
      <c r="D4709" s="2" t="s">
        <v>6179</v>
      </c>
    </row>
    <row r="4710" spans="1:4" ht="12.95" customHeight="1" x14ac:dyDescent="0.25">
      <c r="A4710" s="2" t="s">
        <v>739</v>
      </c>
      <c r="B4710" s="2" t="s">
        <v>1272</v>
      </c>
      <c r="C4710" s="5" t="s">
        <v>1098</v>
      </c>
      <c r="D4710" s="2" t="s">
        <v>6200</v>
      </c>
    </row>
    <row r="4711" spans="1:4" ht="12.95" customHeight="1" x14ac:dyDescent="0.25">
      <c r="A4711" s="2" t="s">
        <v>739</v>
      </c>
      <c r="B4711" s="2" t="s">
        <v>1272</v>
      </c>
      <c r="C4711" s="5" t="s">
        <v>1100</v>
      </c>
      <c r="D4711" s="2" t="s">
        <v>6201</v>
      </c>
    </row>
    <row r="4712" spans="1:4" ht="12.95" customHeight="1" x14ac:dyDescent="0.25">
      <c r="A4712" s="2" t="s">
        <v>739</v>
      </c>
      <c r="B4712" s="2" t="s">
        <v>1272</v>
      </c>
      <c r="C4712" s="5" t="s">
        <v>1109</v>
      </c>
      <c r="D4712" s="2" t="s">
        <v>6202</v>
      </c>
    </row>
    <row r="4713" spans="1:4" ht="12.95" customHeight="1" x14ac:dyDescent="0.25">
      <c r="A4713" s="2" t="s">
        <v>739</v>
      </c>
      <c r="B4713" s="2" t="s">
        <v>1272</v>
      </c>
      <c r="C4713" s="5" t="s">
        <v>1119</v>
      </c>
      <c r="D4713" s="2" t="s">
        <v>6203</v>
      </c>
    </row>
    <row r="4714" spans="1:4" ht="12.95" customHeight="1" x14ac:dyDescent="0.25">
      <c r="A4714" s="2" t="s">
        <v>739</v>
      </c>
      <c r="B4714" s="2" t="s">
        <v>1272</v>
      </c>
      <c r="C4714" s="5" t="s">
        <v>1121</v>
      </c>
      <c r="D4714" s="2" t="s">
        <v>6204</v>
      </c>
    </row>
    <row r="4715" spans="1:4" ht="12.95" customHeight="1" x14ac:dyDescent="0.25">
      <c r="A4715" s="2" t="s">
        <v>739</v>
      </c>
      <c r="B4715" s="2" t="s">
        <v>1272</v>
      </c>
      <c r="C4715" s="5" t="s">
        <v>1123</v>
      </c>
      <c r="D4715" s="2" t="s">
        <v>6205</v>
      </c>
    </row>
    <row r="4716" spans="1:4" ht="12.95" customHeight="1" x14ac:dyDescent="0.25">
      <c r="A4716" s="2" t="s">
        <v>739</v>
      </c>
      <c r="B4716" s="2" t="s">
        <v>1272</v>
      </c>
      <c r="C4716" s="5" t="s">
        <v>1125</v>
      </c>
      <c r="D4716" s="2" t="s">
        <v>6206</v>
      </c>
    </row>
    <row r="4717" spans="1:4" ht="12.95" customHeight="1" x14ac:dyDescent="0.25">
      <c r="A4717" s="2" t="s">
        <v>739</v>
      </c>
      <c r="B4717" s="2" t="s">
        <v>1272</v>
      </c>
      <c r="C4717" s="5" t="s">
        <v>1127</v>
      </c>
      <c r="D4717" s="2" t="s">
        <v>6186</v>
      </c>
    </row>
    <row r="4718" spans="1:4" ht="12.95" customHeight="1" x14ac:dyDescent="0.25">
      <c r="A4718" s="2" t="s">
        <v>739</v>
      </c>
      <c r="B4718" s="2" t="s">
        <v>1272</v>
      </c>
      <c r="C4718" s="5" t="s">
        <v>1129</v>
      </c>
      <c r="D4718" s="2" t="s">
        <v>6207</v>
      </c>
    </row>
    <row r="4719" spans="1:4" ht="12.95" customHeight="1" x14ac:dyDescent="0.25">
      <c r="A4719" s="2" t="s">
        <v>739</v>
      </c>
      <c r="B4719" s="2" t="s">
        <v>1272</v>
      </c>
      <c r="C4719" s="5" t="s">
        <v>1131</v>
      </c>
      <c r="D4719" s="2" t="s">
        <v>6188</v>
      </c>
    </row>
    <row r="4720" spans="1:4" ht="12.95" customHeight="1" x14ac:dyDescent="0.25">
      <c r="A4720" s="2" t="s">
        <v>739</v>
      </c>
      <c r="B4720" s="2" t="s">
        <v>1272</v>
      </c>
      <c r="C4720" s="5" t="s">
        <v>1133</v>
      </c>
      <c r="D4720" s="2" t="s">
        <v>6189</v>
      </c>
    </row>
    <row r="4721" spans="1:4" ht="12.95" customHeight="1" x14ac:dyDescent="0.25">
      <c r="A4721" s="2" t="s">
        <v>739</v>
      </c>
      <c r="B4721" s="2" t="s">
        <v>1272</v>
      </c>
      <c r="C4721" s="5" t="s">
        <v>1135</v>
      </c>
      <c r="D4721" s="2" t="s">
        <v>6208</v>
      </c>
    </row>
    <row r="4722" spans="1:4" ht="12.95" customHeight="1" x14ac:dyDescent="0.25">
      <c r="A4722" s="2" t="s">
        <v>739</v>
      </c>
      <c r="B4722" s="2" t="s">
        <v>1272</v>
      </c>
      <c r="C4722" s="5" t="s">
        <v>1137</v>
      </c>
      <c r="D4722" s="2" t="s">
        <v>6209</v>
      </c>
    </row>
    <row r="4723" spans="1:4" ht="12.95" customHeight="1" x14ac:dyDescent="0.25">
      <c r="A4723" s="2" t="s">
        <v>739</v>
      </c>
      <c r="B4723" s="2" t="s">
        <v>1272</v>
      </c>
      <c r="C4723" s="5" t="s">
        <v>1139</v>
      </c>
      <c r="D4723" s="2" t="s">
        <v>1106</v>
      </c>
    </row>
    <row r="4724" spans="1:4" ht="12.95" customHeight="1" x14ac:dyDescent="0.25">
      <c r="A4724" s="2" t="s">
        <v>739</v>
      </c>
      <c r="B4724" s="2" t="s">
        <v>1272</v>
      </c>
      <c r="C4724" s="5" t="s">
        <v>1141</v>
      </c>
      <c r="D4724" s="2" t="s">
        <v>6210</v>
      </c>
    </row>
    <row r="4725" spans="1:4" ht="12.95" customHeight="1" x14ac:dyDescent="0.25">
      <c r="A4725" s="2" t="s">
        <v>739</v>
      </c>
      <c r="B4725" s="2" t="s">
        <v>1272</v>
      </c>
      <c r="C4725" s="5" t="s">
        <v>1295</v>
      </c>
      <c r="D4725" s="2" t="s">
        <v>6194</v>
      </c>
    </row>
    <row r="4726" spans="1:4" ht="12.95" customHeight="1" x14ac:dyDescent="0.25">
      <c r="A4726" s="2" t="s">
        <v>739</v>
      </c>
      <c r="B4726" s="2" t="s">
        <v>1272</v>
      </c>
      <c r="C4726" s="5" t="s">
        <v>1111</v>
      </c>
      <c r="D4726" s="2" t="s">
        <v>6211</v>
      </c>
    </row>
    <row r="4727" spans="1:4" ht="12.95" customHeight="1" x14ac:dyDescent="0.25">
      <c r="A4727" s="2" t="s">
        <v>741</v>
      </c>
      <c r="B4727" s="2" t="s">
        <v>1272</v>
      </c>
      <c r="C4727" s="5" t="s">
        <v>1102</v>
      </c>
      <c r="D4727" s="2" t="s">
        <v>1103</v>
      </c>
    </row>
    <row r="4728" spans="1:4" ht="12.95" customHeight="1" x14ac:dyDescent="0.25">
      <c r="A4728" s="2" t="s">
        <v>741</v>
      </c>
      <c r="B4728" s="2" t="s">
        <v>1272</v>
      </c>
      <c r="C4728" s="5" t="s">
        <v>1084</v>
      </c>
      <c r="D4728" s="2" t="s">
        <v>1153</v>
      </c>
    </row>
    <row r="4729" spans="1:4" ht="12.95" customHeight="1" x14ac:dyDescent="0.25">
      <c r="A4729" s="2" t="s">
        <v>741</v>
      </c>
      <c r="B4729" s="2" t="s">
        <v>1272</v>
      </c>
      <c r="C4729" s="5" t="s">
        <v>1086</v>
      </c>
      <c r="D4729" s="2" t="s">
        <v>1147</v>
      </c>
    </row>
    <row r="4730" spans="1:4" ht="12.95" customHeight="1" x14ac:dyDescent="0.25">
      <c r="A4730" s="2" t="s">
        <v>741</v>
      </c>
      <c r="B4730" s="2" t="s">
        <v>1272</v>
      </c>
      <c r="C4730" s="5" t="s">
        <v>1088</v>
      </c>
      <c r="D4730" s="2" t="s">
        <v>1089</v>
      </c>
    </row>
    <row r="4731" spans="1:4" ht="12.95" customHeight="1" x14ac:dyDescent="0.25">
      <c r="A4731" s="2" t="s">
        <v>741</v>
      </c>
      <c r="B4731" s="2" t="s">
        <v>1272</v>
      </c>
      <c r="C4731" s="5" t="s">
        <v>1090</v>
      </c>
      <c r="D4731" s="2" t="s">
        <v>927</v>
      </c>
    </row>
    <row r="4732" spans="1:4" ht="12.95" customHeight="1" x14ac:dyDescent="0.25">
      <c r="A4732" s="2" t="s">
        <v>741</v>
      </c>
      <c r="B4732" s="2" t="s">
        <v>1272</v>
      </c>
      <c r="C4732" s="5" t="s">
        <v>1092</v>
      </c>
      <c r="D4732" s="2" t="s">
        <v>6199</v>
      </c>
    </row>
    <row r="4733" spans="1:4" ht="12.95" customHeight="1" x14ac:dyDescent="0.25">
      <c r="A4733" s="2" t="s">
        <v>741</v>
      </c>
      <c r="B4733" s="2" t="s">
        <v>1272</v>
      </c>
      <c r="C4733" s="5" t="s">
        <v>1094</v>
      </c>
      <c r="D4733" s="2" t="s">
        <v>6178</v>
      </c>
    </row>
    <row r="4734" spans="1:4" ht="12.95" customHeight="1" x14ac:dyDescent="0.25">
      <c r="A4734" s="2" t="s">
        <v>741</v>
      </c>
      <c r="B4734" s="2" t="s">
        <v>1272</v>
      </c>
      <c r="C4734" s="5" t="s">
        <v>1096</v>
      </c>
      <c r="D4734" s="2" t="s">
        <v>6179</v>
      </c>
    </row>
    <row r="4735" spans="1:4" ht="12.95" customHeight="1" x14ac:dyDescent="0.25">
      <c r="A4735" s="2" t="s">
        <v>741</v>
      </c>
      <c r="B4735" s="2" t="s">
        <v>1272</v>
      </c>
      <c r="C4735" s="5" t="s">
        <v>1098</v>
      </c>
      <c r="D4735" s="2" t="s">
        <v>6200</v>
      </c>
    </row>
    <row r="4736" spans="1:4" ht="12.95" customHeight="1" x14ac:dyDescent="0.25">
      <c r="A4736" s="2" t="s">
        <v>741</v>
      </c>
      <c r="B4736" s="2" t="s">
        <v>1272</v>
      </c>
      <c r="C4736" s="5" t="s">
        <v>1100</v>
      </c>
      <c r="D4736" s="2" t="s">
        <v>6201</v>
      </c>
    </row>
    <row r="4737" spans="1:4" ht="12.95" customHeight="1" x14ac:dyDescent="0.25">
      <c r="A4737" s="2" t="s">
        <v>741</v>
      </c>
      <c r="B4737" s="2" t="s">
        <v>1272</v>
      </c>
      <c r="C4737" s="5" t="s">
        <v>1109</v>
      </c>
      <c r="D4737" s="2" t="s">
        <v>6202</v>
      </c>
    </row>
    <row r="4738" spans="1:4" ht="12.95" customHeight="1" x14ac:dyDescent="0.25">
      <c r="A4738" s="2" t="s">
        <v>741</v>
      </c>
      <c r="B4738" s="2" t="s">
        <v>1272</v>
      </c>
      <c r="C4738" s="5" t="s">
        <v>1119</v>
      </c>
      <c r="D4738" s="2" t="s">
        <v>6203</v>
      </c>
    </row>
    <row r="4739" spans="1:4" ht="12.95" customHeight="1" x14ac:dyDescent="0.25">
      <c r="A4739" s="2" t="s">
        <v>741</v>
      </c>
      <c r="B4739" s="2" t="s">
        <v>1272</v>
      </c>
      <c r="C4739" s="5" t="s">
        <v>1121</v>
      </c>
      <c r="D4739" s="2" t="s">
        <v>6204</v>
      </c>
    </row>
    <row r="4740" spans="1:4" ht="12.95" customHeight="1" x14ac:dyDescent="0.25">
      <c r="A4740" s="2" t="s">
        <v>741</v>
      </c>
      <c r="B4740" s="2" t="s">
        <v>1272</v>
      </c>
      <c r="C4740" s="5" t="s">
        <v>1123</v>
      </c>
      <c r="D4740" s="2" t="s">
        <v>6205</v>
      </c>
    </row>
    <row r="4741" spans="1:4" ht="12.95" customHeight="1" x14ac:dyDescent="0.25">
      <c r="A4741" s="2" t="s">
        <v>741</v>
      </c>
      <c r="B4741" s="2" t="s">
        <v>1272</v>
      </c>
      <c r="C4741" s="5" t="s">
        <v>1125</v>
      </c>
      <c r="D4741" s="2" t="s">
        <v>6206</v>
      </c>
    </row>
    <row r="4742" spans="1:4" ht="12.95" customHeight="1" x14ac:dyDescent="0.25">
      <c r="A4742" s="2" t="s">
        <v>741</v>
      </c>
      <c r="B4742" s="2" t="s">
        <v>1272</v>
      </c>
      <c r="C4742" s="5" t="s">
        <v>1127</v>
      </c>
      <c r="D4742" s="2" t="s">
        <v>6186</v>
      </c>
    </row>
    <row r="4743" spans="1:4" ht="12.95" customHeight="1" x14ac:dyDescent="0.25">
      <c r="A4743" s="2" t="s">
        <v>741</v>
      </c>
      <c r="B4743" s="2" t="s">
        <v>1272</v>
      </c>
      <c r="C4743" s="5" t="s">
        <v>1129</v>
      </c>
      <c r="D4743" s="2" t="s">
        <v>6207</v>
      </c>
    </row>
    <row r="4744" spans="1:4" ht="12.95" customHeight="1" x14ac:dyDescent="0.25">
      <c r="A4744" s="2" t="s">
        <v>741</v>
      </c>
      <c r="B4744" s="2" t="s">
        <v>1272</v>
      </c>
      <c r="C4744" s="5" t="s">
        <v>1131</v>
      </c>
      <c r="D4744" s="2" t="s">
        <v>6188</v>
      </c>
    </row>
    <row r="4745" spans="1:4" ht="12.95" customHeight="1" x14ac:dyDescent="0.25">
      <c r="A4745" s="2" t="s">
        <v>741</v>
      </c>
      <c r="B4745" s="2" t="s">
        <v>1272</v>
      </c>
      <c r="C4745" s="5" t="s">
        <v>1133</v>
      </c>
      <c r="D4745" s="2" t="s">
        <v>6189</v>
      </c>
    </row>
    <row r="4746" spans="1:4" ht="12.95" customHeight="1" x14ac:dyDescent="0.25">
      <c r="A4746" s="2" t="s">
        <v>741</v>
      </c>
      <c r="B4746" s="2" t="s">
        <v>1272</v>
      </c>
      <c r="C4746" s="5" t="s">
        <v>1135</v>
      </c>
      <c r="D4746" s="2" t="s">
        <v>6208</v>
      </c>
    </row>
    <row r="4747" spans="1:4" ht="12.95" customHeight="1" x14ac:dyDescent="0.25">
      <c r="A4747" s="2" t="s">
        <v>741</v>
      </c>
      <c r="B4747" s="2" t="s">
        <v>1272</v>
      </c>
      <c r="C4747" s="5" t="s">
        <v>1137</v>
      </c>
      <c r="D4747" s="2" t="s">
        <v>6209</v>
      </c>
    </row>
    <row r="4748" spans="1:4" ht="12.95" customHeight="1" x14ac:dyDescent="0.25">
      <c r="A4748" s="2" t="s">
        <v>741</v>
      </c>
      <c r="B4748" s="2" t="s">
        <v>1272</v>
      </c>
      <c r="C4748" s="5" t="s">
        <v>1139</v>
      </c>
      <c r="D4748" s="2" t="s">
        <v>1106</v>
      </c>
    </row>
    <row r="4749" spans="1:4" ht="12.95" customHeight="1" x14ac:dyDescent="0.25">
      <c r="A4749" s="2" t="s">
        <v>741</v>
      </c>
      <c r="B4749" s="2" t="s">
        <v>1272</v>
      </c>
      <c r="C4749" s="5" t="s">
        <v>1141</v>
      </c>
      <c r="D4749" s="2" t="s">
        <v>6210</v>
      </c>
    </row>
    <row r="4750" spans="1:4" ht="12.95" customHeight="1" x14ac:dyDescent="0.25">
      <c r="A4750" s="2" t="s">
        <v>741</v>
      </c>
      <c r="B4750" s="2" t="s">
        <v>1272</v>
      </c>
      <c r="C4750" s="5" t="s">
        <v>1295</v>
      </c>
      <c r="D4750" s="2" t="s">
        <v>6194</v>
      </c>
    </row>
    <row r="4751" spans="1:4" ht="12.95" customHeight="1" x14ac:dyDescent="0.25">
      <c r="A4751" s="2" t="s">
        <v>741</v>
      </c>
      <c r="B4751" s="2" t="s">
        <v>1272</v>
      </c>
      <c r="C4751" s="5" t="s">
        <v>1111</v>
      </c>
      <c r="D4751" s="2" t="s">
        <v>6211</v>
      </c>
    </row>
    <row r="4752" spans="1:4" ht="12.95" customHeight="1" x14ac:dyDescent="0.25">
      <c r="A4752" s="2" t="s">
        <v>743</v>
      </c>
      <c r="B4752" s="2" t="s">
        <v>1272</v>
      </c>
      <c r="C4752" s="5" t="s">
        <v>1102</v>
      </c>
      <c r="D4752" s="2" t="s">
        <v>1103</v>
      </c>
    </row>
    <row r="4753" spans="1:4" ht="12.95" customHeight="1" x14ac:dyDescent="0.25">
      <c r="A4753" s="2" t="s">
        <v>743</v>
      </c>
      <c r="B4753" s="2" t="s">
        <v>1272</v>
      </c>
      <c r="C4753" s="5" t="s">
        <v>1084</v>
      </c>
      <c r="D4753" s="2" t="s">
        <v>1153</v>
      </c>
    </row>
    <row r="4754" spans="1:4" ht="12.95" customHeight="1" x14ac:dyDescent="0.25">
      <c r="A4754" s="2" t="s">
        <v>743</v>
      </c>
      <c r="B4754" s="2" t="s">
        <v>1272</v>
      </c>
      <c r="C4754" s="5" t="s">
        <v>1086</v>
      </c>
      <c r="D4754" s="2" t="s">
        <v>1147</v>
      </c>
    </row>
    <row r="4755" spans="1:4" ht="12.95" customHeight="1" x14ac:dyDescent="0.25">
      <c r="A4755" s="2" t="s">
        <v>743</v>
      </c>
      <c r="B4755" s="2" t="s">
        <v>1272</v>
      </c>
      <c r="C4755" s="5" t="s">
        <v>1088</v>
      </c>
      <c r="D4755" s="2" t="s">
        <v>1089</v>
      </c>
    </row>
    <row r="4756" spans="1:4" ht="12.95" customHeight="1" x14ac:dyDescent="0.25">
      <c r="A4756" s="2" t="s">
        <v>743</v>
      </c>
      <c r="B4756" s="2" t="s">
        <v>1272</v>
      </c>
      <c r="C4756" s="5" t="s">
        <v>1090</v>
      </c>
      <c r="D4756" s="2" t="s">
        <v>927</v>
      </c>
    </row>
    <row r="4757" spans="1:4" ht="12.95" customHeight="1" x14ac:dyDescent="0.25">
      <c r="A4757" s="2" t="s">
        <v>743</v>
      </c>
      <c r="B4757" s="2" t="s">
        <v>1272</v>
      </c>
      <c r="C4757" s="5" t="s">
        <v>1092</v>
      </c>
      <c r="D4757" s="2" t="s">
        <v>6199</v>
      </c>
    </row>
    <row r="4758" spans="1:4" ht="12.95" customHeight="1" x14ac:dyDescent="0.25">
      <c r="A4758" s="2" t="s">
        <v>743</v>
      </c>
      <c r="B4758" s="2" t="s">
        <v>1272</v>
      </c>
      <c r="C4758" s="5" t="s">
        <v>1094</v>
      </c>
      <c r="D4758" s="2" t="s">
        <v>6178</v>
      </c>
    </row>
    <row r="4759" spans="1:4" ht="12.95" customHeight="1" x14ac:dyDescent="0.25">
      <c r="A4759" s="2" t="s">
        <v>743</v>
      </c>
      <c r="B4759" s="2" t="s">
        <v>1272</v>
      </c>
      <c r="C4759" s="5" t="s">
        <v>1096</v>
      </c>
      <c r="D4759" s="2" t="s">
        <v>6179</v>
      </c>
    </row>
    <row r="4760" spans="1:4" ht="12.95" customHeight="1" x14ac:dyDescent="0.25">
      <c r="A4760" s="2" t="s">
        <v>743</v>
      </c>
      <c r="B4760" s="2" t="s">
        <v>1272</v>
      </c>
      <c r="C4760" s="5" t="s">
        <v>1098</v>
      </c>
      <c r="D4760" s="2" t="s">
        <v>6200</v>
      </c>
    </row>
    <row r="4761" spans="1:4" ht="12.95" customHeight="1" x14ac:dyDescent="0.25">
      <c r="A4761" s="2" t="s">
        <v>743</v>
      </c>
      <c r="B4761" s="2" t="s">
        <v>1272</v>
      </c>
      <c r="C4761" s="5" t="s">
        <v>1100</v>
      </c>
      <c r="D4761" s="2" t="s">
        <v>6201</v>
      </c>
    </row>
    <row r="4762" spans="1:4" ht="12.95" customHeight="1" x14ac:dyDescent="0.25">
      <c r="A4762" s="2" t="s">
        <v>743</v>
      </c>
      <c r="B4762" s="2" t="s">
        <v>1272</v>
      </c>
      <c r="C4762" s="5" t="s">
        <v>1109</v>
      </c>
      <c r="D4762" s="2" t="s">
        <v>6202</v>
      </c>
    </row>
    <row r="4763" spans="1:4" ht="12.95" customHeight="1" x14ac:dyDescent="0.25">
      <c r="A4763" s="2" t="s">
        <v>743</v>
      </c>
      <c r="B4763" s="2" t="s">
        <v>1272</v>
      </c>
      <c r="C4763" s="5" t="s">
        <v>1119</v>
      </c>
      <c r="D4763" s="2" t="s">
        <v>6203</v>
      </c>
    </row>
    <row r="4764" spans="1:4" ht="12.95" customHeight="1" x14ac:dyDescent="0.25">
      <c r="A4764" s="2" t="s">
        <v>743</v>
      </c>
      <c r="B4764" s="2" t="s">
        <v>1272</v>
      </c>
      <c r="C4764" s="5" t="s">
        <v>1121</v>
      </c>
      <c r="D4764" s="2" t="s">
        <v>6204</v>
      </c>
    </row>
    <row r="4765" spans="1:4" ht="12.95" customHeight="1" x14ac:dyDescent="0.25">
      <c r="A4765" s="2" t="s">
        <v>743</v>
      </c>
      <c r="B4765" s="2" t="s">
        <v>1272</v>
      </c>
      <c r="C4765" s="5" t="s">
        <v>1123</v>
      </c>
      <c r="D4765" s="2" t="s">
        <v>6205</v>
      </c>
    </row>
    <row r="4766" spans="1:4" ht="12.95" customHeight="1" x14ac:dyDescent="0.25">
      <c r="A4766" s="2" t="s">
        <v>743</v>
      </c>
      <c r="B4766" s="2" t="s">
        <v>1272</v>
      </c>
      <c r="C4766" s="5" t="s">
        <v>1125</v>
      </c>
      <c r="D4766" s="2" t="s">
        <v>6206</v>
      </c>
    </row>
    <row r="4767" spans="1:4" ht="12.95" customHeight="1" x14ac:dyDescent="0.25">
      <c r="A4767" s="2" t="s">
        <v>743</v>
      </c>
      <c r="B4767" s="2" t="s">
        <v>1272</v>
      </c>
      <c r="C4767" s="5" t="s">
        <v>1127</v>
      </c>
      <c r="D4767" s="2" t="s">
        <v>6186</v>
      </c>
    </row>
    <row r="4768" spans="1:4" ht="12.95" customHeight="1" x14ac:dyDescent="0.25">
      <c r="A4768" s="2" t="s">
        <v>743</v>
      </c>
      <c r="B4768" s="2" t="s">
        <v>1272</v>
      </c>
      <c r="C4768" s="5" t="s">
        <v>1129</v>
      </c>
      <c r="D4768" s="2" t="s">
        <v>6207</v>
      </c>
    </row>
    <row r="4769" spans="1:4" ht="12.95" customHeight="1" x14ac:dyDescent="0.25">
      <c r="A4769" s="2" t="s">
        <v>743</v>
      </c>
      <c r="B4769" s="2" t="s">
        <v>1272</v>
      </c>
      <c r="C4769" s="5" t="s">
        <v>1131</v>
      </c>
      <c r="D4769" s="2" t="s">
        <v>6188</v>
      </c>
    </row>
    <row r="4770" spans="1:4" ht="12.95" customHeight="1" x14ac:dyDescent="0.25">
      <c r="A4770" s="2" t="s">
        <v>743</v>
      </c>
      <c r="B4770" s="2" t="s">
        <v>1272</v>
      </c>
      <c r="C4770" s="5" t="s">
        <v>1133</v>
      </c>
      <c r="D4770" s="2" t="s">
        <v>6189</v>
      </c>
    </row>
    <row r="4771" spans="1:4" ht="12.95" customHeight="1" x14ac:dyDescent="0.25">
      <c r="A4771" s="2" t="s">
        <v>743</v>
      </c>
      <c r="B4771" s="2" t="s">
        <v>1272</v>
      </c>
      <c r="C4771" s="5" t="s">
        <v>1135</v>
      </c>
      <c r="D4771" s="2" t="s">
        <v>6208</v>
      </c>
    </row>
    <row r="4772" spans="1:4" ht="12.95" customHeight="1" x14ac:dyDescent="0.25">
      <c r="A4772" s="2" t="s">
        <v>743</v>
      </c>
      <c r="B4772" s="2" t="s">
        <v>1272</v>
      </c>
      <c r="C4772" s="5" t="s">
        <v>1137</v>
      </c>
      <c r="D4772" s="2" t="s">
        <v>6209</v>
      </c>
    </row>
    <row r="4773" spans="1:4" ht="12.95" customHeight="1" x14ac:dyDescent="0.25">
      <c r="A4773" s="2" t="s">
        <v>743</v>
      </c>
      <c r="B4773" s="2" t="s">
        <v>1272</v>
      </c>
      <c r="C4773" s="5" t="s">
        <v>1139</v>
      </c>
      <c r="D4773" s="2" t="s">
        <v>1106</v>
      </c>
    </row>
    <row r="4774" spans="1:4" ht="12.95" customHeight="1" x14ac:dyDescent="0.25">
      <c r="A4774" s="2" t="s">
        <v>743</v>
      </c>
      <c r="B4774" s="2" t="s">
        <v>1272</v>
      </c>
      <c r="C4774" s="5" t="s">
        <v>1141</v>
      </c>
      <c r="D4774" s="2" t="s">
        <v>6210</v>
      </c>
    </row>
    <row r="4775" spans="1:4" ht="12.95" customHeight="1" x14ac:dyDescent="0.25">
      <c r="A4775" s="2" t="s">
        <v>743</v>
      </c>
      <c r="B4775" s="2" t="s">
        <v>1272</v>
      </c>
      <c r="C4775" s="5" t="s">
        <v>1295</v>
      </c>
      <c r="D4775" s="2" t="s">
        <v>6194</v>
      </c>
    </row>
    <row r="4776" spans="1:4" ht="12.95" customHeight="1" x14ac:dyDescent="0.25">
      <c r="A4776" s="2" t="s">
        <v>743</v>
      </c>
      <c r="B4776" s="2" t="s">
        <v>1272</v>
      </c>
      <c r="C4776" s="5" t="s">
        <v>1111</v>
      </c>
      <c r="D4776" s="2" t="s">
        <v>6211</v>
      </c>
    </row>
    <row r="4777" spans="1:4" ht="12.95" customHeight="1" x14ac:dyDescent="0.25">
      <c r="A4777" s="2" t="s">
        <v>745</v>
      </c>
      <c r="B4777" s="2" t="s">
        <v>1272</v>
      </c>
      <c r="C4777" s="5" t="s">
        <v>1102</v>
      </c>
      <c r="D4777" s="2" t="s">
        <v>1103</v>
      </c>
    </row>
    <row r="4778" spans="1:4" ht="12.95" customHeight="1" x14ac:dyDescent="0.25">
      <c r="A4778" s="2" t="s">
        <v>745</v>
      </c>
      <c r="B4778" s="2" t="s">
        <v>1272</v>
      </c>
      <c r="C4778" s="5" t="s">
        <v>1084</v>
      </c>
      <c r="D4778" s="2" t="s">
        <v>1153</v>
      </c>
    </row>
    <row r="4779" spans="1:4" ht="12.95" customHeight="1" x14ac:dyDescent="0.25">
      <c r="A4779" s="2" t="s">
        <v>745</v>
      </c>
      <c r="B4779" s="2" t="s">
        <v>1272</v>
      </c>
      <c r="C4779" s="5" t="s">
        <v>1086</v>
      </c>
      <c r="D4779" s="2" t="s">
        <v>1147</v>
      </c>
    </row>
    <row r="4780" spans="1:4" ht="12.95" customHeight="1" x14ac:dyDescent="0.25">
      <c r="A4780" s="2" t="s">
        <v>745</v>
      </c>
      <c r="B4780" s="2" t="s">
        <v>1272</v>
      </c>
      <c r="C4780" s="5" t="s">
        <v>1088</v>
      </c>
      <c r="D4780" s="2" t="s">
        <v>1089</v>
      </c>
    </row>
    <row r="4781" spans="1:4" ht="12.95" customHeight="1" x14ac:dyDescent="0.25">
      <c r="A4781" s="2" t="s">
        <v>745</v>
      </c>
      <c r="B4781" s="2" t="s">
        <v>1272</v>
      </c>
      <c r="C4781" s="5" t="s">
        <v>1090</v>
      </c>
      <c r="D4781" s="2" t="s">
        <v>927</v>
      </c>
    </row>
    <row r="4782" spans="1:4" ht="12.95" customHeight="1" x14ac:dyDescent="0.25">
      <c r="A4782" s="2" t="s">
        <v>745</v>
      </c>
      <c r="B4782" s="2" t="s">
        <v>1272</v>
      </c>
      <c r="C4782" s="5" t="s">
        <v>1092</v>
      </c>
      <c r="D4782" s="2" t="s">
        <v>6199</v>
      </c>
    </row>
    <row r="4783" spans="1:4" ht="12.95" customHeight="1" x14ac:dyDescent="0.25">
      <c r="A4783" s="2" t="s">
        <v>745</v>
      </c>
      <c r="B4783" s="2" t="s">
        <v>1272</v>
      </c>
      <c r="C4783" s="5" t="s">
        <v>1094</v>
      </c>
      <c r="D4783" s="2" t="s">
        <v>6178</v>
      </c>
    </row>
    <row r="4784" spans="1:4" ht="12.95" customHeight="1" x14ac:dyDescent="0.25">
      <c r="A4784" s="2" t="s">
        <v>745</v>
      </c>
      <c r="B4784" s="2" t="s">
        <v>1272</v>
      </c>
      <c r="C4784" s="5" t="s">
        <v>1096</v>
      </c>
      <c r="D4784" s="2" t="s">
        <v>6179</v>
      </c>
    </row>
    <row r="4785" spans="1:4" ht="12.95" customHeight="1" x14ac:dyDescent="0.25">
      <c r="A4785" s="2" t="s">
        <v>745</v>
      </c>
      <c r="B4785" s="2" t="s">
        <v>1272</v>
      </c>
      <c r="C4785" s="5" t="s">
        <v>1098</v>
      </c>
      <c r="D4785" s="2" t="s">
        <v>6200</v>
      </c>
    </row>
    <row r="4786" spans="1:4" ht="12.95" customHeight="1" x14ac:dyDescent="0.25">
      <c r="A4786" s="2" t="s">
        <v>745</v>
      </c>
      <c r="B4786" s="2" t="s">
        <v>1272</v>
      </c>
      <c r="C4786" s="5" t="s">
        <v>1100</v>
      </c>
      <c r="D4786" s="2" t="s">
        <v>6201</v>
      </c>
    </row>
    <row r="4787" spans="1:4" ht="12.95" customHeight="1" x14ac:dyDescent="0.25">
      <c r="A4787" s="2" t="s">
        <v>745</v>
      </c>
      <c r="B4787" s="2" t="s">
        <v>1272</v>
      </c>
      <c r="C4787" s="5" t="s">
        <v>1109</v>
      </c>
      <c r="D4787" s="2" t="s">
        <v>6202</v>
      </c>
    </row>
    <row r="4788" spans="1:4" ht="12.95" customHeight="1" x14ac:dyDescent="0.25">
      <c r="A4788" s="2" t="s">
        <v>745</v>
      </c>
      <c r="B4788" s="2" t="s">
        <v>1272</v>
      </c>
      <c r="C4788" s="5" t="s">
        <v>1119</v>
      </c>
      <c r="D4788" s="2" t="s">
        <v>6203</v>
      </c>
    </row>
    <row r="4789" spans="1:4" ht="12.95" customHeight="1" x14ac:dyDescent="0.25">
      <c r="A4789" s="2" t="s">
        <v>745</v>
      </c>
      <c r="B4789" s="2" t="s">
        <v>1272</v>
      </c>
      <c r="C4789" s="5" t="s">
        <v>1121</v>
      </c>
      <c r="D4789" s="2" t="s">
        <v>6204</v>
      </c>
    </row>
    <row r="4790" spans="1:4" ht="12.95" customHeight="1" x14ac:dyDescent="0.25">
      <c r="A4790" s="2" t="s">
        <v>745</v>
      </c>
      <c r="B4790" s="2" t="s">
        <v>1272</v>
      </c>
      <c r="C4790" s="5" t="s">
        <v>1123</v>
      </c>
      <c r="D4790" s="2" t="s">
        <v>6205</v>
      </c>
    </row>
    <row r="4791" spans="1:4" ht="12.95" customHeight="1" x14ac:dyDescent="0.25">
      <c r="A4791" s="2" t="s">
        <v>745</v>
      </c>
      <c r="B4791" s="2" t="s">
        <v>1272</v>
      </c>
      <c r="C4791" s="5" t="s">
        <v>1125</v>
      </c>
      <c r="D4791" s="2" t="s">
        <v>6206</v>
      </c>
    </row>
    <row r="4792" spans="1:4" ht="12.95" customHeight="1" x14ac:dyDescent="0.25">
      <c r="A4792" s="2" t="s">
        <v>745</v>
      </c>
      <c r="B4792" s="2" t="s">
        <v>1272</v>
      </c>
      <c r="C4792" s="5" t="s">
        <v>1127</v>
      </c>
      <c r="D4792" s="2" t="s">
        <v>6186</v>
      </c>
    </row>
    <row r="4793" spans="1:4" ht="12.95" customHeight="1" x14ac:dyDescent="0.25">
      <c r="A4793" s="2" t="s">
        <v>745</v>
      </c>
      <c r="B4793" s="2" t="s">
        <v>1272</v>
      </c>
      <c r="C4793" s="5" t="s">
        <v>1129</v>
      </c>
      <c r="D4793" s="2" t="s">
        <v>6207</v>
      </c>
    </row>
    <row r="4794" spans="1:4" ht="12.95" customHeight="1" x14ac:dyDescent="0.25">
      <c r="A4794" s="2" t="s">
        <v>745</v>
      </c>
      <c r="B4794" s="2" t="s">
        <v>1272</v>
      </c>
      <c r="C4794" s="5" t="s">
        <v>1131</v>
      </c>
      <c r="D4794" s="2" t="s">
        <v>6188</v>
      </c>
    </row>
    <row r="4795" spans="1:4" ht="12.95" customHeight="1" x14ac:dyDescent="0.25">
      <c r="A4795" s="2" t="s">
        <v>745</v>
      </c>
      <c r="B4795" s="2" t="s">
        <v>1272</v>
      </c>
      <c r="C4795" s="5" t="s">
        <v>1133</v>
      </c>
      <c r="D4795" s="2" t="s">
        <v>6189</v>
      </c>
    </row>
    <row r="4796" spans="1:4" ht="12.95" customHeight="1" x14ac:dyDescent="0.25">
      <c r="A4796" s="2" t="s">
        <v>745</v>
      </c>
      <c r="B4796" s="2" t="s">
        <v>1272</v>
      </c>
      <c r="C4796" s="5" t="s">
        <v>1135</v>
      </c>
      <c r="D4796" s="2" t="s">
        <v>6208</v>
      </c>
    </row>
    <row r="4797" spans="1:4" ht="12.95" customHeight="1" x14ac:dyDescent="0.25">
      <c r="A4797" s="2" t="s">
        <v>745</v>
      </c>
      <c r="B4797" s="2" t="s">
        <v>1272</v>
      </c>
      <c r="C4797" s="5" t="s">
        <v>1137</v>
      </c>
      <c r="D4797" s="2" t="s">
        <v>6209</v>
      </c>
    </row>
    <row r="4798" spans="1:4" ht="12.95" customHeight="1" x14ac:dyDescent="0.25">
      <c r="A4798" s="2" t="s">
        <v>745</v>
      </c>
      <c r="B4798" s="2" t="s">
        <v>1272</v>
      </c>
      <c r="C4798" s="5" t="s">
        <v>1139</v>
      </c>
      <c r="D4798" s="2" t="s">
        <v>1106</v>
      </c>
    </row>
    <row r="4799" spans="1:4" ht="12.95" customHeight="1" x14ac:dyDescent="0.25">
      <c r="A4799" s="2" t="s">
        <v>745</v>
      </c>
      <c r="B4799" s="2" t="s">
        <v>1272</v>
      </c>
      <c r="C4799" s="5" t="s">
        <v>1141</v>
      </c>
      <c r="D4799" s="2" t="s">
        <v>6210</v>
      </c>
    </row>
    <row r="4800" spans="1:4" ht="12.95" customHeight="1" x14ac:dyDescent="0.25">
      <c r="A4800" s="2" t="s">
        <v>745</v>
      </c>
      <c r="B4800" s="2" t="s">
        <v>1272</v>
      </c>
      <c r="C4800" s="5" t="s">
        <v>1295</v>
      </c>
      <c r="D4800" s="2" t="s">
        <v>6194</v>
      </c>
    </row>
    <row r="4801" spans="1:4" ht="12.95" customHeight="1" x14ac:dyDescent="0.25">
      <c r="A4801" s="2" t="s">
        <v>745</v>
      </c>
      <c r="B4801" s="2" t="s">
        <v>1272</v>
      </c>
      <c r="C4801" s="5" t="s">
        <v>1111</v>
      </c>
      <c r="D4801" s="2" t="s">
        <v>6211</v>
      </c>
    </row>
    <row r="4802" spans="1:4" ht="12.95" customHeight="1" x14ac:dyDescent="0.25">
      <c r="A4802" s="2" t="s">
        <v>747</v>
      </c>
      <c r="B4802" s="2" t="s">
        <v>1272</v>
      </c>
      <c r="C4802" s="5" t="s">
        <v>1102</v>
      </c>
      <c r="D4802" s="2" t="s">
        <v>1103</v>
      </c>
    </row>
    <row r="4803" spans="1:4" ht="12.95" customHeight="1" x14ac:dyDescent="0.25">
      <c r="A4803" s="2" t="s">
        <v>747</v>
      </c>
      <c r="B4803" s="2" t="s">
        <v>1272</v>
      </c>
      <c r="C4803" s="5" t="s">
        <v>1084</v>
      </c>
      <c r="D4803" s="2" t="s">
        <v>1153</v>
      </c>
    </row>
    <row r="4804" spans="1:4" ht="12.95" customHeight="1" x14ac:dyDescent="0.25">
      <c r="A4804" s="2" t="s">
        <v>747</v>
      </c>
      <c r="B4804" s="2" t="s">
        <v>1272</v>
      </c>
      <c r="C4804" s="5" t="s">
        <v>1086</v>
      </c>
      <c r="D4804" s="2" t="s">
        <v>1147</v>
      </c>
    </row>
    <row r="4805" spans="1:4" ht="12.95" customHeight="1" x14ac:dyDescent="0.25">
      <c r="A4805" s="2" t="s">
        <v>747</v>
      </c>
      <c r="B4805" s="2" t="s">
        <v>1272</v>
      </c>
      <c r="C4805" s="5" t="s">
        <v>1088</v>
      </c>
      <c r="D4805" s="2" t="s">
        <v>1089</v>
      </c>
    </row>
    <row r="4806" spans="1:4" ht="12.95" customHeight="1" x14ac:dyDescent="0.25">
      <c r="A4806" s="2" t="s">
        <v>747</v>
      </c>
      <c r="B4806" s="2" t="s">
        <v>1272</v>
      </c>
      <c r="C4806" s="5" t="s">
        <v>1090</v>
      </c>
      <c r="D4806" s="2" t="s">
        <v>927</v>
      </c>
    </row>
    <row r="4807" spans="1:4" ht="12.95" customHeight="1" x14ac:dyDescent="0.25">
      <c r="A4807" s="2" t="s">
        <v>747</v>
      </c>
      <c r="B4807" s="2" t="s">
        <v>1272</v>
      </c>
      <c r="C4807" s="5" t="s">
        <v>1092</v>
      </c>
      <c r="D4807" s="2" t="s">
        <v>6199</v>
      </c>
    </row>
    <row r="4808" spans="1:4" ht="12.95" customHeight="1" x14ac:dyDescent="0.25">
      <c r="A4808" s="2" t="s">
        <v>747</v>
      </c>
      <c r="B4808" s="2" t="s">
        <v>1272</v>
      </c>
      <c r="C4808" s="5" t="s">
        <v>1094</v>
      </c>
      <c r="D4808" s="2" t="s">
        <v>6178</v>
      </c>
    </row>
    <row r="4809" spans="1:4" ht="12.95" customHeight="1" x14ac:dyDescent="0.25">
      <c r="A4809" s="2" t="s">
        <v>747</v>
      </c>
      <c r="B4809" s="2" t="s">
        <v>1272</v>
      </c>
      <c r="C4809" s="5" t="s">
        <v>1096</v>
      </c>
      <c r="D4809" s="2" t="s">
        <v>6179</v>
      </c>
    </row>
    <row r="4810" spans="1:4" ht="12.95" customHeight="1" x14ac:dyDescent="0.25">
      <c r="A4810" s="2" t="s">
        <v>747</v>
      </c>
      <c r="B4810" s="2" t="s">
        <v>1272</v>
      </c>
      <c r="C4810" s="5" t="s">
        <v>1098</v>
      </c>
      <c r="D4810" s="2" t="s">
        <v>6200</v>
      </c>
    </row>
    <row r="4811" spans="1:4" ht="12.95" customHeight="1" x14ac:dyDescent="0.25">
      <c r="A4811" s="2" t="s">
        <v>747</v>
      </c>
      <c r="B4811" s="2" t="s">
        <v>1272</v>
      </c>
      <c r="C4811" s="5" t="s">
        <v>1100</v>
      </c>
      <c r="D4811" s="2" t="s">
        <v>6201</v>
      </c>
    </row>
    <row r="4812" spans="1:4" ht="12.95" customHeight="1" x14ac:dyDescent="0.25">
      <c r="A4812" s="2" t="s">
        <v>747</v>
      </c>
      <c r="B4812" s="2" t="s">
        <v>1272</v>
      </c>
      <c r="C4812" s="5" t="s">
        <v>1109</v>
      </c>
      <c r="D4812" s="2" t="s">
        <v>6202</v>
      </c>
    </row>
    <row r="4813" spans="1:4" ht="12.95" customHeight="1" x14ac:dyDescent="0.25">
      <c r="A4813" s="2" t="s">
        <v>747</v>
      </c>
      <c r="B4813" s="2" t="s">
        <v>1272</v>
      </c>
      <c r="C4813" s="5" t="s">
        <v>1119</v>
      </c>
      <c r="D4813" s="2" t="s">
        <v>6203</v>
      </c>
    </row>
    <row r="4814" spans="1:4" ht="12.95" customHeight="1" x14ac:dyDescent="0.25">
      <c r="A4814" s="2" t="s">
        <v>747</v>
      </c>
      <c r="B4814" s="2" t="s">
        <v>1272</v>
      </c>
      <c r="C4814" s="5" t="s">
        <v>1121</v>
      </c>
      <c r="D4814" s="2" t="s">
        <v>6204</v>
      </c>
    </row>
    <row r="4815" spans="1:4" ht="12.95" customHeight="1" x14ac:dyDescent="0.25">
      <c r="A4815" s="2" t="s">
        <v>747</v>
      </c>
      <c r="B4815" s="2" t="s">
        <v>1272</v>
      </c>
      <c r="C4815" s="5" t="s">
        <v>1123</v>
      </c>
      <c r="D4815" s="2" t="s">
        <v>6205</v>
      </c>
    </row>
    <row r="4816" spans="1:4" ht="12.95" customHeight="1" x14ac:dyDescent="0.25">
      <c r="A4816" s="2" t="s">
        <v>747</v>
      </c>
      <c r="B4816" s="2" t="s">
        <v>1272</v>
      </c>
      <c r="C4816" s="5" t="s">
        <v>1125</v>
      </c>
      <c r="D4816" s="2" t="s">
        <v>6206</v>
      </c>
    </row>
    <row r="4817" spans="1:4" ht="12.95" customHeight="1" x14ac:dyDescent="0.25">
      <c r="A4817" s="2" t="s">
        <v>747</v>
      </c>
      <c r="B4817" s="2" t="s">
        <v>1272</v>
      </c>
      <c r="C4817" s="5" t="s">
        <v>1127</v>
      </c>
      <c r="D4817" s="2" t="s">
        <v>6186</v>
      </c>
    </row>
    <row r="4818" spans="1:4" ht="12.95" customHeight="1" x14ac:dyDescent="0.25">
      <c r="A4818" s="2" t="s">
        <v>747</v>
      </c>
      <c r="B4818" s="2" t="s">
        <v>1272</v>
      </c>
      <c r="C4818" s="5" t="s">
        <v>1129</v>
      </c>
      <c r="D4818" s="2" t="s">
        <v>6207</v>
      </c>
    </row>
    <row r="4819" spans="1:4" ht="12.95" customHeight="1" x14ac:dyDescent="0.25">
      <c r="A4819" s="2" t="s">
        <v>747</v>
      </c>
      <c r="B4819" s="2" t="s">
        <v>1272</v>
      </c>
      <c r="C4819" s="5" t="s">
        <v>1131</v>
      </c>
      <c r="D4819" s="2" t="s">
        <v>6188</v>
      </c>
    </row>
    <row r="4820" spans="1:4" ht="12.95" customHeight="1" x14ac:dyDescent="0.25">
      <c r="A4820" s="2" t="s">
        <v>747</v>
      </c>
      <c r="B4820" s="2" t="s">
        <v>1272</v>
      </c>
      <c r="C4820" s="5" t="s">
        <v>1133</v>
      </c>
      <c r="D4820" s="2" t="s">
        <v>6189</v>
      </c>
    </row>
    <row r="4821" spans="1:4" ht="12.95" customHeight="1" x14ac:dyDescent="0.25">
      <c r="A4821" s="2" t="s">
        <v>747</v>
      </c>
      <c r="B4821" s="2" t="s">
        <v>1272</v>
      </c>
      <c r="C4821" s="5" t="s">
        <v>1135</v>
      </c>
      <c r="D4821" s="2" t="s">
        <v>6208</v>
      </c>
    </row>
    <row r="4822" spans="1:4" ht="12.95" customHeight="1" x14ac:dyDescent="0.25">
      <c r="A4822" s="2" t="s">
        <v>747</v>
      </c>
      <c r="B4822" s="2" t="s">
        <v>1272</v>
      </c>
      <c r="C4822" s="5" t="s">
        <v>1137</v>
      </c>
      <c r="D4822" s="2" t="s">
        <v>6209</v>
      </c>
    </row>
    <row r="4823" spans="1:4" ht="12.95" customHeight="1" x14ac:dyDescent="0.25">
      <c r="A4823" s="2" t="s">
        <v>747</v>
      </c>
      <c r="B4823" s="2" t="s">
        <v>1272</v>
      </c>
      <c r="C4823" s="5" t="s">
        <v>1139</v>
      </c>
      <c r="D4823" s="2" t="s">
        <v>1106</v>
      </c>
    </row>
    <row r="4824" spans="1:4" ht="12.95" customHeight="1" x14ac:dyDescent="0.25">
      <c r="A4824" s="2" t="s">
        <v>747</v>
      </c>
      <c r="B4824" s="2" t="s">
        <v>1272</v>
      </c>
      <c r="C4824" s="5" t="s">
        <v>1141</v>
      </c>
      <c r="D4824" s="2" t="s">
        <v>6210</v>
      </c>
    </row>
    <row r="4825" spans="1:4" ht="12.95" customHeight="1" x14ac:dyDescent="0.25">
      <c r="A4825" s="2" t="s">
        <v>747</v>
      </c>
      <c r="B4825" s="2" t="s">
        <v>1272</v>
      </c>
      <c r="C4825" s="5" t="s">
        <v>1295</v>
      </c>
      <c r="D4825" s="2" t="s">
        <v>6194</v>
      </c>
    </row>
    <row r="4826" spans="1:4" ht="12.95" customHeight="1" x14ac:dyDescent="0.25">
      <c r="A4826" s="2" t="s">
        <v>747</v>
      </c>
      <c r="B4826" s="2" t="s">
        <v>1272</v>
      </c>
      <c r="C4826" s="5" t="s">
        <v>1111</v>
      </c>
      <c r="D4826" s="2" t="s">
        <v>6211</v>
      </c>
    </row>
    <row r="4827" spans="1:4" ht="12.95" customHeight="1" x14ac:dyDescent="0.25">
      <c r="A4827" s="2" t="s">
        <v>749</v>
      </c>
      <c r="B4827" s="2" t="s">
        <v>1272</v>
      </c>
      <c r="C4827" s="5" t="s">
        <v>1102</v>
      </c>
      <c r="D4827" s="2" t="s">
        <v>1103</v>
      </c>
    </row>
    <row r="4828" spans="1:4" ht="12.95" customHeight="1" x14ac:dyDescent="0.25">
      <c r="A4828" s="2" t="s">
        <v>749</v>
      </c>
      <c r="B4828" s="2" t="s">
        <v>1272</v>
      </c>
      <c r="C4828" s="5" t="s">
        <v>1084</v>
      </c>
      <c r="D4828" s="2" t="s">
        <v>1153</v>
      </c>
    </row>
    <row r="4829" spans="1:4" ht="12.95" customHeight="1" x14ac:dyDescent="0.25">
      <c r="A4829" s="2" t="s">
        <v>749</v>
      </c>
      <c r="B4829" s="2" t="s">
        <v>1272</v>
      </c>
      <c r="C4829" s="5" t="s">
        <v>1086</v>
      </c>
      <c r="D4829" s="2" t="s">
        <v>1147</v>
      </c>
    </row>
    <row r="4830" spans="1:4" ht="12.95" customHeight="1" x14ac:dyDescent="0.25">
      <c r="A4830" s="2" t="s">
        <v>749</v>
      </c>
      <c r="B4830" s="2" t="s">
        <v>1272</v>
      </c>
      <c r="C4830" s="5" t="s">
        <v>1088</v>
      </c>
      <c r="D4830" s="2" t="s">
        <v>1089</v>
      </c>
    </row>
    <row r="4831" spans="1:4" ht="12.95" customHeight="1" x14ac:dyDescent="0.25">
      <c r="A4831" s="2" t="s">
        <v>749</v>
      </c>
      <c r="B4831" s="2" t="s">
        <v>1272</v>
      </c>
      <c r="C4831" s="5" t="s">
        <v>1090</v>
      </c>
      <c r="D4831" s="2" t="s">
        <v>927</v>
      </c>
    </row>
    <row r="4832" spans="1:4" ht="12.95" customHeight="1" x14ac:dyDescent="0.25">
      <c r="A4832" s="2" t="s">
        <v>749</v>
      </c>
      <c r="B4832" s="2" t="s">
        <v>1272</v>
      </c>
      <c r="C4832" s="5" t="s">
        <v>1092</v>
      </c>
      <c r="D4832" s="2" t="s">
        <v>6199</v>
      </c>
    </row>
    <row r="4833" spans="1:4" ht="12.95" customHeight="1" x14ac:dyDescent="0.25">
      <c r="A4833" s="2" t="s">
        <v>749</v>
      </c>
      <c r="B4833" s="2" t="s">
        <v>1272</v>
      </c>
      <c r="C4833" s="5" t="s">
        <v>1094</v>
      </c>
      <c r="D4833" s="2" t="s">
        <v>6178</v>
      </c>
    </row>
    <row r="4834" spans="1:4" ht="12.95" customHeight="1" x14ac:dyDescent="0.25">
      <c r="A4834" s="2" t="s">
        <v>749</v>
      </c>
      <c r="B4834" s="2" t="s">
        <v>1272</v>
      </c>
      <c r="C4834" s="5" t="s">
        <v>1096</v>
      </c>
      <c r="D4834" s="2" t="s">
        <v>6179</v>
      </c>
    </row>
    <row r="4835" spans="1:4" ht="12.95" customHeight="1" x14ac:dyDescent="0.25">
      <c r="A4835" s="2" t="s">
        <v>749</v>
      </c>
      <c r="B4835" s="2" t="s">
        <v>1272</v>
      </c>
      <c r="C4835" s="5" t="s">
        <v>1098</v>
      </c>
      <c r="D4835" s="2" t="s">
        <v>6200</v>
      </c>
    </row>
    <row r="4836" spans="1:4" ht="12.95" customHeight="1" x14ac:dyDescent="0.25">
      <c r="A4836" s="2" t="s">
        <v>749</v>
      </c>
      <c r="B4836" s="2" t="s">
        <v>1272</v>
      </c>
      <c r="C4836" s="5" t="s">
        <v>1100</v>
      </c>
      <c r="D4836" s="2" t="s">
        <v>6201</v>
      </c>
    </row>
    <row r="4837" spans="1:4" ht="12.95" customHeight="1" x14ac:dyDescent="0.25">
      <c r="A4837" s="2" t="s">
        <v>749</v>
      </c>
      <c r="B4837" s="2" t="s">
        <v>1272</v>
      </c>
      <c r="C4837" s="5" t="s">
        <v>1109</v>
      </c>
      <c r="D4837" s="2" t="s">
        <v>6202</v>
      </c>
    </row>
    <row r="4838" spans="1:4" ht="12.95" customHeight="1" x14ac:dyDescent="0.25">
      <c r="A4838" s="2" t="s">
        <v>749</v>
      </c>
      <c r="B4838" s="2" t="s">
        <v>1272</v>
      </c>
      <c r="C4838" s="5" t="s">
        <v>1119</v>
      </c>
      <c r="D4838" s="2" t="s">
        <v>6203</v>
      </c>
    </row>
    <row r="4839" spans="1:4" ht="12.95" customHeight="1" x14ac:dyDescent="0.25">
      <c r="A4839" s="2" t="s">
        <v>749</v>
      </c>
      <c r="B4839" s="2" t="s">
        <v>1272</v>
      </c>
      <c r="C4839" s="5" t="s">
        <v>1121</v>
      </c>
      <c r="D4839" s="2" t="s">
        <v>6204</v>
      </c>
    </row>
    <row r="4840" spans="1:4" ht="12.95" customHeight="1" x14ac:dyDescent="0.25">
      <c r="A4840" s="2" t="s">
        <v>749</v>
      </c>
      <c r="B4840" s="2" t="s">
        <v>1272</v>
      </c>
      <c r="C4840" s="5" t="s">
        <v>1123</v>
      </c>
      <c r="D4840" s="2" t="s">
        <v>6205</v>
      </c>
    </row>
    <row r="4841" spans="1:4" ht="12.95" customHeight="1" x14ac:dyDescent="0.25">
      <c r="A4841" s="2" t="s">
        <v>749</v>
      </c>
      <c r="B4841" s="2" t="s">
        <v>1272</v>
      </c>
      <c r="C4841" s="5" t="s">
        <v>1125</v>
      </c>
      <c r="D4841" s="2" t="s">
        <v>6206</v>
      </c>
    </row>
    <row r="4842" spans="1:4" ht="12.95" customHeight="1" x14ac:dyDescent="0.25">
      <c r="A4842" s="2" t="s">
        <v>749</v>
      </c>
      <c r="B4842" s="2" t="s">
        <v>1272</v>
      </c>
      <c r="C4842" s="5" t="s">
        <v>1127</v>
      </c>
      <c r="D4842" s="2" t="s">
        <v>6186</v>
      </c>
    </row>
    <row r="4843" spans="1:4" ht="12.95" customHeight="1" x14ac:dyDescent="0.25">
      <c r="A4843" s="2" t="s">
        <v>749</v>
      </c>
      <c r="B4843" s="2" t="s">
        <v>1272</v>
      </c>
      <c r="C4843" s="5" t="s">
        <v>1129</v>
      </c>
      <c r="D4843" s="2" t="s">
        <v>6207</v>
      </c>
    </row>
    <row r="4844" spans="1:4" ht="12.95" customHeight="1" x14ac:dyDescent="0.25">
      <c r="A4844" s="2" t="s">
        <v>749</v>
      </c>
      <c r="B4844" s="2" t="s">
        <v>1272</v>
      </c>
      <c r="C4844" s="5" t="s">
        <v>1131</v>
      </c>
      <c r="D4844" s="2" t="s">
        <v>6188</v>
      </c>
    </row>
    <row r="4845" spans="1:4" ht="12.95" customHeight="1" x14ac:dyDescent="0.25">
      <c r="A4845" s="2" t="s">
        <v>749</v>
      </c>
      <c r="B4845" s="2" t="s">
        <v>1272</v>
      </c>
      <c r="C4845" s="5" t="s">
        <v>1133</v>
      </c>
      <c r="D4845" s="2" t="s">
        <v>6189</v>
      </c>
    </row>
    <row r="4846" spans="1:4" ht="12.95" customHeight="1" x14ac:dyDescent="0.25">
      <c r="A4846" s="2" t="s">
        <v>749</v>
      </c>
      <c r="B4846" s="2" t="s">
        <v>1272</v>
      </c>
      <c r="C4846" s="5" t="s">
        <v>1135</v>
      </c>
      <c r="D4846" s="2" t="s">
        <v>6208</v>
      </c>
    </row>
    <row r="4847" spans="1:4" ht="12.95" customHeight="1" x14ac:dyDescent="0.25">
      <c r="A4847" s="2" t="s">
        <v>749</v>
      </c>
      <c r="B4847" s="2" t="s">
        <v>1272</v>
      </c>
      <c r="C4847" s="5" t="s">
        <v>1137</v>
      </c>
      <c r="D4847" s="2" t="s">
        <v>6209</v>
      </c>
    </row>
    <row r="4848" spans="1:4" ht="12.95" customHeight="1" x14ac:dyDescent="0.25">
      <c r="A4848" s="2" t="s">
        <v>749</v>
      </c>
      <c r="B4848" s="2" t="s">
        <v>1272</v>
      </c>
      <c r="C4848" s="5" t="s">
        <v>1139</v>
      </c>
      <c r="D4848" s="2" t="s">
        <v>1106</v>
      </c>
    </row>
    <row r="4849" spans="1:4" ht="12.95" customHeight="1" x14ac:dyDescent="0.25">
      <c r="A4849" s="2" t="s">
        <v>749</v>
      </c>
      <c r="B4849" s="2" t="s">
        <v>1272</v>
      </c>
      <c r="C4849" s="5" t="s">
        <v>1141</v>
      </c>
      <c r="D4849" s="2" t="s">
        <v>6210</v>
      </c>
    </row>
    <row r="4850" spans="1:4" ht="12.95" customHeight="1" x14ac:dyDescent="0.25">
      <c r="A4850" s="2" t="s">
        <v>749</v>
      </c>
      <c r="B4850" s="2" t="s">
        <v>1272</v>
      </c>
      <c r="C4850" s="5" t="s">
        <v>1295</v>
      </c>
      <c r="D4850" s="2" t="s">
        <v>6194</v>
      </c>
    </row>
    <row r="4851" spans="1:4" ht="12.95" customHeight="1" x14ac:dyDescent="0.25">
      <c r="A4851" s="2" t="s">
        <v>749</v>
      </c>
      <c r="B4851" s="2" t="s">
        <v>1272</v>
      </c>
      <c r="C4851" s="5" t="s">
        <v>1111</v>
      </c>
      <c r="D4851" s="2" t="s">
        <v>6211</v>
      </c>
    </row>
    <row r="4852" spans="1:4" ht="12.95" customHeight="1" x14ac:dyDescent="0.25">
      <c r="A4852" s="2" t="s">
        <v>751</v>
      </c>
      <c r="B4852" s="2" t="s">
        <v>1272</v>
      </c>
      <c r="C4852" s="5" t="s">
        <v>1102</v>
      </c>
      <c r="D4852" s="2" t="s">
        <v>1103</v>
      </c>
    </row>
    <row r="4853" spans="1:4" ht="12.95" customHeight="1" x14ac:dyDescent="0.25">
      <c r="A4853" s="2" t="s">
        <v>751</v>
      </c>
      <c r="B4853" s="2" t="s">
        <v>1272</v>
      </c>
      <c r="C4853" s="5" t="s">
        <v>1084</v>
      </c>
      <c r="D4853" s="2" t="s">
        <v>1153</v>
      </c>
    </row>
    <row r="4854" spans="1:4" ht="12.95" customHeight="1" x14ac:dyDescent="0.25">
      <c r="A4854" s="2" t="s">
        <v>751</v>
      </c>
      <c r="B4854" s="2" t="s">
        <v>1272</v>
      </c>
      <c r="C4854" s="5" t="s">
        <v>1086</v>
      </c>
      <c r="D4854" s="2" t="s">
        <v>1147</v>
      </c>
    </row>
    <row r="4855" spans="1:4" ht="12.95" customHeight="1" x14ac:dyDescent="0.25">
      <c r="A4855" s="2" t="s">
        <v>751</v>
      </c>
      <c r="B4855" s="2" t="s">
        <v>1272</v>
      </c>
      <c r="C4855" s="5" t="s">
        <v>1088</v>
      </c>
      <c r="D4855" s="2" t="s">
        <v>1089</v>
      </c>
    </row>
    <row r="4856" spans="1:4" ht="12.95" customHeight="1" x14ac:dyDescent="0.25">
      <c r="A4856" s="2" t="s">
        <v>751</v>
      </c>
      <c r="B4856" s="2" t="s">
        <v>1272</v>
      </c>
      <c r="C4856" s="5" t="s">
        <v>1090</v>
      </c>
      <c r="D4856" s="2" t="s">
        <v>927</v>
      </c>
    </row>
    <row r="4857" spans="1:4" ht="12.95" customHeight="1" x14ac:dyDescent="0.25">
      <c r="A4857" s="2" t="s">
        <v>751</v>
      </c>
      <c r="B4857" s="2" t="s">
        <v>1272</v>
      </c>
      <c r="C4857" s="5" t="s">
        <v>1092</v>
      </c>
      <c r="D4857" s="2" t="s">
        <v>6199</v>
      </c>
    </row>
    <row r="4858" spans="1:4" ht="12.95" customHeight="1" x14ac:dyDescent="0.25">
      <c r="A4858" s="2" t="s">
        <v>751</v>
      </c>
      <c r="B4858" s="2" t="s">
        <v>1272</v>
      </c>
      <c r="C4858" s="5" t="s">
        <v>1094</v>
      </c>
      <c r="D4858" s="2" t="s">
        <v>6178</v>
      </c>
    </row>
    <row r="4859" spans="1:4" ht="12.95" customHeight="1" x14ac:dyDescent="0.25">
      <c r="A4859" s="2" t="s">
        <v>751</v>
      </c>
      <c r="B4859" s="2" t="s">
        <v>1272</v>
      </c>
      <c r="C4859" s="5" t="s">
        <v>1096</v>
      </c>
      <c r="D4859" s="2" t="s">
        <v>6179</v>
      </c>
    </row>
    <row r="4860" spans="1:4" ht="12.95" customHeight="1" x14ac:dyDescent="0.25">
      <c r="A4860" s="2" t="s">
        <v>751</v>
      </c>
      <c r="B4860" s="2" t="s">
        <v>1272</v>
      </c>
      <c r="C4860" s="5" t="s">
        <v>1098</v>
      </c>
      <c r="D4860" s="2" t="s">
        <v>6200</v>
      </c>
    </row>
    <row r="4861" spans="1:4" ht="12.95" customHeight="1" x14ac:dyDescent="0.25">
      <c r="A4861" s="2" t="s">
        <v>751</v>
      </c>
      <c r="B4861" s="2" t="s">
        <v>1272</v>
      </c>
      <c r="C4861" s="5" t="s">
        <v>1100</v>
      </c>
      <c r="D4861" s="2" t="s">
        <v>6201</v>
      </c>
    </row>
    <row r="4862" spans="1:4" ht="12.95" customHeight="1" x14ac:dyDescent="0.25">
      <c r="A4862" s="2" t="s">
        <v>751</v>
      </c>
      <c r="B4862" s="2" t="s">
        <v>1272</v>
      </c>
      <c r="C4862" s="5" t="s">
        <v>1109</v>
      </c>
      <c r="D4862" s="2" t="s">
        <v>6202</v>
      </c>
    </row>
    <row r="4863" spans="1:4" ht="12.95" customHeight="1" x14ac:dyDescent="0.25">
      <c r="A4863" s="2" t="s">
        <v>751</v>
      </c>
      <c r="B4863" s="2" t="s">
        <v>1272</v>
      </c>
      <c r="C4863" s="5" t="s">
        <v>1119</v>
      </c>
      <c r="D4863" s="2" t="s">
        <v>6203</v>
      </c>
    </row>
    <row r="4864" spans="1:4" ht="12.95" customHeight="1" x14ac:dyDescent="0.25">
      <c r="A4864" s="2" t="s">
        <v>751</v>
      </c>
      <c r="B4864" s="2" t="s">
        <v>1272</v>
      </c>
      <c r="C4864" s="5" t="s">
        <v>1121</v>
      </c>
      <c r="D4864" s="2" t="s">
        <v>6204</v>
      </c>
    </row>
    <row r="4865" spans="1:4" ht="12.95" customHeight="1" x14ac:dyDescent="0.25">
      <c r="A4865" s="2" t="s">
        <v>751</v>
      </c>
      <c r="B4865" s="2" t="s">
        <v>1272</v>
      </c>
      <c r="C4865" s="5" t="s">
        <v>1123</v>
      </c>
      <c r="D4865" s="2" t="s">
        <v>6205</v>
      </c>
    </row>
    <row r="4866" spans="1:4" ht="12.95" customHeight="1" x14ac:dyDescent="0.25">
      <c r="A4866" s="2" t="s">
        <v>751</v>
      </c>
      <c r="B4866" s="2" t="s">
        <v>1272</v>
      </c>
      <c r="C4866" s="5" t="s">
        <v>1125</v>
      </c>
      <c r="D4866" s="2" t="s">
        <v>6206</v>
      </c>
    </row>
    <row r="4867" spans="1:4" ht="12.95" customHeight="1" x14ac:dyDescent="0.25">
      <c r="A4867" s="2" t="s">
        <v>751</v>
      </c>
      <c r="B4867" s="2" t="s">
        <v>1272</v>
      </c>
      <c r="C4867" s="5" t="s">
        <v>1127</v>
      </c>
      <c r="D4867" s="2" t="s">
        <v>6186</v>
      </c>
    </row>
    <row r="4868" spans="1:4" ht="12.95" customHeight="1" x14ac:dyDescent="0.25">
      <c r="A4868" s="2" t="s">
        <v>751</v>
      </c>
      <c r="B4868" s="2" t="s">
        <v>1272</v>
      </c>
      <c r="C4868" s="5" t="s">
        <v>1129</v>
      </c>
      <c r="D4868" s="2" t="s">
        <v>6207</v>
      </c>
    </row>
    <row r="4869" spans="1:4" ht="12.95" customHeight="1" x14ac:dyDescent="0.25">
      <c r="A4869" s="2" t="s">
        <v>751</v>
      </c>
      <c r="B4869" s="2" t="s">
        <v>1272</v>
      </c>
      <c r="C4869" s="5" t="s">
        <v>1131</v>
      </c>
      <c r="D4869" s="2" t="s">
        <v>6188</v>
      </c>
    </row>
    <row r="4870" spans="1:4" ht="12.95" customHeight="1" x14ac:dyDescent="0.25">
      <c r="A4870" s="2" t="s">
        <v>751</v>
      </c>
      <c r="B4870" s="2" t="s">
        <v>1272</v>
      </c>
      <c r="C4870" s="5" t="s">
        <v>1133</v>
      </c>
      <c r="D4870" s="2" t="s">
        <v>6189</v>
      </c>
    </row>
    <row r="4871" spans="1:4" ht="12.95" customHeight="1" x14ac:dyDescent="0.25">
      <c r="A4871" s="2" t="s">
        <v>751</v>
      </c>
      <c r="B4871" s="2" t="s">
        <v>1272</v>
      </c>
      <c r="C4871" s="5" t="s">
        <v>1135</v>
      </c>
      <c r="D4871" s="2" t="s">
        <v>6208</v>
      </c>
    </row>
    <row r="4872" spans="1:4" ht="12.95" customHeight="1" x14ac:dyDescent="0.25">
      <c r="A4872" s="2" t="s">
        <v>751</v>
      </c>
      <c r="B4872" s="2" t="s">
        <v>1272</v>
      </c>
      <c r="C4872" s="5" t="s">
        <v>1137</v>
      </c>
      <c r="D4872" s="2" t="s">
        <v>6209</v>
      </c>
    </row>
    <row r="4873" spans="1:4" ht="12.95" customHeight="1" x14ac:dyDescent="0.25">
      <c r="A4873" s="2" t="s">
        <v>751</v>
      </c>
      <c r="B4873" s="2" t="s">
        <v>1272</v>
      </c>
      <c r="C4873" s="5" t="s">
        <v>1139</v>
      </c>
      <c r="D4873" s="2" t="s">
        <v>1106</v>
      </c>
    </row>
    <row r="4874" spans="1:4" ht="12.95" customHeight="1" x14ac:dyDescent="0.25">
      <c r="A4874" s="2" t="s">
        <v>751</v>
      </c>
      <c r="B4874" s="2" t="s">
        <v>1272</v>
      </c>
      <c r="C4874" s="5" t="s">
        <v>1141</v>
      </c>
      <c r="D4874" s="2" t="s">
        <v>6210</v>
      </c>
    </row>
    <row r="4875" spans="1:4" ht="12.95" customHeight="1" x14ac:dyDescent="0.25">
      <c r="A4875" s="2" t="s">
        <v>751</v>
      </c>
      <c r="B4875" s="2" t="s">
        <v>1272</v>
      </c>
      <c r="C4875" s="5" t="s">
        <v>1295</v>
      </c>
      <c r="D4875" s="2" t="s">
        <v>6194</v>
      </c>
    </row>
    <row r="4876" spans="1:4" ht="12.95" customHeight="1" x14ac:dyDescent="0.25">
      <c r="A4876" s="2" t="s">
        <v>751</v>
      </c>
      <c r="B4876" s="2" t="s">
        <v>1272</v>
      </c>
      <c r="C4876" s="5" t="s">
        <v>1111</v>
      </c>
      <c r="D4876" s="2" t="s">
        <v>6211</v>
      </c>
    </row>
    <row r="4877" spans="1:4" ht="12.95" customHeight="1" x14ac:dyDescent="0.25">
      <c r="A4877" s="2" t="s">
        <v>753</v>
      </c>
      <c r="B4877" s="2" t="s">
        <v>1272</v>
      </c>
      <c r="C4877" s="5" t="s">
        <v>1102</v>
      </c>
      <c r="D4877" s="2" t="s">
        <v>1103</v>
      </c>
    </row>
    <row r="4878" spans="1:4" ht="12.95" customHeight="1" x14ac:dyDescent="0.25">
      <c r="A4878" s="2" t="s">
        <v>753</v>
      </c>
      <c r="B4878" s="2" t="s">
        <v>1272</v>
      </c>
      <c r="C4878" s="5" t="s">
        <v>1084</v>
      </c>
      <c r="D4878" s="2" t="s">
        <v>1153</v>
      </c>
    </row>
    <row r="4879" spans="1:4" ht="12.95" customHeight="1" x14ac:dyDescent="0.25">
      <c r="A4879" s="2" t="s">
        <v>753</v>
      </c>
      <c r="B4879" s="2" t="s">
        <v>1272</v>
      </c>
      <c r="C4879" s="5" t="s">
        <v>1086</v>
      </c>
      <c r="D4879" s="2" t="s">
        <v>1147</v>
      </c>
    </row>
    <row r="4880" spans="1:4" ht="12.95" customHeight="1" x14ac:dyDescent="0.25">
      <c r="A4880" s="2" t="s">
        <v>753</v>
      </c>
      <c r="B4880" s="2" t="s">
        <v>1272</v>
      </c>
      <c r="C4880" s="5" t="s">
        <v>1088</v>
      </c>
      <c r="D4880" s="2" t="s">
        <v>1089</v>
      </c>
    </row>
    <row r="4881" spans="1:4" ht="12.95" customHeight="1" x14ac:dyDescent="0.25">
      <c r="A4881" s="2" t="s">
        <v>753</v>
      </c>
      <c r="B4881" s="2" t="s">
        <v>1272</v>
      </c>
      <c r="C4881" s="5" t="s">
        <v>1090</v>
      </c>
      <c r="D4881" s="2" t="s">
        <v>927</v>
      </c>
    </row>
    <row r="4882" spans="1:4" ht="12.95" customHeight="1" x14ac:dyDescent="0.25">
      <c r="A4882" s="2" t="s">
        <v>753</v>
      </c>
      <c r="B4882" s="2" t="s">
        <v>1272</v>
      </c>
      <c r="C4882" s="5" t="s">
        <v>1092</v>
      </c>
      <c r="D4882" s="2" t="s">
        <v>6199</v>
      </c>
    </row>
    <row r="4883" spans="1:4" ht="12.95" customHeight="1" x14ac:dyDescent="0.25">
      <c r="A4883" s="2" t="s">
        <v>753</v>
      </c>
      <c r="B4883" s="2" t="s">
        <v>1272</v>
      </c>
      <c r="C4883" s="5" t="s">
        <v>1094</v>
      </c>
      <c r="D4883" s="2" t="s">
        <v>6178</v>
      </c>
    </row>
    <row r="4884" spans="1:4" ht="12.95" customHeight="1" x14ac:dyDescent="0.25">
      <c r="A4884" s="2" t="s">
        <v>753</v>
      </c>
      <c r="B4884" s="2" t="s">
        <v>1272</v>
      </c>
      <c r="C4884" s="5" t="s">
        <v>1096</v>
      </c>
      <c r="D4884" s="2" t="s">
        <v>6179</v>
      </c>
    </row>
    <row r="4885" spans="1:4" ht="12.95" customHeight="1" x14ac:dyDescent="0.25">
      <c r="A4885" s="2" t="s">
        <v>753</v>
      </c>
      <c r="B4885" s="2" t="s">
        <v>1272</v>
      </c>
      <c r="C4885" s="5" t="s">
        <v>1098</v>
      </c>
      <c r="D4885" s="2" t="s">
        <v>6200</v>
      </c>
    </row>
    <row r="4886" spans="1:4" ht="12.95" customHeight="1" x14ac:dyDescent="0.25">
      <c r="A4886" s="2" t="s">
        <v>753</v>
      </c>
      <c r="B4886" s="2" t="s">
        <v>1272</v>
      </c>
      <c r="C4886" s="5" t="s">
        <v>1100</v>
      </c>
      <c r="D4886" s="2" t="s">
        <v>6201</v>
      </c>
    </row>
    <row r="4887" spans="1:4" ht="12.95" customHeight="1" x14ac:dyDescent="0.25">
      <c r="A4887" s="2" t="s">
        <v>753</v>
      </c>
      <c r="B4887" s="2" t="s">
        <v>1272</v>
      </c>
      <c r="C4887" s="5" t="s">
        <v>1109</v>
      </c>
      <c r="D4887" s="2" t="s">
        <v>6202</v>
      </c>
    </row>
    <row r="4888" spans="1:4" ht="12.95" customHeight="1" x14ac:dyDescent="0.25">
      <c r="A4888" s="2" t="s">
        <v>753</v>
      </c>
      <c r="B4888" s="2" t="s">
        <v>1272</v>
      </c>
      <c r="C4888" s="5" t="s">
        <v>1119</v>
      </c>
      <c r="D4888" s="2" t="s">
        <v>6203</v>
      </c>
    </row>
    <row r="4889" spans="1:4" ht="12.95" customHeight="1" x14ac:dyDescent="0.25">
      <c r="A4889" s="2" t="s">
        <v>753</v>
      </c>
      <c r="B4889" s="2" t="s">
        <v>1272</v>
      </c>
      <c r="C4889" s="5" t="s">
        <v>1121</v>
      </c>
      <c r="D4889" s="2" t="s">
        <v>6204</v>
      </c>
    </row>
    <row r="4890" spans="1:4" ht="12.95" customHeight="1" x14ac:dyDescent="0.25">
      <c r="A4890" s="2" t="s">
        <v>753</v>
      </c>
      <c r="B4890" s="2" t="s">
        <v>1272</v>
      </c>
      <c r="C4890" s="5" t="s">
        <v>1123</v>
      </c>
      <c r="D4890" s="2" t="s">
        <v>6205</v>
      </c>
    </row>
    <row r="4891" spans="1:4" ht="12.95" customHeight="1" x14ac:dyDescent="0.25">
      <c r="A4891" s="2" t="s">
        <v>753</v>
      </c>
      <c r="B4891" s="2" t="s">
        <v>1272</v>
      </c>
      <c r="C4891" s="5" t="s">
        <v>1125</v>
      </c>
      <c r="D4891" s="2" t="s">
        <v>6206</v>
      </c>
    </row>
    <row r="4892" spans="1:4" ht="12.95" customHeight="1" x14ac:dyDescent="0.25">
      <c r="A4892" s="2" t="s">
        <v>753</v>
      </c>
      <c r="B4892" s="2" t="s">
        <v>1272</v>
      </c>
      <c r="C4892" s="5" t="s">
        <v>1127</v>
      </c>
      <c r="D4892" s="2" t="s">
        <v>6186</v>
      </c>
    </row>
    <row r="4893" spans="1:4" ht="12.95" customHeight="1" x14ac:dyDescent="0.25">
      <c r="A4893" s="2" t="s">
        <v>753</v>
      </c>
      <c r="B4893" s="2" t="s">
        <v>1272</v>
      </c>
      <c r="C4893" s="5" t="s">
        <v>1129</v>
      </c>
      <c r="D4893" s="2" t="s">
        <v>6207</v>
      </c>
    </row>
    <row r="4894" spans="1:4" ht="12.95" customHeight="1" x14ac:dyDescent="0.25">
      <c r="A4894" s="2" t="s">
        <v>753</v>
      </c>
      <c r="B4894" s="2" t="s">
        <v>1272</v>
      </c>
      <c r="C4894" s="5" t="s">
        <v>1131</v>
      </c>
      <c r="D4894" s="2" t="s">
        <v>6188</v>
      </c>
    </row>
    <row r="4895" spans="1:4" ht="12.95" customHeight="1" x14ac:dyDescent="0.25">
      <c r="A4895" s="2" t="s">
        <v>753</v>
      </c>
      <c r="B4895" s="2" t="s">
        <v>1272</v>
      </c>
      <c r="C4895" s="5" t="s">
        <v>1133</v>
      </c>
      <c r="D4895" s="2" t="s">
        <v>6189</v>
      </c>
    </row>
    <row r="4896" spans="1:4" ht="12.95" customHeight="1" x14ac:dyDescent="0.25">
      <c r="A4896" s="2" t="s">
        <v>753</v>
      </c>
      <c r="B4896" s="2" t="s">
        <v>1272</v>
      </c>
      <c r="C4896" s="5" t="s">
        <v>1135</v>
      </c>
      <c r="D4896" s="2" t="s">
        <v>6208</v>
      </c>
    </row>
    <row r="4897" spans="1:4" ht="12.95" customHeight="1" x14ac:dyDescent="0.25">
      <c r="A4897" s="2" t="s">
        <v>753</v>
      </c>
      <c r="B4897" s="2" t="s">
        <v>1272</v>
      </c>
      <c r="C4897" s="5" t="s">
        <v>1137</v>
      </c>
      <c r="D4897" s="2" t="s">
        <v>6209</v>
      </c>
    </row>
    <row r="4898" spans="1:4" ht="12.95" customHeight="1" x14ac:dyDescent="0.25">
      <c r="A4898" s="2" t="s">
        <v>753</v>
      </c>
      <c r="B4898" s="2" t="s">
        <v>1272</v>
      </c>
      <c r="C4898" s="5" t="s">
        <v>1139</v>
      </c>
      <c r="D4898" s="2" t="s">
        <v>1106</v>
      </c>
    </row>
    <row r="4899" spans="1:4" ht="12.95" customHeight="1" x14ac:dyDescent="0.25">
      <c r="A4899" s="2" t="s">
        <v>753</v>
      </c>
      <c r="B4899" s="2" t="s">
        <v>1272</v>
      </c>
      <c r="C4899" s="5" t="s">
        <v>1141</v>
      </c>
      <c r="D4899" s="2" t="s">
        <v>6210</v>
      </c>
    </row>
    <row r="4900" spans="1:4" ht="12.95" customHeight="1" x14ac:dyDescent="0.25">
      <c r="A4900" s="2" t="s">
        <v>753</v>
      </c>
      <c r="B4900" s="2" t="s">
        <v>1272</v>
      </c>
      <c r="C4900" s="5" t="s">
        <v>1295</v>
      </c>
      <c r="D4900" s="2" t="s">
        <v>6194</v>
      </c>
    </row>
    <row r="4901" spans="1:4" ht="12.95" customHeight="1" x14ac:dyDescent="0.25">
      <c r="A4901" s="2" t="s">
        <v>753</v>
      </c>
      <c r="B4901" s="2" t="s">
        <v>1272</v>
      </c>
      <c r="C4901" s="5" t="s">
        <v>1111</v>
      </c>
      <c r="D4901" s="2" t="s">
        <v>6211</v>
      </c>
    </row>
    <row r="4902" spans="1:4" ht="12.95" customHeight="1" x14ac:dyDescent="0.25">
      <c r="A4902" s="2" t="s">
        <v>755</v>
      </c>
      <c r="B4902" s="2" t="s">
        <v>1272</v>
      </c>
      <c r="C4902" s="5" t="s">
        <v>1102</v>
      </c>
      <c r="D4902" s="2" t="s">
        <v>1103</v>
      </c>
    </row>
    <row r="4903" spans="1:4" ht="12.95" customHeight="1" x14ac:dyDescent="0.25">
      <c r="A4903" s="2" t="s">
        <v>755</v>
      </c>
      <c r="B4903" s="2" t="s">
        <v>1272</v>
      </c>
      <c r="C4903" s="5" t="s">
        <v>1084</v>
      </c>
      <c r="D4903" s="2" t="s">
        <v>1153</v>
      </c>
    </row>
    <row r="4904" spans="1:4" ht="12.95" customHeight="1" x14ac:dyDescent="0.25">
      <c r="A4904" s="2" t="s">
        <v>755</v>
      </c>
      <c r="B4904" s="2" t="s">
        <v>1272</v>
      </c>
      <c r="C4904" s="5" t="s">
        <v>1086</v>
      </c>
      <c r="D4904" s="2" t="s">
        <v>1147</v>
      </c>
    </row>
    <row r="4905" spans="1:4" ht="12.95" customHeight="1" x14ac:dyDescent="0.25">
      <c r="A4905" s="2" t="s">
        <v>755</v>
      </c>
      <c r="B4905" s="2" t="s">
        <v>1272</v>
      </c>
      <c r="C4905" s="5" t="s">
        <v>1088</v>
      </c>
      <c r="D4905" s="2" t="s">
        <v>1089</v>
      </c>
    </row>
    <row r="4906" spans="1:4" ht="12.95" customHeight="1" x14ac:dyDescent="0.25">
      <c r="A4906" s="2" t="s">
        <v>755</v>
      </c>
      <c r="B4906" s="2" t="s">
        <v>1272</v>
      </c>
      <c r="C4906" s="5" t="s">
        <v>1090</v>
      </c>
      <c r="D4906" s="2" t="s">
        <v>927</v>
      </c>
    </row>
    <row r="4907" spans="1:4" ht="12.95" customHeight="1" x14ac:dyDescent="0.25">
      <c r="A4907" s="2" t="s">
        <v>755</v>
      </c>
      <c r="B4907" s="2" t="s">
        <v>1272</v>
      </c>
      <c r="C4907" s="5" t="s">
        <v>1092</v>
      </c>
      <c r="D4907" s="2" t="s">
        <v>6199</v>
      </c>
    </row>
    <row r="4908" spans="1:4" ht="12.95" customHeight="1" x14ac:dyDescent="0.25">
      <c r="A4908" s="2" t="s">
        <v>755</v>
      </c>
      <c r="B4908" s="2" t="s">
        <v>1272</v>
      </c>
      <c r="C4908" s="5" t="s">
        <v>1094</v>
      </c>
      <c r="D4908" s="2" t="s">
        <v>6178</v>
      </c>
    </row>
    <row r="4909" spans="1:4" ht="12.95" customHeight="1" x14ac:dyDescent="0.25">
      <c r="A4909" s="2" t="s">
        <v>755</v>
      </c>
      <c r="B4909" s="2" t="s">
        <v>1272</v>
      </c>
      <c r="C4909" s="5" t="s">
        <v>1096</v>
      </c>
      <c r="D4909" s="2" t="s">
        <v>6179</v>
      </c>
    </row>
    <row r="4910" spans="1:4" ht="12.95" customHeight="1" x14ac:dyDescent="0.25">
      <c r="A4910" s="2" t="s">
        <v>755</v>
      </c>
      <c r="B4910" s="2" t="s">
        <v>1272</v>
      </c>
      <c r="C4910" s="5" t="s">
        <v>1098</v>
      </c>
      <c r="D4910" s="2" t="s">
        <v>6200</v>
      </c>
    </row>
    <row r="4911" spans="1:4" ht="12.95" customHeight="1" x14ac:dyDescent="0.25">
      <c r="A4911" s="2" t="s">
        <v>755</v>
      </c>
      <c r="B4911" s="2" t="s">
        <v>1272</v>
      </c>
      <c r="C4911" s="5" t="s">
        <v>1100</v>
      </c>
      <c r="D4911" s="2" t="s">
        <v>6201</v>
      </c>
    </row>
    <row r="4912" spans="1:4" ht="12.95" customHeight="1" x14ac:dyDescent="0.25">
      <c r="A4912" s="2" t="s">
        <v>755</v>
      </c>
      <c r="B4912" s="2" t="s">
        <v>1272</v>
      </c>
      <c r="C4912" s="5" t="s">
        <v>1109</v>
      </c>
      <c r="D4912" s="2" t="s">
        <v>6202</v>
      </c>
    </row>
    <row r="4913" spans="1:4" ht="12.95" customHeight="1" x14ac:dyDescent="0.25">
      <c r="A4913" s="2" t="s">
        <v>755</v>
      </c>
      <c r="B4913" s="2" t="s">
        <v>1272</v>
      </c>
      <c r="C4913" s="5" t="s">
        <v>1119</v>
      </c>
      <c r="D4913" s="2" t="s">
        <v>6203</v>
      </c>
    </row>
    <row r="4914" spans="1:4" ht="12.95" customHeight="1" x14ac:dyDescent="0.25">
      <c r="A4914" s="2" t="s">
        <v>755</v>
      </c>
      <c r="B4914" s="2" t="s">
        <v>1272</v>
      </c>
      <c r="C4914" s="5" t="s">
        <v>1121</v>
      </c>
      <c r="D4914" s="2" t="s">
        <v>6204</v>
      </c>
    </row>
    <row r="4915" spans="1:4" ht="12.95" customHeight="1" x14ac:dyDescent="0.25">
      <c r="A4915" s="2" t="s">
        <v>755</v>
      </c>
      <c r="B4915" s="2" t="s">
        <v>1272</v>
      </c>
      <c r="C4915" s="5" t="s">
        <v>1123</v>
      </c>
      <c r="D4915" s="2" t="s">
        <v>6205</v>
      </c>
    </row>
    <row r="4916" spans="1:4" ht="12.95" customHeight="1" x14ac:dyDescent="0.25">
      <c r="A4916" s="2" t="s">
        <v>755</v>
      </c>
      <c r="B4916" s="2" t="s">
        <v>1272</v>
      </c>
      <c r="C4916" s="5" t="s">
        <v>1125</v>
      </c>
      <c r="D4916" s="2" t="s">
        <v>6206</v>
      </c>
    </row>
    <row r="4917" spans="1:4" ht="12.95" customHeight="1" x14ac:dyDescent="0.25">
      <c r="A4917" s="2" t="s">
        <v>755</v>
      </c>
      <c r="B4917" s="2" t="s">
        <v>1272</v>
      </c>
      <c r="C4917" s="5" t="s">
        <v>1127</v>
      </c>
      <c r="D4917" s="2" t="s">
        <v>6186</v>
      </c>
    </row>
    <row r="4918" spans="1:4" ht="12.95" customHeight="1" x14ac:dyDescent="0.25">
      <c r="A4918" s="2" t="s">
        <v>755</v>
      </c>
      <c r="B4918" s="2" t="s">
        <v>1272</v>
      </c>
      <c r="C4918" s="5" t="s">
        <v>1129</v>
      </c>
      <c r="D4918" s="2" t="s">
        <v>6207</v>
      </c>
    </row>
    <row r="4919" spans="1:4" ht="12.95" customHeight="1" x14ac:dyDescent="0.25">
      <c r="A4919" s="2" t="s">
        <v>755</v>
      </c>
      <c r="B4919" s="2" t="s">
        <v>1272</v>
      </c>
      <c r="C4919" s="5" t="s">
        <v>1131</v>
      </c>
      <c r="D4919" s="2" t="s">
        <v>6188</v>
      </c>
    </row>
    <row r="4920" spans="1:4" ht="12.95" customHeight="1" x14ac:dyDescent="0.25">
      <c r="A4920" s="2" t="s">
        <v>755</v>
      </c>
      <c r="B4920" s="2" t="s">
        <v>1272</v>
      </c>
      <c r="C4920" s="5" t="s">
        <v>1133</v>
      </c>
      <c r="D4920" s="2" t="s">
        <v>6189</v>
      </c>
    </row>
    <row r="4921" spans="1:4" ht="12.95" customHeight="1" x14ac:dyDescent="0.25">
      <c r="A4921" s="2" t="s">
        <v>755</v>
      </c>
      <c r="B4921" s="2" t="s">
        <v>1272</v>
      </c>
      <c r="C4921" s="5" t="s">
        <v>1135</v>
      </c>
      <c r="D4921" s="2" t="s">
        <v>6208</v>
      </c>
    </row>
    <row r="4922" spans="1:4" ht="12.95" customHeight="1" x14ac:dyDescent="0.25">
      <c r="A4922" s="2" t="s">
        <v>755</v>
      </c>
      <c r="B4922" s="2" t="s">
        <v>1272</v>
      </c>
      <c r="C4922" s="5" t="s">
        <v>1137</v>
      </c>
      <c r="D4922" s="2" t="s">
        <v>6209</v>
      </c>
    </row>
    <row r="4923" spans="1:4" ht="12.95" customHeight="1" x14ac:dyDescent="0.25">
      <c r="A4923" s="2" t="s">
        <v>755</v>
      </c>
      <c r="B4923" s="2" t="s">
        <v>1272</v>
      </c>
      <c r="C4923" s="5" t="s">
        <v>1139</v>
      </c>
      <c r="D4923" s="2" t="s">
        <v>1106</v>
      </c>
    </row>
    <row r="4924" spans="1:4" ht="12.95" customHeight="1" x14ac:dyDescent="0.25">
      <c r="A4924" s="2" t="s">
        <v>755</v>
      </c>
      <c r="B4924" s="2" t="s">
        <v>1272</v>
      </c>
      <c r="C4924" s="5" t="s">
        <v>1141</v>
      </c>
      <c r="D4924" s="2" t="s">
        <v>6210</v>
      </c>
    </row>
    <row r="4925" spans="1:4" ht="12.95" customHeight="1" x14ac:dyDescent="0.25">
      <c r="A4925" s="2" t="s">
        <v>755</v>
      </c>
      <c r="B4925" s="2" t="s">
        <v>1272</v>
      </c>
      <c r="C4925" s="5" t="s">
        <v>1295</v>
      </c>
      <c r="D4925" s="2" t="s">
        <v>6194</v>
      </c>
    </row>
    <row r="4926" spans="1:4" ht="12.95" customHeight="1" x14ac:dyDescent="0.25">
      <c r="A4926" s="2" t="s">
        <v>755</v>
      </c>
      <c r="B4926" s="2" t="s">
        <v>1272</v>
      </c>
      <c r="C4926" s="5" t="s">
        <v>1111</v>
      </c>
      <c r="D4926" s="2" t="s">
        <v>6211</v>
      </c>
    </row>
    <row r="4927" spans="1:4" ht="12.95" customHeight="1" x14ac:dyDescent="0.25">
      <c r="A4927" s="2" t="s">
        <v>757</v>
      </c>
      <c r="B4927" s="2" t="s">
        <v>1272</v>
      </c>
      <c r="C4927" s="5" t="s">
        <v>1102</v>
      </c>
      <c r="D4927" s="2" t="s">
        <v>1103</v>
      </c>
    </row>
    <row r="4928" spans="1:4" ht="12.95" customHeight="1" x14ac:dyDescent="0.25">
      <c r="A4928" s="2" t="s">
        <v>757</v>
      </c>
      <c r="B4928" s="2" t="s">
        <v>1272</v>
      </c>
      <c r="C4928" s="5" t="s">
        <v>1084</v>
      </c>
      <c r="D4928" s="2" t="s">
        <v>1153</v>
      </c>
    </row>
    <row r="4929" spans="1:4" ht="12.95" customHeight="1" x14ac:dyDescent="0.25">
      <c r="A4929" s="2" t="s">
        <v>757</v>
      </c>
      <c r="B4929" s="2" t="s">
        <v>1272</v>
      </c>
      <c r="C4929" s="5" t="s">
        <v>1086</v>
      </c>
      <c r="D4929" s="2" t="s">
        <v>1147</v>
      </c>
    </row>
    <row r="4930" spans="1:4" ht="12.95" customHeight="1" x14ac:dyDescent="0.25">
      <c r="A4930" s="2" t="s">
        <v>757</v>
      </c>
      <c r="B4930" s="2" t="s">
        <v>1272</v>
      </c>
      <c r="C4930" s="5" t="s">
        <v>1088</v>
      </c>
      <c r="D4930" s="2" t="s">
        <v>1089</v>
      </c>
    </row>
    <row r="4931" spans="1:4" ht="12.95" customHeight="1" x14ac:dyDescent="0.25">
      <c r="A4931" s="2" t="s">
        <v>757</v>
      </c>
      <c r="B4931" s="2" t="s">
        <v>1272</v>
      </c>
      <c r="C4931" s="5" t="s">
        <v>1090</v>
      </c>
      <c r="D4931" s="2" t="s">
        <v>927</v>
      </c>
    </row>
    <row r="4932" spans="1:4" ht="12.95" customHeight="1" x14ac:dyDescent="0.25">
      <c r="A4932" s="2" t="s">
        <v>757</v>
      </c>
      <c r="B4932" s="2" t="s">
        <v>1272</v>
      </c>
      <c r="C4932" s="5" t="s">
        <v>1092</v>
      </c>
      <c r="D4932" s="2" t="s">
        <v>6199</v>
      </c>
    </row>
    <row r="4933" spans="1:4" ht="12.95" customHeight="1" x14ac:dyDescent="0.25">
      <c r="A4933" s="2" t="s">
        <v>757</v>
      </c>
      <c r="B4933" s="2" t="s">
        <v>1272</v>
      </c>
      <c r="C4933" s="5" t="s">
        <v>1094</v>
      </c>
      <c r="D4933" s="2" t="s">
        <v>6178</v>
      </c>
    </row>
    <row r="4934" spans="1:4" ht="12.95" customHeight="1" x14ac:dyDescent="0.25">
      <c r="A4934" s="2" t="s">
        <v>757</v>
      </c>
      <c r="B4934" s="2" t="s">
        <v>1272</v>
      </c>
      <c r="C4934" s="5" t="s">
        <v>1096</v>
      </c>
      <c r="D4934" s="2" t="s">
        <v>6179</v>
      </c>
    </row>
    <row r="4935" spans="1:4" ht="12.95" customHeight="1" x14ac:dyDescent="0.25">
      <c r="A4935" s="2" t="s">
        <v>757</v>
      </c>
      <c r="B4935" s="2" t="s">
        <v>1272</v>
      </c>
      <c r="C4935" s="5" t="s">
        <v>1098</v>
      </c>
      <c r="D4935" s="2" t="s">
        <v>6200</v>
      </c>
    </row>
    <row r="4936" spans="1:4" ht="12.95" customHeight="1" x14ac:dyDescent="0.25">
      <c r="A4936" s="2" t="s">
        <v>757</v>
      </c>
      <c r="B4936" s="2" t="s">
        <v>1272</v>
      </c>
      <c r="C4936" s="5" t="s">
        <v>1100</v>
      </c>
      <c r="D4936" s="2" t="s">
        <v>6201</v>
      </c>
    </row>
    <row r="4937" spans="1:4" ht="12.95" customHeight="1" x14ac:dyDescent="0.25">
      <c r="A4937" s="2" t="s">
        <v>757</v>
      </c>
      <c r="B4937" s="2" t="s">
        <v>1272</v>
      </c>
      <c r="C4937" s="5" t="s">
        <v>1109</v>
      </c>
      <c r="D4937" s="2" t="s">
        <v>6202</v>
      </c>
    </row>
    <row r="4938" spans="1:4" ht="12.95" customHeight="1" x14ac:dyDescent="0.25">
      <c r="A4938" s="2" t="s">
        <v>757</v>
      </c>
      <c r="B4938" s="2" t="s">
        <v>1272</v>
      </c>
      <c r="C4938" s="5" t="s">
        <v>1119</v>
      </c>
      <c r="D4938" s="2" t="s">
        <v>6203</v>
      </c>
    </row>
    <row r="4939" spans="1:4" ht="12.95" customHeight="1" x14ac:dyDescent="0.25">
      <c r="A4939" s="2" t="s">
        <v>757</v>
      </c>
      <c r="B4939" s="2" t="s">
        <v>1272</v>
      </c>
      <c r="C4939" s="5" t="s">
        <v>1121</v>
      </c>
      <c r="D4939" s="2" t="s">
        <v>6204</v>
      </c>
    </row>
    <row r="4940" spans="1:4" ht="12.95" customHeight="1" x14ac:dyDescent="0.25">
      <c r="A4940" s="2" t="s">
        <v>757</v>
      </c>
      <c r="B4940" s="2" t="s">
        <v>1272</v>
      </c>
      <c r="C4940" s="5" t="s">
        <v>1123</v>
      </c>
      <c r="D4940" s="2" t="s">
        <v>6205</v>
      </c>
    </row>
    <row r="4941" spans="1:4" ht="12.95" customHeight="1" x14ac:dyDescent="0.25">
      <c r="A4941" s="2" t="s">
        <v>757</v>
      </c>
      <c r="B4941" s="2" t="s">
        <v>1272</v>
      </c>
      <c r="C4941" s="5" t="s">
        <v>1125</v>
      </c>
      <c r="D4941" s="2" t="s">
        <v>6206</v>
      </c>
    </row>
    <row r="4942" spans="1:4" ht="12.95" customHeight="1" x14ac:dyDescent="0.25">
      <c r="A4942" s="2" t="s">
        <v>757</v>
      </c>
      <c r="B4942" s="2" t="s">
        <v>1272</v>
      </c>
      <c r="C4942" s="5" t="s">
        <v>1127</v>
      </c>
      <c r="D4942" s="2" t="s">
        <v>6186</v>
      </c>
    </row>
    <row r="4943" spans="1:4" ht="12.95" customHeight="1" x14ac:dyDescent="0.25">
      <c r="A4943" s="2" t="s">
        <v>757</v>
      </c>
      <c r="B4943" s="2" t="s">
        <v>1272</v>
      </c>
      <c r="C4943" s="5" t="s">
        <v>1129</v>
      </c>
      <c r="D4943" s="2" t="s">
        <v>6207</v>
      </c>
    </row>
    <row r="4944" spans="1:4" ht="12.95" customHeight="1" x14ac:dyDescent="0.25">
      <c r="A4944" s="2" t="s">
        <v>757</v>
      </c>
      <c r="B4944" s="2" t="s">
        <v>1272</v>
      </c>
      <c r="C4944" s="5" t="s">
        <v>1131</v>
      </c>
      <c r="D4944" s="2" t="s">
        <v>6188</v>
      </c>
    </row>
    <row r="4945" spans="1:4" ht="12.95" customHeight="1" x14ac:dyDescent="0.25">
      <c r="A4945" s="2" t="s">
        <v>757</v>
      </c>
      <c r="B4945" s="2" t="s">
        <v>1272</v>
      </c>
      <c r="C4945" s="5" t="s">
        <v>1133</v>
      </c>
      <c r="D4945" s="2" t="s">
        <v>6189</v>
      </c>
    </row>
    <row r="4946" spans="1:4" ht="12.95" customHeight="1" x14ac:dyDescent="0.25">
      <c r="A4946" s="2" t="s">
        <v>757</v>
      </c>
      <c r="B4946" s="2" t="s">
        <v>1272</v>
      </c>
      <c r="C4946" s="5" t="s">
        <v>1135</v>
      </c>
      <c r="D4946" s="2" t="s">
        <v>6208</v>
      </c>
    </row>
    <row r="4947" spans="1:4" ht="12.95" customHeight="1" x14ac:dyDescent="0.25">
      <c r="A4947" s="2" t="s">
        <v>757</v>
      </c>
      <c r="B4947" s="2" t="s">
        <v>1272</v>
      </c>
      <c r="C4947" s="5" t="s">
        <v>1137</v>
      </c>
      <c r="D4947" s="2" t="s">
        <v>6209</v>
      </c>
    </row>
    <row r="4948" spans="1:4" ht="12.95" customHeight="1" x14ac:dyDescent="0.25">
      <c r="A4948" s="2" t="s">
        <v>757</v>
      </c>
      <c r="B4948" s="2" t="s">
        <v>1272</v>
      </c>
      <c r="C4948" s="5" t="s">
        <v>1139</v>
      </c>
      <c r="D4948" s="2" t="s">
        <v>1106</v>
      </c>
    </row>
    <row r="4949" spans="1:4" ht="12.95" customHeight="1" x14ac:dyDescent="0.25">
      <c r="A4949" s="2" t="s">
        <v>757</v>
      </c>
      <c r="B4949" s="2" t="s">
        <v>1272</v>
      </c>
      <c r="C4949" s="5" t="s">
        <v>1141</v>
      </c>
      <c r="D4949" s="2" t="s">
        <v>6210</v>
      </c>
    </row>
    <row r="4950" spans="1:4" ht="12.95" customHeight="1" x14ac:dyDescent="0.25">
      <c r="A4950" s="2" t="s">
        <v>757</v>
      </c>
      <c r="B4950" s="2" t="s">
        <v>1272</v>
      </c>
      <c r="C4950" s="5" t="s">
        <v>1295</v>
      </c>
      <c r="D4950" s="2" t="s">
        <v>6194</v>
      </c>
    </row>
    <row r="4951" spans="1:4" ht="12.95" customHeight="1" x14ac:dyDescent="0.25">
      <c r="A4951" s="2" t="s">
        <v>757</v>
      </c>
      <c r="B4951" s="2" t="s">
        <v>1272</v>
      </c>
      <c r="C4951" s="5" t="s">
        <v>1111</v>
      </c>
      <c r="D4951" s="2" t="s">
        <v>6211</v>
      </c>
    </row>
    <row r="4952" spans="1:4" ht="12.95" customHeight="1" x14ac:dyDescent="0.25">
      <c r="A4952" s="2" t="s">
        <v>759</v>
      </c>
      <c r="B4952" s="2" t="s">
        <v>1272</v>
      </c>
      <c r="C4952" s="5" t="s">
        <v>1102</v>
      </c>
      <c r="D4952" s="2" t="s">
        <v>1103</v>
      </c>
    </row>
    <row r="4953" spans="1:4" ht="12.95" customHeight="1" x14ac:dyDescent="0.25">
      <c r="A4953" s="2" t="s">
        <v>759</v>
      </c>
      <c r="B4953" s="2" t="s">
        <v>1272</v>
      </c>
      <c r="C4953" s="5" t="s">
        <v>1084</v>
      </c>
      <c r="D4953" s="2" t="s">
        <v>1153</v>
      </c>
    </row>
    <row r="4954" spans="1:4" ht="12.95" customHeight="1" x14ac:dyDescent="0.25">
      <c r="A4954" s="2" t="s">
        <v>759</v>
      </c>
      <c r="B4954" s="2" t="s">
        <v>1272</v>
      </c>
      <c r="C4954" s="5" t="s">
        <v>1086</v>
      </c>
      <c r="D4954" s="2" t="s">
        <v>1147</v>
      </c>
    </row>
    <row r="4955" spans="1:4" ht="12.95" customHeight="1" x14ac:dyDescent="0.25">
      <c r="A4955" s="2" t="s">
        <v>759</v>
      </c>
      <c r="B4955" s="2" t="s">
        <v>1272</v>
      </c>
      <c r="C4955" s="5" t="s">
        <v>1088</v>
      </c>
      <c r="D4955" s="2" t="s">
        <v>1089</v>
      </c>
    </row>
    <row r="4956" spans="1:4" ht="12.95" customHeight="1" x14ac:dyDescent="0.25">
      <c r="A4956" s="2" t="s">
        <v>759</v>
      </c>
      <c r="B4956" s="2" t="s">
        <v>1272</v>
      </c>
      <c r="C4956" s="5" t="s">
        <v>1090</v>
      </c>
      <c r="D4956" s="2" t="s">
        <v>927</v>
      </c>
    </row>
    <row r="4957" spans="1:4" ht="12.95" customHeight="1" x14ac:dyDescent="0.25">
      <c r="A4957" s="2" t="s">
        <v>759</v>
      </c>
      <c r="B4957" s="2" t="s">
        <v>1272</v>
      </c>
      <c r="C4957" s="5" t="s">
        <v>1092</v>
      </c>
      <c r="D4957" s="2" t="s">
        <v>6199</v>
      </c>
    </row>
    <row r="4958" spans="1:4" ht="12.95" customHeight="1" x14ac:dyDescent="0.25">
      <c r="A4958" s="2" t="s">
        <v>759</v>
      </c>
      <c r="B4958" s="2" t="s">
        <v>1272</v>
      </c>
      <c r="C4958" s="5" t="s">
        <v>1094</v>
      </c>
      <c r="D4958" s="2" t="s">
        <v>6178</v>
      </c>
    </row>
    <row r="4959" spans="1:4" ht="12.95" customHeight="1" x14ac:dyDescent="0.25">
      <c r="A4959" s="2" t="s">
        <v>759</v>
      </c>
      <c r="B4959" s="2" t="s">
        <v>1272</v>
      </c>
      <c r="C4959" s="5" t="s">
        <v>1096</v>
      </c>
      <c r="D4959" s="2" t="s">
        <v>6179</v>
      </c>
    </row>
    <row r="4960" spans="1:4" ht="12.95" customHeight="1" x14ac:dyDescent="0.25">
      <c r="A4960" s="2" t="s">
        <v>759</v>
      </c>
      <c r="B4960" s="2" t="s">
        <v>1272</v>
      </c>
      <c r="C4960" s="5" t="s">
        <v>1098</v>
      </c>
      <c r="D4960" s="2" t="s">
        <v>6200</v>
      </c>
    </row>
    <row r="4961" spans="1:4" ht="12.95" customHeight="1" x14ac:dyDescent="0.25">
      <c r="A4961" s="2" t="s">
        <v>759</v>
      </c>
      <c r="B4961" s="2" t="s">
        <v>1272</v>
      </c>
      <c r="C4961" s="5" t="s">
        <v>1100</v>
      </c>
      <c r="D4961" s="2" t="s">
        <v>6201</v>
      </c>
    </row>
    <row r="4962" spans="1:4" ht="12.95" customHeight="1" x14ac:dyDescent="0.25">
      <c r="A4962" s="2" t="s">
        <v>759</v>
      </c>
      <c r="B4962" s="2" t="s">
        <v>1272</v>
      </c>
      <c r="C4962" s="5" t="s">
        <v>1109</v>
      </c>
      <c r="D4962" s="2" t="s">
        <v>6202</v>
      </c>
    </row>
    <row r="4963" spans="1:4" ht="12.95" customHeight="1" x14ac:dyDescent="0.25">
      <c r="A4963" s="2" t="s">
        <v>759</v>
      </c>
      <c r="B4963" s="2" t="s">
        <v>1272</v>
      </c>
      <c r="C4963" s="5" t="s">
        <v>1119</v>
      </c>
      <c r="D4963" s="2" t="s">
        <v>6203</v>
      </c>
    </row>
    <row r="4964" spans="1:4" ht="12.95" customHeight="1" x14ac:dyDescent="0.25">
      <c r="A4964" s="2" t="s">
        <v>759</v>
      </c>
      <c r="B4964" s="2" t="s">
        <v>1272</v>
      </c>
      <c r="C4964" s="5" t="s">
        <v>1121</v>
      </c>
      <c r="D4964" s="2" t="s">
        <v>6204</v>
      </c>
    </row>
    <row r="4965" spans="1:4" ht="12.95" customHeight="1" x14ac:dyDescent="0.25">
      <c r="A4965" s="2" t="s">
        <v>759</v>
      </c>
      <c r="B4965" s="2" t="s">
        <v>1272</v>
      </c>
      <c r="C4965" s="5" t="s">
        <v>1123</v>
      </c>
      <c r="D4965" s="2" t="s">
        <v>6205</v>
      </c>
    </row>
    <row r="4966" spans="1:4" ht="12.95" customHeight="1" x14ac:dyDescent="0.25">
      <c r="A4966" s="2" t="s">
        <v>759</v>
      </c>
      <c r="B4966" s="2" t="s">
        <v>1272</v>
      </c>
      <c r="C4966" s="5" t="s">
        <v>1125</v>
      </c>
      <c r="D4966" s="2" t="s">
        <v>6206</v>
      </c>
    </row>
    <row r="4967" spans="1:4" ht="12.95" customHeight="1" x14ac:dyDescent="0.25">
      <c r="A4967" s="2" t="s">
        <v>759</v>
      </c>
      <c r="B4967" s="2" t="s">
        <v>1272</v>
      </c>
      <c r="C4967" s="5" t="s">
        <v>1127</v>
      </c>
      <c r="D4967" s="2" t="s">
        <v>6186</v>
      </c>
    </row>
    <row r="4968" spans="1:4" ht="12.95" customHeight="1" x14ac:dyDescent="0.25">
      <c r="A4968" s="2" t="s">
        <v>759</v>
      </c>
      <c r="B4968" s="2" t="s">
        <v>1272</v>
      </c>
      <c r="C4968" s="5" t="s">
        <v>1129</v>
      </c>
      <c r="D4968" s="2" t="s">
        <v>6207</v>
      </c>
    </row>
    <row r="4969" spans="1:4" ht="12.95" customHeight="1" x14ac:dyDescent="0.25">
      <c r="A4969" s="2" t="s">
        <v>759</v>
      </c>
      <c r="B4969" s="2" t="s">
        <v>1272</v>
      </c>
      <c r="C4969" s="5" t="s">
        <v>1131</v>
      </c>
      <c r="D4969" s="2" t="s">
        <v>6188</v>
      </c>
    </row>
    <row r="4970" spans="1:4" ht="12.95" customHeight="1" x14ac:dyDescent="0.25">
      <c r="A4970" s="2" t="s">
        <v>759</v>
      </c>
      <c r="B4970" s="2" t="s">
        <v>1272</v>
      </c>
      <c r="C4970" s="5" t="s">
        <v>1133</v>
      </c>
      <c r="D4970" s="2" t="s">
        <v>6189</v>
      </c>
    </row>
    <row r="4971" spans="1:4" ht="12.95" customHeight="1" x14ac:dyDescent="0.25">
      <c r="A4971" s="2" t="s">
        <v>759</v>
      </c>
      <c r="B4971" s="2" t="s">
        <v>1272</v>
      </c>
      <c r="C4971" s="5" t="s">
        <v>1135</v>
      </c>
      <c r="D4971" s="2" t="s">
        <v>6208</v>
      </c>
    </row>
    <row r="4972" spans="1:4" ht="12.95" customHeight="1" x14ac:dyDescent="0.25">
      <c r="A4972" s="2" t="s">
        <v>759</v>
      </c>
      <c r="B4972" s="2" t="s">
        <v>1272</v>
      </c>
      <c r="C4972" s="5" t="s">
        <v>1137</v>
      </c>
      <c r="D4972" s="2" t="s">
        <v>6209</v>
      </c>
    </row>
    <row r="4973" spans="1:4" ht="12.95" customHeight="1" x14ac:dyDescent="0.25">
      <c r="A4973" s="2" t="s">
        <v>759</v>
      </c>
      <c r="B4973" s="2" t="s">
        <v>1272</v>
      </c>
      <c r="C4973" s="5" t="s">
        <v>1139</v>
      </c>
      <c r="D4973" s="2" t="s">
        <v>1106</v>
      </c>
    </row>
    <row r="4974" spans="1:4" ht="12.95" customHeight="1" x14ac:dyDescent="0.25">
      <c r="A4974" s="2" t="s">
        <v>759</v>
      </c>
      <c r="B4974" s="2" t="s">
        <v>1272</v>
      </c>
      <c r="C4974" s="5" t="s">
        <v>1141</v>
      </c>
      <c r="D4974" s="2" t="s">
        <v>6210</v>
      </c>
    </row>
    <row r="4975" spans="1:4" ht="12.95" customHeight="1" x14ac:dyDescent="0.25">
      <c r="A4975" s="2" t="s">
        <v>759</v>
      </c>
      <c r="B4975" s="2" t="s">
        <v>1272</v>
      </c>
      <c r="C4975" s="5" t="s">
        <v>1295</v>
      </c>
      <c r="D4975" s="2" t="s">
        <v>6194</v>
      </c>
    </row>
    <row r="4976" spans="1:4" ht="12.95" customHeight="1" x14ac:dyDescent="0.25">
      <c r="A4976" s="2" t="s">
        <v>759</v>
      </c>
      <c r="B4976" s="2" t="s">
        <v>1272</v>
      </c>
      <c r="C4976" s="5" t="s">
        <v>1111</v>
      </c>
      <c r="D4976" s="2" t="s">
        <v>6211</v>
      </c>
    </row>
    <row r="4977" spans="1:4" ht="12.95" customHeight="1" x14ac:dyDescent="0.25">
      <c r="A4977" s="2" t="s">
        <v>761</v>
      </c>
      <c r="B4977" s="2" t="s">
        <v>1272</v>
      </c>
      <c r="C4977" s="5" t="s">
        <v>1102</v>
      </c>
      <c r="D4977" s="2" t="s">
        <v>1103</v>
      </c>
    </row>
    <row r="4978" spans="1:4" ht="12.95" customHeight="1" x14ac:dyDescent="0.25">
      <c r="A4978" s="2" t="s">
        <v>761</v>
      </c>
      <c r="B4978" s="2" t="s">
        <v>1272</v>
      </c>
      <c r="C4978" s="5" t="s">
        <v>1084</v>
      </c>
      <c r="D4978" s="2" t="s">
        <v>1153</v>
      </c>
    </row>
    <row r="4979" spans="1:4" ht="12.95" customHeight="1" x14ac:dyDescent="0.25">
      <c r="A4979" s="2" t="s">
        <v>761</v>
      </c>
      <c r="B4979" s="2" t="s">
        <v>1272</v>
      </c>
      <c r="C4979" s="5" t="s">
        <v>1086</v>
      </c>
      <c r="D4979" s="2" t="s">
        <v>1147</v>
      </c>
    </row>
    <row r="4980" spans="1:4" ht="12.95" customHeight="1" x14ac:dyDescent="0.25">
      <c r="A4980" s="2" t="s">
        <v>761</v>
      </c>
      <c r="B4980" s="2" t="s">
        <v>1272</v>
      </c>
      <c r="C4980" s="5" t="s">
        <v>1088</v>
      </c>
      <c r="D4980" s="2" t="s">
        <v>1089</v>
      </c>
    </row>
    <row r="4981" spans="1:4" ht="12.95" customHeight="1" x14ac:dyDescent="0.25">
      <c r="A4981" s="2" t="s">
        <v>761</v>
      </c>
      <c r="B4981" s="2" t="s">
        <v>1272</v>
      </c>
      <c r="C4981" s="5" t="s">
        <v>1090</v>
      </c>
      <c r="D4981" s="2" t="s">
        <v>927</v>
      </c>
    </row>
    <row r="4982" spans="1:4" ht="12.95" customHeight="1" x14ac:dyDescent="0.25">
      <c r="A4982" s="2" t="s">
        <v>761</v>
      </c>
      <c r="B4982" s="2" t="s">
        <v>1272</v>
      </c>
      <c r="C4982" s="5" t="s">
        <v>1092</v>
      </c>
      <c r="D4982" s="2" t="s">
        <v>6199</v>
      </c>
    </row>
    <row r="4983" spans="1:4" ht="12.95" customHeight="1" x14ac:dyDescent="0.25">
      <c r="A4983" s="2" t="s">
        <v>761</v>
      </c>
      <c r="B4983" s="2" t="s">
        <v>1272</v>
      </c>
      <c r="C4983" s="5" t="s">
        <v>1094</v>
      </c>
      <c r="D4983" s="2" t="s">
        <v>6178</v>
      </c>
    </row>
    <row r="4984" spans="1:4" ht="12.95" customHeight="1" x14ac:dyDescent="0.25">
      <c r="A4984" s="2" t="s">
        <v>761</v>
      </c>
      <c r="B4984" s="2" t="s">
        <v>1272</v>
      </c>
      <c r="C4984" s="5" t="s">
        <v>1096</v>
      </c>
      <c r="D4984" s="2" t="s">
        <v>6179</v>
      </c>
    </row>
    <row r="4985" spans="1:4" ht="12.95" customHeight="1" x14ac:dyDescent="0.25">
      <c r="A4985" s="2" t="s">
        <v>761</v>
      </c>
      <c r="B4985" s="2" t="s">
        <v>1272</v>
      </c>
      <c r="C4985" s="5" t="s">
        <v>1098</v>
      </c>
      <c r="D4985" s="2" t="s">
        <v>6200</v>
      </c>
    </row>
    <row r="4986" spans="1:4" ht="12.95" customHeight="1" x14ac:dyDescent="0.25">
      <c r="A4986" s="2" t="s">
        <v>761</v>
      </c>
      <c r="B4986" s="2" t="s">
        <v>1272</v>
      </c>
      <c r="C4986" s="5" t="s">
        <v>1100</v>
      </c>
      <c r="D4986" s="2" t="s">
        <v>6201</v>
      </c>
    </row>
    <row r="4987" spans="1:4" ht="12.95" customHeight="1" x14ac:dyDescent="0.25">
      <c r="A4987" s="2" t="s">
        <v>761</v>
      </c>
      <c r="B4987" s="2" t="s">
        <v>1272</v>
      </c>
      <c r="C4987" s="5" t="s">
        <v>1109</v>
      </c>
      <c r="D4987" s="2" t="s">
        <v>6202</v>
      </c>
    </row>
    <row r="4988" spans="1:4" ht="12.95" customHeight="1" x14ac:dyDescent="0.25">
      <c r="A4988" s="2" t="s">
        <v>761</v>
      </c>
      <c r="B4988" s="2" t="s">
        <v>1272</v>
      </c>
      <c r="C4988" s="5" t="s">
        <v>1119</v>
      </c>
      <c r="D4988" s="2" t="s">
        <v>6203</v>
      </c>
    </row>
    <row r="4989" spans="1:4" ht="12.95" customHeight="1" x14ac:dyDescent="0.25">
      <c r="A4989" s="2" t="s">
        <v>761</v>
      </c>
      <c r="B4989" s="2" t="s">
        <v>1272</v>
      </c>
      <c r="C4989" s="5" t="s">
        <v>1121</v>
      </c>
      <c r="D4989" s="2" t="s">
        <v>6204</v>
      </c>
    </row>
    <row r="4990" spans="1:4" ht="12.95" customHeight="1" x14ac:dyDescent="0.25">
      <c r="A4990" s="2" t="s">
        <v>761</v>
      </c>
      <c r="B4990" s="2" t="s">
        <v>1272</v>
      </c>
      <c r="C4990" s="5" t="s">
        <v>1123</v>
      </c>
      <c r="D4990" s="2" t="s">
        <v>6205</v>
      </c>
    </row>
    <row r="4991" spans="1:4" ht="12.95" customHeight="1" x14ac:dyDescent="0.25">
      <c r="A4991" s="2" t="s">
        <v>761</v>
      </c>
      <c r="B4991" s="2" t="s">
        <v>1272</v>
      </c>
      <c r="C4991" s="5" t="s">
        <v>1125</v>
      </c>
      <c r="D4991" s="2" t="s">
        <v>6206</v>
      </c>
    </row>
    <row r="4992" spans="1:4" ht="12.95" customHeight="1" x14ac:dyDescent="0.25">
      <c r="A4992" s="2" t="s">
        <v>761</v>
      </c>
      <c r="B4992" s="2" t="s">
        <v>1272</v>
      </c>
      <c r="C4992" s="5" t="s">
        <v>1127</v>
      </c>
      <c r="D4992" s="2" t="s">
        <v>6186</v>
      </c>
    </row>
    <row r="4993" spans="1:4" ht="12.95" customHeight="1" x14ac:dyDescent="0.25">
      <c r="A4993" s="2" t="s">
        <v>761</v>
      </c>
      <c r="B4993" s="2" t="s">
        <v>1272</v>
      </c>
      <c r="C4993" s="5" t="s">
        <v>1129</v>
      </c>
      <c r="D4993" s="2" t="s">
        <v>6207</v>
      </c>
    </row>
    <row r="4994" spans="1:4" ht="12.95" customHeight="1" x14ac:dyDescent="0.25">
      <c r="A4994" s="2" t="s">
        <v>761</v>
      </c>
      <c r="B4994" s="2" t="s">
        <v>1272</v>
      </c>
      <c r="C4994" s="5" t="s">
        <v>1131</v>
      </c>
      <c r="D4994" s="2" t="s">
        <v>6188</v>
      </c>
    </row>
    <row r="4995" spans="1:4" ht="12.95" customHeight="1" x14ac:dyDescent="0.25">
      <c r="A4995" s="2" t="s">
        <v>761</v>
      </c>
      <c r="B4995" s="2" t="s">
        <v>1272</v>
      </c>
      <c r="C4995" s="5" t="s">
        <v>1133</v>
      </c>
      <c r="D4995" s="2" t="s">
        <v>6189</v>
      </c>
    </row>
    <row r="4996" spans="1:4" ht="12.95" customHeight="1" x14ac:dyDescent="0.25">
      <c r="A4996" s="2" t="s">
        <v>761</v>
      </c>
      <c r="B4996" s="2" t="s">
        <v>1272</v>
      </c>
      <c r="C4996" s="5" t="s">
        <v>1135</v>
      </c>
      <c r="D4996" s="2" t="s">
        <v>6208</v>
      </c>
    </row>
    <row r="4997" spans="1:4" ht="12.95" customHeight="1" x14ac:dyDescent="0.25">
      <c r="A4997" s="2" t="s">
        <v>761</v>
      </c>
      <c r="B4997" s="2" t="s">
        <v>1272</v>
      </c>
      <c r="C4997" s="5" t="s">
        <v>1137</v>
      </c>
      <c r="D4997" s="2" t="s">
        <v>6209</v>
      </c>
    </row>
    <row r="4998" spans="1:4" ht="12.95" customHeight="1" x14ac:dyDescent="0.25">
      <c r="A4998" s="2" t="s">
        <v>761</v>
      </c>
      <c r="B4998" s="2" t="s">
        <v>1272</v>
      </c>
      <c r="C4998" s="5" t="s">
        <v>1139</v>
      </c>
      <c r="D4998" s="2" t="s">
        <v>1106</v>
      </c>
    </row>
    <row r="4999" spans="1:4" ht="12.95" customHeight="1" x14ac:dyDescent="0.25">
      <c r="A4999" s="2" t="s">
        <v>761</v>
      </c>
      <c r="B4999" s="2" t="s">
        <v>1272</v>
      </c>
      <c r="C4999" s="5" t="s">
        <v>1141</v>
      </c>
      <c r="D4999" s="2" t="s">
        <v>6210</v>
      </c>
    </row>
    <row r="5000" spans="1:4" ht="12.95" customHeight="1" x14ac:dyDescent="0.25">
      <c r="A5000" s="2" t="s">
        <v>761</v>
      </c>
      <c r="B5000" s="2" t="s">
        <v>1272</v>
      </c>
      <c r="C5000" s="5" t="s">
        <v>1295</v>
      </c>
      <c r="D5000" s="2" t="s">
        <v>6194</v>
      </c>
    </row>
    <row r="5001" spans="1:4" ht="12.95" customHeight="1" x14ac:dyDescent="0.25">
      <c r="A5001" s="2" t="s">
        <v>761</v>
      </c>
      <c r="B5001" s="2" t="s">
        <v>1272</v>
      </c>
      <c r="C5001" s="5" t="s">
        <v>1111</v>
      </c>
      <c r="D5001" s="2" t="s">
        <v>6211</v>
      </c>
    </row>
    <row r="5002" spans="1:4" ht="12.95" customHeight="1" x14ac:dyDescent="0.25">
      <c r="A5002" s="2" t="s">
        <v>763</v>
      </c>
      <c r="B5002" s="2" t="s">
        <v>1272</v>
      </c>
      <c r="C5002" s="5" t="s">
        <v>1102</v>
      </c>
      <c r="D5002" s="2" t="s">
        <v>1103</v>
      </c>
    </row>
    <row r="5003" spans="1:4" ht="12.95" customHeight="1" x14ac:dyDescent="0.25">
      <c r="A5003" s="2" t="s">
        <v>763</v>
      </c>
      <c r="B5003" s="2" t="s">
        <v>1272</v>
      </c>
      <c r="C5003" s="5" t="s">
        <v>1084</v>
      </c>
      <c r="D5003" s="2" t="s">
        <v>1153</v>
      </c>
    </row>
    <row r="5004" spans="1:4" ht="12.95" customHeight="1" x14ac:dyDescent="0.25">
      <c r="A5004" s="2" t="s">
        <v>763</v>
      </c>
      <c r="B5004" s="2" t="s">
        <v>1272</v>
      </c>
      <c r="C5004" s="5" t="s">
        <v>1086</v>
      </c>
      <c r="D5004" s="2" t="s">
        <v>1147</v>
      </c>
    </row>
    <row r="5005" spans="1:4" ht="12.95" customHeight="1" x14ac:dyDescent="0.25">
      <c r="A5005" s="2" t="s">
        <v>763</v>
      </c>
      <c r="B5005" s="2" t="s">
        <v>1272</v>
      </c>
      <c r="C5005" s="5" t="s">
        <v>1088</v>
      </c>
      <c r="D5005" s="2" t="s">
        <v>1089</v>
      </c>
    </row>
    <row r="5006" spans="1:4" ht="12.95" customHeight="1" x14ac:dyDescent="0.25">
      <c r="A5006" s="2" t="s">
        <v>763</v>
      </c>
      <c r="B5006" s="2" t="s">
        <v>1272</v>
      </c>
      <c r="C5006" s="5" t="s">
        <v>1090</v>
      </c>
      <c r="D5006" s="2" t="s">
        <v>927</v>
      </c>
    </row>
    <row r="5007" spans="1:4" ht="12.95" customHeight="1" x14ac:dyDescent="0.25">
      <c r="A5007" s="2" t="s">
        <v>763</v>
      </c>
      <c r="B5007" s="2" t="s">
        <v>1272</v>
      </c>
      <c r="C5007" s="5" t="s">
        <v>1092</v>
      </c>
      <c r="D5007" s="2" t="s">
        <v>6199</v>
      </c>
    </row>
    <row r="5008" spans="1:4" ht="12.95" customHeight="1" x14ac:dyDescent="0.25">
      <c r="A5008" s="2" t="s">
        <v>763</v>
      </c>
      <c r="B5008" s="2" t="s">
        <v>1272</v>
      </c>
      <c r="C5008" s="5" t="s">
        <v>1094</v>
      </c>
      <c r="D5008" s="2" t="s">
        <v>6178</v>
      </c>
    </row>
    <row r="5009" spans="1:4" ht="12.95" customHeight="1" x14ac:dyDescent="0.25">
      <c r="A5009" s="2" t="s">
        <v>763</v>
      </c>
      <c r="B5009" s="2" t="s">
        <v>1272</v>
      </c>
      <c r="C5009" s="5" t="s">
        <v>1096</v>
      </c>
      <c r="D5009" s="2" t="s">
        <v>6179</v>
      </c>
    </row>
    <row r="5010" spans="1:4" ht="12.95" customHeight="1" x14ac:dyDescent="0.25">
      <c r="A5010" s="2" t="s">
        <v>763</v>
      </c>
      <c r="B5010" s="2" t="s">
        <v>1272</v>
      </c>
      <c r="C5010" s="5" t="s">
        <v>1098</v>
      </c>
      <c r="D5010" s="2" t="s">
        <v>6200</v>
      </c>
    </row>
    <row r="5011" spans="1:4" ht="12.95" customHeight="1" x14ac:dyDescent="0.25">
      <c r="A5011" s="2" t="s">
        <v>763</v>
      </c>
      <c r="B5011" s="2" t="s">
        <v>1272</v>
      </c>
      <c r="C5011" s="5" t="s">
        <v>1100</v>
      </c>
      <c r="D5011" s="2" t="s">
        <v>6201</v>
      </c>
    </row>
    <row r="5012" spans="1:4" ht="12.95" customHeight="1" x14ac:dyDescent="0.25">
      <c r="A5012" s="2" t="s">
        <v>763</v>
      </c>
      <c r="B5012" s="2" t="s">
        <v>1272</v>
      </c>
      <c r="C5012" s="5" t="s">
        <v>1109</v>
      </c>
      <c r="D5012" s="2" t="s">
        <v>6202</v>
      </c>
    </row>
    <row r="5013" spans="1:4" ht="12.95" customHeight="1" x14ac:dyDescent="0.25">
      <c r="A5013" s="2" t="s">
        <v>763</v>
      </c>
      <c r="B5013" s="2" t="s">
        <v>1272</v>
      </c>
      <c r="C5013" s="5" t="s">
        <v>1119</v>
      </c>
      <c r="D5013" s="2" t="s">
        <v>6203</v>
      </c>
    </row>
    <row r="5014" spans="1:4" ht="12.95" customHeight="1" x14ac:dyDescent="0.25">
      <c r="A5014" s="2" t="s">
        <v>763</v>
      </c>
      <c r="B5014" s="2" t="s">
        <v>1272</v>
      </c>
      <c r="C5014" s="5" t="s">
        <v>1121</v>
      </c>
      <c r="D5014" s="2" t="s">
        <v>6204</v>
      </c>
    </row>
    <row r="5015" spans="1:4" ht="12.95" customHeight="1" x14ac:dyDescent="0.25">
      <c r="A5015" s="2" t="s">
        <v>763</v>
      </c>
      <c r="B5015" s="2" t="s">
        <v>1272</v>
      </c>
      <c r="C5015" s="5" t="s">
        <v>1123</v>
      </c>
      <c r="D5015" s="2" t="s">
        <v>6205</v>
      </c>
    </row>
    <row r="5016" spans="1:4" ht="12.95" customHeight="1" x14ac:dyDescent="0.25">
      <c r="A5016" s="2" t="s">
        <v>763</v>
      </c>
      <c r="B5016" s="2" t="s">
        <v>1272</v>
      </c>
      <c r="C5016" s="5" t="s">
        <v>1125</v>
      </c>
      <c r="D5016" s="2" t="s">
        <v>6206</v>
      </c>
    </row>
    <row r="5017" spans="1:4" ht="12.95" customHeight="1" x14ac:dyDescent="0.25">
      <c r="A5017" s="2" t="s">
        <v>763</v>
      </c>
      <c r="B5017" s="2" t="s">
        <v>1272</v>
      </c>
      <c r="C5017" s="5" t="s">
        <v>1127</v>
      </c>
      <c r="D5017" s="2" t="s">
        <v>6186</v>
      </c>
    </row>
    <row r="5018" spans="1:4" ht="12.95" customHeight="1" x14ac:dyDescent="0.25">
      <c r="A5018" s="2" t="s">
        <v>763</v>
      </c>
      <c r="B5018" s="2" t="s">
        <v>1272</v>
      </c>
      <c r="C5018" s="5" t="s">
        <v>1129</v>
      </c>
      <c r="D5018" s="2" t="s">
        <v>6207</v>
      </c>
    </row>
    <row r="5019" spans="1:4" ht="12.95" customHeight="1" x14ac:dyDescent="0.25">
      <c r="A5019" s="2" t="s">
        <v>763</v>
      </c>
      <c r="B5019" s="2" t="s">
        <v>1272</v>
      </c>
      <c r="C5019" s="5" t="s">
        <v>1131</v>
      </c>
      <c r="D5019" s="2" t="s">
        <v>6188</v>
      </c>
    </row>
    <row r="5020" spans="1:4" ht="12.95" customHeight="1" x14ac:dyDescent="0.25">
      <c r="A5020" s="2" t="s">
        <v>763</v>
      </c>
      <c r="B5020" s="2" t="s">
        <v>1272</v>
      </c>
      <c r="C5020" s="5" t="s">
        <v>1133</v>
      </c>
      <c r="D5020" s="2" t="s">
        <v>6189</v>
      </c>
    </row>
    <row r="5021" spans="1:4" ht="12.95" customHeight="1" x14ac:dyDescent="0.25">
      <c r="A5021" s="2" t="s">
        <v>763</v>
      </c>
      <c r="B5021" s="2" t="s">
        <v>1272</v>
      </c>
      <c r="C5021" s="5" t="s">
        <v>1135</v>
      </c>
      <c r="D5021" s="2" t="s">
        <v>6208</v>
      </c>
    </row>
    <row r="5022" spans="1:4" ht="12.95" customHeight="1" x14ac:dyDescent="0.25">
      <c r="A5022" s="2" t="s">
        <v>763</v>
      </c>
      <c r="B5022" s="2" t="s">
        <v>1272</v>
      </c>
      <c r="C5022" s="5" t="s">
        <v>1137</v>
      </c>
      <c r="D5022" s="2" t="s">
        <v>6209</v>
      </c>
    </row>
    <row r="5023" spans="1:4" ht="12.95" customHeight="1" x14ac:dyDescent="0.25">
      <c r="A5023" s="2" t="s">
        <v>763</v>
      </c>
      <c r="B5023" s="2" t="s">
        <v>1272</v>
      </c>
      <c r="C5023" s="5" t="s">
        <v>1139</v>
      </c>
      <c r="D5023" s="2" t="s">
        <v>1106</v>
      </c>
    </row>
    <row r="5024" spans="1:4" ht="12.95" customHeight="1" x14ac:dyDescent="0.25">
      <c r="A5024" s="2" t="s">
        <v>763</v>
      </c>
      <c r="B5024" s="2" t="s">
        <v>1272</v>
      </c>
      <c r="C5024" s="5" t="s">
        <v>1141</v>
      </c>
      <c r="D5024" s="2" t="s">
        <v>6210</v>
      </c>
    </row>
    <row r="5025" spans="1:4" ht="12.95" customHeight="1" x14ac:dyDescent="0.25">
      <c r="A5025" s="2" t="s">
        <v>763</v>
      </c>
      <c r="B5025" s="2" t="s">
        <v>1272</v>
      </c>
      <c r="C5025" s="5" t="s">
        <v>1295</v>
      </c>
      <c r="D5025" s="2" t="s">
        <v>6194</v>
      </c>
    </row>
    <row r="5026" spans="1:4" ht="12.95" customHeight="1" x14ac:dyDescent="0.25">
      <c r="A5026" s="2" t="s">
        <v>763</v>
      </c>
      <c r="B5026" s="2" t="s">
        <v>1272</v>
      </c>
      <c r="C5026" s="5" t="s">
        <v>1111</v>
      </c>
      <c r="D5026" s="2" t="s">
        <v>6211</v>
      </c>
    </row>
    <row r="5027" spans="1:4" ht="12.95" customHeight="1" x14ac:dyDescent="0.25">
      <c r="A5027" s="2" t="s">
        <v>765</v>
      </c>
      <c r="B5027" s="2" t="s">
        <v>1272</v>
      </c>
      <c r="C5027" s="5" t="s">
        <v>1102</v>
      </c>
      <c r="D5027" s="2" t="s">
        <v>1103</v>
      </c>
    </row>
    <row r="5028" spans="1:4" ht="12.95" customHeight="1" x14ac:dyDescent="0.25">
      <c r="A5028" s="2" t="s">
        <v>765</v>
      </c>
      <c r="B5028" s="2" t="s">
        <v>1272</v>
      </c>
      <c r="C5028" s="5" t="s">
        <v>1084</v>
      </c>
      <c r="D5028" s="2" t="s">
        <v>1153</v>
      </c>
    </row>
    <row r="5029" spans="1:4" ht="12.95" customHeight="1" x14ac:dyDescent="0.25">
      <c r="A5029" s="2" t="s">
        <v>765</v>
      </c>
      <c r="B5029" s="2" t="s">
        <v>1272</v>
      </c>
      <c r="C5029" s="5" t="s">
        <v>1086</v>
      </c>
      <c r="D5029" s="2" t="s">
        <v>1147</v>
      </c>
    </row>
    <row r="5030" spans="1:4" ht="12.95" customHeight="1" x14ac:dyDescent="0.25">
      <c r="A5030" s="2" t="s">
        <v>765</v>
      </c>
      <c r="B5030" s="2" t="s">
        <v>1272</v>
      </c>
      <c r="C5030" s="5" t="s">
        <v>1088</v>
      </c>
      <c r="D5030" s="2" t="s">
        <v>1089</v>
      </c>
    </row>
    <row r="5031" spans="1:4" ht="12.95" customHeight="1" x14ac:dyDescent="0.25">
      <c r="A5031" s="2" t="s">
        <v>765</v>
      </c>
      <c r="B5031" s="2" t="s">
        <v>1272</v>
      </c>
      <c r="C5031" s="5" t="s">
        <v>1090</v>
      </c>
      <c r="D5031" s="2" t="s">
        <v>927</v>
      </c>
    </row>
    <row r="5032" spans="1:4" ht="12.95" customHeight="1" x14ac:dyDescent="0.25">
      <c r="A5032" s="2" t="s">
        <v>765</v>
      </c>
      <c r="B5032" s="2" t="s">
        <v>1272</v>
      </c>
      <c r="C5032" s="5" t="s">
        <v>1092</v>
      </c>
      <c r="D5032" s="2" t="s">
        <v>6199</v>
      </c>
    </row>
    <row r="5033" spans="1:4" ht="12.95" customHeight="1" x14ac:dyDescent="0.25">
      <c r="A5033" s="2" t="s">
        <v>765</v>
      </c>
      <c r="B5033" s="2" t="s">
        <v>1272</v>
      </c>
      <c r="C5033" s="5" t="s">
        <v>1094</v>
      </c>
      <c r="D5033" s="2" t="s">
        <v>6178</v>
      </c>
    </row>
    <row r="5034" spans="1:4" ht="12.95" customHeight="1" x14ac:dyDescent="0.25">
      <c r="A5034" s="2" t="s">
        <v>765</v>
      </c>
      <c r="B5034" s="2" t="s">
        <v>1272</v>
      </c>
      <c r="C5034" s="5" t="s">
        <v>1096</v>
      </c>
      <c r="D5034" s="2" t="s">
        <v>6179</v>
      </c>
    </row>
    <row r="5035" spans="1:4" ht="12.95" customHeight="1" x14ac:dyDescent="0.25">
      <c r="A5035" s="2" t="s">
        <v>765</v>
      </c>
      <c r="B5035" s="2" t="s">
        <v>1272</v>
      </c>
      <c r="C5035" s="5" t="s">
        <v>1098</v>
      </c>
      <c r="D5035" s="2" t="s">
        <v>6200</v>
      </c>
    </row>
    <row r="5036" spans="1:4" ht="12.95" customHeight="1" x14ac:dyDescent="0.25">
      <c r="A5036" s="2" t="s">
        <v>765</v>
      </c>
      <c r="B5036" s="2" t="s">
        <v>1272</v>
      </c>
      <c r="C5036" s="5" t="s">
        <v>1100</v>
      </c>
      <c r="D5036" s="2" t="s">
        <v>6201</v>
      </c>
    </row>
    <row r="5037" spans="1:4" ht="12.95" customHeight="1" x14ac:dyDescent="0.25">
      <c r="A5037" s="2" t="s">
        <v>765</v>
      </c>
      <c r="B5037" s="2" t="s">
        <v>1272</v>
      </c>
      <c r="C5037" s="5" t="s">
        <v>1109</v>
      </c>
      <c r="D5037" s="2" t="s">
        <v>6202</v>
      </c>
    </row>
    <row r="5038" spans="1:4" ht="12.95" customHeight="1" x14ac:dyDescent="0.25">
      <c r="A5038" s="2" t="s">
        <v>765</v>
      </c>
      <c r="B5038" s="2" t="s">
        <v>1272</v>
      </c>
      <c r="C5038" s="5" t="s">
        <v>1119</v>
      </c>
      <c r="D5038" s="2" t="s">
        <v>6203</v>
      </c>
    </row>
    <row r="5039" spans="1:4" ht="12.95" customHeight="1" x14ac:dyDescent="0.25">
      <c r="A5039" s="2" t="s">
        <v>765</v>
      </c>
      <c r="B5039" s="2" t="s">
        <v>1272</v>
      </c>
      <c r="C5039" s="5" t="s">
        <v>1121</v>
      </c>
      <c r="D5039" s="2" t="s">
        <v>6204</v>
      </c>
    </row>
    <row r="5040" spans="1:4" ht="12.95" customHeight="1" x14ac:dyDescent="0.25">
      <c r="A5040" s="2" t="s">
        <v>765</v>
      </c>
      <c r="B5040" s="2" t="s">
        <v>1272</v>
      </c>
      <c r="C5040" s="5" t="s">
        <v>1123</v>
      </c>
      <c r="D5040" s="2" t="s">
        <v>6205</v>
      </c>
    </row>
    <row r="5041" spans="1:4" ht="12.95" customHeight="1" x14ac:dyDescent="0.25">
      <c r="A5041" s="2" t="s">
        <v>765</v>
      </c>
      <c r="B5041" s="2" t="s">
        <v>1272</v>
      </c>
      <c r="C5041" s="5" t="s">
        <v>1125</v>
      </c>
      <c r="D5041" s="2" t="s">
        <v>6206</v>
      </c>
    </row>
    <row r="5042" spans="1:4" ht="12.95" customHeight="1" x14ac:dyDescent="0.25">
      <c r="A5042" s="2" t="s">
        <v>765</v>
      </c>
      <c r="B5042" s="2" t="s">
        <v>1272</v>
      </c>
      <c r="C5042" s="5" t="s">
        <v>1127</v>
      </c>
      <c r="D5042" s="2" t="s">
        <v>6186</v>
      </c>
    </row>
    <row r="5043" spans="1:4" ht="12.95" customHeight="1" x14ac:dyDescent="0.25">
      <c r="A5043" s="2" t="s">
        <v>765</v>
      </c>
      <c r="B5043" s="2" t="s">
        <v>1272</v>
      </c>
      <c r="C5043" s="5" t="s">
        <v>1129</v>
      </c>
      <c r="D5043" s="2" t="s">
        <v>6207</v>
      </c>
    </row>
    <row r="5044" spans="1:4" ht="12.95" customHeight="1" x14ac:dyDescent="0.25">
      <c r="A5044" s="2" t="s">
        <v>765</v>
      </c>
      <c r="B5044" s="2" t="s">
        <v>1272</v>
      </c>
      <c r="C5044" s="5" t="s">
        <v>1131</v>
      </c>
      <c r="D5044" s="2" t="s">
        <v>6188</v>
      </c>
    </row>
    <row r="5045" spans="1:4" ht="12.95" customHeight="1" x14ac:dyDescent="0.25">
      <c r="A5045" s="2" t="s">
        <v>765</v>
      </c>
      <c r="B5045" s="2" t="s">
        <v>1272</v>
      </c>
      <c r="C5045" s="5" t="s">
        <v>1133</v>
      </c>
      <c r="D5045" s="2" t="s">
        <v>6189</v>
      </c>
    </row>
    <row r="5046" spans="1:4" ht="12.95" customHeight="1" x14ac:dyDescent="0.25">
      <c r="A5046" s="2" t="s">
        <v>765</v>
      </c>
      <c r="B5046" s="2" t="s">
        <v>1272</v>
      </c>
      <c r="C5046" s="5" t="s">
        <v>1135</v>
      </c>
      <c r="D5046" s="2" t="s">
        <v>6208</v>
      </c>
    </row>
    <row r="5047" spans="1:4" ht="12.95" customHeight="1" x14ac:dyDescent="0.25">
      <c r="A5047" s="2" t="s">
        <v>765</v>
      </c>
      <c r="B5047" s="2" t="s">
        <v>1272</v>
      </c>
      <c r="C5047" s="5" t="s">
        <v>1137</v>
      </c>
      <c r="D5047" s="2" t="s">
        <v>6209</v>
      </c>
    </row>
    <row r="5048" spans="1:4" ht="12.95" customHeight="1" x14ac:dyDescent="0.25">
      <c r="A5048" s="2" t="s">
        <v>765</v>
      </c>
      <c r="B5048" s="2" t="s">
        <v>1272</v>
      </c>
      <c r="C5048" s="5" t="s">
        <v>1139</v>
      </c>
      <c r="D5048" s="2" t="s">
        <v>1106</v>
      </c>
    </row>
    <row r="5049" spans="1:4" ht="12.95" customHeight="1" x14ac:dyDescent="0.25">
      <c r="A5049" s="2" t="s">
        <v>765</v>
      </c>
      <c r="B5049" s="2" t="s">
        <v>1272</v>
      </c>
      <c r="C5049" s="5" t="s">
        <v>1141</v>
      </c>
      <c r="D5049" s="2" t="s">
        <v>6210</v>
      </c>
    </row>
    <row r="5050" spans="1:4" ht="12.95" customHeight="1" x14ac:dyDescent="0.25">
      <c r="A5050" s="2" t="s">
        <v>765</v>
      </c>
      <c r="B5050" s="2" t="s">
        <v>1272</v>
      </c>
      <c r="C5050" s="5" t="s">
        <v>1295</v>
      </c>
      <c r="D5050" s="2" t="s">
        <v>6194</v>
      </c>
    </row>
    <row r="5051" spans="1:4" ht="12.95" customHeight="1" x14ac:dyDescent="0.25">
      <c r="A5051" s="2" t="s">
        <v>765</v>
      </c>
      <c r="B5051" s="2" t="s">
        <v>1272</v>
      </c>
      <c r="C5051" s="5" t="s">
        <v>1111</v>
      </c>
      <c r="D5051" s="2" t="s">
        <v>6211</v>
      </c>
    </row>
    <row r="5052" spans="1:4" ht="12.95" customHeight="1" x14ac:dyDescent="0.25">
      <c r="A5052" s="2" t="s">
        <v>767</v>
      </c>
      <c r="B5052" s="2" t="s">
        <v>1272</v>
      </c>
      <c r="C5052" s="5" t="s">
        <v>1102</v>
      </c>
      <c r="D5052" s="2" t="s">
        <v>1103</v>
      </c>
    </row>
    <row r="5053" spans="1:4" ht="12.95" customHeight="1" x14ac:dyDescent="0.25">
      <c r="A5053" s="2" t="s">
        <v>767</v>
      </c>
      <c r="B5053" s="2" t="s">
        <v>1272</v>
      </c>
      <c r="C5053" s="5" t="s">
        <v>1084</v>
      </c>
      <c r="D5053" s="2" t="s">
        <v>1153</v>
      </c>
    </row>
    <row r="5054" spans="1:4" ht="12.95" customHeight="1" x14ac:dyDescent="0.25">
      <c r="A5054" s="2" t="s">
        <v>767</v>
      </c>
      <c r="B5054" s="2" t="s">
        <v>1272</v>
      </c>
      <c r="C5054" s="5" t="s">
        <v>1086</v>
      </c>
      <c r="D5054" s="2" t="s">
        <v>1147</v>
      </c>
    </row>
    <row r="5055" spans="1:4" ht="12.95" customHeight="1" x14ac:dyDescent="0.25">
      <c r="A5055" s="2" t="s">
        <v>767</v>
      </c>
      <c r="B5055" s="2" t="s">
        <v>1272</v>
      </c>
      <c r="C5055" s="5" t="s">
        <v>1088</v>
      </c>
      <c r="D5055" s="2" t="s">
        <v>1089</v>
      </c>
    </row>
    <row r="5056" spans="1:4" ht="12.95" customHeight="1" x14ac:dyDescent="0.25">
      <c r="A5056" s="2" t="s">
        <v>767</v>
      </c>
      <c r="B5056" s="2" t="s">
        <v>1272</v>
      </c>
      <c r="C5056" s="5" t="s">
        <v>1090</v>
      </c>
      <c r="D5056" s="2" t="s">
        <v>927</v>
      </c>
    </row>
    <row r="5057" spans="1:4" ht="12.95" customHeight="1" x14ac:dyDescent="0.25">
      <c r="A5057" s="2" t="s">
        <v>767</v>
      </c>
      <c r="B5057" s="2" t="s">
        <v>1272</v>
      </c>
      <c r="C5057" s="5" t="s">
        <v>1092</v>
      </c>
      <c r="D5057" s="2" t="s">
        <v>6199</v>
      </c>
    </row>
    <row r="5058" spans="1:4" ht="12.95" customHeight="1" x14ac:dyDescent="0.25">
      <c r="A5058" s="2" t="s">
        <v>767</v>
      </c>
      <c r="B5058" s="2" t="s">
        <v>1272</v>
      </c>
      <c r="C5058" s="5" t="s">
        <v>1094</v>
      </c>
      <c r="D5058" s="2" t="s">
        <v>6178</v>
      </c>
    </row>
    <row r="5059" spans="1:4" ht="12.95" customHeight="1" x14ac:dyDescent="0.25">
      <c r="A5059" s="2" t="s">
        <v>767</v>
      </c>
      <c r="B5059" s="2" t="s">
        <v>1272</v>
      </c>
      <c r="C5059" s="5" t="s">
        <v>1096</v>
      </c>
      <c r="D5059" s="2" t="s">
        <v>6179</v>
      </c>
    </row>
    <row r="5060" spans="1:4" ht="12.95" customHeight="1" x14ac:dyDescent="0.25">
      <c r="A5060" s="2" t="s">
        <v>767</v>
      </c>
      <c r="B5060" s="2" t="s">
        <v>1272</v>
      </c>
      <c r="C5060" s="5" t="s">
        <v>1098</v>
      </c>
      <c r="D5060" s="2" t="s">
        <v>6200</v>
      </c>
    </row>
    <row r="5061" spans="1:4" ht="12.95" customHeight="1" x14ac:dyDescent="0.25">
      <c r="A5061" s="2" t="s">
        <v>767</v>
      </c>
      <c r="B5061" s="2" t="s">
        <v>1272</v>
      </c>
      <c r="C5061" s="5" t="s">
        <v>1100</v>
      </c>
      <c r="D5061" s="2" t="s">
        <v>6201</v>
      </c>
    </row>
    <row r="5062" spans="1:4" ht="12.95" customHeight="1" x14ac:dyDescent="0.25">
      <c r="A5062" s="2" t="s">
        <v>767</v>
      </c>
      <c r="B5062" s="2" t="s">
        <v>1272</v>
      </c>
      <c r="C5062" s="5" t="s">
        <v>1109</v>
      </c>
      <c r="D5062" s="2" t="s">
        <v>6202</v>
      </c>
    </row>
    <row r="5063" spans="1:4" ht="12.95" customHeight="1" x14ac:dyDescent="0.25">
      <c r="A5063" s="2" t="s">
        <v>767</v>
      </c>
      <c r="B5063" s="2" t="s">
        <v>1272</v>
      </c>
      <c r="C5063" s="5" t="s">
        <v>1119</v>
      </c>
      <c r="D5063" s="2" t="s">
        <v>6203</v>
      </c>
    </row>
    <row r="5064" spans="1:4" ht="12.95" customHeight="1" x14ac:dyDescent="0.25">
      <c r="A5064" s="2" t="s">
        <v>767</v>
      </c>
      <c r="B5064" s="2" t="s">
        <v>1272</v>
      </c>
      <c r="C5064" s="5" t="s">
        <v>1121</v>
      </c>
      <c r="D5064" s="2" t="s">
        <v>6204</v>
      </c>
    </row>
    <row r="5065" spans="1:4" ht="12.95" customHeight="1" x14ac:dyDescent="0.25">
      <c r="A5065" s="2" t="s">
        <v>767</v>
      </c>
      <c r="B5065" s="2" t="s">
        <v>1272</v>
      </c>
      <c r="C5065" s="5" t="s">
        <v>1123</v>
      </c>
      <c r="D5065" s="2" t="s">
        <v>6205</v>
      </c>
    </row>
    <row r="5066" spans="1:4" ht="12.95" customHeight="1" x14ac:dyDescent="0.25">
      <c r="A5066" s="2" t="s">
        <v>767</v>
      </c>
      <c r="B5066" s="2" t="s">
        <v>1272</v>
      </c>
      <c r="C5066" s="5" t="s">
        <v>1125</v>
      </c>
      <c r="D5066" s="2" t="s">
        <v>6206</v>
      </c>
    </row>
    <row r="5067" spans="1:4" ht="12.95" customHeight="1" x14ac:dyDescent="0.25">
      <c r="A5067" s="2" t="s">
        <v>767</v>
      </c>
      <c r="B5067" s="2" t="s">
        <v>1272</v>
      </c>
      <c r="C5067" s="5" t="s">
        <v>1127</v>
      </c>
      <c r="D5067" s="2" t="s">
        <v>6186</v>
      </c>
    </row>
    <row r="5068" spans="1:4" ht="12.95" customHeight="1" x14ac:dyDescent="0.25">
      <c r="A5068" s="2" t="s">
        <v>767</v>
      </c>
      <c r="B5068" s="2" t="s">
        <v>1272</v>
      </c>
      <c r="C5068" s="5" t="s">
        <v>1129</v>
      </c>
      <c r="D5068" s="2" t="s">
        <v>6207</v>
      </c>
    </row>
    <row r="5069" spans="1:4" ht="12.95" customHeight="1" x14ac:dyDescent="0.25">
      <c r="A5069" s="2" t="s">
        <v>767</v>
      </c>
      <c r="B5069" s="2" t="s">
        <v>1272</v>
      </c>
      <c r="C5069" s="5" t="s">
        <v>1131</v>
      </c>
      <c r="D5069" s="2" t="s">
        <v>6188</v>
      </c>
    </row>
    <row r="5070" spans="1:4" ht="12.95" customHeight="1" x14ac:dyDescent="0.25">
      <c r="A5070" s="2" t="s">
        <v>767</v>
      </c>
      <c r="B5070" s="2" t="s">
        <v>1272</v>
      </c>
      <c r="C5070" s="5" t="s">
        <v>1133</v>
      </c>
      <c r="D5070" s="2" t="s">
        <v>6189</v>
      </c>
    </row>
    <row r="5071" spans="1:4" ht="12.95" customHeight="1" x14ac:dyDescent="0.25">
      <c r="A5071" s="2" t="s">
        <v>767</v>
      </c>
      <c r="B5071" s="2" t="s">
        <v>1272</v>
      </c>
      <c r="C5071" s="5" t="s">
        <v>1135</v>
      </c>
      <c r="D5071" s="2" t="s">
        <v>6208</v>
      </c>
    </row>
    <row r="5072" spans="1:4" ht="12.95" customHeight="1" x14ac:dyDescent="0.25">
      <c r="A5072" s="2" t="s">
        <v>767</v>
      </c>
      <c r="B5072" s="2" t="s">
        <v>1272</v>
      </c>
      <c r="C5072" s="5" t="s">
        <v>1137</v>
      </c>
      <c r="D5072" s="2" t="s">
        <v>6209</v>
      </c>
    </row>
    <row r="5073" spans="1:4" ht="12.95" customHeight="1" x14ac:dyDescent="0.25">
      <c r="A5073" s="2" t="s">
        <v>767</v>
      </c>
      <c r="B5073" s="2" t="s">
        <v>1272</v>
      </c>
      <c r="C5073" s="5" t="s">
        <v>1139</v>
      </c>
      <c r="D5073" s="2" t="s">
        <v>1106</v>
      </c>
    </row>
    <row r="5074" spans="1:4" ht="12.95" customHeight="1" x14ac:dyDescent="0.25">
      <c r="A5074" s="2" t="s">
        <v>767</v>
      </c>
      <c r="B5074" s="2" t="s">
        <v>1272</v>
      </c>
      <c r="C5074" s="5" t="s">
        <v>1141</v>
      </c>
      <c r="D5074" s="2" t="s">
        <v>6210</v>
      </c>
    </row>
    <row r="5075" spans="1:4" ht="12.95" customHeight="1" x14ac:dyDescent="0.25">
      <c r="A5075" s="2" t="s">
        <v>767</v>
      </c>
      <c r="B5075" s="2" t="s">
        <v>1272</v>
      </c>
      <c r="C5075" s="5" t="s">
        <v>1295</v>
      </c>
      <c r="D5075" s="2" t="s">
        <v>6194</v>
      </c>
    </row>
    <row r="5076" spans="1:4" ht="12.95" customHeight="1" x14ac:dyDescent="0.25">
      <c r="A5076" s="2" t="s">
        <v>767</v>
      </c>
      <c r="B5076" s="2" t="s">
        <v>1272</v>
      </c>
      <c r="C5076" s="5" t="s">
        <v>1111</v>
      </c>
      <c r="D5076" s="2" t="s">
        <v>6211</v>
      </c>
    </row>
    <row r="5077" spans="1:4" ht="12.95" customHeight="1" x14ac:dyDescent="0.25">
      <c r="A5077" s="2" t="s">
        <v>769</v>
      </c>
      <c r="B5077" s="2" t="s">
        <v>1272</v>
      </c>
      <c r="C5077" s="5" t="s">
        <v>1102</v>
      </c>
      <c r="D5077" s="2" t="s">
        <v>1103</v>
      </c>
    </row>
    <row r="5078" spans="1:4" ht="12.95" customHeight="1" x14ac:dyDescent="0.25">
      <c r="A5078" s="2" t="s">
        <v>769</v>
      </c>
      <c r="B5078" s="2" t="s">
        <v>1272</v>
      </c>
      <c r="C5078" s="5" t="s">
        <v>1084</v>
      </c>
      <c r="D5078" s="2" t="s">
        <v>1153</v>
      </c>
    </row>
    <row r="5079" spans="1:4" ht="12.95" customHeight="1" x14ac:dyDescent="0.25">
      <c r="A5079" s="2" t="s">
        <v>769</v>
      </c>
      <c r="B5079" s="2" t="s">
        <v>1272</v>
      </c>
      <c r="C5079" s="5" t="s">
        <v>1086</v>
      </c>
      <c r="D5079" s="2" t="s">
        <v>1147</v>
      </c>
    </row>
    <row r="5080" spans="1:4" ht="12.95" customHeight="1" x14ac:dyDescent="0.25">
      <c r="A5080" s="2" t="s">
        <v>769</v>
      </c>
      <c r="B5080" s="2" t="s">
        <v>1272</v>
      </c>
      <c r="C5080" s="5" t="s">
        <v>1088</v>
      </c>
      <c r="D5080" s="2" t="s">
        <v>1089</v>
      </c>
    </row>
    <row r="5081" spans="1:4" ht="12.95" customHeight="1" x14ac:dyDescent="0.25">
      <c r="A5081" s="2" t="s">
        <v>769</v>
      </c>
      <c r="B5081" s="2" t="s">
        <v>1272</v>
      </c>
      <c r="C5081" s="5" t="s">
        <v>1090</v>
      </c>
      <c r="D5081" s="2" t="s">
        <v>927</v>
      </c>
    </row>
    <row r="5082" spans="1:4" ht="12.95" customHeight="1" x14ac:dyDescent="0.25">
      <c r="A5082" s="2" t="s">
        <v>769</v>
      </c>
      <c r="B5082" s="2" t="s">
        <v>1272</v>
      </c>
      <c r="C5082" s="5" t="s">
        <v>1092</v>
      </c>
      <c r="D5082" s="2" t="s">
        <v>6199</v>
      </c>
    </row>
    <row r="5083" spans="1:4" ht="12.95" customHeight="1" x14ac:dyDescent="0.25">
      <c r="A5083" s="2" t="s">
        <v>769</v>
      </c>
      <c r="B5083" s="2" t="s">
        <v>1272</v>
      </c>
      <c r="C5083" s="5" t="s">
        <v>1094</v>
      </c>
      <c r="D5083" s="2" t="s">
        <v>6178</v>
      </c>
    </row>
    <row r="5084" spans="1:4" ht="12.95" customHeight="1" x14ac:dyDescent="0.25">
      <c r="A5084" s="2" t="s">
        <v>769</v>
      </c>
      <c r="B5084" s="2" t="s">
        <v>1272</v>
      </c>
      <c r="C5084" s="5" t="s">
        <v>1096</v>
      </c>
      <c r="D5084" s="2" t="s">
        <v>6179</v>
      </c>
    </row>
    <row r="5085" spans="1:4" ht="12.95" customHeight="1" x14ac:dyDescent="0.25">
      <c r="A5085" s="2" t="s">
        <v>769</v>
      </c>
      <c r="B5085" s="2" t="s">
        <v>1272</v>
      </c>
      <c r="C5085" s="5" t="s">
        <v>1098</v>
      </c>
      <c r="D5085" s="2" t="s">
        <v>6200</v>
      </c>
    </row>
    <row r="5086" spans="1:4" ht="12.95" customHeight="1" x14ac:dyDescent="0.25">
      <c r="A5086" s="2" t="s">
        <v>769</v>
      </c>
      <c r="B5086" s="2" t="s">
        <v>1272</v>
      </c>
      <c r="C5086" s="5" t="s">
        <v>1100</v>
      </c>
      <c r="D5086" s="2" t="s">
        <v>6201</v>
      </c>
    </row>
    <row r="5087" spans="1:4" ht="12.95" customHeight="1" x14ac:dyDescent="0.25">
      <c r="A5087" s="2" t="s">
        <v>769</v>
      </c>
      <c r="B5087" s="2" t="s">
        <v>1272</v>
      </c>
      <c r="C5087" s="5" t="s">
        <v>1109</v>
      </c>
      <c r="D5087" s="2" t="s">
        <v>6202</v>
      </c>
    </row>
    <row r="5088" spans="1:4" ht="12.95" customHeight="1" x14ac:dyDescent="0.25">
      <c r="A5088" s="2" t="s">
        <v>769</v>
      </c>
      <c r="B5088" s="2" t="s">
        <v>1272</v>
      </c>
      <c r="C5088" s="5" t="s">
        <v>1119</v>
      </c>
      <c r="D5088" s="2" t="s">
        <v>6203</v>
      </c>
    </row>
    <row r="5089" spans="1:4" ht="12.95" customHeight="1" x14ac:dyDescent="0.25">
      <c r="A5089" s="2" t="s">
        <v>769</v>
      </c>
      <c r="B5089" s="2" t="s">
        <v>1272</v>
      </c>
      <c r="C5089" s="5" t="s">
        <v>1121</v>
      </c>
      <c r="D5089" s="2" t="s">
        <v>6204</v>
      </c>
    </row>
    <row r="5090" spans="1:4" ht="12.95" customHeight="1" x14ac:dyDescent="0.25">
      <c r="A5090" s="2" t="s">
        <v>769</v>
      </c>
      <c r="B5090" s="2" t="s">
        <v>1272</v>
      </c>
      <c r="C5090" s="5" t="s">
        <v>1123</v>
      </c>
      <c r="D5090" s="2" t="s">
        <v>6205</v>
      </c>
    </row>
    <row r="5091" spans="1:4" ht="12.95" customHeight="1" x14ac:dyDescent="0.25">
      <c r="A5091" s="2" t="s">
        <v>769</v>
      </c>
      <c r="B5091" s="2" t="s">
        <v>1272</v>
      </c>
      <c r="C5091" s="5" t="s">
        <v>1125</v>
      </c>
      <c r="D5091" s="2" t="s">
        <v>6206</v>
      </c>
    </row>
    <row r="5092" spans="1:4" ht="12.95" customHeight="1" x14ac:dyDescent="0.25">
      <c r="A5092" s="2" t="s">
        <v>769</v>
      </c>
      <c r="B5092" s="2" t="s">
        <v>1272</v>
      </c>
      <c r="C5092" s="5" t="s">
        <v>1127</v>
      </c>
      <c r="D5092" s="2" t="s">
        <v>6186</v>
      </c>
    </row>
    <row r="5093" spans="1:4" ht="12.95" customHeight="1" x14ac:dyDescent="0.25">
      <c r="A5093" s="2" t="s">
        <v>769</v>
      </c>
      <c r="B5093" s="2" t="s">
        <v>1272</v>
      </c>
      <c r="C5093" s="5" t="s">
        <v>1129</v>
      </c>
      <c r="D5093" s="2" t="s">
        <v>6207</v>
      </c>
    </row>
    <row r="5094" spans="1:4" ht="12.95" customHeight="1" x14ac:dyDescent="0.25">
      <c r="A5094" s="2" t="s">
        <v>769</v>
      </c>
      <c r="B5094" s="2" t="s">
        <v>1272</v>
      </c>
      <c r="C5094" s="5" t="s">
        <v>1131</v>
      </c>
      <c r="D5094" s="2" t="s">
        <v>6188</v>
      </c>
    </row>
    <row r="5095" spans="1:4" ht="12.95" customHeight="1" x14ac:dyDescent="0.25">
      <c r="A5095" s="2" t="s">
        <v>769</v>
      </c>
      <c r="B5095" s="2" t="s">
        <v>1272</v>
      </c>
      <c r="C5095" s="5" t="s">
        <v>1133</v>
      </c>
      <c r="D5095" s="2" t="s">
        <v>6189</v>
      </c>
    </row>
    <row r="5096" spans="1:4" ht="12.95" customHeight="1" x14ac:dyDescent="0.25">
      <c r="A5096" s="2" t="s">
        <v>769</v>
      </c>
      <c r="B5096" s="2" t="s">
        <v>1272</v>
      </c>
      <c r="C5096" s="5" t="s">
        <v>1135</v>
      </c>
      <c r="D5096" s="2" t="s">
        <v>6208</v>
      </c>
    </row>
    <row r="5097" spans="1:4" ht="12.95" customHeight="1" x14ac:dyDescent="0.25">
      <c r="A5097" s="2" t="s">
        <v>769</v>
      </c>
      <c r="B5097" s="2" t="s">
        <v>1272</v>
      </c>
      <c r="C5097" s="5" t="s">
        <v>1137</v>
      </c>
      <c r="D5097" s="2" t="s">
        <v>6209</v>
      </c>
    </row>
    <row r="5098" spans="1:4" ht="12.95" customHeight="1" x14ac:dyDescent="0.25">
      <c r="A5098" s="2" t="s">
        <v>769</v>
      </c>
      <c r="B5098" s="2" t="s">
        <v>1272</v>
      </c>
      <c r="C5098" s="5" t="s">
        <v>1139</v>
      </c>
      <c r="D5098" s="2" t="s">
        <v>1106</v>
      </c>
    </row>
    <row r="5099" spans="1:4" ht="12.95" customHeight="1" x14ac:dyDescent="0.25">
      <c r="A5099" s="2" t="s">
        <v>769</v>
      </c>
      <c r="B5099" s="2" t="s">
        <v>1272</v>
      </c>
      <c r="C5099" s="5" t="s">
        <v>1141</v>
      </c>
      <c r="D5099" s="2" t="s">
        <v>6210</v>
      </c>
    </row>
    <row r="5100" spans="1:4" ht="12.95" customHeight="1" x14ac:dyDescent="0.25">
      <c r="A5100" s="2" t="s">
        <v>769</v>
      </c>
      <c r="B5100" s="2" t="s">
        <v>1272</v>
      </c>
      <c r="C5100" s="5" t="s">
        <v>1295</v>
      </c>
      <c r="D5100" s="2" t="s">
        <v>6194</v>
      </c>
    </row>
    <row r="5101" spans="1:4" ht="12.95" customHeight="1" x14ac:dyDescent="0.25">
      <c r="A5101" s="2" t="s">
        <v>769</v>
      </c>
      <c r="B5101" s="2" t="s">
        <v>1272</v>
      </c>
      <c r="C5101" s="5" t="s">
        <v>1111</v>
      </c>
      <c r="D5101" s="2" t="s">
        <v>6211</v>
      </c>
    </row>
    <row r="5102" spans="1:4" ht="12.95" customHeight="1" x14ac:dyDescent="0.25">
      <c r="A5102" s="2" t="s">
        <v>771</v>
      </c>
      <c r="B5102" s="2" t="s">
        <v>1272</v>
      </c>
      <c r="C5102" s="5" t="s">
        <v>1102</v>
      </c>
      <c r="D5102" s="2" t="s">
        <v>1103</v>
      </c>
    </row>
    <row r="5103" spans="1:4" ht="12.95" customHeight="1" x14ac:dyDescent="0.25">
      <c r="A5103" s="2" t="s">
        <v>771</v>
      </c>
      <c r="B5103" s="2" t="s">
        <v>1272</v>
      </c>
      <c r="C5103" s="5" t="s">
        <v>1084</v>
      </c>
      <c r="D5103" s="2" t="s">
        <v>1153</v>
      </c>
    </row>
    <row r="5104" spans="1:4" ht="12.95" customHeight="1" x14ac:dyDescent="0.25">
      <c r="A5104" s="2" t="s">
        <v>771</v>
      </c>
      <c r="B5104" s="2" t="s">
        <v>1272</v>
      </c>
      <c r="C5104" s="5" t="s">
        <v>1086</v>
      </c>
      <c r="D5104" s="2" t="s">
        <v>1147</v>
      </c>
    </row>
    <row r="5105" spans="1:4" ht="12.95" customHeight="1" x14ac:dyDescent="0.25">
      <c r="A5105" s="2" t="s">
        <v>771</v>
      </c>
      <c r="B5105" s="2" t="s">
        <v>1272</v>
      </c>
      <c r="C5105" s="5" t="s">
        <v>1088</v>
      </c>
      <c r="D5105" s="2" t="s">
        <v>1089</v>
      </c>
    </row>
    <row r="5106" spans="1:4" ht="12.95" customHeight="1" x14ac:dyDescent="0.25">
      <c r="A5106" s="2" t="s">
        <v>771</v>
      </c>
      <c r="B5106" s="2" t="s">
        <v>1272</v>
      </c>
      <c r="C5106" s="5" t="s">
        <v>1090</v>
      </c>
      <c r="D5106" s="2" t="s">
        <v>927</v>
      </c>
    </row>
    <row r="5107" spans="1:4" ht="12.95" customHeight="1" x14ac:dyDescent="0.25">
      <c r="A5107" s="2" t="s">
        <v>771</v>
      </c>
      <c r="B5107" s="2" t="s">
        <v>1272</v>
      </c>
      <c r="C5107" s="5" t="s">
        <v>1092</v>
      </c>
      <c r="D5107" s="2" t="s">
        <v>6199</v>
      </c>
    </row>
    <row r="5108" spans="1:4" ht="12.95" customHeight="1" x14ac:dyDescent="0.25">
      <c r="A5108" s="2" t="s">
        <v>771</v>
      </c>
      <c r="B5108" s="2" t="s">
        <v>1272</v>
      </c>
      <c r="C5108" s="5" t="s">
        <v>1094</v>
      </c>
      <c r="D5108" s="2" t="s">
        <v>6178</v>
      </c>
    </row>
    <row r="5109" spans="1:4" ht="12.95" customHeight="1" x14ac:dyDescent="0.25">
      <c r="A5109" s="2" t="s">
        <v>771</v>
      </c>
      <c r="B5109" s="2" t="s">
        <v>1272</v>
      </c>
      <c r="C5109" s="5" t="s">
        <v>1096</v>
      </c>
      <c r="D5109" s="2" t="s">
        <v>6179</v>
      </c>
    </row>
    <row r="5110" spans="1:4" ht="12.95" customHeight="1" x14ac:dyDescent="0.25">
      <c r="A5110" s="2" t="s">
        <v>771</v>
      </c>
      <c r="B5110" s="2" t="s">
        <v>1272</v>
      </c>
      <c r="C5110" s="5" t="s">
        <v>1098</v>
      </c>
      <c r="D5110" s="2" t="s">
        <v>6200</v>
      </c>
    </row>
    <row r="5111" spans="1:4" ht="12.95" customHeight="1" x14ac:dyDescent="0.25">
      <c r="A5111" s="2" t="s">
        <v>771</v>
      </c>
      <c r="B5111" s="2" t="s">
        <v>1272</v>
      </c>
      <c r="C5111" s="5" t="s">
        <v>1100</v>
      </c>
      <c r="D5111" s="2" t="s">
        <v>6201</v>
      </c>
    </row>
    <row r="5112" spans="1:4" ht="12.95" customHeight="1" x14ac:dyDescent="0.25">
      <c r="A5112" s="2" t="s">
        <v>771</v>
      </c>
      <c r="B5112" s="2" t="s">
        <v>1272</v>
      </c>
      <c r="C5112" s="5" t="s">
        <v>1109</v>
      </c>
      <c r="D5112" s="2" t="s">
        <v>6202</v>
      </c>
    </row>
    <row r="5113" spans="1:4" ht="12.95" customHeight="1" x14ac:dyDescent="0.25">
      <c r="A5113" s="2" t="s">
        <v>771</v>
      </c>
      <c r="B5113" s="2" t="s">
        <v>1272</v>
      </c>
      <c r="C5113" s="5" t="s">
        <v>1119</v>
      </c>
      <c r="D5113" s="2" t="s">
        <v>6203</v>
      </c>
    </row>
    <row r="5114" spans="1:4" ht="12.95" customHeight="1" x14ac:dyDescent="0.25">
      <c r="A5114" s="2" t="s">
        <v>771</v>
      </c>
      <c r="B5114" s="2" t="s">
        <v>1272</v>
      </c>
      <c r="C5114" s="5" t="s">
        <v>1121</v>
      </c>
      <c r="D5114" s="2" t="s">
        <v>6204</v>
      </c>
    </row>
    <row r="5115" spans="1:4" ht="12.95" customHeight="1" x14ac:dyDescent="0.25">
      <c r="A5115" s="2" t="s">
        <v>771</v>
      </c>
      <c r="B5115" s="2" t="s">
        <v>1272</v>
      </c>
      <c r="C5115" s="5" t="s">
        <v>1123</v>
      </c>
      <c r="D5115" s="2" t="s">
        <v>6205</v>
      </c>
    </row>
    <row r="5116" spans="1:4" ht="12.95" customHeight="1" x14ac:dyDescent="0.25">
      <c r="A5116" s="2" t="s">
        <v>771</v>
      </c>
      <c r="B5116" s="2" t="s">
        <v>1272</v>
      </c>
      <c r="C5116" s="5" t="s">
        <v>1125</v>
      </c>
      <c r="D5116" s="2" t="s">
        <v>6206</v>
      </c>
    </row>
    <row r="5117" spans="1:4" ht="12.95" customHeight="1" x14ac:dyDescent="0.25">
      <c r="A5117" s="2" t="s">
        <v>771</v>
      </c>
      <c r="B5117" s="2" t="s">
        <v>1272</v>
      </c>
      <c r="C5117" s="5" t="s">
        <v>1127</v>
      </c>
      <c r="D5117" s="2" t="s">
        <v>6186</v>
      </c>
    </row>
    <row r="5118" spans="1:4" ht="12.95" customHeight="1" x14ac:dyDescent="0.25">
      <c r="A5118" s="2" t="s">
        <v>771</v>
      </c>
      <c r="B5118" s="2" t="s">
        <v>1272</v>
      </c>
      <c r="C5118" s="5" t="s">
        <v>1129</v>
      </c>
      <c r="D5118" s="2" t="s">
        <v>6207</v>
      </c>
    </row>
    <row r="5119" spans="1:4" ht="12.95" customHeight="1" x14ac:dyDescent="0.25">
      <c r="A5119" s="2" t="s">
        <v>771</v>
      </c>
      <c r="B5119" s="2" t="s">
        <v>1272</v>
      </c>
      <c r="C5119" s="5" t="s">
        <v>1131</v>
      </c>
      <c r="D5119" s="2" t="s">
        <v>6188</v>
      </c>
    </row>
    <row r="5120" spans="1:4" ht="12.95" customHeight="1" x14ac:dyDescent="0.25">
      <c r="A5120" s="2" t="s">
        <v>771</v>
      </c>
      <c r="B5120" s="2" t="s">
        <v>1272</v>
      </c>
      <c r="C5120" s="5" t="s">
        <v>1133</v>
      </c>
      <c r="D5120" s="2" t="s">
        <v>6189</v>
      </c>
    </row>
    <row r="5121" spans="1:4" ht="12.95" customHeight="1" x14ac:dyDescent="0.25">
      <c r="A5121" s="2" t="s">
        <v>771</v>
      </c>
      <c r="B5121" s="2" t="s">
        <v>1272</v>
      </c>
      <c r="C5121" s="5" t="s">
        <v>1135</v>
      </c>
      <c r="D5121" s="2" t="s">
        <v>6208</v>
      </c>
    </row>
    <row r="5122" spans="1:4" ht="12.95" customHeight="1" x14ac:dyDescent="0.25">
      <c r="A5122" s="2" t="s">
        <v>771</v>
      </c>
      <c r="B5122" s="2" t="s">
        <v>1272</v>
      </c>
      <c r="C5122" s="5" t="s">
        <v>1137</v>
      </c>
      <c r="D5122" s="2" t="s">
        <v>6209</v>
      </c>
    </row>
    <row r="5123" spans="1:4" ht="12.95" customHeight="1" x14ac:dyDescent="0.25">
      <c r="A5123" s="2" t="s">
        <v>771</v>
      </c>
      <c r="B5123" s="2" t="s">
        <v>1272</v>
      </c>
      <c r="C5123" s="5" t="s">
        <v>1139</v>
      </c>
      <c r="D5123" s="2" t="s">
        <v>1106</v>
      </c>
    </row>
    <row r="5124" spans="1:4" ht="12.95" customHeight="1" x14ac:dyDescent="0.25">
      <c r="A5124" s="2" t="s">
        <v>771</v>
      </c>
      <c r="B5124" s="2" t="s">
        <v>1272</v>
      </c>
      <c r="C5124" s="5" t="s">
        <v>1141</v>
      </c>
      <c r="D5124" s="2" t="s">
        <v>6210</v>
      </c>
    </row>
    <row r="5125" spans="1:4" ht="12.95" customHeight="1" x14ac:dyDescent="0.25">
      <c r="A5125" s="2" t="s">
        <v>771</v>
      </c>
      <c r="B5125" s="2" t="s">
        <v>1272</v>
      </c>
      <c r="C5125" s="5" t="s">
        <v>1295</v>
      </c>
      <c r="D5125" s="2" t="s">
        <v>6194</v>
      </c>
    </row>
    <row r="5126" spans="1:4" ht="12.95" customHeight="1" x14ac:dyDescent="0.25">
      <c r="A5126" s="2" t="s">
        <v>771</v>
      </c>
      <c r="B5126" s="2" t="s">
        <v>1272</v>
      </c>
      <c r="C5126" s="5" t="s">
        <v>1111</v>
      </c>
      <c r="D5126" s="2" t="s">
        <v>6211</v>
      </c>
    </row>
    <row r="5127" spans="1:4" ht="12.95" customHeight="1" x14ac:dyDescent="0.25">
      <c r="A5127" s="2" t="s">
        <v>773</v>
      </c>
      <c r="B5127" s="2" t="s">
        <v>1272</v>
      </c>
      <c r="C5127" s="5" t="s">
        <v>1102</v>
      </c>
      <c r="D5127" s="2" t="s">
        <v>1103</v>
      </c>
    </row>
    <row r="5128" spans="1:4" ht="12.95" customHeight="1" x14ac:dyDescent="0.25">
      <c r="A5128" s="2" t="s">
        <v>773</v>
      </c>
      <c r="B5128" s="2" t="s">
        <v>1272</v>
      </c>
      <c r="C5128" s="5" t="s">
        <v>1084</v>
      </c>
      <c r="D5128" s="2" t="s">
        <v>1153</v>
      </c>
    </row>
    <row r="5129" spans="1:4" ht="12.95" customHeight="1" x14ac:dyDescent="0.25">
      <c r="A5129" s="2" t="s">
        <v>773</v>
      </c>
      <c r="B5129" s="2" t="s">
        <v>1272</v>
      </c>
      <c r="C5129" s="5" t="s">
        <v>1086</v>
      </c>
      <c r="D5129" s="2" t="s">
        <v>1147</v>
      </c>
    </row>
    <row r="5130" spans="1:4" ht="12.95" customHeight="1" x14ac:dyDescent="0.25">
      <c r="A5130" s="2" t="s">
        <v>773</v>
      </c>
      <c r="B5130" s="2" t="s">
        <v>1272</v>
      </c>
      <c r="C5130" s="5" t="s">
        <v>1088</v>
      </c>
      <c r="D5130" s="2" t="s">
        <v>1089</v>
      </c>
    </row>
    <row r="5131" spans="1:4" ht="12.95" customHeight="1" x14ac:dyDescent="0.25">
      <c r="A5131" s="2" t="s">
        <v>773</v>
      </c>
      <c r="B5131" s="2" t="s">
        <v>1272</v>
      </c>
      <c r="C5131" s="5" t="s">
        <v>1090</v>
      </c>
      <c r="D5131" s="2" t="s">
        <v>927</v>
      </c>
    </row>
    <row r="5132" spans="1:4" ht="12.95" customHeight="1" x14ac:dyDescent="0.25">
      <c r="A5132" s="2" t="s">
        <v>773</v>
      </c>
      <c r="B5132" s="2" t="s">
        <v>1272</v>
      </c>
      <c r="C5132" s="5" t="s">
        <v>1092</v>
      </c>
      <c r="D5132" s="2" t="s">
        <v>6199</v>
      </c>
    </row>
    <row r="5133" spans="1:4" ht="12.95" customHeight="1" x14ac:dyDescent="0.25">
      <c r="A5133" s="2" t="s">
        <v>773</v>
      </c>
      <c r="B5133" s="2" t="s">
        <v>1272</v>
      </c>
      <c r="C5133" s="5" t="s">
        <v>1094</v>
      </c>
      <c r="D5133" s="2" t="s">
        <v>6178</v>
      </c>
    </row>
    <row r="5134" spans="1:4" ht="12.95" customHeight="1" x14ac:dyDescent="0.25">
      <c r="A5134" s="2" t="s">
        <v>773</v>
      </c>
      <c r="B5134" s="2" t="s">
        <v>1272</v>
      </c>
      <c r="C5134" s="5" t="s">
        <v>1096</v>
      </c>
      <c r="D5134" s="2" t="s">
        <v>6179</v>
      </c>
    </row>
    <row r="5135" spans="1:4" ht="12.95" customHeight="1" x14ac:dyDescent="0.25">
      <c r="A5135" s="2" t="s">
        <v>773</v>
      </c>
      <c r="B5135" s="2" t="s">
        <v>1272</v>
      </c>
      <c r="C5135" s="5" t="s">
        <v>1098</v>
      </c>
      <c r="D5135" s="2" t="s">
        <v>6200</v>
      </c>
    </row>
    <row r="5136" spans="1:4" ht="12.95" customHeight="1" x14ac:dyDescent="0.25">
      <c r="A5136" s="2" t="s">
        <v>773</v>
      </c>
      <c r="B5136" s="2" t="s">
        <v>1272</v>
      </c>
      <c r="C5136" s="5" t="s">
        <v>1100</v>
      </c>
      <c r="D5136" s="2" t="s">
        <v>6201</v>
      </c>
    </row>
    <row r="5137" spans="1:4" ht="12.95" customHeight="1" x14ac:dyDescent="0.25">
      <c r="A5137" s="2" t="s">
        <v>773</v>
      </c>
      <c r="B5137" s="2" t="s">
        <v>1272</v>
      </c>
      <c r="C5137" s="5" t="s">
        <v>1109</v>
      </c>
      <c r="D5137" s="2" t="s">
        <v>6202</v>
      </c>
    </row>
    <row r="5138" spans="1:4" ht="12.95" customHeight="1" x14ac:dyDescent="0.25">
      <c r="A5138" s="2" t="s">
        <v>773</v>
      </c>
      <c r="B5138" s="2" t="s">
        <v>1272</v>
      </c>
      <c r="C5138" s="5" t="s">
        <v>1119</v>
      </c>
      <c r="D5138" s="2" t="s">
        <v>6203</v>
      </c>
    </row>
    <row r="5139" spans="1:4" ht="12.95" customHeight="1" x14ac:dyDescent="0.25">
      <c r="A5139" s="2" t="s">
        <v>773</v>
      </c>
      <c r="B5139" s="2" t="s">
        <v>1272</v>
      </c>
      <c r="C5139" s="5" t="s">
        <v>1121</v>
      </c>
      <c r="D5139" s="2" t="s">
        <v>6204</v>
      </c>
    </row>
    <row r="5140" spans="1:4" ht="12.95" customHeight="1" x14ac:dyDescent="0.25">
      <c r="A5140" s="2" t="s">
        <v>773</v>
      </c>
      <c r="B5140" s="2" t="s">
        <v>1272</v>
      </c>
      <c r="C5140" s="5" t="s">
        <v>1123</v>
      </c>
      <c r="D5140" s="2" t="s">
        <v>6205</v>
      </c>
    </row>
    <row r="5141" spans="1:4" ht="12.95" customHeight="1" x14ac:dyDescent="0.25">
      <c r="A5141" s="2" t="s">
        <v>773</v>
      </c>
      <c r="B5141" s="2" t="s">
        <v>1272</v>
      </c>
      <c r="C5141" s="5" t="s">
        <v>1125</v>
      </c>
      <c r="D5141" s="2" t="s">
        <v>6206</v>
      </c>
    </row>
    <row r="5142" spans="1:4" ht="12.95" customHeight="1" x14ac:dyDescent="0.25">
      <c r="A5142" s="2" t="s">
        <v>773</v>
      </c>
      <c r="B5142" s="2" t="s">
        <v>1272</v>
      </c>
      <c r="C5142" s="5" t="s">
        <v>1127</v>
      </c>
      <c r="D5142" s="2" t="s">
        <v>6186</v>
      </c>
    </row>
    <row r="5143" spans="1:4" ht="12.95" customHeight="1" x14ac:dyDescent="0.25">
      <c r="A5143" s="2" t="s">
        <v>773</v>
      </c>
      <c r="B5143" s="2" t="s">
        <v>1272</v>
      </c>
      <c r="C5143" s="5" t="s">
        <v>1129</v>
      </c>
      <c r="D5143" s="2" t="s">
        <v>6207</v>
      </c>
    </row>
    <row r="5144" spans="1:4" ht="12.95" customHeight="1" x14ac:dyDescent="0.25">
      <c r="A5144" s="2" t="s">
        <v>773</v>
      </c>
      <c r="B5144" s="2" t="s">
        <v>1272</v>
      </c>
      <c r="C5144" s="5" t="s">
        <v>1131</v>
      </c>
      <c r="D5144" s="2" t="s">
        <v>6188</v>
      </c>
    </row>
    <row r="5145" spans="1:4" ht="12.95" customHeight="1" x14ac:dyDescent="0.25">
      <c r="A5145" s="2" t="s">
        <v>773</v>
      </c>
      <c r="B5145" s="2" t="s">
        <v>1272</v>
      </c>
      <c r="C5145" s="5" t="s">
        <v>1133</v>
      </c>
      <c r="D5145" s="2" t="s">
        <v>6189</v>
      </c>
    </row>
    <row r="5146" spans="1:4" ht="12.95" customHeight="1" x14ac:dyDescent="0.25">
      <c r="A5146" s="2" t="s">
        <v>773</v>
      </c>
      <c r="B5146" s="2" t="s">
        <v>1272</v>
      </c>
      <c r="C5146" s="5" t="s">
        <v>1135</v>
      </c>
      <c r="D5146" s="2" t="s">
        <v>6208</v>
      </c>
    </row>
    <row r="5147" spans="1:4" ht="12.95" customHeight="1" x14ac:dyDescent="0.25">
      <c r="A5147" s="2" t="s">
        <v>773</v>
      </c>
      <c r="B5147" s="2" t="s">
        <v>1272</v>
      </c>
      <c r="C5147" s="5" t="s">
        <v>1137</v>
      </c>
      <c r="D5147" s="2" t="s">
        <v>6209</v>
      </c>
    </row>
    <row r="5148" spans="1:4" ht="12.95" customHeight="1" x14ac:dyDescent="0.25">
      <c r="A5148" s="2" t="s">
        <v>773</v>
      </c>
      <c r="B5148" s="2" t="s">
        <v>1272</v>
      </c>
      <c r="C5148" s="5" t="s">
        <v>1139</v>
      </c>
      <c r="D5148" s="2" t="s">
        <v>1106</v>
      </c>
    </row>
    <row r="5149" spans="1:4" ht="12.95" customHeight="1" x14ac:dyDescent="0.25">
      <c r="A5149" s="2" t="s">
        <v>773</v>
      </c>
      <c r="B5149" s="2" t="s">
        <v>1272</v>
      </c>
      <c r="C5149" s="5" t="s">
        <v>1141</v>
      </c>
      <c r="D5149" s="2" t="s">
        <v>6210</v>
      </c>
    </row>
    <row r="5150" spans="1:4" ht="12.95" customHeight="1" x14ac:dyDescent="0.25">
      <c r="A5150" s="2" t="s">
        <v>773</v>
      </c>
      <c r="B5150" s="2" t="s">
        <v>1272</v>
      </c>
      <c r="C5150" s="5" t="s">
        <v>1295</v>
      </c>
      <c r="D5150" s="2" t="s">
        <v>6194</v>
      </c>
    </row>
    <row r="5151" spans="1:4" ht="12.95" customHeight="1" x14ac:dyDescent="0.25">
      <c r="A5151" s="2" t="s">
        <v>773</v>
      </c>
      <c r="B5151" s="2" t="s">
        <v>1272</v>
      </c>
      <c r="C5151" s="5" t="s">
        <v>1111</v>
      </c>
      <c r="D5151" s="2" t="s">
        <v>6211</v>
      </c>
    </row>
    <row r="5152" spans="1:4" ht="12.95" customHeight="1" x14ac:dyDescent="0.25">
      <c r="A5152" s="2" t="s">
        <v>775</v>
      </c>
      <c r="B5152" s="2" t="s">
        <v>1272</v>
      </c>
      <c r="C5152" s="5" t="s">
        <v>1102</v>
      </c>
      <c r="D5152" s="2" t="s">
        <v>1103</v>
      </c>
    </row>
    <row r="5153" spans="1:4" ht="12.95" customHeight="1" x14ac:dyDescent="0.25">
      <c r="A5153" s="2" t="s">
        <v>775</v>
      </c>
      <c r="B5153" s="2" t="s">
        <v>1272</v>
      </c>
      <c r="C5153" s="5" t="s">
        <v>1084</v>
      </c>
      <c r="D5153" s="2" t="s">
        <v>1153</v>
      </c>
    </row>
    <row r="5154" spans="1:4" ht="12.95" customHeight="1" x14ac:dyDescent="0.25">
      <c r="A5154" s="2" t="s">
        <v>775</v>
      </c>
      <c r="B5154" s="2" t="s">
        <v>1272</v>
      </c>
      <c r="C5154" s="5" t="s">
        <v>1086</v>
      </c>
      <c r="D5154" s="2" t="s">
        <v>1147</v>
      </c>
    </row>
    <row r="5155" spans="1:4" ht="12.95" customHeight="1" x14ac:dyDescent="0.25">
      <c r="A5155" s="2" t="s">
        <v>775</v>
      </c>
      <c r="B5155" s="2" t="s">
        <v>1272</v>
      </c>
      <c r="C5155" s="5" t="s">
        <v>1088</v>
      </c>
      <c r="D5155" s="2" t="s">
        <v>1089</v>
      </c>
    </row>
    <row r="5156" spans="1:4" ht="12.95" customHeight="1" x14ac:dyDescent="0.25">
      <c r="A5156" s="2" t="s">
        <v>775</v>
      </c>
      <c r="B5156" s="2" t="s">
        <v>1272</v>
      </c>
      <c r="C5156" s="5" t="s">
        <v>1090</v>
      </c>
      <c r="D5156" s="2" t="s">
        <v>927</v>
      </c>
    </row>
    <row r="5157" spans="1:4" ht="12.95" customHeight="1" x14ac:dyDescent="0.25">
      <c r="A5157" s="2" t="s">
        <v>775</v>
      </c>
      <c r="B5157" s="2" t="s">
        <v>1272</v>
      </c>
      <c r="C5157" s="5" t="s">
        <v>1092</v>
      </c>
      <c r="D5157" s="2" t="s">
        <v>6199</v>
      </c>
    </row>
    <row r="5158" spans="1:4" ht="12.95" customHeight="1" x14ac:dyDescent="0.25">
      <c r="A5158" s="2" t="s">
        <v>775</v>
      </c>
      <c r="B5158" s="2" t="s">
        <v>1272</v>
      </c>
      <c r="C5158" s="5" t="s">
        <v>1094</v>
      </c>
      <c r="D5158" s="2" t="s">
        <v>6178</v>
      </c>
    </row>
    <row r="5159" spans="1:4" ht="12.95" customHeight="1" x14ac:dyDescent="0.25">
      <c r="A5159" s="2" t="s">
        <v>775</v>
      </c>
      <c r="B5159" s="2" t="s">
        <v>1272</v>
      </c>
      <c r="C5159" s="5" t="s">
        <v>1096</v>
      </c>
      <c r="D5159" s="2" t="s">
        <v>6179</v>
      </c>
    </row>
    <row r="5160" spans="1:4" ht="12.95" customHeight="1" x14ac:dyDescent="0.25">
      <c r="A5160" s="2" t="s">
        <v>775</v>
      </c>
      <c r="B5160" s="2" t="s">
        <v>1272</v>
      </c>
      <c r="C5160" s="5" t="s">
        <v>1098</v>
      </c>
      <c r="D5160" s="2" t="s">
        <v>6200</v>
      </c>
    </row>
    <row r="5161" spans="1:4" ht="12.95" customHeight="1" x14ac:dyDescent="0.25">
      <c r="A5161" s="2" t="s">
        <v>775</v>
      </c>
      <c r="B5161" s="2" t="s">
        <v>1272</v>
      </c>
      <c r="C5161" s="5" t="s">
        <v>1100</v>
      </c>
      <c r="D5161" s="2" t="s">
        <v>6201</v>
      </c>
    </row>
    <row r="5162" spans="1:4" ht="12.95" customHeight="1" x14ac:dyDescent="0.25">
      <c r="A5162" s="2" t="s">
        <v>775</v>
      </c>
      <c r="B5162" s="2" t="s">
        <v>1272</v>
      </c>
      <c r="C5162" s="5" t="s">
        <v>1109</v>
      </c>
      <c r="D5162" s="2" t="s">
        <v>6202</v>
      </c>
    </row>
    <row r="5163" spans="1:4" ht="12.95" customHeight="1" x14ac:dyDescent="0.25">
      <c r="A5163" s="2" t="s">
        <v>775</v>
      </c>
      <c r="B5163" s="2" t="s">
        <v>1272</v>
      </c>
      <c r="C5163" s="5" t="s">
        <v>1119</v>
      </c>
      <c r="D5163" s="2" t="s">
        <v>6203</v>
      </c>
    </row>
    <row r="5164" spans="1:4" ht="12.95" customHeight="1" x14ac:dyDescent="0.25">
      <c r="A5164" s="2" t="s">
        <v>775</v>
      </c>
      <c r="B5164" s="2" t="s">
        <v>1272</v>
      </c>
      <c r="C5164" s="5" t="s">
        <v>1121</v>
      </c>
      <c r="D5164" s="2" t="s">
        <v>6204</v>
      </c>
    </row>
    <row r="5165" spans="1:4" ht="12.95" customHeight="1" x14ac:dyDescent="0.25">
      <c r="A5165" s="2" t="s">
        <v>775</v>
      </c>
      <c r="B5165" s="2" t="s">
        <v>1272</v>
      </c>
      <c r="C5165" s="5" t="s">
        <v>1123</v>
      </c>
      <c r="D5165" s="2" t="s">
        <v>6205</v>
      </c>
    </row>
    <row r="5166" spans="1:4" ht="12.95" customHeight="1" x14ac:dyDescent="0.25">
      <c r="A5166" s="2" t="s">
        <v>775</v>
      </c>
      <c r="B5166" s="2" t="s">
        <v>1272</v>
      </c>
      <c r="C5166" s="5" t="s">
        <v>1125</v>
      </c>
      <c r="D5166" s="2" t="s">
        <v>6206</v>
      </c>
    </row>
    <row r="5167" spans="1:4" ht="12.95" customHeight="1" x14ac:dyDescent="0.25">
      <c r="A5167" s="2" t="s">
        <v>775</v>
      </c>
      <c r="B5167" s="2" t="s">
        <v>1272</v>
      </c>
      <c r="C5167" s="5" t="s">
        <v>1127</v>
      </c>
      <c r="D5167" s="2" t="s">
        <v>6186</v>
      </c>
    </row>
    <row r="5168" spans="1:4" ht="12.95" customHeight="1" x14ac:dyDescent="0.25">
      <c r="A5168" s="2" t="s">
        <v>775</v>
      </c>
      <c r="B5168" s="2" t="s">
        <v>1272</v>
      </c>
      <c r="C5168" s="5" t="s">
        <v>1129</v>
      </c>
      <c r="D5168" s="2" t="s">
        <v>6207</v>
      </c>
    </row>
    <row r="5169" spans="1:4" ht="12.95" customHeight="1" x14ac:dyDescent="0.25">
      <c r="A5169" s="2" t="s">
        <v>775</v>
      </c>
      <c r="B5169" s="2" t="s">
        <v>1272</v>
      </c>
      <c r="C5169" s="5" t="s">
        <v>1131</v>
      </c>
      <c r="D5169" s="2" t="s">
        <v>6188</v>
      </c>
    </row>
    <row r="5170" spans="1:4" ht="12.95" customHeight="1" x14ac:dyDescent="0.25">
      <c r="A5170" s="2" t="s">
        <v>775</v>
      </c>
      <c r="B5170" s="2" t="s">
        <v>1272</v>
      </c>
      <c r="C5170" s="5" t="s">
        <v>1133</v>
      </c>
      <c r="D5170" s="2" t="s">
        <v>6189</v>
      </c>
    </row>
    <row r="5171" spans="1:4" ht="12.95" customHeight="1" x14ac:dyDescent="0.25">
      <c r="A5171" s="2" t="s">
        <v>775</v>
      </c>
      <c r="B5171" s="2" t="s">
        <v>1272</v>
      </c>
      <c r="C5171" s="5" t="s">
        <v>1135</v>
      </c>
      <c r="D5171" s="2" t="s">
        <v>6208</v>
      </c>
    </row>
    <row r="5172" spans="1:4" ht="12.95" customHeight="1" x14ac:dyDescent="0.25">
      <c r="A5172" s="2" t="s">
        <v>775</v>
      </c>
      <c r="B5172" s="2" t="s">
        <v>1272</v>
      </c>
      <c r="C5172" s="5" t="s">
        <v>1137</v>
      </c>
      <c r="D5172" s="2" t="s">
        <v>6209</v>
      </c>
    </row>
    <row r="5173" spans="1:4" ht="12.95" customHeight="1" x14ac:dyDescent="0.25">
      <c r="A5173" s="2" t="s">
        <v>775</v>
      </c>
      <c r="B5173" s="2" t="s">
        <v>1272</v>
      </c>
      <c r="C5173" s="5" t="s">
        <v>1139</v>
      </c>
      <c r="D5173" s="2" t="s">
        <v>1106</v>
      </c>
    </row>
    <row r="5174" spans="1:4" ht="12.95" customHeight="1" x14ac:dyDescent="0.25">
      <c r="A5174" s="2" t="s">
        <v>775</v>
      </c>
      <c r="B5174" s="2" t="s">
        <v>1272</v>
      </c>
      <c r="C5174" s="5" t="s">
        <v>1141</v>
      </c>
      <c r="D5174" s="2" t="s">
        <v>6210</v>
      </c>
    </row>
    <row r="5175" spans="1:4" ht="12.95" customHeight="1" x14ac:dyDescent="0.25">
      <c r="A5175" s="2" t="s">
        <v>775</v>
      </c>
      <c r="B5175" s="2" t="s">
        <v>1272</v>
      </c>
      <c r="C5175" s="5" t="s">
        <v>1295</v>
      </c>
      <c r="D5175" s="2" t="s">
        <v>6194</v>
      </c>
    </row>
    <row r="5176" spans="1:4" ht="12.95" customHeight="1" x14ac:dyDescent="0.25">
      <c r="A5176" s="2" t="s">
        <v>775</v>
      </c>
      <c r="B5176" s="2" t="s">
        <v>1272</v>
      </c>
      <c r="C5176" s="5" t="s">
        <v>1111</v>
      </c>
      <c r="D5176" s="2" t="s">
        <v>6211</v>
      </c>
    </row>
    <row r="5177" spans="1:4" ht="12.95" customHeight="1" x14ac:dyDescent="0.25">
      <c r="A5177" s="2" t="s">
        <v>777</v>
      </c>
      <c r="B5177" s="2" t="s">
        <v>1272</v>
      </c>
      <c r="C5177" s="5" t="s">
        <v>1102</v>
      </c>
      <c r="D5177" s="2" t="s">
        <v>1103</v>
      </c>
    </row>
    <row r="5178" spans="1:4" ht="12.95" customHeight="1" x14ac:dyDescent="0.25">
      <c r="A5178" s="2" t="s">
        <v>777</v>
      </c>
      <c r="B5178" s="2" t="s">
        <v>1272</v>
      </c>
      <c r="C5178" s="5" t="s">
        <v>1084</v>
      </c>
      <c r="D5178" s="2" t="s">
        <v>1153</v>
      </c>
    </row>
    <row r="5179" spans="1:4" ht="12.95" customHeight="1" x14ac:dyDescent="0.25">
      <c r="A5179" s="2" t="s">
        <v>777</v>
      </c>
      <c r="B5179" s="2" t="s">
        <v>1272</v>
      </c>
      <c r="C5179" s="5" t="s">
        <v>1086</v>
      </c>
      <c r="D5179" s="2" t="s">
        <v>1147</v>
      </c>
    </row>
    <row r="5180" spans="1:4" ht="12.95" customHeight="1" x14ac:dyDescent="0.25">
      <c r="A5180" s="2" t="s">
        <v>777</v>
      </c>
      <c r="B5180" s="2" t="s">
        <v>1272</v>
      </c>
      <c r="C5180" s="5" t="s">
        <v>1088</v>
      </c>
      <c r="D5180" s="2" t="s">
        <v>1089</v>
      </c>
    </row>
    <row r="5181" spans="1:4" ht="12.95" customHeight="1" x14ac:dyDescent="0.25">
      <c r="A5181" s="2" t="s">
        <v>777</v>
      </c>
      <c r="B5181" s="2" t="s">
        <v>1272</v>
      </c>
      <c r="C5181" s="5" t="s">
        <v>1090</v>
      </c>
      <c r="D5181" s="2" t="s">
        <v>927</v>
      </c>
    </row>
    <row r="5182" spans="1:4" ht="12.95" customHeight="1" x14ac:dyDescent="0.25">
      <c r="A5182" s="2" t="s">
        <v>777</v>
      </c>
      <c r="B5182" s="2" t="s">
        <v>1272</v>
      </c>
      <c r="C5182" s="5" t="s">
        <v>1092</v>
      </c>
      <c r="D5182" s="2" t="s">
        <v>6199</v>
      </c>
    </row>
    <row r="5183" spans="1:4" ht="12.95" customHeight="1" x14ac:dyDescent="0.25">
      <c r="A5183" s="2" t="s">
        <v>777</v>
      </c>
      <c r="B5183" s="2" t="s">
        <v>1272</v>
      </c>
      <c r="C5183" s="5" t="s">
        <v>1094</v>
      </c>
      <c r="D5183" s="2" t="s">
        <v>6178</v>
      </c>
    </row>
    <row r="5184" spans="1:4" ht="12.95" customHeight="1" x14ac:dyDescent="0.25">
      <c r="A5184" s="2" t="s">
        <v>777</v>
      </c>
      <c r="B5184" s="2" t="s">
        <v>1272</v>
      </c>
      <c r="C5184" s="5" t="s">
        <v>1096</v>
      </c>
      <c r="D5184" s="2" t="s">
        <v>6179</v>
      </c>
    </row>
    <row r="5185" spans="1:4" ht="12.95" customHeight="1" x14ac:dyDescent="0.25">
      <c r="A5185" s="2" t="s">
        <v>777</v>
      </c>
      <c r="B5185" s="2" t="s">
        <v>1272</v>
      </c>
      <c r="C5185" s="5" t="s">
        <v>1098</v>
      </c>
      <c r="D5185" s="2" t="s">
        <v>6200</v>
      </c>
    </row>
    <row r="5186" spans="1:4" ht="12.95" customHeight="1" x14ac:dyDescent="0.25">
      <c r="A5186" s="2" t="s">
        <v>777</v>
      </c>
      <c r="B5186" s="2" t="s">
        <v>1272</v>
      </c>
      <c r="C5186" s="5" t="s">
        <v>1100</v>
      </c>
      <c r="D5186" s="2" t="s">
        <v>6201</v>
      </c>
    </row>
    <row r="5187" spans="1:4" ht="12.95" customHeight="1" x14ac:dyDescent="0.25">
      <c r="A5187" s="2" t="s">
        <v>777</v>
      </c>
      <c r="B5187" s="2" t="s">
        <v>1272</v>
      </c>
      <c r="C5187" s="5" t="s">
        <v>1109</v>
      </c>
      <c r="D5187" s="2" t="s">
        <v>6202</v>
      </c>
    </row>
    <row r="5188" spans="1:4" ht="12.95" customHeight="1" x14ac:dyDescent="0.25">
      <c r="A5188" s="2" t="s">
        <v>777</v>
      </c>
      <c r="B5188" s="2" t="s">
        <v>1272</v>
      </c>
      <c r="C5188" s="5" t="s">
        <v>1119</v>
      </c>
      <c r="D5188" s="2" t="s">
        <v>6203</v>
      </c>
    </row>
    <row r="5189" spans="1:4" ht="12.95" customHeight="1" x14ac:dyDescent="0.25">
      <c r="A5189" s="2" t="s">
        <v>777</v>
      </c>
      <c r="B5189" s="2" t="s">
        <v>1272</v>
      </c>
      <c r="C5189" s="5" t="s">
        <v>1121</v>
      </c>
      <c r="D5189" s="2" t="s">
        <v>6204</v>
      </c>
    </row>
    <row r="5190" spans="1:4" ht="12.95" customHeight="1" x14ac:dyDescent="0.25">
      <c r="A5190" s="2" t="s">
        <v>777</v>
      </c>
      <c r="B5190" s="2" t="s">
        <v>1272</v>
      </c>
      <c r="C5190" s="5" t="s">
        <v>1123</v>
      </c>
      <c r="D5190" s="2" t="s">
        <v>6205</v>
      </c>
    </row>
    <row r="5191" spans="1:4" ht="12.95" customHeight="1" x14ac:dyDescent="0.25">
      <c r="A5191" s="2" t="s">
        <v>777</v>
      </c>
      <c r="B5191" s="2" t="s">
        <v>1272</v>
      </c>
      <c r="C5191" s="5" t="s">
        <v>1125</v>
      </c>
      <c r="D5191" s="2" t="s">
        <v>6206</v>
      </c>
    </row>
    <row r="5192" spans="1:4" ht="12.95" customHeight="1" x14ac:dyDescent="0.25">
      <c r="A5192" s="2" t="s">
        <v>777</v>
      </c>
      <c r="B5192" s="2" t="s">
        <v>1272</v>
      </c>
      <c r="C5192" s="5" t="s">
        <v>1127</v>
      </c>
      <c r="D5192" s="2" t="s">
        <v>6186</v>
      </c>
    </row>
    <row r="5193" spans="1:4" ht="12.95" customHeight="1" x14ac:dyDescent="0.25">
      <c r="A5193" s="2" t="s">
        <v>777</v>
      </c>
      <c r="B5193" s="2" t="s">
        <v>1272</v>
      </c>
      <c r="C5193" s="5" t="s">
        <v>1129</v>
      </c>
      <c r="D5193" s="2" t="s">
        <v>6207</v>
      </c>
    </row>
    <row r="5194" spans="1:4" ht="12.95" customHeight="1" x14ac:dyDescent="0.25">
      <c r="A5194" s="2" t="s">
        <v>777</v>
      </c>
      <c r="B5194" s="2" t="s">
        <v>1272</v>
      </c>
      <c r="C5194" s="5" t="s">
        <v>1131</v>
      </c>
      <c r="D5194" s="2" t="s">
        <v>6188</v>
      </c>
    </row>
    <row r="5195" spans="1:4" ht="12.95" customHeight="1" x14ac:dyDescent="0.25">
      <c r="A5195" s="2" t="s">
        <v>777</v>
      </c>
      <c r="B5195" s="2" t="s">
        <v>1272</v>
      </c>
      <c r="C5195" s="5" t="s">
        <v>1133</v>
      </c>
      <c r="D5195" s="2" t="s">
        <v>6189</v>
      </c>
    </row>
    <row r="5196" spans="1:4" ht="12.95" customHeight="1" x14ac:dyDescent="0.25">
      <c r="A5196" s="2" t="s">
        <v>777</v>
      </c>
      <c r="B5196" s="2" t="s">
        <v>1272</v>
      </c>
      <c r="C5196" s="5" t="s">
        <v>1135</v>
      </c>
      <c r="D5196" s="2" t="s">
        <v>6208</v>
      </c>
    </row>
    <row r="5197" spans="1:4" ht="12.95" customHeight="1" x14ac:dyDescent="0.25">
      <c r="A5197" s="2" t="s">
        <v>777</v>
      </c>
      <c r="B5197" s="2" t="s">
        <v>1272</v>
      </c>
      <c r="C5197" s="5" t="s">
        <v>1137</v>
      </c>
      <c r="D5197" s="2" t="s">
        <v>6209</v>
      </c>
    </row>
    <row r="5198" spans="1:4" ht="12.95" customHeight="1" x14ac:dyDescent="0.25">
      <c r="A5198" s="2" t="s">
        <v>777</v>
      </c>
      <c r="B5198" s="2" t="s">
        <v>1272</v>
      </c>
      <c r="C5198" s="5" t="s">
        <v>1139</v>
      </c>
      <c r="D5198" s="2" t="s">
        <v>1106</v>
      </c>
    </row>
    <row r="5199" spans="1:4" ht="12.95" customHeight="1" x14ac:dyDescent="0.25">
      <c r="A5199" s="2" t="s">
        <v>777</v>
      </c>
      <c r="B5199" s="2" t="s">
        <v>1272</v>
      </c>
      <c r="C5199" s="5" t="s">
        <v>1141</v>
      </c>
      <c r="D5199" s="2" t="s">
        <v>6210</v>
      </c>
    </row>
    <row r="5200" spans="1:4" ht="12.95" customHeight="1" x14ac:dyDescent="0.25">
      <c r="A5200" s="2" t="s">
        <v>777</v>
      </c>
      <c r="B5200" s="2" t="s">
        <v>1272</v>
      </c>
      <c r="C5200" s="5" t="s">
        <v>1295</v>
      </c>
      <c r="D5200" s="2" t="s">
        <v>6194</v>
      </c>
    </row>
    <row r="5201" spans="1:4" ht="12.95" customHeight="1" x14ac:dyDescent="0.25">
      <c r="A5201" s="2" t="s">
        <v>777</v>
      </c>
      <c r="B5201" s="2" t="s">
        <v>1272</v>
      </c>
      <c r="C5201" s="5" t="s">
        <v>1111</v>
      </c>
      <c r="D5201" s="2" t="s">
        <v>6211</v>
      </c>
    </row>
    <row r="5202" spans="1:4" ht="12.95" customHeight="1" x14ac:dyDescent="0.25">
      <c r="A5202" s="2" t="s">
        <v>779</v>
      </c>
      <c r="B5202" s="2" t="s">
        <v>1272</v>
      </c>
      <c r="C5202" s="5" t="s">
        <v>1102</v>
      </c>
      <c r="D5202" s="2" t="s">
        <v>1103</v>
      </c>
    </row>
    <row r="5203" spans="1:4" ht="12.95" customHeight="1" x14ac:dyDescent="0.25">
      <c r="A5203" s="2" t="s">
        <v>779</v>
      </c>
      <c r="B5203" s="2" t="s">
        <v>1272</v>
      </c>
      <c r="C5203" s="5" t="s">
        <v>1084</v>
      </c>
      <c r="D5203" s="2" t="s">
        <v>1153</v>
      </c>
    </row>
    <row r="5204" spans="1:4" ht="12.95" customHeight="1" x14ac:dyDescent="0.25">
      <c r="A5204" s="2" t="s">
        <v>779</v>
      </c>
      <c r="B5204" s="2" t="s">
        <v>1272</v>
      </c>
      <c r="C5204" s="5" t="s">
        <v>1086</v>
      </c>
      <c r="D5204" s="2" t="s">
        <v>1147</v>
      </c>
    </row>
    <row r="5205" spans="1:4" ht="12.95" customHeight="1" x14ac:dyDescent="0.25">
      <c r="A5205" s="2" t="s">
        <v>779</v>
      </c>
      <c r="B5205" s="2" t="s">
        <v>1272</v>
      </c>
      <c r="C5205" s="5" t="s">
        <v>1088</v>
      </c>
      <c r="D5205" s="2" t="s">
        <v>1089</v>
      </c>
    </row>
    <row r="5206" spans="1:4" ht="12.95" customHeight="1" x14ac:dyDescent="0.25">
      <c r="A5206" s="2" t="s">
        <v>779</v>
      </c>
      <c r="B5206" s="2" t="s">
        <v>1272</v>
      </c>
      <c r="C5206" s="5" t="s">
        <v>1090</v>
      </c>
      <c r="D5206" s="2" t="s">
        <v>927</v>
      </c>
    </row>
    <row r="5207" spans="1:4" ht="12.95" customHeight="1" x14ac:dyDescent="0.25">
      <c r="A5207" s="2" t="s">
        <v>779</v>
      </c>
      <c r="B5207" s="2" t="s">
        <v>1272</v>
      </c>
      <c r="C5207" s="5" t="s">
        <v>1092</v>
      </c>
      <c r="D5207" s="2" t="s">
        <v>6199</v>
      </c>
    </row>
    <row r="5208" spans="1:4" ht="12.95" customHeight="1" x14ac:dyDescent="0.25">
      <c r="A5208" s="2" t="s">
        <v>779</v>
      </c>
      <c r="B5208" s="2" t="s">
        <v>1272</v>
      </c>
      <c r="C5208" s="5" t="s">
        <v>1094</v>
      </c>
      <c r="D5208" s="2" t="s">
        <v>6178</v>
      </c>
    </row>
    <row r="5209" spans="1:4" ht="12.95" customHeight="1" x14ac:dyDescent="0.25">
      <c r="A5209" s="2" t="s">
        <v>779</v>
      </c>
      <c r="B5209" s="2" t="s">
        <v>1272</v>
      </c>
      <c r="C5209" s="5" t="s">
        <v>1096</v>
      </c>
      <c r="D5209" s="2" t="s">
        <v>6179</v>
      </c>
    </row>
    <row r="5210" spans="1:4" ht="12.95" customHeight="1" x14ac:dyDescent="0.25">
      <c r="A5210" s="2" t="s">
        <v>779</v>
      </c>
      <c r="B5210" s="2" t="s">
        <v>1272</v>
      </c>
      <c r="C5210" s="5" t="s">
        <v>1098</v>
      </c>
      <c r="D5210" s="2" t="s">
        <v>6200</v>
      </c>
    </row>
    <row r="5211" spans="1:4" ht="12.95" customHeight="1" x14ac:dyDescent="0.25">
      <c r="A5211" s="2" t="s">
        <v>779</v>
      </c>
      <c r="B5211" s="2" t="s">
        <v>1272</v>
      </c>
      <c r="C5211" s="5" t="s">
        <v>1100</v>
      </c>
      <c r="D5211" s="2" t="s">
        <v>6201</v>
      </c>
    </row>
    <row r="5212" spans="1:4" ht="12.95" customHeight="1" x14ac:dyDescent="0.25">
      <c r="A5212" s="2" t="s">
        <v>779</v>
      </c>
      <c r="B5212" s="2" t="s">
        <v>1272</v>
      </c>
      <c r="C5212" s="5" t="s">
        <v>1109</v>
      </c>
      <c r="D5212" s="2" t="s">
        <v>6202</v>
      </c>
    </row>
    <row r="5213" spans="1:4" ht="12.95" customHeight="1" x14ac:dyDescent="0.25">
      <c r="A5213" s="2" t="s">
        <v>779</v>
      </c>
      <c r="B5213" s="2" t="s">
        <v>1272</v>
      </c>
      <c r="C5213" s="5" t="s">
        <v>1119</v>
      </c>
      <c r="D5213" s="2" t="s">
        <v>6203</v>
      </c>
    </row>
    <row r="5214" spans="1:4" ht="12.95" customHeight="1" x14ac:dyDescent="0.25">
      <c r="A5214" s="2" t="s">
        <v>779</v>
      </c>
      <c r="B5214" s="2" t="s">
        <v>1272</v>
      </c>
      <c r="C5214" s="5" t="s">
        <v>1121</v>
      </c>
      <c r="D5214" s="2" t="s">
        <v>6204</v>
      </c>
    </row>
    <row r="5215" spans="1:4" ht="12.95" customHeight="1" x14ac:dyDescent="0.25">
      <c r="A5215" s="2" t="s">
        <v>779</v>
      </c>
      <c r="B5215" s="2" t="s">
        <v>1272</v>
      </c>
      <c r="C5215" s="5" t="s">
        <v>1123</v>
      </c>
      <c r="D5215" s="2" t="s">
        <v>6205</v>
      </c>
    </row>
    <row r="5216" spans="1:4" ht="12.95" customHeight="1" x14ac:dyDescent="0.25">
      <c r="A5216" s="2" t="s">
        <v>779</v>
      </c>
      <c r="B5216" s="2" t="s">
        <v>1272</v>
      </c>
      <c r="C5216" s="5" t="s">
        <v>1125</v>
      </c>
      <c r="D5216" s="2" t="s">
        <v>6206</v>
      </c>
    </row>
    <row r="5217" spans="1:4" ht="12.95" customHeight="1" x14ac:dyDescent="0.25">
      <c r="A5217" s="2" t="s">
        <v>779</v>
      </c>
      <c r="B5217" s="2" t="s">
        <v>1272</v>
      </c>
      <c r="C5217" s="5" t="s">
        <v>1127</v>
      </c>
      <c r="D5217" s="2" t="s">
        <v>6186</v>
      </c>
    </row>
    <row r="5218" spans="1:4" ht="12.95" customHeight="1" x14ac:dyDescent="0.25">
      <c r="A5218" s="2" t="s">
        <v>779</v>
      </c>
      <c r="B5218" s="2" t="s">
        <v>1272</v>
      </c>
      <c r="C5218" s="5" t="s">
        <v>1129</v>
      </c>
      <c r="D5218" s="2" t="s">
        <v>6207</v>
      </c>
    </row>
    <row r="5219" spans="1:4" ht="12.95" customHeight="1" x14ac:dyDescent="0.25">
      <c r="A5219" s="2" t="s">
        <v>779</v>
      </c>
      <c r="B5219" s="2" t="s">
        <v>1272</v>
      </c>
      <c r="C5219" s="5" t="s">
        <v>1131</v>
      </c>
      <c r="D5219" s="2" t="s">
        <v>6188</v>
      </c>
    </row>
    <row r="5220" spans="1:4" ht="12.95" customHeight="1" x14ac:dyDescent="0.25">
      <c r="A5220" s="2" t="s">
        <v>779</v>
      </c>
      <c r="B5220" s="2" t="s">
        <v>1272</v>
      </c>
      <c r="C5220" s="5" t="s">
        <v>1133</v>
      </c>
      <c r="D5220" s="2" t="s">
        <v>6189</v>
      </c>
    </row>
    <row r="5221" spans="1:4" ht="12.95" customHeight="1" x14ac:dyDescent="0.25">
      <c r="A5221" s="2" t="s">
        <v>779</v>
      </c>
      <c r="B5221" s="2" t="s">
        <v>1272</v>
      </c>
      <c r="C5221" s="5" t="s">
        <v>1135</v>
      </c>
      <c r="D5221" s="2" t="s">
        <v>6208</v>
      </c>
    </row>
    <row r="5222" spans="1:4" ht="12.95" customHeight="1" x14ac:dyDescent="0.25">
      <c r="A5222" s="2" t="s">
        <v>779</v>
      </c>
      <c r="B5222" s="2" t="s">
        <v>1272</v>
      </c>
      <c r="C5222" s="5" t="s">
        <v>1137</v>
      </c>
      <c r="D5222" s="2" t="s">
        <v>6209</v>
      </c>
    </row>
    <row r="5223" spans="1:4" ht="12.95" customHeight="1" x14ac:dyDescent="0.25">
      <c r="A5223" s="2" t="s">
        <v>779</v>
      </c>
      <c r="B5223" s="2" t="s">
        <v>1272</v>
      </c>
      <c r="C5223" s="5" t="s">
        <v>1139</v>
      </c>
      <c r="D5223" s="2" t="s">
        <v>1106</v>
      </c>
    </row>
    <row r="5224" spans="1:4" ht="12.95" customHeight="1" x14ac:dyDescent="0.25">
      <c r="A5224" s="2" t="s">
        <v>779</v>
      </c>
      <c r="B5224" s="2" t="s">
        <v>1272</v>
      </c>
      <c r="C5224" s="5" t="s">
        <v>1141</v>
      </c>
      <c r="D5224" s="2" t="s">
        <v>6210</v>
      </c>
    </row>
    <row r="5225" spans="1:4" ht="12.95" customHeight="1" x14ac:dyDescent="0.25">
      <c r="A5225" s="2" t="s">
        <v>779</v>
      </c>
      <c r="B5225" s="2" t="s">
        <v>1272</v>
      </c>
      <c r="C5225" s="5" t="s">
        <v>1295</v>
      </c>
      <c r="D5225" s="2" t="s">
        <v>6194</v>
      </c>
    </row>
    <row r="5226" spans="1:4" ht="12.95" customHeight="1" x14ac:dyDescent="0.25">
      <c r="A5226" s="2" t="s">
        <v>779</v>
      </c>
      <c r="B5226" s="2" t="s">
        <v>1272</v>
      </c>
      <c r="C5226" s="5" t="s">
        <v>1111</v>
      </c>
      <c r="D5226" s="2" t="s">
        <v>6211</v>
      </c>
    </row>
    <row r="5227" spans="1:4" ht="12.95" customHeight="1" x14ac:dyDescent="0.25">
      <c r="A5227" s="2" t="s">
        <v>781</v>
      </c>
      <c r="B5227" s="2" t="s">
        <v>1272</v>
      </c>
      <c r="C5227" s="5" t="s">
        <v>1102</v>
      </c>
      <c r="D5227" s="2" t="s">
        <v>1103</v>
      </c>
    </row>
    <row r="5228" spans="1:4" ht="12.95" customHeight="1" x14ac:dyDescent="0.25">
      <c r="A5228" s="2" t="s">
        <v>781</v>
      </c>
      <c r="B5228" s="2" t="s">
        <v>1272</v>
      </c>
      <c r="C5228" s="5" t="s">
        <v>1084</v>
      </c>
      <c r="D5228" s="2" t="s">
        <v>1153</v>
      </c>
    </row>
    <row r="5229" spans="1:4" ht="12.95" customHeight="1" x14ac:dyDescent="0.25">
      <c r="A5229" s="2" t="s">
        <v>781</v>
      </c>
      <c r="B5229" s="2" t="s">
        <v>1272</v>
      </c>
      <c r="C5229" s="5" t="s">
        <v>1086</v>
      </c>
      <c r="D5229" s="2" t="s">
        <v>1147</v>
      </c>
    </row>
    <row r="5230" spans="1:4" ht="12.95" customHeight="1" x14ac:dyDescent="0.25">
      <c r="A5230" s="2" t="s">
        <v>781</v>
      </c>
      <c r="B5230" s="2" t="s">
        <v>1272</v>
      </c>
      <c r="C5230" s="5" t="s">
        <v>1088</v>
      </c>
      <c r="D5230" s="2" t="s">
        <v>1089</v>
      </c>
    </row>
    <row r="5231" spans="1:4" ht="12.95" customHeight="1" x14ac:dyDescent="0.25">
      <c r="A5231" s="2" t="s">
        <v>781</v>
      </c>
      <c r="B5231" s="2" t="s">
        <v>1272</v>
      </c>
      <c r="C5231" s="5" t="s">
        <v>1090</v>
      </c>
      <c r="D5231" s="2" t="s">
        <v>927</v>
      </c>
    </row>
    <row r="5232" spans="1:4" ht="12.95" customHeight="1" x14ac:dyDescent="0.25">
      <c r="A5232" s="2" t="s">
        <v>781</v>
      </c>
      <c r="B5232" s="2" t="s">
        <v>1272</v>
      </c>
      <c r="C5232" s="5" t="s">
        <v>1092</v>
      </c>
      <c r="D5232" s="2" t="s">
        <v>6199</v>
      </c>
    </row>
    <row r="5233" spans="1:4" ht="12.95" customHeight="1" x14ac:dyDescent="0.25">
      <c r="A5233" s="2" t="s">
        <v>781</v>
      </c>
      <c r="B5233" s="2" t="s">
        <v>1272</v>
      </c>
      <c r="C5233" s="5" t="s">
        <v>1094</v>
      </c>
      <c r="D5233" s="2" t="s">
        <v>6178</v>
      </c>
    </row>
    <row r="5234" spans="1:4" ht="12.95" customHeight="1" x14ac:dyDescent="0.25">
      <c r="A5234" s="2" t="s">
        <v>781</v>
      </c>
      <c r="B5234" s="2" t="s">
        <v>1272</v>
      </c>
      <c r="C5234" s="5" t="s">
        <v>1096</v>
      </c>
      <c r="D5234" s="2" t="s">
        <v>6179</v>
      </c>
    </row>
    <row r="5235" spans="1:4" ht="12.95" customHeight="1" x14ac:dyDescent="0.25">
      <c r="A5235" s="2" t="s">
        <v>781</v>
      </c>
      <c r="B5235" s="2" t="s">
        <v>1272</v>
      </c>
      <c r="C5235" s="5" t="s">
        <v>1098</v>
      </c>
      <c r="D5235" s="2" t="s">
        <v>6200</v>
      </c>
    </row>
    <row r="5236" spans="1:4" ht="12.95" customHeight="1" x14ac:dyDescent="0.25">
      <c r="A5236" s="2" t="s">
        <v>781</v>
      </c>
      <c r="B5236" s="2" t="s">
        <v>1272</v>
      </c>
      <c r="C5236" s="5" t="s">
        <v>1100</v>
      </c>
      <c r="D5236" s="2" t="s">
        <v>6201</v>
      </c>
    </row>
    <row r="5237" spans="1:4" ht="12.95" customHeight="1" x14ac:dyDescent="0.25">
      <c r="A5237" s="2" t="s">
        <v>781</v>
      </c>
      <c r="B5237" s="2" t="s">
        <v>1272</v>
      </c>
      <c r="C5237" s="5" t="s">
        <v>1109</v>
      </c>
      <c r="D5237" s="2" t="s">
        <v>6202</v>
      </c>
    </row>
    <row r="5238" spans="1:4" ht="12.95" customHeight="1" x14ac:dyDescent="0.25">
      <c r="A5238" s="2" t="s">
        <v>781</v>
      </c>
      <c r="B5238" s="2" t="s">
        <v>1272</v>
      </c>
      <c r="C5238" s="5" t="s">
        <v>1119</v>
      </c>
      <c r="D5238" s="2" t="s">
        <v>6203</v>
      </c>
    </row>
    <row r="5239" spans="1:4" ht="12.95" customHeight="1" x14ac:dyDescent="0.25">
      <c r="A5239" s="2" t="s">
        <v>781</v>
      </c>
      <c r="B5239" s="2" t="s">
        <v>1272</v>
      </c>
      <c r="C5239" s="5" t="s">
        <v>1121</v>
      </c>
      <c r="D5239" s="2" t="s">
        <v>6204</v>
      </c>
    </row>
    <row r="5240" spans="1:4" ht="12.95" customHeight="1" x14ac:dyDescent="0.25">
      <c r="A5240" s="2" t="s">
        <v>781</v>
      </c>
      <c r="B5240" s="2" t="s">
        <v>1272</v>
      </c>
      <c r="C5240" s="5" t="s">
        <v>1123</v>
      </c>
      <c r="D5240" s="2" t="s">
        <v>6205</v>
      </c>
    </row>
    <row r="5241" spans="1:4" ht="12.95" customHeight="1" x14ac:dyDescent="0.25">
      <c r="A5241" s="2" t="s">
        <v>781</v>
      </c>
      <c r="B5241" s="2" t="s">
        <v>1272</v>
      </c>
      <c r="C5241" s="5" t="s">
        <v>1125</v>
      </c>
      <c r="D5241" s="2" t="s">
        <v>6206</v>
      </c>
    </row>
    <row r="5242" spans="1:4" ht="12.95" customHeight="1" x14ac:dyDescent="0.25">
      <c r="A5242" s="2" t="s">
        <v>781</v>
      </c>
      <c r="B5242" s="2" t="s">
        <v>1272</v>
      </c>
      <c r="C5242" s="5" t="s">
        <v>1127</v>
      </c>
      <c r="D5242" s="2" t="s">
        <v>6186</v>
      </c>
    </row>
    <row r="5243" spans="1:4" ht="12.95" customHeight="1" x14ac:dyDescent="0.25">
      <c r="A5243" s="2" t="s">
        <v>781</v>
      </c>
      <c r="B5243" s="2" t="s">
        <v>1272</v>
      </c>
      <c r="C5243" s="5" t="s">
        <v>1129</v>
      </c>
      <c r="D5243" s="2" t="s">
        <v>6207</v>
      </c>
    </row>
    <row r="5244" spans="1:4" ht="12.95" customHeight="1" x14ac:dyDescent="0.25">
      <c r="A5244" s="2" t="s">
        <v>781</v>
      </c>
      <c r="B5244" s="2" t="s">
        <v>1272</v>
      </c>
      <c r="C5244" s="5" t="s">
        <v>1131</v>
      </c>
      <c r="D5244" s="2" t="s">
        <v>6188</v>
      </c>
    </row>
    <row r="5245" spans="1:4" ht="12.95" customHeight="1" x14ac:dyDescent="0.25">
      <c r="A5245" s="2" t="s">
        <v>781</v>
      </c>
      <c r="B5245" s="2" t="s">
        <v>1272</v>
      </c>
      <c r="C5245" s="5" t="s">
        <v>1133</v>
      </c>
      <c r="D5245" s="2" t="s">
        <v>6189</v>
      </c>
    </row>
    <row r="5246" spans="1:4" ht="12.95" customHeight="1" x14ac:dyDescent="0.25">
      <c r="A5246" s="2" t="s">
        <v>781</v>
      </c>
      <c r="B5246" s="2" t="s">
        <v>1272</v>
      </c>
      <c r="C5246" s="5" t="s">
        <v>1135</v>
      </c>
      <c r="D5246" s="2" t="s">
        <v>6208</v>
      </c>
    </row>
    <row r="5247" spans="1:4" ht="12.95" customHeight="1" x14ac:dyDescent="0.25">
      <c r="A5247" s="2" t="s">
        <v>781</v>
      </c>
      <c r="B5247" s="2" t="s">
        <v>1272</v>
      </c>
      <c r="C5247" s="5" t="s">
        <v>1137</v>
      </c>
      <c r="D5247" s="2" t="s">
        <v>6209</v>
      </c>
    </row>
    <row r="5248" spans="1:4" ht="12.95" customHeight="1" x14ac:dyDescent="0.25">
      <c r="A5248" s="2" t="s">
        <v>781</v>
      </c>
      <c r="B5248" s="2" t="s">
        <v>1272</v>
      </c>
      <c r="C5248" s="5" t="s">
        <v>1139</v>
      </c>
      <c r="D5248" s="2" t="s">
        <v>1106</v>
      </c>
    </row>
    <row r="5249" spans="1:4" ht="12.95" customHeight="1" x14ac:dyDescent="0.25">
      <c r="A5249" s="2" t="s">
        <v>781</v>
      </c>
      <c r="B5249" s="2" t="s">
        <v>1272</v>
      </c>
      <c r="C5249" s="5" t="s">
        <v>1141</v>
      </c>
      <c r="D5249" s="2" t="s">
        <v>6210</v>
      </c>
    </row>
    <row r="5250" spans="1:4" ht="12.95" customHeight="1" x14ac:dyDescent="0.25">
      <c r="A5250" s="2" t="s">
        <v>781</v>
      </c>
      <c r="B5250" s="2" t="s">
        <v>1272</v>
      </c>
      <c r="C5250" s="5" t="s">
        <v>1295</v>
      </c>
      <c r="D5250" s="2" t="s">
        <v>6194</v>
      </c>
    </row>
    <row r="5251" spans="1:4" ht="12.95" customHeight="1" x14ac:dyDescent="0.25">
      <c r="A5251" s="2" t="s">
        <v>781</v>
      </c>
      <c r="B5251" s="2" t="s">
        <v>1272</v>
      </c>
      <c r="C5251" s="5" t="s">
        <v>1111</v>
      </c>
      <c r="D5251" s="2" t="s">
        <v>6211</v>
      </c>
    </row>
    <row r="5252" spans="1:4" ht="12.95" customHeight="1" x14ac:dyDescent="0.25">
      <c r="A5252" s="2" t="s">
        <v>783</v>
      </c>
      <c r="B5252" s="2" t="s">
        <v>1272</v>
      </c>
      <c r="C5252" s="5" t="s">
        <v>1102</v>
      </c>
      <c r="D5252" s="2" t="s">
        <v>1103</v>
      </c>
    </row>
    <row r="5253" spans="1:4" ht="12.95" customHeight="1" x14ac:dyDescent="0.25">
      <c r="A5253" s="2" t="s">
        <v>783</v>
      </c>
      <c r="B5253" s="2" t="s">
        <v>1272</v>
      </c>
      <c r="C5253" s="5" t="s">
        <v>1084</v>
      </c>
      <c r="D5253" s="2" t="s">
        <v>1153</v>
      </c>
    </row>
    <row r="5254" spans="1:4" ht="12.95" customHeight="1" x14ac:dyDescent="0.25">
      <c r="A5254" s="2" t="s">
        <v>783</v>
      </c>
      <c r="B5254" s="2" t="s">
        <v>1272</v>
      </c>
      <c r="C5254" s="5" t="s">
        <v>1086</v>
      </c>
      <c r="D5254" s="2" t="s">
        <v>1147</v>
      </c>
    </row>
    <row r="5255" spans="1:4" ht="12.95" customHeight="1" x14ac:dyDescent="0.25">
      <c r="A5255" s="2" t="s">
        <v>783</v>
      </c>
      <c r="B5255" s="2" t="s">
        <v>1272</v>
      </c>
      <c r="C5255" s="5" t="s">
        <v>1088</v>
      </c>
      <c r="D5255" s="2" t="s">
        <v>1089</v>
      </c>
    </row>
    <row r="5256" spans="1:4" ht="12.95" customHeight="1" x14ac:dyDescent="0.25">
      <c r="A5256" s="2" t="s">
        <v>786</v>
      </c>
      <c r="B5256" s="2" t="s">
        <v>1178</v>
      </c>
      <c r="C5256" s="5" t="s">
        <v>1102</v>
      </c>
      <c r="D5256" s="2" t="s">
        <v>1103</v>
      </c>
    </row>
    <row r="5257" spans="1:4" ht="12.95" customHeight="1" x14ac:dyDescent="0.25">
      <c r="A5257" s="2" t="s">
        <v>786</v>
      </c>
      <c r="B5257" s="2" t="s">
        <v>1178</v>
      </c>
      <c r="C5257" s="5" t="s">
        <v>1088</v>
      </c>
      <c r="D5257" s="2" t="s">
        <v>1089</v>
      </c>
    </row>
    <row r="5258" spans="1:4" ht="12.95" customHeight="1" x14ac:dyDescent="0.25">
      <c r="A5258" s="2" t="s">
        <v>788</v>
      </c>
      <c r="B5258" s="2" t="s">
        <v>1146</v>
      </c>
      <c r="C5258" s="5" t="s">
        <v>1084</v>
      </c>
      <c r="D5258" s="2" t="s">
        <v>1153</v>
      </c>
    </row>
    <row r="5259" spans="1:4" ht="12.95" customHeight="1" x14ac:dyDescent="0.25">
      <c r="A5259" s="2" t="s">
        <v>788</v>
      </c>
      <c r="B5259" s="2" t="s">
        <v>1146</v>
      </c>
      <c r="C5259" s="5" t="s">
        <v>1086</v>
      </c>
      <c r="D5259" s="2" t="s">
        <v>1087</v>
      </c>
    </row>
    <row r="5260" spans="1:4" ht="12.95" customHeight="1" x14ac:dyDescent="0.25">
      <c r="A5260" s="2" t="s">
        <v>788</v>
      </c>
      <c r="B5260" s="2" t="s">
        <v>1146</v>
      </c>
      <c r="C5260" s="5" t="s">
        <v>1088</v>
      </c>
      <c r="D5260" s="2" t="s">
        <v>1089</v>
      </c>
    </row>
    <row r="5261" spans="1:4" ht="12.95" customHeight="1" x14ac:dyDescent="0.25">
      <c r="A5261" s="2" t="s">
        <v>788</v>
      </c>
      <c r="B5261" s="2" t="s">
        <v>1146</v>
      </c>
      <c r="C5261" s="5" t="s">
        <v>1090</v>
      </c>
      <c r="D5261" s="2" t="s">
        <v>1148</v>
      </c>
    </row>
    <row r="5262" spans="1:4" ht="12.95" customHeight="1" x14ac:dyDescent="0.25">
      <c r="A5262" s="2" t="s">
        <v>788</v>
      </c>
      <c r="B5262" s="2" t="s">
        <v>1146</v>
      </c>
      <c r="C5262" s="5" t="s">
        <v>1092</v>
      </c>
      <c r="D5262" s="2" t="s">
        <v>1182</v>
      </c>
    </row>
    <row r="5263" spans="1:4" ht="12.95" customHeight="1" x14ac:dyDescent="0.25">
      <c r="A5263" s="2" t="s">
        <v>788</v>
      </c>
      <c r="B5263" s="2" t="s">
        <v>1146</v>
      </c>
      <c r="C5263" s="5" t="s">
        <v>1094</v>
      </c>
      <c r="D5263" s="2" t="s">
        <v>1150</v>
      </c>
    </row>
    <row r="5264" spans="1:4" ht="12.95" customHeight="1" x14ac:dyDescent="0.25">
      <c r="A5264" s="2" t="s">
        <v>788</v>
      </c>
      <c r="B5264" s="2" t="s">
        <v>1146</v>
      </c>
      <c r="C5264" s="5" t="s">
        <v>1096</v>
      </c>
      <c r="D5264" s="2" t="s">
        <v>1151</v>
      </c>
    </row>
    <row r="5265" spans="1:4" ht="12.95" customHeight="1" x14ac:dyDescent="0.25">
      <c r="A5265" s="2" t="s">
        <v>788</v>
      </c>
      <c r="B5265" s="2" t="s">
        <v>1146</v>
      </c>
      <c r="C5265" s="5" t="s">
        <v>1098</v>
      </c>
      <c r="D5265" s="2" t="s">
        <v>6113</v>
      </c>
    </row>
    <row r="5266" spans="1:4" ht="12.95" customHeight="1" x14ac:dyDescent="0.25">
      <c r="A5266" s="2" t="s">
        <v>791</v>
      </c>
      <c r="B5266" s="2" t="s">
        <v>1146</v>
      </c>
      <c r="C5266" s="5" t="s">
        <v>1090</v>
      </c>
      <c r="D5266" s="2" t="s">
        <v>6212</v>
      </c>
    </row>
    <row r="5267" spans="1:4" ht="12.95" customHeight="1" x14ac:dyDescent="0.25">
      <c r="A5267" s="2" t="s">
        <v>791</v>
      </c>
      <c r="B5267" s="2" t="s">
        <v>1146</v>
      </c>
      <c r="C5267" s="5" t="s">
        <v>1092</v>
      </c>
      <c r="D5267" s="2" t="s">
        <v>6213</v>
      </c>
    </row>
    <row r="5268" spans="1:4" ht="12.95" customHeight="1" x14ac:dyDescent="0.25">
      <c r="A5268" s="2" t="s">
        <v>791</v>
      </c>
      <c r="B5268" s="2" t="s">
        <v>1146</v>
      </c>
      <c r="C5268" s="5" t="s">
        <v>1094</v>
      </c>
      <c r="D5268" s="2" t="s">
        <v>6214</v>
      </c>
    </row>
    <row r="5269" spans="1:4" ht="12.95" customHeight="1" x14ac:dyDescent="0.25">
      <c r="A5269" s="2" t="s">
        <v>791</v>
      </c>
      <c r="B5269" s="2" t="s">
        <v>1146</v>
      </c>
      <c r="C5269" s="5" t="s">
        <v>1096</v>
      </c>
      <c r="D5269" s="2" t="s">
        <v>6215</v>
      </c>
    </row>
    <row r="5270" spans="1:4" ht="12.95" customHeight="1" x14ac:dyDescent="0.25">
      <c r="A5270" s="2" t="s">
        <v>791</v>
      </c>
      <c r="B5270" s="2" t="s">
        <v>1146</v>
      </c>
      <c r="C5270" s="5" t="s">
        <v>1098</v>
      </c>
      <c r="D5270" s="2" t="s">
        <v>6216</v>
      </c>
    </row>
    <row r="5271" spans="1:4" ht="12.95" customHeight="1" x14ac:dyDescent="0.25">
      <c r="A5271" s="2" t="s">
        <v>791</v>
      </c>
      <c r="B5271" s="2" t="s">
        <v>1146</v>
      </c>
      <c r="C5271" s="5" t="s">
        <v>1100</v>
      </c>
      <c r="D5271" s="2" t="s">
        <v>6217</v>
      </c>
    </row>
    <row r="5272" spans="1:4" ht="12.95" customHeight="1" x14ac:dyDescent="0.25">
      <c r="A5272" s="2" t="s">
        <v>791</v>
      </c>
      <c r="B5272" s="2" t="s">
        <v>1146</v>
      </c>
      <c r="C5272" s="5" t="s">
        <v>1109</v>
      </c>
      <c r="D5272" s="2" t="s">
        <v>6218</v>
      </c>
    </row>
    <row r="5273" spans="1:4" ht="12.95" customHeight="1" x14ac:dyDescent="0.25">
      <c r="A5273" s="2" t="s">
        <v>793</v>
      </c>
      <c r="B5273" s="2" t="s">
        <v>1272</v>
      </c>
      <c r="C5273" s="5" t="s">
        <v>1102</v>
      </c>
      <c r="D5273" s="2" t="s">
        <v>1103</v>
      </c>
    </row>
    <row r="5274" spans="1:4" ht="12.95" customHeight="1" x14ac:dyDescent="0.25">
      <c r="A5274" s="2" t="s">
        <v>793</v>
      </c>
      <c r="B5274" s="2" t="s">
        <v>1272</v>
      </c>
      <c r="C5274" s="5" t="s">
        <v>1084</v>
      </c>
      <c r="D5274" s="2" t="s">
        <v>1085</v>
      </c>
    </row>
    <row r="5275" spans="1:4" ht="12.95" customHeight="1" x14ac:dyDescent="0.25">
      <c r="A5275" s="2" t="s">
        <v>793</v>
      </c>
      <c r="B5275" s="2" t="s">
        <v>1272</v>
      </c>
      <c r="C5275" s="5" t="s">
        <v>1086</v>
      </c>
      <c r="D5275" s="2" t="s">
        <v>1087</v>
      </c>
    </row>
    <row r="5276" spans="1:4" ht="12.95" customHeight="1" x14ac:dyDescent="0.25">
      <c r="A5276" s="2" t="s">
        <v>793</v>
      </c>
      <c r="B5276" s="2" t="s">
        <v>1272</v>
      </c>
      <c r="C5276" s="5" t="s">
        <v>1088</v>
      </c>
      <c r="D5276" s="2" t="s">
        <v>1089</v>
      </c>
    </row>
    <row r="5277" spans="1:4" ht="12.95" customHeight="1" x14ac:dyDescent="0.25">
      <c r="A5277" s="2" t="s">
        <v>793</v>
      </c>
      <c r="B5277" s="2" t="s">
        <v>1272</v>
      </c>
      <c r="C5277" s="5" t="s">
        <v>1090</v>
      </c>
      <c r="D5277" s="2" t="s">
        <v>927</v>
      </c>
    </row>
    <row r="5278" spans="1:4" ht="12.95" customHeight="1" x14ac:dyDescent="0.25">
      <c r="A5278" s="2" t="s">
        <v>793</v>
      </c>
      <c r="B5278" s="2" t="s">
        <v>1272</v>
      </c>
      <c r="C5278" s="5" t="s">
        <v>1092</v>
      </c>
      <c r="D5278" s="2" t="s">
        <v>6199</v>
      </c>
    </row>
    <row r="5279" spans="1:4" ht="12.95" customHeight="1" x14ac:dyDescent="0.25">
      <c r="A5279" s="2" t="s">
        <v>793</v>
      </c>
      <c r="B5279" s="2" t="s">
        <v>1272</v>
      </c>
      <c r="C5279" s="5" t="s">
        <v>1094</v>
      </c>
      <c r="D5279" s="2" t="s">
        <v>6219</v>
      </c>
    </row>
    <row r="5280" spans="1:4" ht="12.95" customHeight="1" x14ac:dyDescent="0.25">
      <c r="A5280" s="2" t="s">
        <v>793</v>
      </c>
      <c r="B5280" s="2" t="s">
        <v>1272</v>
      </c>
      <c r="C5280" s="5" t="s">
        <v>1096</v>
      </c>
      <c r="D5280" s="2" t="s">
        <v>6179</v>
      </c>
    </row>
    <row r="5281" spans="1:4" ht="12.95" customHeight="1" x14ac:dyDescent="0.25">
      <c r="A5281" s="2" t="s">
        <v>793</v>
      </c>
      <c r="B5281" s="2" t="s">
        <v>1272</v>
      </c>
      <c r="C5281" s="5" t="s">
        <v>1098</v>
      </c>
      <c r="D5281" s="2" t="s">
        <v>6200</v>
      </c>
    </row>
    <row r="5282" spans="1:4" ht="12.95" customHeight="1" x14ac:dyDescent="0.25">
      <c r="A5282" s="2" t="s">
        <v>793</v>
      </c>
      <c r="B5282" s="2" t="s">
        <v>1272</v>
      </c>
      <c r="C5282" s="5" t="s">
        <v>1100</v>
      </c>
      <c r="D5282" s="2" t="s">
        <v>6201</v>
      </c>
    </row>
    <row r="5283" spans="1:4" ht="12.95" customHeight="1" x14ac:dyDescent="0.25">
      <c r="A5283" s="2" t="s">
        <v>793</v>
      </c>
      <c r="B5283" s="2" t="s">
        <v>1272</v>
      </c>
      <c r="C5283" s="5" t="s">
        <v>1109</v>
      </c>
      <c r="D5283" s="2" t="s">
        <v>6202</v>
      </c>
    </row>
    <row r="5284" spans="1:4" ht="12.95" customHeight="1" x14ac:dyDescent="0.25">
      <c r="A5284" s="2" t="s">
        <v>793</v>
      </c>
      <c r="B5284" s="2" t="s">
        <v>1272</v>
      </c>
      <c r="C5284" s="5" t="s">
        <v>1119</v>
      </c>
      <c r="D5284" s="2" t="s">
        <v>6203</v>
      </c>
    </row>
    <row r="5285" spans="1:4" ht="12.95" customHeight="1" x14ac:dyDescent="0.25">
      <c r="A5285" s="2" t="s">
        <v>793</v>
      </c>
      <c r="B5285" s="2" t="s">
        <v>1272</v>
      </c>
      <c r="C5285" s="5" t="s">
        <v>1121</v>
      </c>
      <c r="D5285" s="2" t="s">
        <v>6204</v>
      </c>
    </row>
    <row r="5286" spans="1:4" ht="12.95" customHeight="1" x14ac:dyDescent="0.25">
      <c r="A5286" s="2" t="s">
        <v>793</v>
      </c>
      <c r="B5286" s="2" t="s">
        <v>1272</v>
      </c>
      <c r="C5286" s="5" t="s">
        <v>1123</v>
      </c>
      <c r="D5286" s="2" t="s">
        <v>6205</v>
      </c>
    </row>
    <row r="5287" spans="1:4" ht="12.95" customHeight="1" x14ac:dyDescent="0.25">
      <c r="A5287" s="2" t="s">
        <v>793</v>
      </c>
      <c r="B5287" s="2" t="s">
        <v>1272</v>
      </c>
      <c r="C5287" s="5" t="s">
        <v>1125</v>
      </c>
      <c r="D5287" s="2" t="s">
        <v>6206</v>
      </c>
    </row>
    <row r="5288" spans="1:4" ht="12.95" customHeight="1" x14ac:dyDescent="0.25">
      <c r="A5288" s="2" t="s">
        <v>793</v>
      </c>
      <c r="B5288" s="2" t="s">
        <v>1272</v>
      </c>
      <c r="C5288" s="5" t="s">
        <v>1127</v>
      </c>
      <c r="D5288" s="2" t="s">
        <v>6186</v>
      </c>
    </row>
    <row r="5289" spans="1:4" ht="12.95" customHeight="1" x14ac:dyDescent="0.25">
      <c r="A5289" s="2" t="s">
        <v>793</v>
      </c>
      <c r="B5289" s="2" t="s">
        <v>1272</v>
      </c>
      <c r="C5289" s="5" t="s">
        <v>1129</v>
      </c>
      <c r="D5289" s="2" t="s">
        <v>6207</v>
      </c>
    </row>
    <row r="5290" spans="1:4" ht="12.95" customHeight="1" x14ac:dyDescent="0.25">
      <c r="A5290" s="2" t="s">
        <v>793</v>
      </c>
      <c r="B5290" s="2" t="s">
        <v>1272</v>
      </c>
      <c r="C5290" s="5" t="s">
        <v>1131</v>
      </c>
      <c r="D5290" s="2" t="s">
        <v>6188</v>
      </c>
    </row>
    <row r="5291" spans="1:4" ht="12.95" customHeight="1" x14ac:dyDescent="0.25">
      <c r="A5291" s="2" t="s">
        <v>793</v>
      </c>
      <c r="B5291" s="2" t="s">
        <v>1272</v>
      </c>
      <c r="C5291" s="5" t="s">
        <v>1133</v>
      </c>
      <c r="D5291" s="2" t="s">
        <v>6189</v>
      </c>
    </row>
    <row r="5292" spans="1:4" ht="12.95" customHeight="1" x14ac:dyDescent="0.25">
      <c r="A5292" s="2" t="s">
        <v>793</v>
      </c>
      <c r="B5292" s="2" t="s">
        <v>1272</v>
      </c>
      <c r="C5292" s="5" t="s">
        <v>1135</v>
      </c>
      <c r="D5292" s="2" t="s">
        <v>6190</v>
      </c>
    </row>
    <row r="5293" spans="1:4" ht="12.95" customHeight="1" x14ac:dyDescent="0.25">
      <c r="A5293" s="2" t="s">
        <v>793</v>
      </c>
      <c r="B5293" s="2" t="s">
        <v>1272</v>
      </c>
      <c r="C5293" s="5" t="s">
        <v>1137</v>
      </c>
      <c r="D5293" s="2" t="s">
        <v>6191</v>
      </c>
    </row>
    <row r="5294" spans="1:4" ht="12.95" customHeight="1" x14ac:dyDescent="0.25">
      <c r="A5294" s="2" t="s">
        <v>793</v>
      </c>
      <c r="B5294" s="2" t="s">
        <v>1272</v>
      </c>
      <c r="C5294" s="5" t="s">
        <v>1139</v>
      </c>
      <c r="D5294" s="2" t="s">
        <v>6192</v>
      </c>
    </row>
    <row r="5295" spans="1:4" ht="12.95" customHeight="1" x14ac:dyDescent="0.25">
      <c r="A5295" s="2" t="s">
        <v>793</v>
      </c>
      <c r="B5295" s="2" t="s">
        <v>1272</v>
      </c>
      <c r="C5295" s="5" t="s">
        <v>1141</v>
      </c>
      <c r="D5295" s="2" t="s">
        <v>6193</v>
      </c>
    </row>
    <row r="5296" spans="1:4" ht="12.95" customHeight="1" x14ac:dyDescent="0.25">
      <c r="A5296" s="2" t="s">
        <v>793</v>
      </c>
      <c r="B5296" s="2" t="s">
        <v>1272</v>
      </c>
      <c r="C5296" s="5" t="s">
        <v>1295</v>
      </c>
      <c r="D5296" s="2" t="s">
        <v>6194</v>
      </c>
    </row>
    <row r="5297" spans="1:4" ht="12.95" customHeight="1" x14ac:dyDescent="0.25">
      <c r="A5297" s="2" t="s">
        <v>793</v>
      </c>
      <c r="B5297" s="2" t="s">
        <v>1272</v>
      </c>
      <c r="C5297" s="5" t="s">
        <v>1111</v>
      </c>
      <c r="D5297" s="2" t="s">
        <v>1112</v>
      </c>
    </row>
    <row r="5298" spans="1:4" ht="12.95" customHeight="1" x14ac:dyDescent="0.25">
      <c r="A5298" s="2" t="s">
        <v>796</v>
      </c>
      <c r="B5298" s="2" t="s">
        <v>1272</v>
      </c>
      <c r="C5298" s="5" t="s">
        <v>1102</v>
      </c>
      <c r="D5298" s="2" t="s">
        <v>1103</v>
      </c>
    </row>
    <row r="5299" spans="1:4" ht="12.95" customHeight="1" x14ac:dyDescent="0.25">
      <c r="A5299" s="2" t="s">
        <v>796</v>
      </c>
      <c r="B5299" s="2" t="s">
        <v>1272</v>
      </c>
      <c r="C5299" s="5" t="s">
        <v>1084</v>
      </c>
      <c r="D5299" s="2" t="s">
        <v>1085</v>
      </c>
    </row>
    <row r="5300" spans="1:4" ht="12.95" customHeight="1" x14ac:dyDescent="0.25">
      <c r="A5300" s="2" t="s">
        <v>796</v>
      </c>
      <c r="B5300" s="2" t="s">
        <v>1272</v>
      </c>
      <c r="C5300" s="5" t="s">
        <v>1086</v>
      </c>
      <c r="D5300" s="2" t="s">
        <v>1087</v>
      </c>
    </row>
    <row r="5301" spans="1:4" ht="12.95" customHeight="1" x14ac:dyDescent="0.25">
      <c r="A5301" s="2" t="s">
        <v>796</v>
      </c>
      <c r="B5301" s="2" t="s">
        <v>1272</v>
      </c>
      <c r="C5301" s="5" t="s">
        <v>1088</v>
      </c>
      <c r="D5301" s="2" t="s">
        <v>1089</v>
      </c>
    </row>
    <row r="5302" spans="1:4" ht="12.95" customHeight="1" x14ac:dyDescent="0.25">
      <c r="A5302" s="2" t="s">
        <v>796</v>
      </c>
      <c r="B5302" s="2" t="s">
        <v>1272</v>
      </c>
      <c r="C5302" s="5" t="s">
        <v>1090</v>
      </c>
      <c r="D5302" s="2" t="s">
        <v>927</v>
      </c>
    </row>
    <row r="5303" spans="1:4" ht="12.95" customHeight="1" x14ac:dyDescent="0.25">
      <c r="A5303" s="2" t="s">
        <v>796</v>
      </c>
      <c r="B5303" s="2" t="s">
        <v>1272</v>
      </c>
      <c r="C5303" s="5" t="s">
        <v>1092</v>
      </c>
      <c r="D5303" s="2" t="s">
        <v>6199</v>
      </c>
    </row>
    <row r="5304" spans="1:4" ht="12.95" customHeight="1" x14ac:dyDescent="0.25">
      <c r="A5304" s="2" t="s">
        <v>796</v>
      </c>
      <c r="B5304" s="2" t="s">
        <v>1272</v>
      </c>
      <c r="C5304" s="5" t="s">
        <v>1094</v>
      </c>
      <c r="D5304" s="2" t="s">
        <v>6219</v>
      </c>
    </row>
    <row r="5305" spans="1:4" ht="12.95" customHeight="1" x14ac:dyDescent="0.25">
      <c r="A5305" s="2" t="s">
        <v>796</v>
      </c>
      <c r="B5305" s="2" t="s">
        <v>1272</v>
      </c>
      <c r="C5305" s="5" t="s">
        <v>1096</v>
      </c>
      <c r="D5305" s="2" t="s">
        <v>6179</v>
      </c>
    </row>
    <row r="5306" spans="1:4" ht="12.95" customHeight="1" x14ac:dyDescent="0.25">
      <c r="A5306" s="2" t="s">
        <v>796</v>
      </c>
      <c r="B5306" s="2" t="s">
        <v>1272</v>
      </c>
      <c r="C5306" s="5" t="s">
        <v>1098</v>
      </c>
      <c r="D5306" s="2" t="s">
        <v>6200</v>
      </c>
    </row>
    <row r="5307" spans="1:4" ht="12.95" customHeight="1" x14ac:dyDescent="0.25">
      <c r="A5307" s="2" t="s">
        <v>796</v>
      </c>
      <c r="B5307" s="2" t="s">
        <v>1272</v>
      </c>
      <c r="C5307" s="5" t="s">
        <v>1100</v>
      </c>
      <c r="D5307" s="2" t="s">
        <v>6201</v>
      </c>
    </row>
    <row r="5308" spans="1:4" ht="12.95" customHeight="1" x14ac:dyDescent="0.25">
      <c r="A5308" s="2" t="s">
        <v>796</v>
      </c>
      <c r="B5308" s="2" t="s">
        <v>1272</v>
      </c>
      <c r="C5308" s="5" t="s">
        <v>1109</v>
      </c>
      <c r="D5308" s="2" t="s">
        <v>6202</v>
      </c>
    </row>
    <row r="5309" spans="1:4" ht="12.95" customHeight="1" x14ac:dyDescent="0.25">
      <c r="A5309" s="2" t="s">
        <v>796</v>
      </c>
      <c r="B5309" s="2" t="s">
        <v>1272</v>
      </c>
      <c r="C5309" s="5" t="s">
        <v>1119</v>
      </c>
      <c r="D5309" s="2" t="s">
        <v>6203</v>
      </c>
    </row>
    <row r="5310" spans="1:4" ht="12.95" customHeight="1" x14ac:dyDescent="0.25">
      <c r="A5310" s="2" t="s">
        <v>796</v>
      </c>
      <c r="B5310" s="2" t="s">
        <v>1272</v>
      </c>
      <c r="C5310" s="5" t="s">
        <v>1121</v>
      </c>
      <c r="D5310" s="2" t="s">
        <v>6204</v>
      </c>
    </row>
    <row r="5311" spans="1:4" ht="12.95" customHeight="1" x14ac:dyDescent="0.25">
      <c r="A5311" s="2" t="s">
        <v>796</v>
      </c>
      <c r="B5311" s="2" t="s">
        <v>1272</v>
      </c>
      <c r="C5311" s="5" t="s">
        <v>1123</v>
      </c>
      <c r="D5311" s="2" t="s">
        <v>6205</v>
      </c>
    </row>
    <row r="5312" spans="1:4" ht="12.95" customHeight="1" x14ac:dyDescent="0.25">
      <c r="A5312" s="2" t="s">
        <v>796</v>
      </c>
      <c r="B5312" s="2" t="s">
        <v>1272</v>
      </c>
      <c r="C5312" s="5" t="s">
        <v>1125</v>
      </c>
      <c r="D5312" s="2" t="s">
        <v>6206</v>
      </c>
    </row>
    <row r="5313" spans="1:4" ht="12.95" customHeight="1" x14ac:dyDescent="0.25">
      <c r="A5313" s="2" t="s">
        <v>796</v>
      </c>
      <c r="B5313" s="2" t="s">
        <v>1272</v>
      </c>
      <c r="C5313" s="5" t="s">
        <v>1127</v>
      </c>
      <c r="D5313" s="2" t="s">
        <v>6186</v>
      </c>
    </row>
    <row r="5314" spans="1:4" ht="12.95" customHeight="1" x14ac:dyDescent="0.25">
      <c r="A5314" s="2" t="s">
        <v>796</v>
      </c>
      <c r="B5314" s="2" t="s">
        <v>1272</v>
      </c>
      <c r="C5314" s="5" t="s">
        <v>1129</v>
      </c>
      <c r="D5314" s="2" t="s">
        <v>6207</v>
      </c>
    </row>
    <row r="5315" spans="1:4" ht="12.95" customHeight="1" x14ac:dyDescent="0.25">
      <c r="A5315" s="2" t="s">
        <v>796</v>
      </c>
      <c r="B5315" s="2" t="s">
        <v>1272</v>
      </c>
      <c r="C5315" s="5" t="s">
        <v>1131</v>
      </c>
      <c r="D5315" s="2" t="s">
        <v>6188</v>
      </c>
    </row>
    <row r="5316" spans="1:4" ht="12.95" customHeight="1" x14ac:dyDescent="0.25">
      <c r="A5316" s="2" t="s">
        <v>796</v>
      </c>
      <c r="B5316" s="2" t="s">
        <v>1272</v>
      </c>
      <c r="C5316" s="5" t="s">
        <v>1133</v>
      </c>
      <c r="D5316" s="2" t="s">
        <v>6189</v>
      </c>
    </row>
    <row r="5317" spans="1:4" ht="12.95" customHeight="1" x14ac:dyDescent="0.25">
      <c r="A5317" s="2" t="s">
        <v>796</v>
      </c>
      <c r="B5317" s="2" t="s">
        <v>1272</v>
      </c>
      <c r="C5317" s="5" t="s">
        <v>1135</v>
      </c>
      <c r="D5317" s="2" t="s">
        <v>6190</v>
      </c>
    </row>
    <row r="5318" spans="1:4" ht="12.95" customHeight="1" x14ac:dyDescent="0.25">
      <c r="A5318" s="2" t="s">
        <v>796</v>
      </c>
      <c r="B5318" s="2" t="s">
        <v>1272</v>
      </c>
      <c r="C5318" s="5" t="s">
        <v>1137</v>
      </c>
      <c r="D5318" s="2" t="s">
        <v>6191</v>
      </c>
    </row>
    <row r="5319" spans="1:4" ht="12.95" customHeight="1" x14ac:dyDescent="0.25">
      <c r="A5319" s="2" t="s">
        <v>796</v>
      </c>
      <c r="B5319" s="2" t="s">
        <v>1272</v>
      </c>
      <c r="C5319" s="5" t="s">
        <v>1139</v>
      </c>
      <c r="D5319" s="2" t="s">
        <v>6192</v>
      </c>
    </row>
    <row r="5320" spans="1:4" ht="12.95" customHeight="1" x14ac:dyDescent="0.25">
      <c r="A5320" s="2" t="s">
        <v>796</v>
      </c>
      <c r="B5320" s="2" t="s">
        <v>1272</v>
      </c>
      <c r="C5320" s="5" t="s">
        <v>1141</v>
      </c>
      <c r="D5320" s="2" t="s">
        <v>6193</v>
      </c>
    </row>
    <row r="5321" spans="1:4" ht="12.95" customHeight="1" x14ac:dyDescent="0.25">
      <c r="A5321" s="2" t="s">
        <v>796</v>
      </c>
      <c r="B5321" s="2" t="s">
        <v>1272</v>
      </c>
      <c r="C5321" s="5" t="s">
        <v>1295</v>
      </c>
      <c r="D5321" s="2" t="s">
        <v>6194</v>
      </c>
    </row>
    <row r="5322" spans="1:4" ht="12.95" customHeight="1" x14ac:dyDescent="0.25">
      <c r="A5322" s="2" t="s">
        <v>796</v>
      </c>
      <c r="B5322" s="2" t="s">
        <v>1272</v>
      </c>
      <c r="C5322" s="5" t="s">
        <v>1111</v>
      </c>
      <c r="D5322" s="2" t="s">
        <v>1112</v>
      </c>
    </row>
    <row r="5323" spans="1:4" ht="12.95" customHeight="1" x14ac:dyDescent="0.25">
      <c r="A5323" s="2" t="s">
        <v>798</v>
      </c>
      <c r="B5323" s="2" t="s">
        <v>1272</v>
      </c>
      <c r="C5323" s="5" t="s">
        <v>1102</v>
      </c>
      <c r="D5323" s="2" t="s">
        <v>1103</v>
      </c>
    </row>
    <row r="5324" spans="1:4" ht="12.95" customHeight="1" x14ac:dyDescent="0.25">
      <c r="A5324" s="2" t="s">
        <v>798</v>
      </c>
      <c r="B5324" s="2" t="s">
        <v>1272</v>
      </c>
      <c r="C5324" s="5" t="s">
        <v>1084</v>
      </c>
      <c r="D5324" s="2" t="s">
        <v>1085</v>
      </c>
    </row>
    <row r="5325" spans="1:4" ht="12.95" customHeight="1" x14ac:dyDescent="0.25">
      <c r="A5325" s="2" t="s">
        <v>798</v>
      </c>
      <c r="B5325" s="2" t="s">
        <v>1272</v>
      </c>
      <c r="C5325" s="5" t="s">
        <v>1086</v>
      </c>
      <c r="D5325" s="2" t="s">
        <v>1087</v>
      </c>
    </row>
    <row r="5326" spans="1:4" ht="12.95" customHeight="1" x14ac:dyDescent="0.25">
      <c r="A5326" s="2" t="s">
        <v>798</v>
      </c>
      <c r="B5326" s="2" t="s">
        <v>1272</v>
      </c>
      <c r="C5326" s="5" t="s">
        <v>1088</v>
      </c>
      <c r="D5326" s="2" t="s">
        <v>1089</v>
      </c>
    </row>
    <row r="5327" spans="1:4" ht="12.95" customHeight="1" x14ac:dyDescent="0.25">
      <c r="A5327" s="2" t="s">
        <v>798</v>
      </c>
      <c r="B5327" s="2" t="s">
        <v>1272</v>
      </c>
      <c r="C5327" s="5" t="s">
        <v>1090</v>
      </c>
      <c r="D5327" s="2" t="s">
        <v>927</v>
      </c>
    </row>
    <row r="5328" spans="1:4" ht="12.95" customHeight="1" x14ac:dyDescent="0.25">
      <c r="A5328" s="2" t="s">
        <v>798</v>
      </c>
      <c r="B5328" s="2" t="s">
        <v>1272</v>
      </c>
      <c r="C5328" s="5" t="s">
        <v>1092</v>
      </c>
      <c r="D5328" s="2" t="s">
        <v>6199</v>
      </c>
    </row>
    <row r="5329" spans="1:4" ht="12.95" customHeight="1" x14ac:dyDescent="0.25">
      <c r="A5329" s="2" t="s">
        <v>798</v>
      </c>
      <c r="B5329" s="2" t="s">
        <v>1272</v>
      </c>
      <c r="C5329" s="5" t="s">
        <v>1094</v>
      </c>
      <c r="D5329" s="2" t="s">
        <v>6219</v>
      </c>
    </row>
    <row r="5330" spans="1:4" ht="12.95" customHeight="1" x14ac:dyDescent="0.25">
      <c r="A5330" s="2" t="s">
        <v>798</v>
      </c>
      <c r="B5330" s="2" t="s">
        <v>1272</v>
      </c>
      <c r="C5330" s="5" t="s">
        <v>1096</v>
      </c>
      <c r="D5330" s="2" t="s">
        <v>6179</v>
      </c>
    </row>
    <row r="5331" spans="1:4" ht="12.95" customHeight="1" x14ac:dyDescent="0.25">
      <c r="A5331" s="2" t="s">
        <v>798</v>
      </c>
      <c r="B5331" s="2" t="s">
        <v>1272</v>
      </c>
      <c r="C5331" s="5" t="s">
        <v>1098</v>
      </c>
      <c r="D5331" s="2" t="s">
        <v>6200</v>
      </c>
    </row>
    <row r="5332" spans="1:4" ht="12.95" customHeight="1" x14ac:dyDescent="0.25">
      <c r="A5332" s="2" t="s">
        <v>798</v>
      </c>
      <c r="B5332" s="2" t="s">
        <v>1272</v>
      </c>
      <c r="C5332" s="5" t="s">
        <v>1100</v>
      </c>
      <c r="D5332" s="2" t="s">
        <v>6201</v>
      </c>
    </row>
    <row r="5333" spans="1:4" ht="12.95" customHeight="1" x14ac:dyDescent="0.25">
      <c r="A5333" s="2" t="s">
        <v>798</v>
      </c>
      <c r="B5333" s="2" t="s">
        <v>1272</v>
      </c>
      <c r="C5333" s="5" t="s">
        <v>1109</v>
      </c>
      <c r="D5333" s="2" t="s">
        <v>6202</v>
      </c>
    </row>
    <row r="5334" spans="1:4" ht="12.95" customHeight="1" x14ac:dyDescent="0.25">
      <c r="A5334" s="2" t="s">
        <v>798</v>
      </c>
      <c r="B5334" s="2" t="s">
        <v>1272</v>
      </c>
      <c r="C5334" s="5" t="s">
        <v>1119</v>
      </c>
      <c r="D5334" s="2" t="s">
        <v>6203</v>
      </c>
    </row>
    <row r="5335" spans="1:4" ht="12.95" customHeight="1" x14ac:dyDescent="0.25">
      <c r="A5335" s="2" t="s">
        <v>798</v>
      </c>
      <c r="B5335" s="2" t="s">
        <v>1272</v>
      </c>
      <c r="C5335" s="5" t="s">
        <v>1121</v>
      </c>
      <c r="D5335" s="2" t="s">
        <v>6204</v>
      </c>
    </row>
    <row r="5336" spans="1:4" ht="12.95" customHeight="1" x14ac:dyDescent="0.25">
      <c r="A5336" s="2" t="s">
        <v>798</v>
      </c>
      <c r="B5336" s="2" t="s">
        <v>1272</v>
      </c>
      <c r="C5336" s="5" t="s">
        <v>1123</v>
      </c>
      <c r="D5336" s="2" t="s">
        <v>6205</v>
      </c>
    </row>
    <row r="5337" spans="1:4" ht="12.95" customHeight="1" x14ac:dyDescent="0.25">
      <c r="A5337" s="2" t="s">
        <v>798</v>
      </c>
      <c r="B5337" s="2" t="s">
        <v>1272</v>
      </c>
      <c r="C5337" s="5" t="s">
        <v>1125</v>
      </c>
      <c r="D5337" s="2" t="s">
        <v>6206</v>
      </c>
    </row>
    <row r="5338" spans="1:4" ht="12.95" customHeight="1" x14ac:dyDescent="0.25">
      <c r="A5338" s="2" t="s">
        <v>798</v>
      </c>
      <c r="B5338" s="2" t="s">
        <v>1272</v>
      </c>
      <c r="C5338" s="5" t="s">
        <v>1127</v>
      </c>
      <c r="D5338" s="2" t="s">
        <v>6186</v>
      </c>
    </row>
    <row r="5339" spans="1:4" ht="12.95" customHeight="1" x14ac:dyDescent="0.25">
      <c r="A5339" s="2" t="s">
        <v>798</v>
      </c>
      <c r="B5339" s="2" t="s">
        <v>1272</v>
      </c>
      <c r="C5339" s="5" t="s">
        <v>1129</v>
      </c>
      <c r="D5339" s="2" t="s">
        <v>6207</v>
      </c>
    </row>
    <row r="5340" spans="1:4" ht="12.95" customHeight="1" x14ac:dyDescent="0.25">
      <c r="A5340" s="2" t="s">
        <v>798</v>
      </c>
      <c r="B5340" s="2" t="s">
        <v>1272</v>
      </c>
      <c r="C5340" s="5" t="s">
        <v>1131</v>
      </c>
      <c r="D5340" s="2" t="s">
        <v>6188</v>
      </c>
    </row>
    <row r="5341" spans="1:4" ht="12.95" customHeight="1" x14ac:dyDescent="0.25">
      <c r="A5341" s="2" t="s">
        <v>798</v>
      </c>
      <c r="B5341" s="2" t="s">
        <v>1272</v>
      </c>
      <c r="C5341" s="5" t="s">
        <v>1133</v>
      </c>
      <c r="D5341" s="2" t="s">
        <v>6189</v>
      </c>
    </row>
    <row r="5342" spans="1:4" ht="12.95" customHeight="1" x14ac:dyDescent="0.25">
      <c r="A5342" s="2" t="s">
        <v>798</v>
      </c>
      <c r="B5342" s="2" t="s">
        <v>1272</v>
      </c>
      <c r="C5342" s="5" t="s">
        <v>1135</v>
      </c>
      <c r="D5342" s="2" t="s">
        <v>6190</v>
      </c>
    </row>
    <row r="5343" spans="1:4" ht="12.95" customHeight="1" x14ac:dyDescent="0.25">
      <c r="A5343" s="2" t="s">
        <v>798</v>
      </c>
      <c r="B5343" s="2" t="s">
        <v>1272</v>
      </c>
      <c r="C5343" s="5" t="s">
        <v>1137</v>
      </c>
      <c r="D5343" s="2" t="s">
        <v>6191</v>
      </c>
    </row>
    <row r="5344" spans="1:4" ht="12.95" customHeight="1" x14ac:dyDescent="0.25">
      <c r="A5344" s="2" t="s">
        <v>798</v>
      </c>
      <c r="B5344" s="2" t="s">
        <v>1272</v>
      </c>
      <c r="C5344" s="5" t="s">
        <v>1139</v>
      </c>
      <c r="D5344" s="2" t="s">
        <v>6192</v>
      </c>
    </row>
    <row r="5345" spans="1:4" ht="12.95" customHeight="1" x14ac:dyDescent="0.25">
      <c r="A5345" s="2" t="s">
        <v>798</v>
      </c>
      <c r="B5345" s="2" t="s">
        <v>1272</v>
      </c>
      <c r="C5345" s="5" t="s">
        <v>1141</v>
      </c>
      <c r="D5345" s="2" t="s">
        <v>6193</v>
      </c>
    </row>
    <row r="5346" spans="1:4" ht="12.95" customHeight="1" x14ac:dyDescent="0.25">
      <c r="A5346" s="2" t="s">
        <v>798</v>
      </c>
      <c r="B5346" s="2" t="s">
        <v>1272</v>
      </c>
      <c r="C5346" s="5" t="s">
        <v>1295</v>
      </c>
      <c r="D5346" s="2" t="s">
        <v>6194</v>
      </c>
    </row>
    <row r="5347" spans="1:4" ht="12.95" customHeight="1" x14ac:dyDescent="0.25">
      <c r="A5347" s="2" t="s">
        <v>798</v>
      </c>
      <c r="B5347" s="2" t="s">
        <v>1272</v>
      </c>
      <c r="C5347" s="5" t="s">
        <v>1111</v>
      </c>
      <c r="D5347" s="2" t="s">
        <v>1112</v>
      </c>
    </row>
    <row r="5348" spans="1:4" ht="12.95" customHeight="1" x14ac:dyDescent="0.25">
      <c r="A5348" s="2" t="s">
        <v>800</v>
      </c>
      <c r="B5348" s="2" t="s">
        <v>1272</v>
      </c>
      <c r="C5348" s="5" t="s">
        <v>1102</v>
      </c>
      <c r="D5348" s="2" t="s">
        <v>1103</v>
      </c>
    </row>
    <row r="5349" spans="1:4" ht="12.95" customHeight="1" x14ac:dyDescent="0.25">
      <c r="A5349" s="2" t="s">
        <v>800</v>
      </c>
      <c r="B5349" s="2" t="s">
        <v>1272</v>
      </c>
      <c r="C5349" s="5" t="s">
        <v>1084</v>
      </c>
      <c r="D5349" s="2" t="s">
        <v>1085</v>
      </c>
    </row>
    <row r="5350" spans="1:4" ht="12.95" customHeight="1" x14ac:dyDescent="0.25">
      <c r="A5350" s="2" t="s">
        <v>800</v>
      </c>
      <c r="B5350" s="2" t="s">
        <v>1272</v>
      </c>
      <c r="C5350" s="5" t="s">
        <v>1086</v>
      </c>
      <c r="D5350" s="2" t="s">
        <v>1087</v>
      </c>
    </row>
    <row r="5351" spans="1:4" ht="12.95" customHeight="1" x14ac:dyDescent="0.25">
      <c r="A5351" s="2" t="s">
        <v>800</v>
      </c>
      <c r="B5351" s="2" t="s">
        <v>1272</v>
      </c>
      <c r="C5351" s="5" t="s">
        <v>1088</v>
      </c>
      <c r="D5351" s="2" t="s">
        <v>1089</v>
      </c>
    </row>
    <row r="5352" spans="1:4" ht="12.95" customHeight="1" x14ac:dyDescent="0.25">
      <c r="A5352" s="2" t="s">
        <v>800</v>
      </c>
      <c r="B5352" s="2" t="s">
        <v>1272</v>
      </c>
      <c r="C5352" s="5" t="s">
        <v>1090</v>
      </c>
      <c r="D5352" s="2" t="s">
        <v>927</v>
      </c>
    </row>
    <row r="5353" spans="1:4" ht="12.95" customHeight="1" x14ac:dyDescent="0.25">
      <c r="A5353" s="2" t="s">
        <v>800</v>
      </c>
      <c r="B5353" s="2" t="s">
        <v>1272</v>
      </c>
      <c r="C5353" s="5" t="s">
        <v>1092</v>
      </c>
      <c r="D5353" s="2" t="s">
        <v>6199</v>
      </c>
    </row>
    <row r="5354" spans="1:4" ht="12.95" customHeight="1" x14ac:dyDescent="0.25">
      <c r="A5354" s="2" t="s">
        <v>800</v>
      </c>
      <c r="B5354" s="2" t="s">
        <v>1272</v>
      </c>
      <c r="C5354" s="5" t="s">
        <v>1094</v>
      </c>
      <c r="D5354" s="2" t="s">
        <v>6219</v>
      </c>
    </row>
    <row r="5355" spans="1:4" ht="12.95" customHeight="1" x14ac:dyDescent="0.25">
      <c r="A5355" s="2" t="s">
        <v>800</v>
      </c>
      <c r="B5355" s="2" t="s">
        <v>1272</v>
      </c>
      <c r="C5355" s="5" t="s">
        <v>1096</v>
      </c>
      <c r="D5355" s="2" t="s">
        <v>6179</v>
      </c>
    </row>
    <row r="5356" spans="1:4" ht="12.95" customHeight="1" x14ac:dyDescent="0.25">
      <c r="A5356" s="2" t="s">
        <v>800</v>
      </c>
      <c r="B5356" s="2" t="s">
        <v>1272</v>
      </c>
      <c r="C5356" s="5" t="s">
        <v>1098</v>
      </c>
      <c r="D5356" s="2" t="s">
        <v>6200</v>
      </c>
    </row>
    <row r="5357" spans="1:4" ht="12.95" customHeight="1" x14ac:dyDescent="0.25">
      <c r="A5357" s="2" t="s">
        <v>800</v>
      </c>
      <c r="B5357" s="2" t="s">
        <v>1272</v>
      </c>
      <c r="C5357" s="5" t="s">
        <v>1100</v>
      </c>
      <c r="D5357" s="2" t="s">
        <v>6201</v>
      </c>
    </row>
    <row r="5358" spans="1:4" ht="12.95" customHeight="1" x14ac:dyDescent="0.25">
      <c r="A5358" s="2" t="s">
        <v>800</v>
      </c>
      <c r="B5358" s="2" t="s">
        <v>1272</v>
      </c>
      <c r="C5358" s="5" t="s">
        <v>1109</v>
      </c>
      <c r="D5358" s="2" t="s">
        <v>6202</v>
      </c>
    </row>
    <row r="5359" spans="1:4" ht="12.95" customHeight="1" x14ac:dyDescent="0.25">
      <c r="A5359" s="2" t="s">
        <v>800</v>
      </c>
      <c r="B5359" s="2" t="s">
        <v>1272</v>
      </c>
      <c r="C5359" s="5" t="s">
        <v>1119</v>
      </c>
      <c r="D5359" s="2" t="s">
        <v>6203</v>
      </c>
    </row>
    <row r="5360" spans="1:4" ht="12.95" customHeight="1" x14ac:dyDescent="0.25">
      <c r="A5360" s="2" t="s">
        <v>800</v>
      </c>
      <c r="B5360" s="2" t="s">
        <v>1272</v>
      </c>
      <c r="C5360" s="5" t="s">
        <v>1121</v>
      </c>
      <c r="D5360" s="2" t="s">
        <v>6204</v>
      </c>
    </row>
    <row r="5361" spans="1:4" ht="12.95" customHeight="1" x14ac:dyDescent="0.25">
      <c r="A5361" s="2" t="s">
        <v>800</v>
      </c>
      <c r="B5361" s="2" t="s">
        <v>1272</v>
      </c>
      <c r="C5361" s="5" t="s">
        <v>1123</v>
      </c>
      <c r="D5361" s="2" t="s">
        <v>6205</v>
      </c>
    </row>
    <row r="5362" spans="1:4" ht="12.95" customHeight="1" x14ac:dyDescent="0.25">
      <c r="A5362" s="2" t="s">
        <v>800</v>
      </c>
      <c r="B5362" s="2" t="s">
        <v>1272</v>
      </c>
      <c r="C5362" s="5" t="s">
        <v>1125</v>
      </c>
      <c r="D5362" s="2" t="s">
        <v>6206</v>
      </c>
    </row>
    <row r="5363" spans="1:4" ht="12.95" customHeight="1" x14ac:dyDescent="0.25">
      <c r="A5363" s="2" t="s">
        <v>800</v>
      </c>
      <c r="B5363" s="2" t="s">
        <v>1272</v>
      </c>
      <c r="C5363" s="5" t="s">
        <v>1127</v>
      </c>
      <c r="D5363" s="2" t="s">
        <v>6186</v>
      </c>
    </row>
    <row r="5364" spans="1:4" ht="12.95" customHeight="1" x14ac:dyDescent="0.25">
      <c r="A5364" s="2" t="s">
        <v>800</v>
      </c>
      <c r="B5364" s="2" t="s">
        <v>1272</v>
      </c>
      <c r="C5364" s="5" t="s">
        <v>1129</v>
      </c>
      <c r="D5364" s="2" t="s">
        <v>6207</v>
      </c>
    </row>
    <row r="5365" spans="1:4" ht="12.95" customHeight="1" x14ac:dyDescent="0.25">
      <c r="A5365" s="2" t="s">
        <v>800</v>
      </c>
      <c r="B5365" s="2" t="s">
        <v>1272</v>
      </c>
      <c r="C5365" s="5" t="s">
        <v>1131</v>
      </c>
      <c r="D5365" s="2" t="s">
        <v>6188</v>
      </c>
    </row>
    <row r="5366" spans="1:4" ht="12.95" customHeight="1" x14ac:dyDescent="0.25">
      <c r="A5366" s="2" t="s">
        <v>800</v>
      </c>
      <c r="B5366" s="2" t="s">
        <v>1272</v>
      </c>
      <c r="C5366" s="5" t="s">
        <v>1133</v>
      </c>
      <c r="D5366" s="2" t="s">
        <v>6189</v>
      </c>
    </row>
    <row r="5367" spans="1:4" ht="12.95" customHeight="1" x14ac:dyDescent="0.25">
      <c r="A5367" s="2" t="s">
        <v>800</v>
      </c>
      <c r="B5367" s="2" t="s">
        <v>1272</v>
      </c>
      <c r="C5367" s="5" t="s">
        <v>1135</v>
      </c>
      <c r="D5367" s="2" t="s">
        <v>6190</v>
      </c>
    </row>
    <row r="5368" spans="1:4" ht="12.95" customHeight="1" x14ac:dyDescent="0.25">
      <c r="A5368" s="2" t="s">
        <v>800</v>
      </c>
      <c r="B5368" s="2" t="s">
        <v>1272</v>
      </c>
      <c r="C5368" s="5" t="s">
        <v>1137</v>
      </c>
      <c r="D5368" s="2" t="s">
        <v>6191</v>
      </c>
    </row>
    <row r="5369" spans="1:4" ht="12.95" customHeight="1" x14ac:dyDescent="0.25">
      <c r="A5369" s="2" t="s">
        <v>800</v>
      </c>
      <c r="B5369" s="2" t="s">
        <v>1272</v>
      </c>
      <c r="C5369" s="5" t="s">
        <v>1139</v>
      </c>
      <c r="D5369" s="2" t="s">
        <v>6192</v>
      </c>
    </row>
    <row r="5370" spans="1:4" ht="12.95" customHeight="1" x14ac:dyDescent="0.25">
      <c r="A5370" s="2" t="s">
        <v>800</v>
      </c>
      <c r="B5370" s="2" t="s">
        <v>1272</v>
      </c>
      <c r="C5370" s="5" t="s">
        <v>1141</v>
      </c>
      <c r="D5370" s="2" t="s">
        <v>6193</v>
      </c>
    </row>
    <row r="5371" spans="1:4" ht="12.95" customHeight="1" x14ac:dyDescent="0.25">
      <c r="A5371" s="2" t="s">
        <v>800</v>
      </c>
      <c r="B5371" s="2" t="s">
        <v>1272</v>
      </c>
      <c r="C5371" s="5" t="s">
        <v>1295</v>
      </c>
      <c r="D5371" s="2" t="s">
        <v>6194</v>
      </c>
    </row>
    <row r="5372" spans="1:4" ht="12.95" customHeight="1" x14ac:dyDescent="0.25">
      <c r="A5372" s="2" t="s">
        <v>800</v>
      </c>
      <c r="B5372" s="2" t="s">
        <v>1272</v>
      </c>
      <c r="C5372" s="5" t="s">
        <v>1111</v>
      </c>
      <c r="D5372" s="2" t="s">
        <v>1112</v>
      </c>
    </row>
    <row r="5373" spans="1:4" ht="12.95" customHeight="1" x14ac:dyDescent="0.25">
      <c r="A5373" s="2" t="s">
        <v>802</v>
      </c>
      <c r="B5373" s="2" t="s">
        <v>1272</v>
      </c>
      <c r="C5373" s="5" t="s">
        <v>1102</v>
      </c>
      <c r="D5373" s="2" t="s">
        <v>1103</v>
      </c>
    </row>
    <row r="5374" spans="1:4" ht="12.95" customHeight="1" x14ac:dyDescent="0.25">
      <c r="A5374" s="2" t="s">
        <v>802</v>
      </c>
      <c r="B5374" s="2" t="s">
        <v>1272</v>
      </c>
      <c r="C5374" s="5" t="s">
        <v>1084</v>
      </c>
      <c r="D5374" s="2" t="s">
        <v>1085</v>
      </c>
    </row>
    <row r="5375" spans="1:4" ht="12.95" customHeight="1" x14ac:dyDescent="0.25">
      <c r="A5375" s="2" t="s">
        <v>802</v>
      </c>
      <c r="B5375" s="2" t="s">
        <v>1272</v>
      </c>
      <c r="C5375" s="5" t="s">
        <v>1086</v>
      </c>
      <c r="D5375" s="2" t="s">
        <v>1087</v>
      </c>
    </row>
    <row r="5376" spans="1:4" ht="12.95" customHeight="1" x14ac:dyDescent="0.25">
      <c r="A5376" s="2" t="s">
        <v>802</v>
      </c>
      <c r="B5376" s="2" t="s">
        <v>1272</v>
      </c>
      <c r="C5376" s="5" t="s">
        <v>1088</v>
      </c>
      <c r="D5376" s="2" t="s">
        <v>1089</v>
      </c>
    </row>
    <row r="5377" spans="1:4" ht="12.95" customHeight="1" x14ac:dyDescent="0.25">
      <c r="A5377" s="2" t="s">
        <v>802</v>
      </c>
      <c r="B5377" s="2" t="s">
        <v>1272</v>
      </c>
      <c r="C5377" s="5" t="s">
        <v>1090</v>
      </c>
      <c r="D5377" s="2" t="s">
        <v>927</v>
      </c>
    </row>
    <row r="5378" spans="1:4" ht="12.95" customHeight="1" x14ac:dyDescent="0.25">
      <c r="A5378" s="2" t="s">
        <v>802</v>
      </c>
      <c r="B5378" s="2" t="s">
        <v>1272</v>
      </c>
      <c r="C5378" s="5" t="s">
        <v>1092</v>
      </c>
      <c r="D5378" s="2" t="s">
        <v>6199</v>
      </c>
    </row>
    <row r="5379" spans="1:4" ht="12.95" customHeight="1" x14ac:dyDescent="0.25">
      <c r="A5379" s="2" t="s">
        <v>802</v>
      </c>
      <c r="B5379" s="2" t="s">
        <v>1272</v>
      </c>
      <c r="C5379" s="5" t="s">
        <v>1094</v>
      </c>
      <c r="D5379" s="2" t="s">
        <v>6219</v>
      </c>
    </row>
    <row r="5380" spans="1:4" ht="12.95" customHeight="1" x14ac:dyDescent="0.25">
      <c r="A5380" s="2" t="s">
        <v>802</v>
      </c>
      <c r="B5380" s="2" t="s">
        <v>1272</v>
      </c>
      <c r="C5380" s="5" t="s">
        <v>1096</v>
      </c>
      <c r="D5380" s="2" t="s">
        <v>6179</v>
      </c>
    </row>
    <row r="5381" spans="1:4" ht="12.95" customHeight="1" x14ac:dyDescent="0.25">
      <c r="A5381" s="2" t="s">
        <v>802</v>
      </c>
      <c r="B5381" s="2" t="s">
        <v>1272</v>
      </c>
      <c r="C5381" s="5" t="s">
        <v>1098</v>
      </c>
      <c r="D5381" s="2" t="s">
        <v>6200</v>
      </c>
    </row>
    <row r="5382" spans="1:4" ht="12.95" customHeight="1" x14ac:dyDescent="0.25">
      <c r="A5382" s="2" t="s">
        <v>802</v>
      </c>
      <c r="B5382" s="2" t="s">
        <v>1272</v>
      </c>
      <c r="C5382" s="5" t="s">
        <v>1100</v>
      </c>
      <c r="D5382" s="2" t="s">
        <v>6201</v>
      </c>
    </row>
    <row r="5383" spans="1:4" ht="12.95" customHeight="1" x14ac:dyDescent="0.25">
      <c r="A5383" s="2" t="s">
        <v>802</v>
      </c>
      <c r="B5383" s="2" t="s">
        <v>1272</v>
      </c>
      <c r="C5383" s="5" t="s">
        <v>1109</v>
      </c>
      <c r="D5383" s="2" t="s">
        <v>6202</v>
      </c>
    </row>
    <row r="5384" spans="1:4" ht="12.95" customHeight="1" x14ac:dyDescent="0.25">
      <c r="A5384" s="2" t="s">
        <v>802</v>
      </c>
      <c r="B5384" s="2" t="s">
        <v>1272</v>
      </c>
      <c r="C5384" s="5" t="s">
        <v>1119</v>
      </c>
      <c r="D5384" s="2" t="s">
        <v>6203</v>
      </c>
    </row>
    <row r="5385" spans="1:4" ht="12.95" customHeight="1" x14ac:dyDescent="0.25">
      <c r="A5385" s="2" t="s">
        <v>802</v>
      </c>
      <c r="B5385" s="2" t="s">
        <v>1272</v>
      </c>
      <c r="C5385" s="5" t="s">
        <v>1121</v>
      </c>
      <c r="D5385" s="2" t="s">
        <v>6204</v>
      </c>
    </row>
    <row r="5386" spans="1:4" ht="12.95" customHeight="1" x14ac:dyDescent="0.25">
      <c r="A5386" s="2" t="s">
        <v>802</v>
      </c>
      <c r="B5386" s="2" t="s">
        <v>1272</v>
      </c>
      <c r="C5386" s="5" t="s">
        <v>1123</v>
      </c>
      <c r="D5386" s="2" t="s">
        <v>6205</v>
      </c>
    </row>
    <row r="5387" spans="1:4" ht="12.95" customHeight="1" x14ac:dyDescent="0.25">
      <c r="A5387" s="2" t="s">
        <v>802</v>
      </c>
      <c r="B5387" s="2" t="s">
        <v>1272</v>
      </c>
      <c r="C5387" s="5" t="s">
        <v>1125</v>
      </c>
      <c r="D5387" s="2" t="s">
        <v>6206</v>
      </c>
    </row>
    <row r="5388" spans="1:4" ht="12.95" customHeight="1" x14ac:dyDescent="0.25">
      <c r="A5388" s="2" t="s">
        <v>802</v>
      </c>
      <c r="B5388" s="2" t="s">
        <v>1272</v>
      </c>
      <c r="C5388" s="5" t="s">
        <v>1127</v>
      </c>
      <c r="D5388" s="2" t="s">
        <v>6186</v>
      </c>
    </row>
    <row r="5389" spans="1:4" ht="12.95" customHeight="1" x14ac:dyDescent="0.25">
      <c r="A5389" s="2" t="s">
        <v>802</v>
      </c>
      <c r="B5389" s="2" t="s">
        <v>1272</v>
      </c>
      <c r="C5389" s="5" t="s">
        <v>1129</v>
      </c>
      <c r="D5389" s="2" t="s">
        <v>6207</v>
      </c>
    </row>
    <row r="5390" spans="1:4" ht="12.95" customHeight="1" x14ac:dyDescent="0.25">
      <c r="A5390" s="2" t="s">
        <v>802</v>
      </c>
      <c r="B5390" s="2" t="s">
        <v>1272</v>
      </c>
      <c r="C5390" s="5" t="s">
        <v>1131</v>
      </c>
      <c r="D5390" s="2" t="s">
        <v>6188</v>
      </c>
    </row>
    <row r="5391" spans="1:4" ht="12.95" customHeight="1" x14ac:dyDescent="0.25">
      <c r="A5391" s="2" t="s">
        <v>802</v>
      </c>
      <c r="B5391" s="2" t="s">
        <v>1272</v>
      </c>
      <c r="C5391" s="5" t="s">
        <v>1133</v>
      </c>
      <c r="D5391" s="2" t="s">
        <v>6189</v>
      </c>
    </row>
    <row r="5392" spans="1:4" ht="12.95" customHeight="1" x14ac:dyDescent="0.25">
      <c r="A5392" s="2" t="s">
        <v>802</v>
      </c>
      <c r="B5392" s="2" t="s">
        <v>1272</v>
      </c>
      <c r="C5392" s="5" t="s">
        <v>1135</v>
      </c>
      <c r="D5392" s="2" t="s">
        <v>6190</v>
      </c>
    </row>
    <row r="5393" spans="1:4" ht="12.95" customHeight="1" x14ac:dyDescent="0.25">
      <c r="A5393" s="2" t="s">
        <v>802</v>
      </c>
      <c r="B5393" s="2" t="s">
        <v>1272</v>
      </c>
      <c r="C5393" s="5" t="s">
        <v>1137</v>
      </c>
      <c r="D5393" s="2" t="s">
        <v>6191</v>
      </c>
    </row>
    <row r="5394" spans="1:4" ht="12.95" customHeight="1" x14ac:dyDescent="0.25">
      <c r="A5394" s="2" t="s">
        <v>802</v>
      </c>
      <c r="B5394" s="2" t="s">
        <v>1272</v>
      </c>
      <c r="C5394" s="5" t="s">
        <v>1139</v>
      </c>
      <c r="D5394" s="2" t="s">
        <v>6192</v>
      </c>
    </row>
    <row r="5395" spans="1:4" ht="12.95" customHeight="1" x14ac:dyDescent="0.25">
      <c r="A5395" s="2" t="s">
        <v>802</v>
      </c>
      <c r="B5395" s="2" t="s">
        <v>1272</v>
      </c>
      <c r="C5395" s="5" t="s">
        <v>1141</v>
      </c>
      <c r="D5395" s="2" t="s">
        <v>6193</v>
      </c>
    </row>
    <row r="5396" spans="1:4" ht="12.95" customHeight="1" x14ac:dyDescent="0.25">
      <c r="A5396" s="2" t="s">
        <v>802</v>
      </c>
      <c r="B5396" s="2" t="s">
        <v>1272</v>
      </c>
      <c r="C5396" s="5" t="s">
        <v>1295</v>
      </c>
      <c r="D5396" s="2" t="s">
        <v>6194</v>
      </c>
    </row>
    <row r="5397" spans="1:4" ht="12.95" customHeight="1" x14ac:dyDescent="0.25">
      <c r="A5397" s="2" t="s">
        <v>802</v>
      </c>
      <c r="B5397" s="2" t="s">
        <v>1272</v>
      </c>
      <c r="C5397" s="5" t="s">
        <v>1111</v>
      </c>
      <c r="D5397" s="2" t="s">
        <v>1112</v>
      </c>
    </row>
    <row r="5398" spans="1:4" ht="12.95" customHeight="1" x14ac:dyDescent="0.25">
      <c r="A5398" s="2" t="s">
        <v>804</v>
      </c>
      <c r="B5398" s="2" t="s">
        <v>1272</v>
      </c>
      <c r="C5398" s="5" t="s">
        <v>1102</v>
      </c>
      <c r="D5398" s="2" t="s">
        <v>1103</v>
      </c>
    </row>
    <row r="5399" spans="1:4" ht="12.95" customHeight="1" x14ac:dyDescent="0.25">
      <c r="A5399" s="2" t="s">
        <v>804</v>
      </c>
      <c r="B5399" s="2" t="s">
        <v>1272</v>
      </c>
      <c r="C5399" s="5" t="s">
        <v>1084</v>
      </c>
      <c r="D5399" s="2" t="s">
        <v>1085</v>
      </c>
    </row>
    <row r="5400" spans="1:4" ht="12.95" customHeight="1" x14ac:dyDescent="0.25">
      <c r="A5400" s="2" t="s">
        <v>804</v>
      </c>
      <c r="B5400" s="2" t="s">
        <v>1272</v>
      </c>
      <c r="C5400" s="5" t="s">
        <v>1086</v>
      </c>
      <c r="D5400" s="2" t="s">
        <v>1087</v>
      </c>
    </row>
    <row r="5401" spans="1:4" ht="12.95" customHeight="1" x14ac:dyDescent="0.25">
      <c r="A5401" s="2" t="s">
        <v>804</v>
      </c>
      <c r="B5401" s="2" t="s">
        <v>1272</v>
      </c>
      <c r="C5401" s="5" t="s">
        <v>1088</v>
      </c>
      <c r="D5401" s="2" t="s">
        <v>1089</v>
      </c>
    </row>
    <row r="5402" spans="1:4" ht="12.95" customHeight="1" x14ac:dyDescent="0.25">
      <c r="A5402" s="2" t="s">
        <v>804</v>
      </c>
      <c r="B5402" s="2" t="s">
        <v>1272</v>
      </c>
      <c r="C5402" s="5" t="s">
        <v>1090</v>
      </c>
      <c r="D5402" s="2" t="s">
        <v>927</v>
      </c>
    </row>
    <row r="5403" spans="1:4" ht="12.95" customHeight="1" x14ac:dyDescent="0.25">
      <c r="A5403" s="2" t="s">
        <v>804</v>
      </c>
      <c r="B5403" s="2" t="s">
        <v>1272</v>
      </c>
      <c r="C5403" s="5" t="s">
        <v>1092</v>
      </c>
      <c r="D5403" s="2" t="s">
        <v>6199</v>
      </c>
    </row>
    <row r="5404" spans="1:4" ht="12.95" customHeight="1" x14ac:dyDescent="0.25">
      <c r="A5404" s="2" t="s">
        <v>804</v>
      </c>
      <c r="B5404" s="2" t="s">
        <v>1272</v>
      </c>
      <c r="C5404" s="5" t="s">
        <v>1094</v>
      </c>
      <c r="D5404" s="2" t="s">
        <v>6219</v>
      </c>
    </row>
    <row r="5405" spans="1:4" ht="12.95" customHeight="1" x14ac:dyDescent="0.25">
      <c r="A5405" s="2" t="s">
        <v>804</v>
      </c>
      <c r="B5405" s="2" t="s">
        <v>1272</v>
      </c>
      <c r="C5405" s="5" t="s">
        <v>1096</v>
      </c>
      <c r="D5405" s="2" t="s">
        <v>6179</v>
      </c>
    </row>
    <row r="5406" spans="1:4" ht="12.95" customHeight="1" x14ac:dyDescent="0.25">
      <c r="A5406" s="2" t="s">
        <v>804</v>
      </c>
      <c r="B5406" s="2" t="s">
        <v>1272</v>
      </c>
      <c r="C5406" s="5" t="s">
        <v>1098</v>
      </c>
      <c r="D5406" s="2" t="s">
        <v>6200</v>
      </c>
    </row>
    <row r="5407" spans="1:4" ht="12.95" customHeight="1" x14ac:dyDescent="0.25">
      <c r="A5407" s="2" t="s">
        <v>804</v>
      </c>
      <c r="B5407" s="2" t="s">
        <v>1272</v>
      </c>
      <c r="C5407" s="5" t="s">
        <v>1100</v>
      </c>
      <c r="D5407" s="2" t="s">
        <v>6201</v>
      </c>
    </row>
    <row r="5408" spans="1:4" ht="12.95" customHeight="1" x14ac:dyDescent="0.25">
      <c r="A5408" s="2" t="s">
        <v>804</v>
      </c>
      <c r="B5408" s="2" t="s">
        <v>1272</v>
      </c>
      <c r="C5408" s="5" t="s">
        <v>1109</v>
      </c>
      <c r="D5408" s="2" t="s">
        <v>6202</v>
      </c>
    </row>
    <row r="5409" spans="1:4" ht="12.95" customHeight="1" x14ac:dyDescent="0.25">
      <c r="A5409" s="2" t="s">
        <v>804</v>
      </c>
      <c r="B5409" s="2" t="s">
        <v>1272</v>
      </c>
      <c r="C5409" s="5" t="s">
        <v>1119</v>
      </c>
      <c r="D5409" s="2" t="s">
        <v>6203</v>
      </c>
    </row>
    <row r="5410" spans="1:4" ht="12.95" customHeight="1" x14ac:dyDescent="0.25">
      <c r="A5410" s="2" t="s">
        <v>804</v>
      </c>
      <c r="B5410" s="2" t="s">
        <v>1272</v>
      </c>
      <c r="C5410" s="5" t="s">
        <v>1121</v>
      </c>
      <c r="D5410" s="2" t="s">
        <v>6204</v>
      </c>
    </row>
    <row r="5411" spans="1:4" ht="12.95" customHeight="1" x14ac:dyDescent="0.25">
      <c r="A5411" s="2" t="s">
        <v>804</v>
      </c>
      <c r="B5411" s="2" t="s">
        <v>1272</v>
      </c>
      <c r="C5411" s="5" t="s">
        <v>1123</v>
      </c>
      <c r="D5411" s="2" t="s">
        <v>6205</v>
      </c>
    </row>
    <row r="5412" spans="1:4" ht="12.95" customHeight="1" x14ac:dyDescent="0.25">
      <c r="A5412" s="2" t="s">
        <v>804</v>
      </c>
      <c r="B5412" s="2" t="s">
        <v>1272</v>
      </c>
      <c r="C5412" s="5" t="s">
        <v>1125</v>
      </c>
      <c r="D5412" s="2" t="s">
        <v>6206</v>
      </c>
    </row>
    <row r="5413" spans="1:4" ht="12.95" customHeight="1" x14ac:dyDescent="0.25">
      <c r="A5413" s="2" t="s">
        <v>804</v>
      </c>
      <c r="B5413" s="2" t="s">
        <v>1272</v>
      </c>
      <c r="C5413" s="5" t="s">
        <v>1127</v>
      </c>
      <c r="D5413" s="2" t="s">
        <v>6186</v>
      </c>
    </row>
    <row r="5414" spans="1:4" ht="12.95" customHeight="1" x14ac:dyDescent="0.25">
      <c r="A5414" s="2" t="s">
        <v>804</v>
      </c>
      <c r="B5414" s="2" t="s">
        <v>1272</v>
      </c>
      <c r="C5414" s="5" t="s">
        <v>1129</v>
      </c>
      <c r="D5414" s="2" t="s">
        <v>6207</v>
      </c>
    </row>
    <row r="5415" spans="1:4" ht="12.95" customHeight="1" x14ac:dyDescent="0.25">
      <c r="A5415" s="2" t="s">
        <v>804</v>
      </c>
      <c r="B5415" s="2" t="s">
        <v>1272</v>
      </c>
      <c r="C5415" s="5" t="s">
        <v>1131</v>
      </c>
      <c r="D5415" s="2" t="s">
        <v>6188</v>
      </c>
    </row>
    <row r="5416" spans="1:4" ht="12.95" customHeight="1" x14ac:dyDescent="0.25">
      <c r="A5416" s="2" t="s">
        <v>804</v>
      </c>
      <c r="B5416" s="2" t="s">
        <v>1272</v>
      </c>
      <c r="C5416" s="5" t="s">
        <v>1133</v>
      </c>
      <c r="D5416" s="2" t="s">
        <v>6189</v>
      </c>
    </row>
    <row r="5417" spans="1:4" ht="12.95" customHeight="1" x14ac:dyDescent="0.25">
      <c r="A5417" s="2" t="s">
        <v>804</v>
      </c>
      <c r="B5417" s="2" t="s">
        <v>1272</v>
      </c>
      <c r="C5417" s="5" t="s">
        <v>1135</v>
      </c>
      <c r="D5417" s="2" t="s">
        <v>6190</v>
      </c>
    </row>
    <row r="5418" spans="1:4" ht="12.95" customHeight="1" x14ac:dyDescent="0.25">
      <c r="A5418" s="2" t="s">
        <v>804</v>
      </c>
      <c r="B5418" s="2" t="s">
        <v>1272</v>
      </c>
      <c r="C5418" s="5" t="s">
        <v>1137</v>
      </c>
      <c r="D5418" s="2" t="s">
        <v>6191</v>
      </c>
    </row>
    <row r="5419" spans="1:4" ht="12.95" customHeight="1" x14ac:dyDescent="0.25">
      <c r="A5419" s="2" t="s">
        <v>804</v>
      </c>
      <c r="B5419" s="2" t="s">
        <v>1272</v>
      </c>
      <c r="C5419" s="5" t="s">
        <v>1139</v>
      </c>
      <c r="D5419" s="2" t="s">
        <v>6192</v>
      </c>
    </row>
    <row r="5420" spans="1:4" ht="12.95" customHeight="1" x14ac:dyDescent="0.25">
      <c r="A5420" s="2" t="s">
        <v>804</v>
      </c>
      <c r="B5420" s="2" t="s">
        <v>1272</v>
      </c>
      <c r="C5420" s="5" t="s">
        <v>1141</v>
      </c>
      <c r="D5420" s="2" t="s">
        <v>6193</v>
      </c>
    </row>
    <row r="5421" spans="1:4" ht="12.95" customHeight="1" x14ac:dyDescent="0.25">
      <c r="A5421" s="2" t="s">
        <v>804</v>
      </c>
      <c r="B5421" s="2" t="s">
        <v>1272</v>
      </c>
      <c r="C5421" s="5" t="s">
        <v>1295</v>
      </c>
      <c r="D5421" s="2" t="s">
        <v>6194</v>
      </c>
    </row>
    <row r="5422" spans="1:4" ht="12.95" customHeight="1" x14ac:dyDescent="0.25">
      <c r="A5422" s="2" t="s">
        <v>804</v>
      </c>
      <c r="B5422" s="2" t="s">
        <v>1272</v>
      </c>
      <c r="C5422" s="5" t="s">
        <v>1111</v>
      </c>
      <c r="D5422" s="2" t="s">
        <v>1112</v>
      </c>
    </row>
    <row r="5423" spans="1:4" ht="12.95" customHeight="1" x14ac:dyDescent="0.25">
      <c r="A5423" s="2" t="s">
        <v>806</v>
      </c>
      <c r="B5423" s="2" t="s">
        <v>1272</v>
      </c>
      <c r="C5423" s="5" t="s">
        <v>1102</v>
      </c>
      <c r="D5423" s="2" t="s">
        <v>1103</v>
      </c>
    </row>
    <row r="5424" spans="1:4" ht="12.95" customHeight="1" x14ac:dyDescent="0.25">
      <c r="A5424" s="2" t="s">
        <v>806</v>
      </c>
      <c r="B5424" s="2" t="s">
        <v>1272</v>
      </c>
      <c r="C5424" s="5" t="s">
        <v>1084</v>
      </c>
      <c r="D5424" s="2" t="s">
        <v>1085</v>
      </c>
    </row>
    <row r="5425" spans="1:4" ht="12.95" customHeight="1" x14ac:dyDescent="0.25">
      <c r="A5425" s="2" t="s">
        <v>806</v>
      </c>
      <c r="B5425" s="2" t="s">
        <v>1272</v>
      </c>
      <c r="C5425" s="5" t="s">
        <v>1086</v>
      </c>
      <c r="D5425" s="2" t="s">
        <v>1087</v>
      </c>
    </row>
    <row r="5426" spans="1:4" ht="12.95" customHeight="1" x14ac:dyDescent="0.25">
      <c r="A5426" s="2" t="s">
        <v>806</v>
      </c>
      <c r="B5426" s="2" t="s">
        <v>1272</v>
      </c>
      <c r="C5426" s="5" t="s">
        <v>1088</v>
      </c>
      <c r="D5426" s="2" t="s">
        <v>1089</v>
      </c>
    </row>
    <row r="5427" spans="1:4" ht="12.95" customHeight="1" x14ac:dyDescent="0.25">
      <c r="A5427" s="2" t="s">
        <v>806</v>
      </c>
      <c r="B5427" s="2" t="s">
        <v>1272</v>
      </c>
      <c r="C5427" s="5" t="s">
        <v>1090</v>
      </c>
      <c r="D5427" s="2" t="s">
        <v>927</v>
      </c>
    </row>
    <row r="5428" spans="1:4" ht="12.95" customHeight="1" x14ac:dyDescent="0.25">
      <c r="A5428" s="2" t="s">
        <v>806</v>
      </c>
      <c r="B5428" s="2" t="s">
        <v>1272</v>
      </c>
      <c r="C5428" s="5" t="s">
        <v>1092</v>
      </c>
      <c r="D5428" s="2" t="s">
        <v>6199</v>
      </c>
    </row>
    <row r="5429" spans="1:4" ht="12.95" customHeight="1" x14ac:dyDescent="0.25">
      <c r="A5429" s="2" t="s">
        <v>806</v>
      </c>
      <c r="B5429" s="2" t="s">
        <v>1272</v>
      </c>
      <c r="C5429" s="5" t="s">
        <v>1094</v>
      </c>
      <c r="D5429" s="2" t="s">
        <v>6219</v>
      </c>
    </row>
    <row r="5430" spans="1:4" ht="12.95" customHeight="1" x14ac:dyDescent="0.25">
      <c r="A5430" s="2" t="s">
        <v>806</v>
      </c>
      <c r="B5430" s="2" t="s">
        <v>1272</v>
      </c>
      <c r="C5430" s="5" t="s">
        <v>1096</v>
      </c>
      <c r="D5430" s="2" t="s">
        <v>6179</v>
      </c>
    </row>
    <row r="5431" spans="1:4" ht="12.95" customHeight="1" x14ac:dyDescent="0.25">
      <c r="A5431" s="2" t="s">
        <v>806</v>
      </c>
      <c r="B5431" s="2" t="s">
        <v>1272</v>
      </c>
      <c r="C5431" s="5" t="s">
        <v>1098</v>
      </c>
      <c r="D5431" s="2" t="s">
        <v>6200</v>
      </c>
    </row>
    <row r="5432" spans="1:4" ht="12.95" customHeight="1" x14ac:dyDescent="0.25">
      <c r="A5432" s="2" t="s">
        <v>806</v>
      </c>
      <c r="B5432" s="2" t="s">
        <v>1272</v>
      </c>
      <c r="C5432" s="5" t="s">
        <v>1100</v>
      </c>
      <c r="D5432" s="2" t="s">
        <v>6201</v>
      </c>
    </row>
    <row r="5433" spans="1:4" ht="12.95" customHeight="1" x14ac:dyDescent="0.25">
      <c r="A5433" s="2" t="s">
        <v>806</v>
      </c>
      <c r="B5433" s="2" t="s">
        <v>1272</v>
      </c>
      <c r="C5433" s="5" t="s">
        <v>1109</v>
      </c>
      <c r="D5433" s="2" t="s">
        <v>6202</v>
      </c>
    </row>
    <row r="5434" spans="1:4" ht="12.95" customHeight="1" x14ac:dyDescent="0.25">
      <c r="A5434" s="2" t="s">
        <v>806</v>
      </c>
      <c r="B5434" s="2" t="s">
        <v>1272</v>
      </c>
      <c r="C5434" s="5" t="s">
        <v>1119</v>
      </c>
      <c r="D5434" s="2" t="s">
        <v>6203</v>
      </c>
    </row>
    <row r="5435" spans="1:4" ht="12.95" customHeight="1" x14ac:dyDescent="0.25">
      <c r="A5435" s="2" t="s">
        <v>806</v>
      </c>
      <c r="B5435" s="2" t="s">
        <v>1272</v>
      </c>
      <c r="C5435" s="5" t="s">
        <v>1121</v>
      </c>
      <c r="D5435" s="2" t="s">
        <v>6204</v>
      </c>
    </row>
    <row r="5436" spans="1:4" ht="12.95" customHeight="1" x14ac:dyDescent="0.25">
      <c r="A5436" s="2" t="s">
        <v>806</v>
      </c>
      <c r="B5436" s="2" t="s">
        <v>1272</v>
      </c>
      <c r="C5436" s="5" t="s">
        <v>1123</v>
      </c>
      <c r="D5436" s="2" t="s">
        <v>6205</v>
      </c>
    </row>
    <row r="5437" spans="1:4" ht="12.95" customHeight="1" x14ac:dyDescent="0.25">
      <c r="A5437" s="2" t="s">
        <v>806</v>
      </c>
      <c r="B5437" s="2" t="s">
        <v>1272</v>
      </c>
      <c r="C5437" s="5" t="s">
        <v>1125</v>
      </c>
      <c r="D5437" s="2" t="s">
        <v>6206</v>
      </c>
    </row>
    <row r="5438" spans="1:4" ht="12.95" customHeight="1" x14ac:dyDescent="0.25">
      <c r="A5438" s="2" t="s">
        <v>806</v>
      </c>
      <c r="B5438" s="2" t="s">
        <v>1272</v>
      </c>
      <c r="C5438" s="5" t="s">
        <v>1127</v>
      </c>
      <c r="D5438" s="2" t="s">
        <v>6186</v>
      </c>
    </row>
    <row r="5439" spans="1:4" ht="12.95" customHeight="1" x14ac:dyDescent="0.25">
      <c r="A5439" s="2" t="s">
        <v>806</v>
      </c>
      <c r="B5439" s="2" t="s">
        <v>1272</v>
      </c>
      <c r="C5439" s="5" t="s">
        <v>1129</v>
      </c>
      <c r="D5439" s="2" t="s">
        <v>6207</v>
      </c>
    </row>
    <row r="5440" spans="1:4" ht="12.95" customHeight="1" x14ac:dyDescent="0.25">
      <c r="A5440" s="2" t="s">
        <v>806</v>
      </c>
      <c r="B5440" s="2" t="s">
        <v>1272</v>
      </c>
      <c r="C5440" s="5" t="s">
        <v>1131</v>
      </c>
      <c r="D5440" s="2" t="s">
        <v>6188</v>
      </c>
    </row>
    <row r="5441" spans="1:4" ht="12.95" customHeight="1" x14ac:dyDescent="0.25">
      <c r="A5441" s="2" t="s">
        <v>806</v>
      </c>
      <c r="B5441" s="2" t="s">
        <v>1272</v>
      </c>
      <c r="C5441" s="5" t="s">
        <v>1133</v>
      </c>
      <c r="D5441" s="2" t="s">
        <v>6189</v>
      </c>
    </row>
    <row r="5442" spans="1:4" ht="12.95" customHeight="1" x14ac:dyDescent="0.25">
      <c r="A5442" s="2" t="s">
        <v>806</v>
      </c>
      <c r="B5442" s="2" t="s">
        <v>1272</v>
      </c>
      <c r="C5442" s="5" t="s">
        <v>1135</v>
      </c>
      <c r="D5442" s="2" t="s">
        <v>6190</v>
      </c>
    </row>
    <row r="5443" spans="1:4" ht="12.95" customHeight="1" x14ac:dyDescent="0.25">
      <c r="A5443" s="2" t="s">
        <v>806</v>
      </c>
      <c r="B5443" s="2" t="s">
        <v>1272</v>
      </c>
      <c r="C5443" s="5" t="s">
        <v>1137</v>
      </c>
      <c r="D5443" s="2" t="s">
        <v>6191</v>
      </c>
    </row>
    <row r="5444" spans="1:4" ht="12.95" customHeight="1" x14ac:dyDescent="0.25">
      <c r="A5444" s="2" t="s">
        <v>806</v>
      </c>
      <c r="B5444" s="2" t="s">
        <v>1272</v>
      </c>
      <c r="C5444" s="5" t="s">
        <v>1139</v>
      </c>
      <c r="D5444" s="2" t="s">
        <v>6192</v>
      </c>
    </row>
    <row r="5445" spans="1:4" ht="12.95" customHeight="1" x14ac:dyDescent="0.25">
      <c r="A5445" s="2" t="s">
        <v>806</v>
      </c>
      <c r="B5445" s="2" t="s">
        <v>1272</v>
      </c>
      <c r="C5445" s="5" t="s">
        <v>1141</v>
      </c>
      <c r="D5445" s="2" t="s">
        <v>6193</v>
      </c>
    </row>
    <row r="5446" spans="1:4" ht="12.95" customHeight="1" x14ac:dyDescent="0.25">
      <c r="A5446" s="2" t="s">
        <v>806</v>
      </c>
      <c r="B5446" s="2" t="s">
        <v>1272</v>
      </c>
      <c r="C5446" s="5" t="s">
        <v>1295</v>
      </c>
      <c r="D5446" s="2" t="s">
        <v>6194</v>
      </c>
    </row>
    <row r="5447" spans="1:4" ht="12.95" customHeight="1" x14ac:dyDescent="0.25">
      <c r="A5447" s="2" t="s">
        <v>806</v>
      </c>
      <c r="B5447" s="2" t="s">
        <v>1272</v>
      </c>
      <c r="C5447" s="5" t="s">
        <v>1111</v>
      </c>
      <c r="D5447" s="2" t="s">
        <v>1112</v>
      </c>
    </row>
    <row r="5448" spans="1:4" ht="12.95" customHeight="1" x14ac:dyDescent="0.25">
      <c r="A5448" s="2" t="s">
        <v>808</v>
      </c>
      <c r="B5448" s="2" t="s">
        <v>1272</v>
      </c>
      <c r="C5448" s="5" t="s">
        <v>1102</v>
      </c>
      <c r="D5448" s="2" t="s">
        <v>1103</v>
      </c>
    </row>
    <row r="5449" spans="1:4" ht="12.95" customHeight="1" x14ac:dyDescent="0.25">
      <c r="A5449" s="2" t="s">
        <v>808</v>
      </c>
      <c r="B5449" s="2" t="s">
        <v>1272</v>
      </c>
      <c r="C5449" s="5" t="s">
        <v>1084</v>
      </c>
      <c r="D5449" s="2" t="s">
        <v>1085</v>
      </c>
    </row>
    <row r="5450" spans="1:4" ht="12.95" customHeight="1" x14ac:dyDescent="0.25">
      <c r="A5450" s="2" t="s">
        <v>808</v>
      </c>
      <c r="B5450" s="2" t="s">
        <v>1272</v>
      </c>
      <c r="C5450" s="5" t="s">
        <v>1086</v>
      </c>
      <c r="D5450" s="2" t="s">
        <v>1087</v>
      </c>
    </row>
    <row r="5451" spans="1:4" ht="12.95" customHeight="1" x14ac:dyDescent="0.25">
      <c r="A5451" s="2" t="s">
        <v>808</v>
      </c>
      <c r="B5451" s="2" t="s">
        <v>1272</v>
      </c>
      <c r="C5451" s="5" t="s">
        <v>1088</v>
      </c>
      <c r="D5451" s="2" t="s">
        <v>1089</v>
      </c>
    </row>
    <row r="5452" spans="1:4" ht="12.95" customHeight="1" x14ac:dyDescent="0.25">
      <c r="A5452" s="2" t="s">
        <v>808</v>
      </c>
      <c r="B5452" s="2" t="s">
        <v>1272</v>
      </c>
      <c r="C5452" s="5" t="s">
        <v>1090</v>
      </c>
      <c r="D5452" s="2" t="s">
        <v>927</v>
      </c>
    </row>
    <row r="5453" spans="1:4" ht="12.95" customHeight="1" x14ac:dyDescent="0.25">
      <c r="A5453" s="2" t="s">
        <v>808</v>
      </c>
      <c r="B5453" s="2" t="s">
        <v>1272</v>
      </c>
      <c r="C5453" s="5" t="s">
        <v>1092</v>
      </c>
      <c r="D5453" s="2" t="s">
        <v>6199</v>
      </c>
    </row>
    <row r="5454" spans="1:4" ht="12.95" customHeight="1" x14ac:dyDescent="0.25">
      <c r="A5454" s="2" t="s">
        <v>808</v>
      </c>
      <c r="B5454" s="2" t="s">
        <v>1272</v>
      </c>
      <c r="C5454" s="5" t="s">
        <v>1094</v>
      </c>
      <c r="D5454" s="2" t="s">
        <v>6219</v>
      </c>
    </row>
    <row r="5455" spans="1:4" ht="12.95" customHeight="1" x14ac:dyDescent="0.25">
      <c r="A5455" s="2" t="s">
        <v>808</v>
      </c>
      <c r="B5455" s="2" t="s">
        <v>1272</v>
      </c>
      <c r="C5455" s="5" t="s">
        <v>1096</v>
      </c>
      <c r="D5455" s="2" t="s">
        <v>6179</v>
      </c>
    </row>
    <row r="5456" spans="1:4" ht="12.95" customHeight="1" x14ac:dyDescent="0.25">
      <c r="A5456" s="2" t="s">
        <v>808</v>
      </c>
      <c r="B5456" s="2" t="s">
        <v>1272</v>
      </c>
      <c r="C5456" s="5" t="s">
        <v>1098</v>
      </c>
      <c r="D5456" s="2" t="s">
        <v>6200</v>
      </c>
    </row>
    <row r="5457" spans="1:4" ht="12.95" customHeight="1" x14ac:dyDescent="0.25">
      <c r="A5457" s="2" t="s">
        <v>808</v>
      </c>
      <c r="B5457" s="2" t="s">
        <v>1272</v>
      </c>
      <c r="C5457" s="5" t="s">
        <v>1100</v>
      </c>
      <c r="D5457" s="2" t="s">
        <v>6201</v>
      </c>
    </row>
    <row r="5458" spans="1:4" ht="12.95" customHeight="1" x14ac:dyDescent="0.25">
      <c r="A5458" s="2" t="s">
        <v>808</v>
      </c>
      <c r="B5458" s="2" t="s">
        <v>1272</v>
      </c>
      <c r="C5458" s="5" t="s">
        <v>1109</v>
      </c>
      <c r="D5458" s="2" t="s">
        <v>6202</v>
      </c>
    </row>
    <row r="5459" spans="1:4" ht="12.95" customHeight="1" x14ac:dyDescent="0.25">
      <c r="A5459" s="2" t="s">
        <v>808</v>
      </c>
      <c r="B5459" s="2" t="s">
        <v>1272</v>
      </c>
      <c r="C5459" s="5" t="s">
        <v>1119</v>
      </c>
      <c r="D5459" s="2" t="s">
        <v>6203</v>
      </c>
    </row>
    <row r="5460" spans="1:4" ht="12.95" customHeight="1" x14ac:dyDescent="0.25">
      <c r="A5460" s="2" t="s">
        <v>808</v>
      </c>
      <c r="B5460" s="2" t="s">
        <v>1272</v>
      </c>
      <c r="C5460" s="5" t="s">
        <v>1121</v>
      </c>
      <c r="D5460" s="2" t="s">
        <v>6204</v>
      </c>
    </row>
    <row r="5461" spans="1:4" ht="12.95" customHeight="1" x14ac:dyDescent="0.25">
      <c r="A5461" s="2" t="s">
        <v>808</v>
      </c>
      <c r="B5461" s="2" t="s">
        <v>1272</v>
      </c>
      <c r="C5461" s="5" t="s">
        <v>1123</v>
      </c>
      <c r="D5461" s="2" t="s">
        <v>6205</v>
      </c>
    </row>
    <row r="5462" spans="1:4" ht="12.95" customHeight="1" x14ac:dyDescent="0.25">
      <c r="A5462" s="2" t="s">
        <v>808</v>
      </c>
      <c r="B5462" s="2" t="s">
        <v>1272</v>
      </c>
      <c r="C5462" s="5" t="s">
        <v>1125</v>
      </c>
      <c r="D5462" s="2" t="s">
        <v>6206</v>
      </c>
    </row>
    <row r="5463" spans="1:4" ht="12.95" customHeight="1" x14ac:dyDescent="0.25">
      <c r="A5463" s="2" t="s">
        <v>808</v>
      </c>
      <c r="B5463" s="2" t="s">
        <v>1272</v>
      </c>
      <c r="C5463" s="5" t="s">
        <v>1127</v>
      </c>
      <c r="D5463" s="2" t="s">
        <v>6186</v>
      </c>
    </row>
    <row r="5464" spans="1:4" ht="12.95" customHeight="1" x14ac:dyDescent="0.25">
      <c r="A5464" s="2" t="s">
        <v>808</v>
      </c>
      <c r="B5464" s="2" t="s">
        <v>1272</v>
      </c>
      <c r="C5464" s="5" t="s">
        <v>1129</v>
      </c>
      <c r="D5464" s="2" t="s">
        <v>6207</v>
      </c>
    </row>
    <row r="5465" spans="1:4" ht="12.95" customHeight="1" x14ac:dyDescent="0.25">
      <c r="A5465" s="2" t="s">
        <v>808</v>
      </c>
      <c r="B5465" s="2" t="s">
        <v>1272</v>
      </c>
      <c r="C5465" s="5" t="s">
        <v>1131</v>
      </c>
      <c r="D5465" s="2" t="s">
        <v>6188</v>
      </c>
    </row>
    <row r="5466" spans="1:4" ht="12.95" customHeight="1" x14ac:dyDescent="0.25">
      <c r="A5466" s="2" t="s">
        <v>808</v>
      </c>
      <c r="B5466" s="2" t="s">
        <v>1272</v>
      </c>
      <c r="C5466" s="5" t="s">
        <v>1133</v>
      </c>
      <c r="D5466" s="2" t="s">
        <v>6189</v>
      </c>
    </row>
    <row r="5467" spans="1:4" ht="12.95" customHeight="1" x14ac:dyDescent="0.25">
      <c r="A5467" s="2" t="s">
        <v>808</v>
      </c>
      <c r="B5467" s="2" t="s">
        <v>1272</v>
      </c>
      <c r="C5467" s="5" t="s">
        <v>1135</v>
      </c>
      <c r="D5467" s="2" t="s">
        <v>6190</v>
      </c>
    </row>
    <row r="5468" spans="1:4" ht="12.95" customHeight="1" x14ac:dyDescent="0.25">
      <c r="A5468" s="2" t="s">
        <v>808</v>
      </c>
      <c r="B5468" s="2" t="s">
        <v>1272</v>
      </c>
      <c r="C5468" s="5" t="s">
        <v>1137</v>
      </c>
      <c r="D5468" s="2" t="s">
        <v>6191</v>
      </c>
    </row>
    <row r="5469" spans="1:4" ht="12.95" customHeight="1" x14ac:dyDescent="0.25">
      <c r="A5469" s="2" t="s">
        <v>808</v>
      </c>
      <c r="B5469" s="2" t="s">
        <v>1272</v>
      </c>
      <c r="C5469" s="5" t="s">
        <v>1139</v>
      </c>
      <c r="D5469" s="2" t="s">
        <v>6192</v>
      </c>
    </row>
    <row r="5470" spans="1:4" ht="12.95" customHeight="1" x14ac:dyDescent="0.25">
      <c r="A5470" s="2" t="s">
        <v>808</v>
      </c>
      <c r="B5470" s="2" t="s">
        <v>1272</v>
      </c>
      <c r="C5470" s="5" t="s">
        <v>1141</v>
      </c>
      <c r="D5470" s="2" t="s">
        <v>6193</v>
      </c>
    </row>
    <row r="5471" spans="1:4" ht="12.95" customHeight="1" x14ac:dyDescent="0.25">
      <c r="A5471" s="2" t="s">
        <v>808</v>
      </c>
      <c r="B5471" s="2" t="s">
        <v>1272</v>
      </c>
      <c r="C5471" s="5" t="s">
        <v>1295</v>
      </c>
      <c r="D5471" s="2" t="s">
        <v>6194</v>
      </c>
    </row>
    <row r="5472" spans="1:4" ht="12.95" customHeight="1" x14ac:dyDescent="0.25">
      <c r="A5472" s="2" t="s">
        <v>808</v>
      </c>
      <c r="B5472" s="2" t="s">
        <v>1272</v>
      </c>
      <c r="C5472" s="5" t="s">
        <v>1111</v>
      </c>
      <c r="D5472" s="2" t="s">
        <v>1112</v>
      </c>
    </row>
    <row r="5473" spans="1:4" ht="12.95" customHeight="1" x14ac:dyDescent="0.25">
      <c r="A5473" s="2" t="s">
        <v>810</v>
      </c>
      <c r="B5473" s="2" t="s">
        <v>1272</v>
      </c>
      <c r="C5473" s="5" t="s">
        <v>1102</v>
      </c>
      <c r="D5473" s="2" t="s">
        <v>1103</v>
      </c>
    </row>
    <row r="5474" spans="1:4" ht="12.95" customHeight="1" x14ac:dyDescent="0.25">
      <c r="A5474" s="2" t="s">
        <v>810</v>
      </c>
      <c r="B5474" s="2" t="s">
        <v>1272</v>
      </c>
      <c r="C5474" s="5" t="s">
        <v>1084</v>
      </c>
      <c r="D5474" s="2" t="s">
        <v>1085</v>
      </c>
    </row>
    <row r="5475" spans="1:4" ht="12.95" customHeight="1" x14ac:dyDescent="0.25">
      <c r="A5475" s="2" t="s">
        <v>810</v>
      </c>
      <c r="B5475" s="2" t="s">
        <v>1272</v>
      </c>
      <c r="C5475" s="5" t="s">
        <v>1086</v>
      </c>
      <c r="D5475" s="2" t="s">
        <v>1087</v>
      </c>
    </row>
    <row r="5476" spans="1:4" ht="12.95" customHeight="1" x14ac:dyDescent="0.25">
      <c r="A5476" s="2" t="s">
        <v>810</v>
      </c>
      <c r="B5476" s="2" t="s">
        <v>1272</v>
      </c>
      <c r="C5476" s="5" t="s">
        <v>1088</v>
      </c>
      <c r="D5476" s="2" t="s">
        <v>1089</v>
      </c>
    </row>
    <row r="5477" spans="1:4" ht="12.95" customHeight="1" x14ac:dyDescent="0.25">
      <c r="A5477" s="2" t="s">
        <v>810</v>
      </c>
      <c r="B5477" s="2" t="s">
        <v>1272</v>
      </c>
      <c r="C5477" s="5" t="s">
        <v>1090</v>
      </c>
      <c r="D5477" s="2" t="s">
        <v>927</v>
      </c>
    </row>
    <row r="5478" spans="1:4" ht="12.95" customHeight="1" x14ac:dyDescent="0.25">
      <c r="A5478" s="2" t="s">
        <v>810</v>
      </c>
      <c r="B5478" s="2" t="s">
        <v>1272</v>
      </c>
      <c r="C5478" s="5" t="s">
        <v>1092</v>
      </c>
      <c r="D5478" s="2" t="s">
        <v>6199</v>
      </c>
    </row>
    <row r="5479" spans="1:4" ht="12.95" customHeight="1" x14ac:dyDescent="0.25">
      <c r="A5479" s="2" t="s">
        <v>810</v>
      </c>
      <c r="B5479" s="2" t="s">
        <v>1272</v>
      </c>
      <c r="C5479" s="5" t="s">
        <v>1094</v>
      </c>
      <c r="D5479" s="2" t="s">
        <v>6219</v>
      </c>
    </row>
    <row r="5480" spans="1:4" ht="12.95" customHeight="1" x14ac:dyDescent="0.25">
      <c r="A5480" s="2" t="s">
        <v>810</v>
      </c>
      <c r="B5480" s="2" t="s">
        <v>1272</v>
      </c>
      <c r="C5480" s="5" t="s">
        <v>1096</v>
      </c>
      <c r="D5480" s="2" t="s">
        <v>6179</v>
      </c>
    </row>
    <row r="5481" spans="1:4" ht="12.95" customHeight="1" x14ac:dyDescent="0.25">
      <c r="A5481" s="2" t="s">
        <v>810</v>
      </c>
      <c r="B5481" s="2" t="s">
        <v>1272</v>
      </c>
      <c r="C5481" s="5" t="s">
        <v>1098</v>
      </c>
      <c r="D5481" s="2" t="s">
        <v>6200</v>
      </c>
    </row>
    <row r="5482" spans="1:4" ht="12.95" customHeight="1" x14ac:dyDescent="0.25">
      <c r="A5482" s="2" t="s">
        <v>810</v>
      </c>
      <c r="B5482" s="2" t="s">
        <v>1272</v>
      </c>
      <c r="C5482" s="5" t="s">
        <v>1100</v>
      </c>
      <c r="D5482" s="2" t="s">
        <v>6201</v>
      </c>
    </row>
    <row r="5483" spans="1:4" ht="12.95" customHeight="1" x14ac:dyDescent="0.25">
      <c r="A5483" s="2" t="s">
        <v>810</v>
      </c>
      <c r="B5483" s="2" t="s">
        <v>1272</v>
      </c>
      <c r="C5483" s="5" t="s">
        <v>1109</v>
      </c>
      <c r="D5483" s="2" t="s">
        <v>6202</v>
      </c>
    </row>
    <row r="5484" spans="1:4" ht="12.95" customHeight="1" x14ac:dyDescent="0.25">
      <c r="A5484" s="2" t="s">
        <v>810</v>
      </c>
      <c r="B5484" s="2" t="s">
        <v>1272</v>
      </c>
      <c r="C5484" s="5" t="s">
        <v>1119</v>
      </c>
      <c r="D5484" s="2" t="s">
        <v>6203</v>
      </c>
    </row>
    <row r="5485" spans="1:4" ht="12.95" customHeight="1" x14ac:dyDescent="0.25">
      <c r="A5485" s="2" t="s">
        <v>810</v>
      </c>
      <c r="B5485" s="2" t="s">
        <v>1272</v>
      </c>
      <c r="C5485" s="5" t="s">
        <v>1121</v>
      </c>
      <c r="D5485" s="2" t="s">
        <v>6204</v>
      </c>
    </row>
    <row r="5486" spans="1:4" ht="12.95" customHeight="1" x14ac:dyDescent="0.25">
      <c r="A5486" s="2" t="s">
        <v>810</v>
      </c>
      <c r="B5486" s="2" t="s">
        <v>1272</v>
      </c>
      <c r="C5486" s="5" t="s">
        <v>1123</v>
      </c>
      <c r="D5486" s="2" t="s">
        <v>6205</v>
      </c>
    </row>
    <row r="5487" spans="1:4" ht="12.95" customHeight="1" x14ac:dyDescent="0.25">
      <c r="A5487" s="2" t="s">
        <v>810</v>
      </c>
      <c r="B5487" s="2" t="s">
        <v>1272</v>
      </c>
      <c r="C5487" s="5" t="s">
        <v>1125</v>
      </c>
      <c r="D5487" s="2" t="s">
        <v>6206</v>
      </c>
    </row>
    <row r="5488" spans="1:4" ht="12.95" customHeight="1" x14ac:dyDescent="0.25">
      <c r="A5488" s="2" t="s">
        <v>810</v>
      </c>
      <c r="B5488" s="2" t="s">
        <v>1272</v>
      </c>
      <c r="C5488" s="5" t="s">
        <v>1127</v>
      </c>
      <c r="D5488" s="2" t="s">
        <v>6186</v>
      </c>
    </row>
    <row r="5489" spans="1:4" ht="12.95" customHeight="1" x14ac:dyDescent="0.25">
      <c r="A5489" s="2" t="s">
        <v>810</v>
      </c>
      <c r="B5489" s="2" t="s">
        <v>1272</v>
      </c>
      <c r="C5489" s="5" t="s">
        <v>1129</v>
      </c>
      <c r="D5489" s="2" t="s">
        <v>6207</v>
      </c>
    </row>
    <row r="5490" spans="1:4" ht="12.95" customHeight="1" x14ac:dyDescent="0.25">
      <c r="A5490" s="2" t="s">
        <v>810</v>
      </c>
      <c r="B5490" s="2" t="s">
        <v>1272</v>
      </c>
      <c r="C5490" s="5" t="s">
        <v>1131</v>
      </c>
      <c r="D5490" s="2" t="s">
        <v>6188</v>
      </c>
    </row>
    <row r="5491" spans="1:4" ht="12.95" customHeight="1" x14ac:dyDescent="0.25">
      <c r="A5491" s="2" t="s">
        <v>810</v>
      </c>
      <c r="B5491" s="2" t="s">
        <v>1272</v>
      </c>
      <c r="C5491" s="5" t="s">
        <v>1133</v>
      </c>
      <c r="D5491" s="2" t="s">
        <v>6189</v>
      </c>
    </row>
    <row r="5492" spans="1:4" ht="12.95" customHeight="1" x14ac:dyDescent="0.25">
      <c r="A5492" s="2" t="s">
        <v>810</v>
      </c>
      <c r="B5492" s="2" t="s">
        <v>1272</v>
      </c>
      <c r="C5492" s="5" t="s">
        <v>1135</v>
      </c>
      <c r="D5492" s="2" t="s">
        <v>6190</v>
      </c>
    </row>
    <row r="5493" spans="1:4" ht="12.95" customHeight="1" x14ac:dyDescent="0.25">
      <c r="A5493" s="2" t="s">
        <v>810</v>
      </c>
      <c r="B5493" s="2" t="s">
        <v>1272</v>
      </c>
      <c r="C5493" s="5" t="s">
        <v>1137</v>
      </c>
      <c r="D5493" s="2" t="s">
        <v>6191</v>
      </c>
    </row>
    <row r="5494" spans="1:4" ht="12.95" customHeight="1" x14ac:dyDescent="0.25">
      <c r="A5494" s="2" t="s">
        <v>810</v>
      </c>
      <c r="B5494" s="2" t="s">
        <v>1272</v>
      </c>
      <c r="C5494" s="5" t="s">
        <v>1139</v>
      </c>
      <c r="D5494" s="2" t="s">
        <v>6192</v>
      </c>
    </row>
    <row r="5495" spans="1:4" ht="12.95" customHeight="1" x14ac:dyDescent="0.25">
      <c r="A5495" s="2" t="s">
        <v>810</v>
      </c>
      <c r="B5495" s="2" t="s">
        <v>1272</v>
      </c>
      <c r="C5495" s="5" t="s">
        <v>1141</v>
      </c>
      <c r="D5495" s="2" t="s">
        <v>6193</v>
      </c>
    </row>
    <row r="5496" spans="1:4" ht="12.95" customHeight="1" x14ac:dyDescent="0.25">
      <c r="A5496" s="2" t="s">
        <v>810</v>
      </c>
      <c r="B5496" s="2" t="s">
        <v>1272</v>
      </c>
      <c r="C5496" s="5" t="s">
        <v>1295</v>
      </c>
      <c r="D5496" s="2" t="s">
        <v>6194</v>
      </c>
    </row>
    <row r="5497" spans="1:4" ht="12.95" customHeight="1" x14ac:dyDescent="0.25">
      <c r="A5497" s="2" t="s">
        <v>810</v>
      </c>
      <c r="B5497" s="2" t="s">
        <v>1272</v>
      </c>
      <c r="C5497" s="5" t="s">
        <v>1111</v>
      </c>
      <c r="D5497" s="2" t="s">
        <v>1112</v>
      </c>
    </row>
    <row r="5498" spans="1:4" ht="12.95" customHeight="1" x14ac:dyDescent="0.25">
      <c r="A5498" s="2" t="s">
        <v>812</v>
      </c>
      <c r="B5498" s="2" t="s">
        <v>1272</v>
      </c>
      <c r="C5498" s="5" t="s">
        <v>1102</v>
      </c>
      <c r="D5498" s="2" t="s">
        <v>1103</v>
      </c>
    </row>
    <row r="5499" spans="1:4" ht="12.95" customHeight="1" x14ac:dyDescent="0.25">
      <c r="A5499" s="2" t="s">
        <v>812</v>
      </c>
      <c r="B5499" s="2" t="s">
        <v>1272</v>
      </c>
      <c r="C5499" s="5" t="s">
        <v>1084</v>
      </c>
      <c r="D5499" s="2" t="s">
        <v>1085</v>
      </c>
    </row>
    <row r="5500" spans="1:4" ht="12.95" customHeight="1" x14ac:dyDescent="0.25">
      <c r="A5500" s="2" t="s">
        <v>812</v>
      </c>
      <c r="B5500" s="2" t="s">
        <v>1272</v>
      </c>
      <c r="C5500" s="5" t="s">
        <v>1086</v>
      </c>
      <c r="D5500" s="2" t="s">
        <v>1087</v>
      </c>
    </row>
    <row r="5501" spans="1:4" ht="12.95" customHeight="1" x14ac:dyDescent="0.25">
      <c r="A5501" s="2" t="s">
        <v>812</v>
      </c>
      <c r="B5501" s="2" t="s">
        <v>1272</v>
      </c>
      <c r="C5501" s="5" t="s">
        <v>1088</v>
      </c>
      <c r="D5501" s="2" t="s">
        <v>1089</v>
      </c>
    </row>
    <row r="5502" spans="1:4" ht="12.95" customHeight="1" x14ac:dyDescent="0.25">
      <c r="A5502" s="2" t="s">
        <v>812</v>
      </c>
      <c r="B5502" s="2" t="s">
        <v>1272</v>
      </c>
      <c r="C5502" s="5" t="s">
        <v>1090</v>
      </c>
      <c r="D5502" s="2" t="s">
        <v>927</v>
      </c>
    </row>
    <row r="5503" spans="1:4" ht="12.95" customHeight="1" x14ac:dyDescent="0.25">
      <c r="A5503" s="2" t="s">
        <v>812</v>
      </c>
      <c r="B5503" s="2" t="s">
        <v>1272</v>
      </c>
      <c r="C5503" s="5" t="s">
        <v>1092</v>
      </c>
      <c r="D5503" s="2" t="s">
        <v>6199</v>
      </c>
    </row>
    <row r="5504" spans="1:4" ht="12.95" customHeight="1" x14ac:dyDescent="0.25">
      <c r="A5504" s="2" t="s">
        <v>812</v>
      </c>
      <c r="B5504" s="2" t="s">
        <v>1272</v>
      </c>
      <c r="C5504" s="5" t="s">
        <v>1094</v>
      </c>
      <c r="D5504" s="2" t="s">
        <v>6219</v>
      </c>
    </row>
    <row r="5505" spans="1:4" ht="12.95" customHeight="1" x14ac:dyDescent="0.25">
      <c r="A5505" s="2" t="s">
        <v>812</v>
      </c>
      <c r="B5505" s="2" t="s">
        <v>1272</v>
      </c>
      <c r="C5505" s="5" t="s">
        <v>1096</v>
      </c>
      <c r="D5505" s="2" t="s">
        <v>6179</v>
      </c>
    </row>
    <row r="5506" spans="1:4" ht="12.95" customHeight="1" x14ac:dyDescent="0.25">
      <c r="A5506" s="2" t="s">
        <v>812</v>
      </c>
      <c r="B5506" s="2" t="s">
        <v>1272</v>
      </c>
      <c r="C5506" s="5" t="s">
        <v>1098</v>
      </c>
      <c r="D5506" s="2" t="s">
        <v>6200</v>
      </c>
    </row>
    <row r="5507" spans="1:4" ht="12.95" customHeight="1" x14ac:dyDescent="0.25">
      <c r="A5507" s="2" t="s">
        <v>812</v>
      </c>
      <c r="B5507" s="2" t="s">
        <v>1272</v>
      </c>
      <c r="C5507" s="5" t="s">
        <v>1100</v>
      </c>
      <c r="D5507" s="2" t="s">
        <v>6201</v>
      </c>
    </row>
    <row r="5508" spans="1:4" ht="12.95" customHeight="1" x14ac:dyDescent="0.25">
      <c r="A5508" s="2" t="s">
        <v>812</v>
      </c>
      <c r="B5508" s="2" t="s">
        <v>1272</v>
      </c>
      <c r="C5508" s="5" t="s">
        <v>1109</v>
      </c>
      <c r="D5508" s="2" t="s">
        <v>6202</v>
      </c>
    </row>
    <row r="5509" spans="1:4" ht="12.95" customHeight="1" x14ac:dyDescent="0.25">
      <c r="A5509" s="2" t="s">
        <v>812</v>
      </c>
      <c r="B5509" s="2" t="s">
        <v>1272</v>
      </c>
      <c r="C5509" s="5" t="s">
        <v>1119</v>
      </c>
      <c r="D5509" s="2" t="s">
        <v>6203</v>
      </c>
    </row>
    <row r="5510" spans="1:4" ht="12.95" customHeight="1" x14ac:dyDescent="0.25">
      <c r="A5510" s="2" t="s">
        <v>812</v>
      </c>
      <c r="B5510" s="2" t="s">
        <v>1272</v>
      </c>
      <c r="C5510" s="5" t="s">
        <v>1121</v>
      </c>
      <c r="D5510" s="2" t="s">
        <v>6204</v>
      </c>
    </row>
    <row r="5511" spans="1:4" ht="12.95" customHeight="1" x14ac:dyDescent="0.25">
      <c r="A5511" s="2" t="s">
        <v>812</v>
      </c>
      <c r="B5511" s="2" t="s">
        <v>1272</v>
      </c>
      <c r="C5511" s="5" t="s">
        <v>1123</v>
      </c>
      <c r="D5511" s="2" t="s">
        <v>6205</v>
      </c>
    </row>
    <row r="5512" spans="1:4" ht="12.95" customHeight="1" x14ac:dyDescent="0.25">
      <c r="A5512" s="2" t="s">
        <v>812</v>
      </c>
      <c r="B5512" s="2" t="s">
        <v>1272</v>
      </c>
      <c r="C5512" s="5" t="s">
        <v>1125</v>
      </c>
      <c r="D5512" s="2" t="s">
        <v>6206</v>
      </c>
    </row>
    <row r="5513" spans="1:4" ht="12.95" customHeight="1" x14ac:dyDescent="0.25">
      <c r="A5513" s="2" t="s">
        <v>812</v>
      </c>
      <c r="B5513" s="2" t="s">
        <v>1272</v>
      </c>
      <c r="C5513" s="5" t="s">
        <v>1127</v>
      </c>
      <c r="D5513" s="2" t="s">
        <v>6186</v>
      </c>
    </row>
    <row r="5514" spans="1:4" ht="12.95" customHeight="1" x14ac:dyDescent="0.25">
      <c r="A5514" s="2" t="s">
        <v>812</v>
      </c>
      <c r="B5514" s="2" t="s">
        <v>1272</v>
      </c>
      <c r="C5514" s="5" t="s">
        <v>1129</v>
      </c>
      <c r="D5514" s="2" t="s">
        <v>6207</v>
      </c>
    </row>
    <row r="5515" spans="1:4" ht="12.95" customHeight="1" x14ac:dyDescent="0.25">
      <c r="A5515" s="2" t="s">
        <v>812</v>
      </c>
      <c r="B5515" s="2" t="s">
        <v>1272</v>
      </c>
      <c r="C5515" s="5" t="s">
        <v>1131</v>
      </c>
      <c r="D5515" s="2" t="s">
        <v>6188</v>
      </c>
    </row>
    <row r="5516" spans="1:4" ht="12.95" customHeight="1" x14ac:dyDescent="0.25">
      <c r="A5516" s="2" t="s">
        <v>812</v>
      </c>
      <c r="B5516" s="2" t="s">
        <v>1272</v>
      </c>
      <c r="C5516" s="5" t="s">
        <v>1133</v>
      </c>
      <c r="D5516" s="2" t="s">
        <v>6189</v>
      </c>
    </row>
    <row r="5517" spans="1:4" ht="12.95" customHeight="1" x14ac:dyDescent="0.25">
      <c r="A5517" s="2" t="s">
        <v>812</v>
      </c>
      <c r="B5517" s="2" t="s">
        <v>1272</v>
      </c>
      <c r="C5517" s="5" t="s">
        <v>1135</v>
      </c>
      <c r="D5517" s="2" t="s">
        <v>6190</v>
      </c>
    </row>
    <row r="5518" spans="1:4" ht="12.95" customHeight="1" x14ac:dyDescent="0.25">
      <c r="A5518" s="2" t="s">
        <v>812</v>
      </c>
      <c r="B5518" s="2" t="s">
        <v>1272</v>
      </c>
      <c r="C5518" s="5" t="s">
        <v>1137</v>
      </c>
      <c r="D5518" s="2" t="s">
        <v>6191</v>
      </c>
    </row>
    <row r="5519" spans="1:4" ht="12.95" customHeight="1" x14ac:dyDescent="0.25">
      <c r="A5519" s="2" t="s">
        <v>812</v>
      </c>
      <c r="B5519" s="2" t="s">
        <v>1272</v>
      </c>
      <c r="C5519" s="5" t="s">
        <v>1139</v>
      </c>
      <c r="D5519" s="2" t="s">
        <v>6192</v>
      </c>
    </row>
    <row r="5520" spans="1:4" ht="12.95" customHeight="1" x14ac:dyDescent="0.25">
      <c r="A5520" s="2" t="s">
        <v>812</v>
      </c>
      <c r="B5520" s="2" t="s">
        <v>1272</v>
      </c>
      <c r="C5520" s="5" t="s">
        <v>1141</v>
      </c>
      <c r="D5520" s="2" t="s">
        <v>6193</v>
      </c>
    </row>
    <row r="5521" spans="1:4" ht="12.95" customHeight="1" x14ac:dyDescent="0.25">
      <c r="A5521" s="2" t="s">
        <v>812</v>
      </c>
      <c r="B5521" s="2" t="s">
        <v>1272</v>
      </c>
      <c r="C5521" s="5" t="s">
        <v>1295</v>
      </c>
      <c r="D5521" s="2" t="s">
        <v>6194</v>
      </c>
    </row>
    <row r="5522" spans="1:4" ht="12.95" customHeight="1" x14ac:dyDescent="0.25">
      <c r="A5522" s="2" t="s">
        <v>812</v>
      </c>
      <c r="B5522" s="2" t="s">
        <v>1272</v>
      </c>
      <c r="C5522" s="5" t="s">
        <v>1111</v>
      </c>
      <c r="D5522" s="2" t="s">
        <v>1112</v>
      </c>
    </row>
    <row r="5523" spans="1:4" ht="12.95" customHeight="1" x14ac:dyDescent="0.25">
      <c r="A5523" s="2" t="s">
        <v>814</v>
      </c>
      <c r="B5523" s="2" t="s">
        <v>1272</v>
      </c>
      <c r="C5523" s="5" t="s">
        <v>1102</v>
      </c>
      <c r="D5523" s="2" t="s">
        <v>1103</v>
      </c>
    </row>
    <row r="5524" spans="1:4" ht="12.95" customHeight="1" x14ac:dyDescent="0.25">
      <c r="A5524" s="2" t="s">
        <v>814</v>
      </c>
      <c r="B5524" s="2" t="s">
        <v>1272</v>
      </c>
      <c r="C5524" s="5" t="s">
        <v>1084</v>
      </c>
      <c r="D5524" s="2" t="s">
        <v>1085</v>
      </c>
    </row>
    <row r="5525" spans="1:4" ht="12.95" customHeight="1" x14ac:dyDescent="0.25">
      <c r="A5525" s="2" t="s">
        <v>814</v>
      </c>
      <c r="B5525" s="2" t="s">
        <v>1272</v>
      </c>
      <c r="C5525" s="5" t="s">
        <v>1086</v>
      </c>
      <c r="D5525" s="2" t="s">
        <v>1087</v>
      </c>
    </row>
    <row r="5526" spans="1:4" ht="12.95" customHeight="1" x14ac:dyDescent="0.25">
      <c r="A5526" s="2" t="s">
        <v>814</v>
      </c>
      <c r="B5526" s="2" t="s">
        <v>1272</v>
      </c>
      <c r="C5526" s="5" t="s">
        <v>1088</v>
      </c>
      <c r="D5526" s="2" t="s">
        <v>1089</v>
      </c>
    </row>
    <row r="5527" spans="1:4" ht="12.95" customHeight="1" x14ac:dyDescent="0.25">
      <c r="A5527" s="2" t="s">
        <v>814</v>
      </c>
      <c r="B5527" s="2" t="s">
        <v>1272</v>
      </c>
      <c r="C5527" s="5" t="s">
        <v>1090</v>
      </c>
      <c r="D5527" s="2" t="s">
        <v>927</v>
      </c>
    </row>
    <row r="5528" spans="1:4" ht="12.95" customHeight="1" x14ac:dyDescent="0.25">
      <c r="A5528" s="2" t="s">
        <v>814</v>
      </c>
      <c r="B5528" s="2" t="s">
        <v>1272</v>
      </c>
      <c r="C5528" s="5" t="s">
        <v>1092</v>
      </c>
      <c r="D5528" s="2" t="s">
        <v>6199</v>
      </c>
    </row>
    <row r="5529" spans="1:4" ht="12.95" customHeight="1" x14ac:dyDescent="0.25">
      <c r="A5529" s="2" t="s">
        <v>814</v>
      </c>
      <c r="B5529" s="2" t="s">
        <v>1272</v>
      </c>
      <c r="C5529" s="5" t="s">
        <v>1094</v>
      </c>
      <c r="D5529" s="2" t="s">
        <v>6219</v>
      </c>
    </row>
    <row r="5530" spans="1:4" ht="12.95" customHeight="1" x14ac:dyDescent="0.25">
      <c r="A5530" s="2" t="s">
        <v>814</v>
      </c>
      <c r="B5530" s="2" t="s">
        <v>1272</v>
      </c>
      <c r="C5530" s="5" t="s">
        <v>1096</v>
      </c>
      <c r="D5530" s="2" t="s">
        <v>6179</v>
      </c>
    </row>
    <row r="5531" spans="1:4" ht="12.95" customHeight="1" x14ac:dyDescent="0.25">
      <c r="A5531" s="2" t="s">
        <v>814</v>
      </c>
      <c r="B5531" s="2" t="s">
        <v>1272</v>
      </c>
      <c r="C5531" s="5" t="s">
        <v>1098</v>
      </c>
      <c r="D5531" s="2" t="s">
        <v>6200</v>
      </c>
    </row>
    <row r="5532" spans="1:4" ht="12.95" customHeight="1" x14ac:dyDescent="0.25">
      <c r="A5532" s="2" t="s">
        <v>814</v>
      </c>
      <c r="B5532" s="2" t="s">
        <v>1272</v>
      </c>
      <c r="C5532" s="5" t="s">
        <v>1100</v>
      </c>
      <c r="D5532" s="2" t="s">
        <v>6201</v>
      </c>
    </row>
    <row r="5533" spans="1:4" ht="12.95" customHeight="1" x14ac:dyDescent="0.25">
      <c r="A5533" s="2" t="s">
        <v>814</v>
      </c>
      <c r="B5533" s="2" t="s">
        <v>1272</v>
      </c>
      <c r="C5533" s="5" t="s">
        <v>1109</v>
      </c>
      <c r="D5533" s="2" t="s">
        <v>6202</v>
      </c>
    </row>
    <row r="5534" spans="1:4" ht="12.95" customHeight="1" x14ac:dyDescent="0.25">
      <c r="A5534" s="2" t="s">
        <v>814</v>
      </c>
      <c r="B5534" s="2" t="s">
        <v>1272</v>
      </c>
      <c r="C5534" s="5" t="s">
        <v>1119</v>
      </c>
      <c r="D5534" s="2" t="s">
        <v>6203</v>
      </c>
    </row>
    <row r="5535" spans="1:4" ht="12.95" customHeight="1" x14ac:dyDescent="0.25">
      <c r="A5535" s="2" t="s">
        <v>814</v>
      </c>
      <c r="B5535" s="2" t="s">
        <v>1272</v>
      </c>
      <c r="C5535" s="5" t="s">
        <v>1121</v>
      </c>
      <c r="D5535" s="2" t="s">
        <v>6204</v>
      </c>
    </row>
    <row r="5536" spans="1:4" ht="12.95" customHeight="1" x14ac:dyDescent="0.25">
      <c r="A5536" s="2" t="s">
        <v>814</v>
      </c>
      <c r="B5536" s="2" t="s">
        <v>1272</v>
      </c>
      <c r="C5536" s="5" t="s">
        <v>1123</v>
      </c>
      <c r="D5536" s="2" t="s">
        <v>6205</v>
      </c>
    </row>
    <row r="5537" spans="1:4" ht="12.95" customHeight="1" x14ac:dyDescent="0.25">
      <c r="A5537" s="2" t="s">
        <v>814</v>
      </c>
      <c r="B5537" s="2" t="s">
        <v>1272</v>
      </c>
      <c r="C5537" s="5" t="s">
        <v>1125</v>
      </c>
      <c r="D5537" s="2" t="s">
        <v>6206</v>
      </c>
    </row>
    <row r="5538" spans="1:4" ht="12.95" customHeight="1" x14ac:dyDescent="0.25">
      <c r="A5538" s="2" t="s">
        <v>814</v>
      </c>
      <c r="B5538" s="2" t="s">
        <v>1272</v>
      </c>
      <c r="C5538" s="5" t="s">
        <v>1127</v>
      </c>
      <c r="D5538" s="2" t="s">
        <v>6186</v>
      </c>
    </row>
    <row r="5539" spans="1:4" ht="12.95" customHeight="1" x14ac:dyDescent="0.25">
      <c r="A5539" s="2" t="s">
        <v>814</v>
      </c>
      <c r="B5539" s="2" t="s">
        <v>1272</v>
      </c>
      <c r="C5539" s="5" t="s">
        <v>1129</v>
      </c>
      <c r="D5539" s="2" t="s">
        <v>6207</v>
      </c>
    </row>
    <row r="5540" spans="1:4" ht="12.95" customHeight="1" x14ac:dyDescent="0.25">
      <c r="A5540" s="2" t="s">
        <v>814</v>
      </c>
      <c r="B5540" s="2" t="s">
        <v>1272</v>
      </c>
      <c r="C5540" s="5" t="s">
        <v>1131</v>
      </c>
      <c r="D5540" s="2" t="s">
        <v>6188</v>
      </c>
    </row>
    <row r="5541" spans="1:4" ht="12.95" customHeight="1" x14ac:dyDescent="0.25">
      <c r="A5541" s="2" t="s">
        <v>814</v>
      </c>
      <c r="B5541" s="2" t="s">
        <v>1272</v>
      </c>
      <c r="C5541" s="5" t="s">
        <v>1133</v>
      </c>
      <c r="D5541" s="2" t="s">
        <v>6189</v>
      </c>
    </row>
    <row r="5542" spans="1:4" ht="12.95" customHeight="1" x14ac:dyDescent="0.25">
      <c r="A5542" s="2" t="s">
        <v>814</v>
      </c>
      <c r="B5542" s="2" t="s">
        <v>1272</v>
      </c>
      <c r="C5542" s="5" t="s">
        <v>1135</v>
      </c>
      <c r="D5542" s="2" t="s">
        <v>6190</v>
      </c>
    </row>
    <row r="5543" spans="1:4" ht="12.95" customHeight="1" x14ac:dyDescent="0.25">
      <c r="A5543" s="2" t="s">
        <v>814</v>
      </c>
      <c r="B5543" s="2" t="s">
        <v>1272</v>
      </c>
      <c r="C5543" s="5" t="s">
        <v>1137</v>
      </c>
      <c r="D5543" s="2" t="s">
        <v>6191</v>
      </c>
    </row>
    <row r="5544" spans="1:4" ht="12.95" customHeight="1" x14ac:dyDescent="0.25">
      <c r="A5544" s="2" t="s">
        <v>814</v>
      </c>
      <c r="B5544" s="2" t="s">
        <v>1272</v>
      </c>
      <c r="C5544" s="5" t="s">
        <v>1139</v>
      </c>
      <c r="D5544" s="2" t="s">
        <v>6192</v>
      </c>
    </row>
    <row r="5545" spans="1:4" ht="12.95" customHeight="1" x14ac:dyDescent="0.25">
      <c r="A5545" s="2" t="s">
        <v>814</v>
      </c>
      <c r="B5545" s="2" t="s">
        <v>1272</v>
      </c>
      <c r="C5545" s="5" t="s">
        <v>1141</v>
      </c>
      <c r="D5545" s="2" t="s">
        <v>6193</v>
      </c>
    </row>
    <row r="5546" spans="1:4" ht="12.95" customHeight="1" x14ac:dyDescent="0.25">
      <c r="A5546" s="2" t="s">
        <v>814</v>
      </c>
      <c r="B5546" s="2" t="s">
        <v>1272</v>
      </c>
      <c r="C5546" s="5" t="s">
        <v>1295</v>
      </c>
      <c r="D5546" s="2" t="s">
        <v>6194</v>
      </c>
    </row>
    <row r="5547" spans="1:4" ht="12.95" customHeight="1" x14ac:dyDescent="0.25">
      <c r="A5547" s="2" t="s">
        <v>814</v>
      </c>
      <c r="B5547" s="2" t="s">
        <v>1272</v>
      </c>
      <c r="C5547" s="5" t="s">
        <v>1111</v>
      </c>
      <c r="D5547" s="2" t="s">
        <v>1112</v>
      </c>
    </row>
    <row r="5548" spans="1:4" ht="12.95" customHeight="1" x14ac:dyDescent="0.25">
      <c r="A5548" s="2" t="s">
        <v>816</v>
      </c>
      <c r="B5548" s="2" t="s">
        <v>1272</v>
      </c>
      <c r="C5548" s="5" t="s">
        <v>1102</v>
      </c>
      <c r="D5548" s="2" t="s">
        <v>1103</v>
      </c>
    </row>
    <row r="5549" spans="1:4" ht="12.95" customHeight="1" x14ac:dyDescent="0.25">
      <c r="A5549" s="2" t="s">
        <v>816</v>
      </c>
      <c r="B5549" s="2" t="s">
        <v>1272</v>
      </c>
      <c r="C5549" s="5" t="s">
        <v>1084</v>
      </c>
      <c r="D5549" s="2" t="s">
        <v>1085</v>
      </c>
    </row>
    <row r="5550" spans="1:4" ht="12.95" customHeight="1" x14ac:dyDescent="0.25">
      <c r="A5550" s="2" t="s">
        <v>816</v>
      </c>
      <c r="B5550" s="2" t="s">
        <v>1272</v>
      </c>
      <c r="C5550" s="5" t="s">
        <v>1086</v>
      </c>
      <c r="D5550" s="2" t="s">
        <v>1087</v>
      </c>
    </row>
    <row r="5551" spans="1:4" ht="12.95" customHeight="1" x14ac:dyDescent="0.25">
      <c r="A5551" s="2" t="s">
        <v>816</v>
      </c>
      <c r="B5551" s="2" t="s">
        <v>1272</v>
      </c>
      <c r="C5551" s="5" t="s">
        <v>1088</v>
      </c>
      <c r="D5551" s="2" t="s">
        <v>1089</v>
      </c>
    </row>
    <row r="5552" spans="1:4" ht="12.95" customHeight="1" x14ac:dyDescent="0.25">
      <c r="A5552" s="2" t="s">
        <v>816</v>
      </c>
      <c r="B5552" s="2" t="s">
        <v>1272</v>
      </c>
      <c r="C5552" s="5" t="s">
        <v>1090</v>
      </c>
      <c r="D5552" s="2" t="s">
        <v>927</v>
      </c>
    </row>
    <row r="5553" spans="1:4" ht="12.95" customHeight="1" x14ac:dyDescent="0.25">
      <c r="A5553" s="2" t="s">
        <v>816</v>
      </c>
      <c r="B5553" s="2" t="s">
        <v>1272</v>
      </c>
      <c r="C5553" s="5" t="s">
        <v>1092</v>
      </c>
      <c r="D5553" s="2" t="s">
        <v>6199</v>
      </c>
    </row>
    <row r="5554" spans="1:4" ht="12.95" customHeight="1" x14ac:dyDescent="0.25">
      <c r="A5554" s="2" t="s">
        <v>816</v>
      </c>
      <c r="B5554" s="2" t="s">
        <v>1272</v>
      </c>
      <c r="C5554" s="5" t="s">
        <v>1094</v>
      </c>
      <c r="D5554" s="2" t="s">
        <v>6219</v>
      </c>
    </row>
    <row r="5555" spans="1:4" ht="12.95" customHeight="1" x14ac:dyDescent="0.25">
      <c r="A5555" s="2" t="s">
        <v>816</v>
      </c>
      <c r="B5555" s="2" t="s">
        <v>1272</v>
      </c>
      <c r="C5555" s="5" t="s">
        <v>1096</v>
      </c>
      <c r="D5555" s="2" t="s">
        <v>6179</v>
      </c>
    </row>
    <row r="5556" spans="1:4" ht="12.95" customHeight="1" x14ac:dyDescent="0.25">
      <c r="A5556" s="2" t="s">
        <v>816</v>
      </c>
      <c r="B5556" s="2" t="s">
        <v>1272</v>
      </c>
      <c r="C5556" s="5" t="s">
        <v>1098</v>
      </c>
      <c r="D5556" s="2" t="s">
        <v>6200</v>
      </c>
    </row>
    <row r="5557" spans="1:4" ht="12.95" customHeight="1" x14ac:dyDescent="0.25">
      <c r="A5557" s="2" t="s">
        <v>816</v>
      </c>
      <c r="B5557" s="2" t="s">
        <v>1272</v>
      </c>
      <c r="C5557" s="5" t="s">
        <v>1100</v>
      </c>
      <c r="D5557" s="2" t="s">
        <v>6201</v>
      </c>
    </row>
    <row r="5558" spans="1:4" ht="12.95" customHeight="1" x14ac:dyDescent="0.25">
      <c r="A5558" s="2" t="s">
        <v>816</v>
      </c>
      <c r="B5558" s="2" t="s">
        <v>1272</v>
      </c>
      <c r="C5558" s="5" t="s">
        <v>1109</v>
      </c>
      <c r="D5558" s="2" t="s">
        <v>6202</v>
      </c>
    </row>
    <row r="5559" spans="1:4" ht="12.95" customHeight="1" x14ac:dyDescent="0.25">
      <c r="A5559" s="2" t="s">
        <v>816</v>
      </c>
      <c r="B5559" s="2" t="s">
        <v>1272</v>
      </c>
      <c r="C5559" s="5" t="s">
        <v>1119</v>
      </c>
      <c r="D5559" s="2" t="s">
        <v>6203</v>
      </c>
    </row>
    <row r="5560" spans="1:4" ht="12.95" customHeight="1" x14ac:dyDescent="0.25">
      <c r="A5560" s="2" t="s">
        <v>816</v>
      </c>
      <c r="B5560" s="2" t="s">
        <v>1272</v>
      </c>
      <c r="C5560" s="5" t="s">
        <v>1121</v>
      </c>
      <c r="D5560" s="2" t="s">
        <v>6204</v>
      </c>
    </row>
    <row r="5561" spans="1:4" ht="12.95" customHeight="1" x14ac:dyDescent="0.25">
      <c r="A5561" s="2" t="s">
        <v>816</v>
      </c>
      <c r="B5561" s="2" t="s">
        <v>1272</v>
      </c>
      <c r="C5561" s="5" t="s">
        <v>1123</v>
      </c>
      <c r="D5561" s="2" t="s">
        <v>6205</v>
      </c>
    </row>
    <row r="5562" spans="1:4" ht="12.95" customHeight="1" x14ac:dyDescent="0.25">
      <c r="A5562" s="2" t="s">
        <v>816</v>
      </c>
      <c r="B5562" s="2" t="s">
        <v>1272</v>
      </c>
      <c r="C5562" s="5" t="s">
        <v>1125</v>
      </c>
      <c r="D5562" s="2" t="s">
        <v>6206</v>
      </c>
    </row>
    <row r="5563" spans="1:4" ht="12.95" customHeight="1" x14ac:dyDescent="0.25">
      <c r="A5563" s="2" t="s">
        <v>816</v>
      </c>
      <c r="B5563" s="2" t="s">
        <v>1272</v>
      </c>
      <c r="C5563" s="5" t="s">
        <v>1127</v>
      </c>
      <c r="D5563" s="2" t="s">
        <v>6186</v>
      </c>
    </row>
    <row r="5564" spans="1:4" ht="12.95" customHeight="1" x14ac:dyDescent="0.25">
      <c r="A5564" s="2" t="s">
        <v>816</v>
      </c>
      <c r="B5564" s="2" t="s">
        <v>1272</v>
      </c>
      <c r="C5564" s="5" t="s">
        <v>1129</v>
      </c>
      <c r="D5564" s="2" t="s">
        <v>6207</v>
      </c>
    </row>
    <row r="5565" spans="1:4" ht="12.95" customHeight="1" x14ac:dyDescent="0.25">
      <c r="A5565" s="2" t="s">
        <v>816</v>
      </c>
      <c r="B5565" s="2" t="s">
        <v>1272</v>
      </c>
      <c r="C5565" s="5" t="s">
        <v>1131</v>
      </c>
      <c r="D5565" s="2" t="s">
        <v>6188</v>
      </c>
    </row>
    <row r="5566" spans="1:4" ht="12.95" customHeight="1" x14ac:dyDescent="0.25">
      <c r="A5566" s="2" t="s">
        <v>816</v>
      </c>
      <c r="B5566" s="2" t="s">
        <v>1272</v>
      </c>
      <c r="C5566" s="5" t="s">
        <v>1133</v>
      </c>
      <c r="D5566" s="2" t="s">
        <v>6189</v>
      </c>
    </row>
    <row r="5567" spans="1:4" ht="12.95" customHeight="1" x14ac:dyDescent="0.25">
      <c r="A5567" s="2" t="s">
        <v>816</v>
      </c>
      <c r="B5567" s="2" t="s">
        <v>1272</v>
      </c>
      <c r="C5567" s="5" t="s">
        <v>1135</v>
      </c>
      <c r="D5567" s="2" t="s">
        <v>6190</v>
      </c>
    </row>
    <row r="5568" spans="1:4" ht="12.95" customHeight="1" x14ac:dyDescent="0.25">
      <c r="A5568" s="2" t="s">
        <v>816</v>
      </c>
      <c r="B5568" s="2" t="s">
        <v>1272</v>
      </c>
      <c r="C5568" s="5" t="s">
        <v>1137</v>
      </c>
      <c r="D5568" s="2" t="s">
        <v>6191</v>
      </c>
    </row>
    <row r="5569" spans="1:4" ht="12.95" customHeight="1" x14ac:dyDescent="0.25">
      <c r="A5569" s="2" t="s">
        <v>816</v>
      </c>
      <c r="B5569" s="2" t="s">
        <v>1272</v>
      </c>
      <c r="C5569" s="5" t="s">
        <v>1139</v>
      </c>
      <c r="D5569" s="2" t="s">
        <v>6192</v>
      </c>
    </row>
    <row r="5570" spans="1:4" ht="12.95" customHeight="1" x14ac:dyDescent="0.25">
      <c r="A5570" s="2" t="s">
        <v>816</v>
      </c>
      <c r="B5570" s="2" t="s">
        <v>1272</v>
      </c>
      <c r="C5570" s="5" t="s">
        <v>1141</v>
      </c>
      <c r="D5570" s="2" t="s">
        <v>6193</v>
      </c>
    </row>
    <row r="5571" spans="1:4" ht="12.95" customHeight="1" x14ac:dyDescent="0.25">
      <c r="A5571" s="2" t="s">
        <v>816</v>
      </c>
      <c r="B5571" s="2" t="s">
        <v>1272</v>
      </c>
      <c r="C5571" s="5" t="s">
        <v>1295</v>
      </c>
      <c r="D5571" s="2" t="s">
        <v>6194</v>
      </c>
    </row>
    <row r="5572" spans="1:4" ht="12.95" customHeight="1" x14ac:dyDescent="0.25">
      <c r="A5572" s="2" t="s">
        <v>816</v>
      </c>
      <c r="B5572" s="2" t="s">
        <v>1272</v>
      </c>
      <c r="C5572" s="5" t="s">
        <v>1111</v>
      </c>
      <c r="D5572" s="2" t="s">
        <v>1112</v>
      </c>
    </row>
    <row r="5573" spans="1:4" ht="12.95" customHeight="1" x14ac:dyDescent="0.25">
      <c r="A5573" s="2" t="s">
        <v>818</v>
      </c>
      <c r="B5573" s="2" t="s">
        <v>1272</v>
      </c>
      <c r="C5573" s="5" t="s">
        <v>1102</v>
      </c>
      <c r="D5573" s="2" t="s">
        <v>1103</v>
      </c>
    </row>
    <row r="5574" spans="1:4" ht="12.95" customHeight="1" x14ac:dyDescent="0.25">
      <c r="A5574" s="2" t="s">
        <v>818</v>
      </c>
      <c r="B5574" s="2" t="s">
        <v>1272</v>
      </c>
      <c r="C5574" s="5" t="s">
        <v>1084</v>
      </c>
      <c r="D5574" s="2" t="s">
        <v>1085</v>
      </c>
    </row>
    <row r="5575" spans="1:4" ht="12.95" customHeight="1" x14ac:dyDescent="0.25">
      <c r="A5575" s="2" t="s">
        <v>818</v>
      </c>
      <c r="B5575" s="2" t="s">
        <v>1272</v>
      </c>
      <c r="C5575" s="5" t="s">
        <v>1086</v>
      </c>
      <c r="D5575" s="2" t="s">
        <v>1087</v>
      </c>
    </row>
    <row r="5576" spans="1:4" ht="12.95" customHeight="1" x14ac:dyDescent="0.25">
      <c r="A5576" s="2" t="s">
        <v>818</v>
      </c>
      <c r="B5576" s="2" t="s">
        <v>1272</v>
      </c>
      <c r="C5576" s="5" t="s">
        <v>1088</v>
      </c>
      <c r="D5576" s="2" t="s">
        <v>1089</v>
      </c>
    </row>
    <row r="5577" spans="1:4" ht="12.95" customHeight="1" x14ac:dyDescent="0.25">
      <c r="A5577" s="2" t="s">
        <v>818</v>
      </c>
      <c r="B5577" s="2" t="s">
        <v>1272</v>
      </c>
      <c r="C5577" s="5" t="s">
        <v>1090</v>
      </c>
      <c r="D5577" s="2" t="s">
        <v>927</v>
      </c>
    </row>
    <row r="5578" spans="1:4" ht="12.95" customHeight="1" x14ac:dyDescent="0.25">
      <c r="A5578" s="2" t="s">
        <v>818</v>
      </c>
      <c r="B5578" s="2" t="s">
        <v>1272</v>
      </c>
      <c r="C5578" s="5" t="s">
        <v>1092</v>
      </c>
      <c r="D5578" s="2" t="s">
        <v>6199</v>
      </c>
    </row>
    <row r="5579" spans="1:4" ht="12.95" customHeight="1" x14ac:dyDescent="0.25">
      <c r="A5579" s="2" t="s">
        <v>818</v>
      </c>
      <c r="B5579" s="2" t="s">
        <v>1272</v>
      </c>
      <c r="C5579" s="5" t="s">
        <v>1094</v>
      </c>
      <c r="D5579" s="2" t="s">
        <v>6219</v>
      </c>
    </row>
    <row r="5580" spans="1:4" ht="12.95" customHeight="1" x14ac:dyDescent="0.25">
      <c r="A5580" s="2" t="s">
        <v>818</v>
      </c>
      <c r="B5580" s="2" t="s">
        <v>1272</v>
      </c>
      <c r="C5580" s="5" t="s">
        <v>1096</v>
      </c>
      <c r="D5580" s="2" t="s">
        <v>6179</v>
      </c>
    </row>
    <row r="5581" spans="1:4" ht="12.95" customHeight="1" x14ac:dyDescent="0.25">
      <c r="A5581" s="2" t="s">
        <v>818</v>
      </c>
      <c r="B5581" s="2" t="s">
        <v>1272</v>
      </c>
      <c r="C5581" s="5" t="s">
        <v>1098</v>
      </c>
      <c r="D5581" s="2" t="s">
        <v>6200</v>
      </c>
    </row>
    <row r="5582" spans="1:4" ht="12.95" customHeight="1" x14ac:dyDescent="0.25">
      <c r="A5582" s="2" t="s">
        <v>818</v>
      </c>
      <c r="B5582" s="2" t="s">
        <v>1272</v>
      </c>
      <c r="C5582" s="5" t="s">
        <v>1100</v>
      </c>
      <c r="D5582" s="2" t="s">
        <v>6201</v>
      </c>
    </row>
    <row r="5583" spans="1:4" ht="12.95" customHeight="1" x14ac:dyDescent="0.25">
      <c r="A5583" s="2" t="s">
        <v>818</v>
      </c>
      <c r="B5583" s="2" t="s">
        <v>1272</v>
      </c>
      <c r="C5583" s="5" t="s">
        <v>1109</v>
      </c>
      <c r="D5583" s="2" t="s">
        <v>6202</v>
      </c>
    </row>
    <row r="5584" spans="1:4" ht="12.95" customHeight="1" x14ac:dyDescent="0.25">
      <c r="A5584" s="2" t="s">
        <v>818</v>
      </c>
      <c r="B5584" s="2" t="s">
        <v>1272</v>
      </c>
      <c r="C5584" s="5" t="s">
        <v>1119</v>
      </c>
      <c r="D5584" s="2" t="s">
        <v>6203</v>
      </c>
    </row>
    <row r="5585" spans="1:4" ht="12.95" customHeight="1" x14ac:dyDescent="0.25">
      <c r="A5585" s="2" t="s">
        <v>818</v>
      </c>
      <c r="B5585" s="2" t="s">
        <v>1272</v>
      </c>
      <c r="C5585" s="5" t="s">
        <v>1121</v>
      </c>
      <c r="D5585" s="2" t="s">
        <v>6204</v>
      </c>
    </row>
    <row r="5586" spans="1:4" ht="12.95" customHeight="1" x14ac:dyDescent="0.25">
      <c r="A5586" s="2" t="s">
        <v>818</v>
      </c>
      <c r="B5586" s="2" t="s">
        <v>1272</v>
      </c>
      <c r="C5586" s="5" t="s">
        <v>1123</v>
      </c>
      <c r="D5586" s="2" t="s">
        <v>6205</v>
      </c>
    </row>
    <row r="5587" spans="1:4" ht="12.95" customHeight="1" x14ac:dyDescent="0.25">
      <c r="A5587" s="2" t="s">
        <v>818</v>
      </c>
      <c r="B5587" s="2" t="s">
        <v>1272</v>
      </c>
      <c r="C5587" s="5" t="s">
        <v>1125</v>
      </c>
      <c r="D5587" s="2" t="s">
        <v>6206</v>
      </c>
    </row>
    <row r="5588" spans="1:4" ht="12.95" customHeight="1" x14ac:dyDescent="0.25">
      <c r="A5588" s="2" t="s">
        <v>818</v>
      </c>
      <c r="B5588" s="2" t="s">
        <v>1272</v>
      </c>
      <c r="C5588" s="5" t="s">
        <v>1127</v>
      </c>
      <c r="D5588" s="2" t="s">
        <v>6186</v>
      </c>
    </row>
    <row r="5589" spans="1:4" ht="12.95" customHeight="1" x14ac:dyDescent="0.25">
      <c r="A5589" s="2" t="s">
        <v>818</v>
      </c>
      <c r="B5589" s="2" t="s">
        <v>1272</v>
      </c>
      <c r="C5589" s="5" t="s">
        <v>1129</v>
      </c>
      <c r="D5589" s="2" t="s">
        <v>6207</v>
      </c>
    </row>
    <row r="5590" spans="1:4" ht="12.95" customHeight="1" x14ac:dyDescent="0.25">
      <c r="A5590" s="2" t="s">
        <v>818</v>
      </c>
      <c r="B5590" s="2" t="s">
        <v>1272</v>
      </c>
      <c r="C5590" s="5" t="s">
        <v>1131</v>
      </c>
      <c r="D5590" s="2" t="s">
        <v>6188</v>
      </c>
    </row>
    <row r="5591" spans="1:4" ht="12.95" customHeight="1" x14ac:dyDescent="0.25">
      <c r="A5591" s="2" t="s">
        <v>818</v>
      </c>
      <c r="B5591" s="2" t="s">
        <v>1272</v>
      </c>
      <c r="C5591" s="5" t="s">
        <v>1133</v>
      </c>
      <c r="D5591" s="2" t="s">
        <v>6189</v>
      </c>
    </row>
    <row r="5592" spans="1:4" ht="12.95" customHeight="1" x14ac:dyDescent="0.25">
      <c r="A5592" s="2" t="s">
        <v>818</v>
      </c>
      <c r="B5592" s="2" t="s">
        <v>1272</v>
      </c>
      <c r="C5592" s="5" t="s">
        <v>1135</v>
      </c>
      <c r="D5592" s="2" t="s">
        <v>6190</v>
      </c>
    </row>
    <row r="5593" spans="1:4" ht="12.95" customHeight="1" x14ac:dyDescent="0.25">
      <c r="A5593" s="2" t="s">
        <v>818</v>
      </c>
      <c r="B5593" s="2" t="s">
        <v>1272</v>
      </c>
      <c r="C5593" s="5" t="s">
        <v>1137</v>
      </c>
      <c r="D5593" s="2" t="s">
        <v>6191</v>
      </c>
    </row>
    <row r="5594" spans="1:4" ht="12.95" customHeight="1" x14ac:dyDescent="0.25">
      <c r="A5594" s="2" t="s">
        <v>818</v>
      </c>
      <c r="B5594" s="2" t="s">
        <v>1272</v>
      </c>
      <c r="C5594" s="5" t="s">
        <v>1139</v>
      </c>
      <c r="D5594" s="2" t="s">
        <v>6192</v>
      </c>
    </row>
    <row r="5595" spans="1:4" ht="12.95" customHeight="1" x14ac:dyDescent="0.25">
      <c r="A5595" s="2" t="s">
        <v>818</v>
      </c>
      <c r="B5595" s="2" t="s">
        <v>1272</v>
      </c>
      <c r="C5595" s="5" t="s">
        <v>1141</v>
      </c>
      <c r="D5595" s="2" t="s">
        <v>6193</v>
      </c>
    </row>
    <row r="5596" spans="1:4" ht="12.95" customHeight="1" x14ac:dyDescent="0.25">
      <c r="A5596" s="2" t="s">
        <v>818</v>
      </c>
      <c r="B5596" s="2" t="s">
        <v>1272</v>
      </c>
      <c r="C5596" s="5" t="s">
        <v>1295</v>
      </c>
      <c r="D5596" s="2" t="s">
        <v>6194</v>
      </c>
    </row>
    <row r="5597" spans="1:4" ht="12.95" customHeight="1" x14ac:dyDescent="0.25">
      <c r="A5597" s="2" t="s">
        <v>818</v>
      </c>
      <c r="B5597" s="2" t="s">
        <v>1272</v>
      </c>
      <c r="C5597" s="5" t="s">
        <v>1111</v>
      </c>
      <c r="D5597" s="2" t="s">
        <v>1112</v>
      </c>
    </row>
    <row r="5598" spans="1:4" ht="12.95" customHeight="1" x14ac:dyDescent="0.25">
      <c r="A5598" s="2" t="s">
        <v>820</v>
      </c>
      <c r="B5598" s="2" t="s">
        <v>1272</v>
      </c>
      <c r="C5598" s="5" t="s">
        <v>1102</v>
      </c>
      <c r="D5598" s="2" t="s">
        <v>1103</v>
      </c>
    </row>
    <row r="5599" spans="1:4" ht="12.95" customHeight="1" x14ac:dyDescent="0.25">
      <c r="A5599" s="2" t="s">
        <v>820</v>
      </c>
      <c r="B5599" s="2" t="s">
        <v>1272</v>
      </c>
      <c r="C5599" s="5" t="s">
        <v>1084</v>
      </c>
      <c r="D5599" s="2" t="s">
        <v>1085</v>
      </c>
    </row>
    <row r="5600" spans="1:4" ht="12.95" customHeight="1" x14ac:dyDescent="0.25">
      <c r="A5600" s="2" t="s">
        <v>820</v>
      </c>
      <c r="B5600" s="2" t="s">
        <v>1272</v>
      </c>
      <c r="C5600" s="5" t="s">
        <v>1086</v>
      </c>
      <c r="D5600" s="2" t="s">
        <v>1087</v>
      </c>
    </row>
    <row r="5601" spans="1:4" ht="12.95" customHeight="1" x14ac:dyDescent="0.25">
      <c r="A5601" s="2" t="s">
        <v>820</v>
      </c>
      <c r="B5601" s="2" t="s">
        <v>1272</v>
      </c>
      <c r="C5601" s="5" t="s">
        <v>1088</v>
      </c>
      <c r="D5601" s="2" t="s">
        <v>1089</v>
      </c>
    </row>
    <row r="5602" spans="1:4" ht="12.95" customHeight="1" x14ac:dyDescent="0.25">
      <c r="A5602" s="2" t="s">
        <v>820</v>
      </c>
      <c r="B5602" s="2" t="s">
        <v>1272</v>
      </c>
      <c r="C5602" s="5" t="s">
        <v>1090</v>
      </c>
      <c r="D5602" s="2" t="s">
        <v>927</v>
      </c>
    </row>
    <row r="5603" spans="1:4" ht="12.95" customHeight="1" x14ac:dyDescent="0.25">
      <c r="A5603" s="2" t="s">
        <v>820</v>
      </c>
      <c r="B5603" s="2" t="s">
        <v>1272</v>
      </c>
      <c r="C5603" s="5" t="s">
        <v>1092</v>
      </c>
      <c r="D5603" s="2" t="s">
        <v>6199</v>
      </c>
    </row>
    <row r="5604" spans="1:4" ht="12.95" customHeight="1" x14ac:dyDescent="0.25">
      <c r="A5604" s="2" t="s">
        <v>820</v>
      </c>
      <c r="B5604" s="2" t="s">
        <v>1272</v>
      </c>
      <c r="C5604" s="5" t="s">
        <v>1094</v>
      </c>
      <c r="D5604" s="2" t="s">
        <v>6219</v>
      </c>
    </row>
    <row r="5605" spans="1:4" ht="12.95" customHeight="1" x14ac:dyDescent="0.25">
      <c r="A5605" s="2" t="s">
        <v>820</v>
      </c>
      <c r="B5605" s="2" t="s">
        <v>1272</v>
      </c>
      <c r="C5605" s="5" t="s">
        <v>1096</v>
      </c>
      <c r="D5605" s="2" t="s">
        <v>6179</v>
      </c>
    </row>
    <row r="5606" spans="1:4" ht="12.95" customHeight="1" x14ac:dyDescent="0.25">
      <c r="A5606" s="2" t="s">
        <v>820</v>
      </c>
      <c r="B5606" s="2" t="s">
        <v>1272</v>
      </c>
      <c r="C5606" s="5" t="s">
        <v>1098</v>
      </c>
      <c r="D5606" s="2" t="s">
        <v>6200</v>
      </c>
    </row>
    <row r="5607" spans="1:4" ht="12.95" customHeight="1" x14ac:dyDescent="0.25">
      <c r="A5607" s="2" t="s">
        <v>820</v>
      </c>
      <c r="B5607" s="2" t="s">
        <v>1272</v>
      </c>
      <c r="C5607" s="5" t="s">
        <v>1100</v>
      </c>
      <c r="D5607" s="2" t="s">
        <v>6201</v>
      </c>
    </row>
    <row r="5608" spans="1:4" ht="12.95" customHeight="1" x14ac:dyDescent="0.25">
      <c r="A5608" s="2" t="s">
        <v>820</v>
      </c>
      <c r="B5608" s="2" t="s">
        <v>1272</v>
      </c>
      <c r="C5608" s="5" t="s">
        <v>1109</v>
      </c>
      <c r="D5608" s="2" t="s">
        <v>6202</v>
      </c>
    </row>
    <row r="5609" spans="1:4" ht="12.95" customHeight="1" x14ac:dyDescent="0.25">
      <c r="A5609" s="2" t="s">
        <v>820</v>
      </c>
      <c r="B5609" s="2" t="s">
        <v>1272</v>
      </c>
      <c r="C5609" s="5" t="s">
        <v>1119</v>
      </c>
      <c r="D5609" s="2" t="s">
        <v>6203</v>
      </c>
    </row>
    <row r="5610" spans="1:4" ht="12.95" customHeight="1" x14ac:dyDescent="0.25">
      <c r="A5610" s="2" t="s">
        <v>820</v>
      </c>
      <c r="B5610" s="2" t="s">
        <v>1272</v>
      </c>
      <c r="C5610" s="5" t="s">
        <v>1121</v>
      </c>
      <c r="D5610" s="2" t="s">
        <v>6204</v>
      </c>
    </row>
    <row r="5611" spans="1:4" ht="12.95" customHeight="1" x14ac:dyDescent="0.25">
      <c r="A5611" s="2" t="s">
        <v>820</v>
      </c>
      <c r="B5611" s="2" t="s">
        <v>1272</v>
      </c>
      <c r="C5611" s="5" t="s">
        <v>1123</v>
      </c>
      <c r="D5611" s="2" t="s">
        <v>6205</v>
      </c>
    </row>
    <row r="5612" spans="1:4" ht="12.95" customHeight="1" x14ac:dyDescent="0.25">
      <c r="A5612" s="2" t="s">
        <v>820</v>
      </c>
      <c r="B5612" s="2" t="s">
        <v>1272</v>
      </c>
      <c r="C5612" s="5" t="s">
        <v>1125</v>
      </c>
      <c r="D5612" s="2" t="s">
        <v>6206</v>
      </c>
    </row>
    <row r="5613" spans="1:4" ht="12.95" customHeight="1" x14ac:dyDescent="0.25">
      <c r="A5613" s="2" t="s">
        <v>820</v>
      </c>
      <c r="B5613" s="2" t="s">
        <v>1272</v>
      </c>
      <c r="C5613" s="5" t="s">
        <v>1127</v>
      </c>
      <c r="D5613" s="2" t="s">
        <v>6186</v>
      </c>
    </row>
    <row r="5614" spans="1:4" ht="12.95" customHeight="1" x14ac:dyDescent="0.25">
      <c r="A5614" s="2" t="s">
        <v>820</v>
      </c>
      <c r="B5614" s="2" t="s">
        <v>1272</v>
      </c>
      <c r="C5614" s="5" t="s">
        <v>1129</v>
      </c>
      <c r="D5614" s="2" t="s">
        <v>6207</v>
      </c>
    </row>
    <row r="5615" spans="1:4" ht="12.95" customHeight="1" x14ac:dyDescent="0.25">
      <c r="A5615" s="2" t="s">
        <v>820</v>
      </c>
      <c r="B5615" s="2" t="s">
        <v>1272</v>
      </c>
      <c r="C5615" s="5" t="s">
        <v>1131</v>
      </c>
      <c r="D5615" s="2" t="s">
        <v>6188</v>
      </c>
    </row>
    <row r="5616" spans="1:4" ht="12.95" customHeight="1" x14ac:dyDescent="0.25">
      <c r="A5616" s="2" t="s">
        <v>820</v>
      </c>
      <c r="B5616" s="2" t="s">
        <v>1272</v>
      </c>
      <c r="C5616" s="5" t="s">
        <v>1133</v>
      </c>
      <c r="D5616" s="2" t="s">
        <v>6189</v>
      </c>
    </row>
    <row r="5617" spans="1:4" ht="12.95" customHeight="1" x14ac:dyDescent="0.25">
      <c r="A5617" s="2" t="s">
        <v>820</v>
      </c>
      <c r="B5617" s="2" t="s">
        <v>1272</v>
      </c>
      <c r="C5617" s="5" t="s">
        <v>1135</v>
      </c>
      <c r="D5617" s="2" t="s">
        <v>6190</v>
      </c>
    </row>
    <row r="5618" spans="1:4" ht="12.95" customHeight="1" x14ac:dyDescent="0.25">
      <c r="A5618" s="2" t="s">
        <v>820</v>
      </c>
      <c r="B5618" s="2" t="s">
        <v>1272</v>
      </c>
      <c r="C5618" s="5" t="s">
        <v>1137</v>
      </c>
      <c r="D5618" s="2" t="s">
        <v>6191</v>
      </c>
    </row>
    <row r="5619" spans="1:4" ht="12.95" customHeight="1" x14ac:dyDescent="0.25">
      <c r="A5619" s="2" t="s">
        <v>820</v>
      </c>
      <c r="B5619" s="2" t="s">
        <v>1272</v>
      </c>
      <c r="C5619" s="5" t="s">
        <v>1139</v>
      </c>
      <c r="D5619" s="2" t="s">
        <v>6192</v>
      </c>
    </row>
    <row r="5620" spans="1:4" ht="12.95" customHeight="1" x14ac:dyDescent="0.25">
      <c r="A5620" s="2" t="s">
        <v>820</v>
      </c>
      <c r="B5620" s="2" t="s">
        <v>1272</v>
      </c>
      <c r="C5620" s="5" t="s">
        <v>1141</v>
      </c>
      <c r="D5620" s="2" t="s">
        <v>6193</v>
      </c>
    </row>
    <row r="5621" spans="1:4" ht="12.95" customHeight="1" x14ac:dyDescent="0.25">
      <c r="A5621" s="2" t="s">
        <v>820</v>
      </c>
      <c r="B5621" s="2" t="s">
        <v>1272</v>
      </c>
      <c r="C5621" s="5" t="s">
        <v>1295</v>
      </c>
      <c r="D5621" s="2" t="s">
        <v>6194</v>
      </c>
    </row>
    <row r="5622" spans="1:4" ht="12.95" customHeight="1" x14ac:dyDescent="0.25">
      <c r="A5622" s="2" t="s">
        <v>820</v>
      </c>
      <c r="B5622" s="2" t="s">
        <v>1272</v>
      </c>
      <c r="C5622" s="5" t="s">
        <v>1111</v>
      </c>
      <c r="D5622" s="2" t="s">
        <v>1112</v>
      </c>
    </row>
    <row r="5623" spans="1:4" ht="12.95" customHeight="1" x14ac:dyDescent="0.25">
      <c r="A5623" s="2" t="s">
        <v>822</v>
      </c>
      <c r="B5623" s="2" t="s">
        <v>1272</v>
      </c>
      <c r="C5623" s="5" t="s">
        <v>1102</v>
      </c>
      <c r="D5623" s="2" t="s">
        <v>1103</v>
      </c>
    </row>
    <row r="5624" spans="1:4" ht="12.95" customHeight="1" x14ac:dyDescent="0.25">
      <c r="A5624" s="2" t="s">
        <v>822</v>
      </c>
      <c r="B5624" s="2" t="s">
        <v>1272</v>
      </c>
      <c r="C5624" s="5" t="s">
        <v>1084</v>
      </c>
      <c r="D5624" s="2" t="s">
        <v>1085</v>
      </c>
    </row>
    <row r="5625" spans="1:4" ht="12.95" customHeight="1" x14ac:dyDescent="0.25">
      <c r="A5625" s="2" t="s">
        <v>822</v>
      </c>
      <c r="B5625" s="2" t="s">
        <v>1272</v>
      </c>
      <c r="C5625" s="5" t="s">
        <v>1086</v>
      </c>
      <c r="D5625" s="2" t="s">
        <v>1087</v>
      </c>
    </row>
    <row r="5626" spans="1:4" ht="12.95" customHeight="1" x14ac:dyDescent="0.25">
      <c r="A5626" s="2" t="s">
        <v>822</v>
      </c>
      <c r="B5626" s="2" t="s">
        <v>1272</v>
      </c>
      <c r="C5626" s="5" t="s">
        <v>1088</v>
      </c>
      <c r="D5626" s="2" t="s">
        <v>1089</v>
      </c>
    </row>
    <row r="5627" spans="1:4" ht="12.95" customHeight="1" x14ac:dyDescent="0.25">
      <c r="A5627" s="2" t="s">
        <v>822</v>
      </c>
      <c r="B5627" s="2" t="s">
        <v>1272</v>
      </c>
      <c r="C5627" s="5" t="s">
        <v>1090</v>
      </c>
      <c r="D5627" s="2" t="s">
        <v>927</v>
      </c>
    </row>
    <row r="5628" spans="1:4" ht="12.95" customHeight="1" x14ac:dyDescent="0.25">
      <c r="A5628" s="2" t="s">
        <v>822</v>
      </c>
      <c r="B5628" s="2" t="s">
        <v>1272</v>
      </c>
      <c r="C5628" s="5" t="s">
        <v>1092</v>
      </c>
      <c r="D5628" s="2" t="s">
        <v>6199</v>
      </c>
    </row>
    <row r="5629" spans="1:4" ht="12.95" customHeight="1" x14ac:dyDescent="0.25">
      <c r="A5629" s="2" t="s">
        <v>822</v>
      </c>
      <c r="B5629" s="2" t="s">
        <v>1272</v>
      </c>
      <c r="C5629" s="5" t="s">
        <v>1094</v>
      </c>
      <c r="D5629" s="2" t="s">
        <v>6219</v>
      </c>
    </row>
    <row r="5630" spans="1:4" ht="12.95" customHeight="1" x14ac:dyDescent="0.25">
      <c r="A5630" s="2" t="s">
        <v>822</v>
      </c>
      <c r="B5630" s="2" t="s">
        <v>1272</v>
      </c>
      <c r="C5630" s="5" t="s">
        <v>1096</v>
      </c>
      <c r="D5630" s="2" t="s">
        <v>6179</v>
      </c>
    </row>
    <row r="5631" spans="1:4" ht="12.95" customHeight="1" x14ac:dyDescent="0.25">
      <c r="A5631" s="2" t="s">
        <v>822</v>
      </c>
      <c r="B5631" s="2" t="s">
        <v>1272</v>
      </c>
      <c r="C5631" s="5" t="s">
        <v>1098</v>
      </c>
      <c r="D5631" s="2" t="s">
        <v>6200</v>
      </c>
    </row>
    <row r="5632" spans="1:4" ht="12.95" customHeight="1" x14ac:dyDescent="0.25">
      <c r="A5632" s="2" t="s">
        <v>822</v>
      </c>
      <c r="B5632" s="2" t="s">
        <v>1272</v>
      </c>
      <c r="C5632" s="5" t="s">
        <v>1100</v>
      </c>
      <c r="D5632" s="2" t="s">
        <v>6201</v>
      </c>
    </row>
    <row r="5633" spans="1:4" ht="12.95" customHeight="1" x14ac:dyDescent="0.25">
      <c r="A5633" s="2" t="s">
        <v>822</v>
      </c>
      <c r="B5633" s="2" t="s">
        <v>1272</v>
      </c>
      <c r="C5633" s="5" t="s">
        <v>1109</v>
      </c>
      <c r="D5633" s="2" t="s">
        <v>6202</v>
      </c>
    </row>
    <row r="5634" spans="1:4" ht="12.95" customHeight="1" x14ac:dyDescent="0.25">
      <c r="A5634" s="2" t="s">
        <v>822</v>
      </c>
      <c r="B5634" s="2" t="s">
        <v>1272</v>
      </c>
      <c r="C5634" s="5" t="s">
        <v>1119</v>
      </c>
      <c r="D5634" s="2" t="s">
        <v>6203</v>
      </c>
    </row>
    <row r="5635" spans="1:4" ht="12.95" customHeight="1" x14ac:dyDescent="0.25">
      <c r="A5635" s="2" t="s">
        <v>822</v>
      </c>
      <c r="B5635" s="2" t="s">
        <v>1272</v>
      </c>
      <c r="C5635" s="5" t="s">
        <v>1121</v>
      </c>
      <c r="D5635" s="2" t="s">
        <v>6204</v>
      </c>
    </row>
    <row r="5636" spans="1:4" ht="12.95" customHeight="1" x14ac:dyDescent="0.25">
      <c r="A5636" s="2" t="s">
        <v>822</v>
      </c>
      <c r="B5636" s="2" t="s">
        <v>1272</v>
      </c>
      <c r="C5636" s="5" t="s">
        <v>1123</v>
      </c>
      <c r="D5636" s="2" t="s">
        <v>6205</v>
      </c>
    </row>
    <row r="5637" spans="1:4" ht="12.95" customHeight="1" x14ac:dyDescent="0.25">
      <c r="A5637" s="2" t="s">
        <v>822</v>
      </c>
      <c r="B5637" s="2" t="s">
        <v>1272</v>
      </c>
      <c r="C5637" s="5" t="s">
        <v>1125</v>
      </c>
      <c r="D5637" s="2" t="s">
        <v>6206</v>
      </c>
    </row>
    <row r="5638" spans="1:4" ht="12.95" customHeight="1" x14ac:dyDescent="0.25">
      <c r="A5638" s="2" t="s">
        <v>822</v>
      </c>
      <c r="B5638" s="2" t="s">
        <v>1272</v>
      </c>
      <c r="C5638" s="5" t="s">
        <v>1127</v>
      </c>
      <c r="D5638" s="2" t="s">
        <v>6186</v>
      </c>
    </row>
    <row r="5639" spans="1:4" ht="12.95" customHeight="1" x14ac:dyDescent="0.25">
      <c r="A5639" s="2" t="s">
        <v>822</v>
      </c>
      <c r="B5639" s="2" t="s">
        <v>1272</v>
      </c>
      <c r="C5639" s="5" t="s">
        <v>1129</v>
      </c>
      <c r="D5639" s="2" t="s">
        <v>6207</v>
      </c>
    </row>
    <row r="5640" spans="1:4" ht="12.95" customHeight="1" x14ac:dyDescent="0.25">
      <c r="A5640" s="2" t="s">
        <v>822</v>
      </c>
      <c r="B5640" s="2" t="s">
        <v>1272</v>
      </c>
      <c r="C5640" s="5" t="s">
        <v>1131</v>
      </c>
      <c r="D5640" s="2" t="s">
        <v>6188</v>
      </c>
    </row>
    <row r="5641" spans="1:4" ht="12.95" customHeight="1" x14ac:dyDescent="0.25">
      <c r="A5641" s="2" t="s">
        <v>822</v>
      </c>
      <c r="B5641" s="2" t="s">
        <v>1272</v>
      </c>
      <c r="C5641" s="5" t="s">
        <v>1133</v>
      </c>
      <c r="D5641" s="2" t="s">
        <v>6189</v>
      </c>
    </row>
    <row r="5642" spans="1:4" ht="12.95" customHeight="1" x14ac:dyDescent="0.25">
      <c r="A5642" s="2" t="s">
        <v>822</v>
      </c>
      <c r="B5642" s="2" t="s">
        <v>1272</v>
      </c>
      <c r="C5642" s="5" t="s">
        <v>1135</v>
      </c>
      <c r="D5642" s="2" t="s">
        <v>6190</v>
      </c>
    </row>
    <row r="5643" spans="1:4" ht="12.95" customHeight="1" x14ac:dyDescent="0.25">
      <c r="A5643" s="2" t="s">
        <v>822</v>
      </c>
      <c r="B5643" s="2" t="s">
        <v>1272</v>
      </c>
      <c r="C5643" s="5" t="s">
        <v>1137</v>
      </c>
      <c r="D5643" s="2" t="s">
        <v>6191</v>
      </c>
    </row>
    <row r="5644" spans="1:4" ht="12.95" customHeight="1" x14ac:dyDescent="0.25">
      <c r="A5644" s="2" t="s">
        <v>822</v>
      </c>
      <c r="B5644" s="2" t="s">
        <v>1272</v>
      </c>
      <c r="C5644" s="5" t="s">
        <v>1139</v>
      </c>
      <c r="D5644" s="2" t="s">
        <v>6192</v>
      </c>
    </row>
    <row r="5645" spans="1:4" ht="12.95" customHeight="1" x14ac:dyDescent="0.25">
      <c r="A5645" s="2" t="s">
        <v>822</v>
      </c>
      <c r="B5645" s="2" t="s">
        <v>1272</v>
      </c>
      <c r="C5645" s="5" t="s">
        <v>1141</v>
      </c>
      <c r="D5645" s="2" t="s">
        <v>6193</v>
      </c>
    </row>
    <row r="5646" spans="1:4" ht="12.95" customHeight="1" x14ac:dyDescent="0.25">
      <c r="A5646" s="2" t="s">
        <v>822</v>
      </c>
      <c r="B5646" s="2" t="s">
        <v>1272</v>
      </c>
      <c r="C5646" s="5" t="s">
        <v>1295</v>
      </c>
      <c r="D5646" s="2" t="s">
        <v>6194</v>
      </c>
    </row>
    <row r="5647" spans="1:4" ht="12.95" customHeight="1" x14ac:dyDescent="0.25">
      <c r="A5647" s="2" t="s">
        <v>822</v>
      </c>
      <c r="B5647" s="2" t="s">
        <v>1272</v>
      </c>
      <c r="C5647" s="5" t="s">
        <v>1111</v>
      </c>
      <c r="D5647" s="2" t="s">
        <v>1112</v>
      </c>
    </row>
    <row r="5648" spans="1:4" ht="12.95" customHeight="1" x14ac:dyDescent="0.25">
      <c r="A5648" s="2" t="s">
        <v>824</v>
      </c>
      <c r="B5648" s="2" t="s">
        <v>1272</v>
      </c>
      <c r="C5648" s="5" t="s">
        <v>1102</v>
      </c>
      <c r="D5648" s="2" t="s">
        <v>1103</v>
      </c>
    </row>
    <row r="5649" spans="1:4" ht="12.95" customHeight="1" x14ac:dyDescent="0.25">
      <c r="A5649" s="2" t="s">
        <v>824</v>
      </c>
      <c r="B5649" s="2" t="s">
        <v>1272</v>
      </c>
      <c r="C5649" s="5" t="s">
        <v>1084</v>
      </c>
      <c r="D5649" s="2" t="s">
        <v>1085</v>
      </c>
    </row>
    <row r="5650" spans="1:4" ht="12.95" customHeight="1" x14ac:dyDescent="0.25">
      <c r="A5650" s="2" t="s">
        <v>824</v>
      </c>
      <c r="B5650" s="2" t="s">
        <v>1272</v>
      </c>
      <c r="C5650" s="5" t="s">
        <v>1086</v>
      </c>
      <c r="D5650" s="2" t="s">
        <v>1087</v>
      </c>
    </row>
    <row r="5651" spans="1:4" ht="12.95" customHeight="1" x14ac:dyDescent="0.25">
      <c r="A5651" s="2" t="s">
        <v>824</v>
      </c>
      <c r="B5651" s="2" t="s">
        <v>1272</v>
      </c>
      <c r="C5651" s="5" t="s">
        <v>1088</v>
      </c>
      <c r="D5651" s="2" t="s">
        <v>1089</v>
      </c>
    </row>
    <row r="5652" spans="1:4" ht="12.95" customHeight="1" x14ac:dyDescent="0.25">
      <c r="A5652" s="2" t="s">
        <v>824</v>
      </c>
      <c r="B5652" s="2" t="s">
        <v>1272</v>
      </c>
      <c r="C5652" s="5" t="s">
        <v>1090</v>
      </c>
      <c r="D5652" s="2" t="s">
        <v>927</v>
      </c>
    </row>
    <row r="5653" spans="1:4" ht="12.95" customHeight="1" x14ac:dyDescent="0.25">
      <c r="A5653" s="2" t="s">
        <v>824</v>
      </c>
      <c r="B5653" s="2" t="s">
        <v>1272</v>
      </c>
      <c r="C5653" s="5" t="s">
        <v>1092</v>
      </c>
      <c r="D5653" s="2" t="s">
        <v>6199</v>
      </c>
    </row>
    <row r="5654" spans="1:4" ht="12.95" customHeight="1" x14ac:dyDescent="0.25">
      <c r="A5654" s="2" t="s">
        <v>824</v>
      </c>
      <c r="B5654" s="2" t="s">
        <v>1272</v>
      </c>
      <c r="C5654" s="5" t="s">
        <v>1094</v>
      </c>
      <c r="D5654" s="2" t="s">
        <v>6219</v>
      </c>
    </row>
    <row r="5655" spans="1:4" ht="12.95" customHeight="1" x14ac:dyDescent="0.25">
      <c r="A5655" s="2" t="s">
        <v>824</v>
      </c>
      <c r="B5655" s="2" t="s">
        <v>1272</v>
      </c>
      <c r="C5655" s="5" t="s">
        <v>1096</v>
      </c>
      <c r="D5655" s="2" t="s">
        <v>6179</v>
      </c>
    </row>
    <row r="5656" spans="1:4" ht="12.95" customHeight="1" x14ac:dyDescent="0.25">
      <c r="A5656" s="2" t="s">
        <v>824</v>
      </c>
      <c r="B5656" s="2" t="s">
        <v>1272</v>
      </c>
      <c r="C5656" s="5" t="s">
        <v>1098</v>
      </c>
      <c r="D5656" s="2" t="s">
        <v>6200</v>
      </c>
    </row>
    <row r="5657" spans="1:4" ht="12.95" customHeight="1" x14ac:dyDescent="0.25">
      <c r="A5657" s="2" t="s">
        <v>824</v>
      </c>
      <c r="B5657" s="2" t="s">
        <v>1272</v>
      </c>
      <c r="C5657" s="5" t="s">
        <v>1100</v>
      </c>
      <c r="D5657" s="2" t="s">
        <v>6201</v>
      </c>
    </row>
    <row r="5658" spans="1:4" ht="12.95" customHeight="1" x14ac:dyDescent="0.25">
      <c r="A5658" s="2" t="s">
        <v>824</v>
      </c>
      <c r="B5658" s="2" t="s">
        <v>1272</v>
      </c>
      <c r="C5658" s="5" t="s">
        <v>1109</v>
      </c>
      <c r="D5658" s="2" t="s">
        <v>6202</v>
      </c>
    </row>
    <row r="5659" spans="1:4" ht="12.95" customHeight="1" x14ac:dyDescent="0.25">
      <c r="A5659" s="2" t="s">
        <v>824</v>
      </c>
      <c r="B5659" s="2" t="s">
        <v>1272</v>
      </c>
      <c r="C5659" s="5" t="s">
        <v>1119</v>
      </c>
      <c r="D5659" s="2" t="s">
        <v>6203</v>
      </c>
    </row>
    <row r="5660" spans="1:4" ht="12.95" customHeight="1" x14ac:dyDescent="0.25">
      <c r="A5660" s="2" t="s">
        <v>824</v>
      </c>
      <c r="B5660" s="2" t="s">
        <v>1272</v>
      </c>
      <c r="C5660" s="5" t="s">
        <v>1121</v>
      </c>
      <c r="D5660" s="2" t="s">
        <v>6204</v>
      </c>
    </row>
    <row r="5661" spans="1:4" ht="12.95" customHeight="1" x14ac:dyDescent="0.25">
      <c r="A5661" s="2" t="s">
        <v>824</v>
      </c>
      <c r="B5661" s="2" t="s">
        <v>1272</v>
      </c>
      <c r="C5661" s="5" t="s">
        <v>1123</v>
      </c>
      <c r="D5661" s="2" t="s">
        <v>6205</v>
      </c>
    </row>
    <row r="5662" spans="1:4" ht="12.95" customHeight="1" x14ac:dyDescent="0.25">
      <c r="A5662" s="2" t="s">
        <v>824</v>
      </c>
      <c r="B5662" s="2" t="s">
        <v>1272</v>
      </c>
      <c r="C5662" s="5" t="s">
        <v>1125</v>
      </c>
      <c r="D5662" s="2" t="s">
        <v>6206</v>
      </c>
    </row>
    <row r="5663" spans="1:4" ht="12.95" customHeight="1" x14ac:dyDescent="0.25">
      <c r="A5663" s="2" t="s">
        <v>824</v>
      </c>
      <c r="B5663" s="2" t="s">
        <v>1272</v>
      </c>
      <c r="C5663" s="5" t="s">
        <v>1127</v>
      </c>
      <c r="D5663" s="2" t="s">
        <v>6186</v>
      </c>
    </row>
    <row r="5664" spans="1:4" ht="12.95" customHeight="1" x14ac:dyDescent="0.25">
      <c r="A5664" s="2" t="s">
        <v>824</v>
      </c>
      <c r="B5664" s="2" t="s">
        <v>1272</v>
      </c>
      <c r="C5664" s="5" t="s">
        <v>1129</v>
      </c>
      <c r="D5664" s="2" t="s">
        <v>6207</v>
      </c>
    </row>
    <row r="5665" spans="1:4" ht="12.95" customHeight="1" x14ac:dyDescent="0.25">
      <c r="A5665" s="2" t="s">
        <v>824</v>
      </c>
      <c r="B5665" s="2" t="s">
        <v>1272</v>
      </c>
      <c r="C5665" s="5" t="s">
        <v>1131</v>
      </c>
      <c r="D5665" s="2" t="s">
        <v>6188</v>
      </c>
    </row>
    <row r="5666" spans="1:4" ht="12.95" customHeight="1" x14ac:dyDescent="0.25">
      <c r="A5666" s="2" t="s">
        <v>824</v>
      </c>
      <c r="B5666" s="2" t="s">
        <v>1272</v>
      </c>
      <c r="C5666" s="5" t="s">
        <v>1133</v>
      </c>
      <c r="D5666" s="2" t="s">
        <v>6189</v>
      </c>
    </row>
    <row r="5667" spans="1:4" ht="12.95" customHeight="1" x14ac:dyDescent="0.25">
      <c r="A5667" s="2" t="s">
        <v>824</v>
      </c>
      <c r="B5667" s="2" t="s">
        <v>1272</v>
      </c>
      <c r="C5667" s="5" t="s">
        <v>1135</v>
      </c>
      <c r="D5667" s="2" t="s">
        <v>6190</v>
      </c>
    </row>
    <row r="5668" spans="1:4" ht="12.95" customHeight="1" x14ac:dyDescent="0.25">
      <c r="A5668" s="2" t="s">
        <v>824</v>
      </c>
      <c r="B5668" s="2" t="s">
        <v>1272</v>
      </c>
      <c r="C5668" s="5" t="s">
        <v>1137</v>
      </c>
      <c r="D5668" s="2" t="s">
        <v>6191</v>
      </c>
    </row>
    <row r="5669" spans="1:4" ht="12.95" customHeight="1" x14ac:dyDescent="0.25">
      <c r="A5669" s="2" t="s">
        <v>824</v>
      </c>
      <c r="B5669" s="2" t="s">
        <v>1272</v>
      </c>
      <c r="C5669" s="5" t="s">
        <v>1139</v>
      </c>
      <c r="D5669" s="2" t="s">
        <v>6192</v>
      </c>
    </row>
    <row r="5670" spans="1:4" ht="12.95" customHeight="1" x14ac:dyDescent="0.25">
      <c r="A5670" s="2" t="s">
        <v>824</v>
      </c>
      <c r="B5670" s="2" t="s">
        <v>1272</v>
      </c>
      <c r="C5670" s="5" t="s">
        <v>1141</v>
      </c>
      <c r="D5670" s="2" t="s">
        <v>6193</v>
      </c>
    </row>
    <row r="5671" spans="1:4" ht="12.95" customHeight="1" x14ac:dyDescent="0.25">
      <c r="A5671" s="2" t="s">
        <v>824</v>
      </c>
      <c r="B5671" s="2" t="s">
        <v>1272</v>
      </c>
      <c r="C5671" s="5" t="s">
        <v>1295</v>
      </c>
      <c r="D5671" s="2" t="s">
        <v>6194</v>
      </c>
    </row>
    <row r="5672" spans="1:4" ht="12.95" customHeight="1" x14ac:dyDescent="0.25">
      <c r="A5672" s="2" t="s">
        <v>824</v>
      </c>
      <c r="B5672" s="2" t="s">
        <v>1272</v>
      </c>
      <c r="C5672" s="5" t="s">
        <v>1111</v>
      </c>
      <c r="D5672" s="2" t="s">
        <v>1112</v>
      </c>
    </row>
    <row r="5673" spans="1:4" ht="12.95" customHeight="1" x14ac:dyDescent="0.25">
      <c r="A5673" s="2" t="s">
        <v>826</v>
      </c>
      <c r="B5673" s="2" t="s">
        <v>1272</v>
      </c>
      <c r="C5673" s="5" t="s">
        <v>1102</v>
      </c>
      <c r="D5673" s="2" t="s">
        <v>1103</v>
      </c>
    </row>
    <row r="5674" spans="1:4" ht="12.95" customHeight="1" x14ac:dyDescent="0.25">
      <c r="A5674" s="2" t="s">
        <v>826</v>
      </c>
      <c r="B5674" s="2" t="s">
        <v>1272</v>
      </c>
      <c r="C5674" s="5" t="s">
        <v>1084</v>
      </c>
      <c r="D5674" s="2" t="s">
        <v>1085</v>
      </c>
    </row>
    <row r="5675" spans="1:4" ht="12.95" customHeight="1" x14ac:dyDescent="0.25">
      <c r="A5675" s="2" t="s">
        <v>826</v>
      </c>
      <c r="B5675" s="2" t="s">
        <v>1272</v>
      </c>
      <c r="C5675" s="5" t="s">
        <v>1086</v>
      </c>
      <c r="D5675" s="2" t="s">
        <v>1087</v>
      </c>
    </row>
    <row r="5676" spans="1:4" ht="12.95" customHeight="1" x14ac:dyDescent="0.25">
      <c r="A5676" s="2" t="s">
        <v>826</v>
      </c>
      <c r="B5676" s="2" t="s">
        <v>1272</v>
      </c>
      <c r="C5676" s="5" t="s">
        <v>1088</v>
      </c>
      <c r="D5676" s="2" t="s">
        <v>1089</v>
      </c>
    </row>
    <row r="5677" spans="1:4" ht="12.95" customHeight="1" x14ac:dyDescent="0.25">
      <c r="A5677" s="2" t="s">
        <v>826</v>
      </c>
      <c r="B5677" s="2" t="s">
        <v>1272</v>
      </c>
      <c r="C5677" s="5" t="s">
        <v>1090</v>
      </c>
      <c r="D5677" s="2" t="s">
        <v>927</v>
      </c>
    </row>
    <row r="5678" spans="1:4" ht="12.95" customHeight="1" x14ac:dyDescent="0.25">
      <c r="A5678" s="2" t="s">
        <v>826</v>
      </c>
      <c r="B5678" s="2" t="s">
        <v>1272</v>
      </c>
      <c r="C5678" s="5" t="s">
        <v>1092</v>
      </c>
      <c r="D5678" s="2" t="s">
        <v>6199</v>
      </c>
    </row>
    <row r="5679" spans="1:4" ht="12.95" customHeight="1" x14ac:dyDescent="0.25">
      <c r="A5679" s="2" t="s">
        <v>826</v>
      </c>
      <c r="B5679" s="2" t="s">
        <v>1272</v>
      </c>
      <c r="C5679" s="5" t="s">
        <v>1094</v>
      </c>
      <c r="D5679" s="2" t="s">
        <v>6219</v>
      </c>
    </row>
    <row r="5680" spans="1:4" ht="12.95" customHeight="1" x14ac:dyDescent="0.25">
      <c r="A5680" s="2" t="s">
        <v>826</v>
      </c>
      <c r="B5680" s="2" t="s">
        <v>1272</v>
      </c>
      <c r="C5680" s="5" t="s">
        <v>1096</v>
      </c>
      <c r="D5680" s="2" t="s">
        <v>6179</v>
      </c>
    </row>
    <row r="5681" spans="1:4" ht="12.95" customHeight="1" x14ac:dyDescent="0.25">
      <c r="A5681" s="2" t="s">
        <v>826</v>
      </c>
      <c r="B5681" s="2" t="s">
        <v>1272</v>
      </c>
      <c r="C5681" s="5" t="s">
        <v>1098</v>
      </c>
      <c r="D5681" s="2" t="s">
        <v>6200</v>
      </c>
    </row>
    <row r="5682" spans="1:4" ht="12.95" customHeight="1" x14ac:dyDescent="0.25">
      <c r="A5682" s="2" t="s">
        <v>826</v>
      </c>
      <c r="B5682" s="2" t="s">
        <v>1272</v>
      </c>
      <c r="C5682" s="5" t="s">
        <v>1100</v>
      </c>
      <c r="D5682" s="2" t="s">
        <v>6201</v>
      </c>
    </row>
    <row r="5683" spans="1:4" ht="12.95" customHeight="1" x14ac:dyDescent="0.25">
      <c r="A5683" s="2" t="s">
        <v>826</v>
      </c>
      <c r="B5683" s="2" t="s">
        <v>1272</v>
      </c>
      <c r="C5683" s="5" t="s">
        <v>1109</v>
      </c>
      <c r="D5683" s="2" t="s">
        <v>6202</v>
      </c>
    </row>
    <row r="5684" spans="1:4" ht="12.95" customHeight="1" x14ac:dyDescent="0.25">
      <c r="A5684" s="2" t="s">
        <v>826</v>
      </c>
      <c r="B5684" s="2" t="s">
        <v>1272</v>
      </c>
      <c r="C5684" s="5" t="s">
        <v>1119</v>
      </c>
      <c r="D5684" s="2" t="s">
        <v>6203</v>
      </c>
    </row>
    <row r="5685" spans="1:4" ht="12.95" customHeight="1" x14ac:dyDescent="0.25">
      <c r="A5685" s="2" t="s">
        <v>826</v>
      </c>
      <c r="B5685" s="2" t="s">
        <v>1272</v>
      </c>
      <c r="C5685" s="5" t="s">
        <v>1121</v>
      </c>
      <c r="D5685" s="2" t="s">
        <v>6204</v>
      </c>
    </row>
    <row r="5686" spans="1:4" ht="12.95" customHeight="1" x14ac:dyDescent="0.25">
      <c r="A5686" s="2" t="s">
        <v>826</v>
      </c>
      <c r="B5686" s="2" t="s">
        <v>1272</v>
      </c>
      <c r="C5686" s="5" t="s">
        <v>1123</v>
      </c>
      <c r="D5686" s="2" t="s">
        <v>6205</v>
      </c>
    </row>
    <row r="5687" spans="1:4" ht="12.95" customHeight="1" x14ac:dyDescent="0.25">
      <c r="A5687" s="2" t="s">
        <v>826</v>
      </c>
      <c r="B5687" s="2" t="s">
        <v>1272</v>
      </c>
      <c r="C5687" s="5" t="s">
        <v>1125</v>
      </c>
      <c r="D5687" s="2" t="s">
        <v>6206</v>
      </c>
    </row>
    <row r="5688" spans="1:4" ht="12.95" customHeight="1" x14ac:dyDescent="0.25">
      <c r="A5688" s="2" t="s">
        <v>826</v>
      </c>
      <c r="B5688" s="2" t="s">
        <v>1272</v>
      </c>
      <c r="C5688" s="5" t="s">
        <v>1127</v>
      </c>
      <c r="D5688" s="2" t="s">
        <v>6186</v>
      </c>
    </row>
    <row r="5689" spans="1:4" ht="12.95" customHeight="1" x14ac:dyDescent="0.25">
      <c r="A5689" s="2" t="s">
        <v>826</v>
      </c>
      <c r="B5689" s="2" t="s">
        <v>1272</v>
      </c>
      <c r="C5689" s="5" t="s">
        <v>1129</v>
      </c>
      <c r="D5689" s="2" t="s">
        <v>6207</v>
      </c>
    </row>
    <row r="5690" spans="1:4" ht="12.95" customHeight="1" x14ac:dyDescent="0.25">
      <c r="A5690" s="2" t="s">
        <v>826</v>
      </c>
      <c r="B5690" s="2" t="s">
        <v>1272</v>
      </c>
      <c r="C5690" s="5" t="s">
        <v>1131</v>
      </c>
      <c r="D5690" s="2" t="s">
        <v>6188</v>
      </c>
    </row>
    <row r="5691" spans="1:4" ht="12.95" customHeight="1" x14ac:dyDescent="0.25">
      <c r="A5691" s="2" t="s">
        <v>826</v>
      </c>
      <c r="B5691" s="2" t="s">
        <v>1272</v>
      </c>
      <c r="C5691" s="5" t="s">
        <v>1133</v>
      </c>
      <c r="D5691" s="2" t="s">
        <v>6189</v>
      </c>
    </row>
    <row r="5692" spans="1:4" ht="12.95" customHeight="1" x14ac:dyDescent="0.25">
      <c r="A5692" s="2" t="s">
        <v>826</v>
      </c>
      <c r="B5692" s="2" t="s">
        <v>1272</v>
      </c>
      <c r="C5692" s="5" t="s">
        <v>1135</v>
      </c>
      <c r="D5692" s="2" t="s">
        <v>6190</v>
      </c>
    </row>
    <row r="5693" spans="1:4" ht="12.95" customHeight="1" x14ac:dyDescent="0.25">
      <c r="A5693" s="2" t="s">
        <v>826</v>
      </c>
      <c r="B5693" s="2" t="s">
        <v>1272</v>
      </c>
      <c r="C5693" s="5" t="s">
        <v>1137</v>
      </c>
      <c r="D5693" s="2" t="s">
        <v>6191</v>
      </c>
    </row>
    <row r="5694" spans="1:4" ht="12.95" customHeight="1" x14ac:dyDescent="0.25">
      <c r="A5694" s="2" t="s">
        <v>826</v>
      </c>
      <c r="B5694" s="2" t="s">
        <v>1272</v>
      </c>
      <c r="C5694" s="5" t="s">
        <v>1139</v>
      </c>
      <c r="D5694" s="2" t="s">
        <v>6192</v>
      </c>
    </row>
    <row r="5695" spans="1:4" ht="12.95" customHeight="1" x14ac:dyDescent="0.25">
      <c r="A5695" s="2" t="s">
        <v>826</v>
      </c>
      <c r="B5695" s="2" t="s">
        <v>1272</v>
      </c>
      <c r="C5695" s="5" t="s">
        <v>1141</v>
      </c>
      <c r="D5695" s="2" t="s">
        <v>6193</v>
      </c>
    </row>
    <row r="5696" spans="1:4" ht="12.95" customHeight="1" x14ac:dyDescent="0.25">
      <c r="A5696" s="2" t="s">
        <v>826</v>
      </c>
      <c r="B5696" s="2" t="s">
        <v>1272</v>
      </c>
      <c r="C5696" s="5" t="s">
        <v>1295</v>
      </c>
      <c r="D5696" s="2" t="s">
        <v>6194</v>
      </c>
    </row>
    <row r="5697" spans="1:4" ht="12.95" customHeight="1" x14ac:dyDescent="0.25">
      <c r="A5697" s="2" t="s">
        <v>826</v>
      </c>
      <c r="B5697" s="2" t="s">
        <v>1272</v>
      </c>
      <c r="C5697" s="5" t="s">
        <v>1111</v>
      </c>
      <c r="D5697" s="2" t="s">
        <v>1112</v>
      </c>
    </row>
    <row r="5698" spans="1:4" ht="12.95" customHeight="1" x14ac:dyDescent="0.25">
      <c r="A5698" s="2" t="s">
        <v>828</v>
      </c>
      <c r="B5698" s="2" t="s">
        <v>1272</v>
      </c>
      <c r="C5698" s="5" t="s">
        <v>1102</v>
      </c>
      <c r="D5698" s="2" t="s">
        <v>1103</v>
      </c>
    </row>
    <row r="5699" spans="1:4" ht="12.95" customHeight="1" x14ac:dyDescent="0.25">
      <c r="A5699" s="2" t="s">
        <v>828</v>
      </c>
      <c r="B5699" s="2" t="s">
        <v>1272</v>
      </c>
      <c r="C5699" s="5" t="s">
        <v>1084</v>
      </c>
      <c r="D5699" s="2" t="s">
        <v>1085</v>
      </c>
    </row>
    <row r="5700" spans="1:4" ht="12.95" customHeight="1" x14ac:dyDescent="0.25">
      <c r="A5700" s="2" t="s">
        <v>828</v>
      </c>
      <c r="B5700" s="2" t="s">
        <v>1272</v>
      </c>
      <c r="C5700" s="5" t="s">
        <v>1086</v>
      </c>
      <c r="D5700" s="2" t="s">
        <v>1087</v>
      </c>
    </row>
    <row r="5701" spans="1:4" ht="12.95" customHeight="1" x14ac:dyDescent="0.25">
      <c r="A5701" s="2" t="s">
        <v>828</v>
      </c>
      <c r="B5701" s="2" t="s">
        <v>1272</v>
      </c>
      <c r="C5701" s="5" t="s">
        <v>1088</v>
      </c>
      <c r="D5701" s="2" t="s">
        <v>1089</v>
      </c>
    </row>
    <row r="5702" spans="1:4" ht="12.95" customHeight="1" x14ac:dyDescent="0.25">
      <c r="A5702" s="2" t="s">
        <v>828</v>
      </c>
      <c r="B5702" s="2" t="s">
        <v>1272</v>
      </c>
      <c r="C5702" s="5" t="s">
        <v>1090</v>
      </c>
      <c r="D5702" s="2" t="s">
        <v>927</v>
      </c>
    </row>
    <row r="5703" spans="1:4" ht="12.95" customHeight="1" x14ac:dyDescent="0.25">
      <c r="A5703" s="2" t="s">
        <v>828</v>
      </c>
      <c r="B5703" s="2" t="s">
        <v>1272</v>
      </c>
      <c r="C5703" s="5" t="s">
        <v>1092</v>
      </c>
      <c r="D5703" s="2" t="s">
        <v>6199</v>
      </c>
    </row>
    <row r="5704" spans="1:4" ht="12.95" customHeight="1" x14ac:dyDescent="0.25">
      <c r="A5704" s="2" t="s">
        <v>828</v>
      </c>
      <c r="B5704" s="2" t="s">
        <v>1272</v>
      </c>
      <c r="C5704" s="5" t="s">
        <v>1094</v>
      </c>
      <c r="D5704" s="2" t="s">
        <v>6219</v>
      </c>
    </row>
    <row r="5705" spans="1:4" ht="12.95" customHeight="1" x14ac:dyDescent="0.25">
      <c r="A5705" s="2" t="s">
        <v>828</v>
      </c>
      <c r="B5705" s="2" t="s">
        <v>1272</v>
      </c>
      <c r="C5705" s="5" t="s">
        <v>1096</v>
      </c>
      <c r="D5705" s="2" t="s">
        <v>6179</v>
      </c>
    </row>
    <row r="5706" spans="1:4" ht="12.95" customHeight="1" x14ac:dyDescent="0.25">
      <c r="A5706" s="2" t="s">
        <v>828</v>
      </c>
      <c r="B5706" s="2" t="s">
        <v>1272</v>
      </c>
      <c r="C5706" s="5" t="s">
        <v>1098</v>
      </c>
      <c r="D5706" s="2" t="s">
        <v>6200</v>
      </c>
    </row>
    <row r="5707" spans="1:4" ht="12.95" customHeight="1" x14ac:dyDescent="0.25">
      <c r="A5707" s="2" t="s">
        <v>828</v>
      </c>
      <c r="B5707" s="2" t="s">
        <v>1272</v>
      </c>
      <c r="C5707" s="5" t="s">
        <v>1100</v>
      </c>
      <c r="D5707" s="2" t="s">
        <v>6201</v>
      </c>
    </row>
    <row r="5708" spans="1:4" ht="12.95" customHeight="1" x14ac:dyDescent="0.25">
      <c r="A5708" s="2" t="s">
        <v>828</v>
      </c>
      <c r="B5708" s="2" t="s">
        <v>1272</v>
      </c>
      <c r="C5708" s="5" t="s">
        <v>1109</v>
      </c>
      <c r="D5708" s="2" t="s">
        <v>6202</v>
      </c>
    </row>
    <row r="5709" spans="1:4" ht="12.95" customHeight="1" x14ac:dyDescent="0.25">
      <c r="A5709" s="2" t="s">
        <v>828</v>
      </c>
      <c r="B5709" s="2" t="s">
        <v>1272</v>
      </c>
      <c r="C5709" s="5" t="s">
        <v>1119</v>
      </c>
      <c r="D5709" s="2" t="s">
        <v>6203</v>
      </c>
    </row>
    <row r="5710" spans="1:4" ht="12.95" customHeight="1" x14ac:dyDescent="0.25">
      <c r="A5710" s="2" t="s">
        <v>828</v>
      </c>
      <c r="B5710" s="2" t="s">
        <v>1272</v>
      </c>
      <c r="C5710" s="5" t="s">
        <v>1121</v>
      </c>
      <c r="D5710" s="2" t="s">
        <v>6204</v>
      </c>
    </row>
    <row r="5711" spans="1:4" ht="12.95" customHeight="1" x14ac:dyDescent="0.25">
      <c r="A5711" s="2" t="s">
        <v>828</v>
      </c>
      <c r="B5711" s="2" t="s">
        <v>1272</v>
      </c>
      <c r="C5711" s="5" t="s">
        <v>1123</v>
      </c>
      <c r="D5711" s="2" t="s">
        <v>6205</v>
      </c>
    </row>
    <row r="5712" spans="1:4" ht="12.95" customHeight="1" x14ac:dyDescent="0.25">
      <c r="A5712" s="2" t="s">
        <v>828</v>
      </c>
      <c r="B5712" s="2" t="s">
        <v>1272</v>
      </c>
      <c r="C5712" s="5" t="s">
        <v>1125</v>
      </c>
      <c r="D5712" s="2" t="s">
        <v>6206</v>
      </c>
    </row>
    <row r="5713" spans="1:4" ht="12.95" customHeight="1" x14ac:dyDescent="0.25">
      <c r="A5713" s="2" t="s">
        <v>828</v>
      </c>
      <c r="B5713" s="2" t="s">
        <v>1272</v>
      </c>
      <c r="C5713" s="5" t="s">
        <v>1127</v>
      </c>
      <c r="D5713" s="2" t="s">
        <v>6186</v>
      </c>
    </row>
    <row r="5714" spans="1:4" ht="12.95" customHeight="1" x14ac:dyDescent="0.25">
      <c r="A5714" s="2" t="s">
        <v>828</v>
      </c>
      <c r="B5714" s="2" t="s">
        <v>1272</v>
      </c>
      <c r="C5714" s="5" t="s">
        <v>1129</v>
      </c>
      <c r="D5714" s="2" t="s">
        <v>6207</v>
      </c>
    </row>
    <row r="5715" spans="1:4" ht="12.95" customHeight="1" x14ac:dyDescent="0.25">
      <c r="A5715" s="2" t="s">
        <v>828</v>
      </c>
      <c r="B5715" s="2" t="s">
        <v>1272</v>
      </c>
      <c r="C5715" s="5" t="s">
        <v>1131</v>
      </c>
      <c r="D5715" s="2" t="s">
        <v>6188</v>
      </c>
    </row>
    <row r="5716" spans="1:4" ht="12.95" customHeight="1" x14ac:dyDescent="0.25">
      <c r="A5716" s="2" t="s">
        <v>828</v>
      </c>
      <c r="B5716" s="2" t="s">
        <v>1272</v>
      </c>
      <c r="C5716" s="5" t="s">
        <v>1133</v>
      </c>
      <c r="D5716" s="2" t="s">
        <v>6189</v>
      </c>
    </row>
    <row r="5717" spans="1:4" ht="12.95" customHeight="1" x14ac:dyDescent="0.25">
      <c r="A5717" s="2" t="s">
        <v>828</v>
      </c>
      <c r="B5717" s="2" t="s">
        <v>1272</v>
      </c>
      <c r="C5717" s="5" t="s">
        <v>1135</v>
      </c>
      <c r="D5717" s="2" t="s">
        <v>6190</v>
      </c>
    </row>
    <row r="5718" spans="1:4" ht="12.95" customHeight="1" x14ac:dyDescent="0.25">
      <c r="A5718" s="2" t="s">
        <v>828</v>
      </c>
      <c r="B5718" s="2" t="s">
        <v>1272</v>
      </c>
      <c r="C5718" s="5" t="s">
        <v>1137</v>
      </c>
      <c r="D5718" s="2" t="s">
        <v>6191</v>
      </c>
    </row>
    <row r="5719" spans="1:4" ht="12.95" customHeight="1" x14ac:dyDescent="0.25">
      <c r="A5719" s="2" t="s">
        <v>828</v>
      </c>
      <c r="B5719" s="2" t="s">
        <v>1272</v>
      </c>
      <c r="C5719" s="5" t="s">
        <v>1139</v>
      </c>
      <c r="D5719" s="2" t="s">
        <v>6192</v>
      </c>
    </row>
    <row r="5720" spans="1:4" ht="12.95" customHeight="1" x14ac:dyDescent="0.25">
      <c r="A5720" s="2" t="s">
        <v>828</v>
      </c>
      <c r="B5720" s="2" t="s">
        <v>1272</v>
      </c>
      <c r="C5720" s="5" t="s">
        <v>1141</v>
      </c>
      <c r="D5720" s="2" t="s">
        <v>6193</v>
      </c>
    </row>
    <row r="5721" spans="1:4" ht="12.95" customHeight="1" x14ac:dyDescent="0.25">
      <c r="A5721" s="2" t="s">
        <v>828</v>
      </c>
      <c r="B5721" s="2" t="s">
        <v>1272</v>
      </c>
      <c r="C5721" s="5" t="s">
        <v>1295</v>
      </c>
      <c r="D5721" s="2" t="s">
        <v>6194</v>
      </c>
    </row>
    <row r="5722" spans="1:4" ht="12.95" customHeight="1" x14ac:dyDescent="0.25">
      <c r="A5722" s="2" t="s">
        <v>828</v>
      </c>
      <c r="B5722" s="2" t="s">
        <v>1272</v>
      </c>
      <c r="C5722" s="5" t="s">
        <v>1111</v>
      </c>
      <c r="D5722" s="2" t="s">
        <v>1112</v>
      </c>
    </row>
    <row r="5723" spans="1:4" ht="12.95" customHeight="1" x14ac:dyDescent="0.25">
      <c r="A5723" s="2" t="s">
        <v>830</v>
      </c>
      <c r="B5723" s="2" t="s">
        <v>1272</v>
      </c>
      <c r="C5723" s="5" t="s">
        <v>1102</v>
      </c>
      <c r="D5723" s="2" t="s">
        <v>1103</v>
      </c>
    </row>
    <row r="5724" spans="1:4" ht="12.95" customHeight="1" x14ac:dyDescent="0.25">
      <c r="A5724" s="2" t="s">
        <v>830</v>
      </c>
      <c r="B5724" s="2" t="s">
        <v>1272</v>
      </c>
      <c r="C5724" s="5" t="s">
        <v>1084</v>
      </c>
      <c r="D5724" s="2" t="s">
        <v>1085</v>
      </c>
    </row>
    <row r="5725" spans="1:4" ht="12.95" customHeight="1" x14ac:dyDescent="0.25">
      <c r="A5725" s="2" t="s">
        <v>830</v>
      </c>
      <c r="B5725" s="2" t="s">
        <v>1272</v>
      </c>
      <c r="C5725" s="5" t="s">
        <v>1086</v>
      </c>
      <c r="D5725" s="2" t="s">
        <v>1087</v>
      </c>
    </row>
    <row r="5726" spans="1:4" ht="12.95" customHeight="1" x14ac:dyDescent="0.25">
      <c r="A5726" s="2" t="s">
        <v>830</v>
      </c>
      <c r="B5726" s="2" t="s">
        <v>1272</v>
      </c>
      <c r="C5726" s="5" t="s">
        <v>1088</v>
      </c>
      <c r="D5726" s="2" t="s">
        <v>1089</v>
      </c>
    </row>
    <row r="5727" spans="1:4" ht="12.95" customHeight="1" x14ac:dyDescent="0.25">
      <c r="A5727" s="2" t="s">
        <v>830</v>
      </c>
      <c r="B5727" s="2" t="s">
        <v>1272</v>
      </c>
      <c r="C5727" s="5" t="s">
        <v>1090</v>
      </c>
      <c r="D5727" s="2" t="s">
        <v>927</v>
      </c>
    </row>
    <row r="5728" spans="1:4" ht="12.95" customHeight="1" x14ac:dyDescent="0.25">
      <c r="A5728" s="2" t="s">
        <v>830</v>
      </c>
      <c r="B5728" s="2" t="s">
        <v>1272</v>
      </c>
      <c r="C5728" s="5" t="s">
        <v>1092</v>
      </c>
      <c r="D5728" s="2" t="s">
        <v>6199</v>
      </c>
    </row>
    <row r="5729" spans="1:4" ht="12.95" customHeight="1" x14ac:dyDescent="0.25">
      <c r="A5729" s="2" t="s">
        <v>830</v>
      </c>
      <c r="B5729" s="2" t="s">
        <v>1272</v>
      </c>
      <c r="C5729" s="5" t="s">
        <v>1094</v>
      </c>
      <c r="D5729" s="2" t="s">
        <v>6219</v>
      </c>
    </row>
    <row r="5730" spans="1:4" ht="12.95" customHeight="1" x14ac:dyDescent="0.25">
      <c r="A5730" s="2" t="s">
        <v>830</v>
      </c>
      <c r="B5730" s="2" t="s">
        <v>1272</v>
      </c>
      <c r="C5730" s="5" t="s">
        <v>1096</v>
      </c>
      <c r="D5730" s="2" t="s">
        <v>6179</v>
      </c>
    </row>
    <row r="5731" spans="1:4" ht="12.95" customHeight="1" x14ac:dyDescent="0.25">
      <c r="A5731" s="2" t="s">
        <v>830</v>
      </c>
      <c r="B5731" s="2" t="s">
        <v>1272</v>
      </c>
      <c r="C5731" s="5" t="s">
        <v>1098</v>
      </c>
      <c r="D5731" s="2" t="s">
        <v>6200</v>
      </c>
    </row>
    <row r="5732" spans="1:4" ht="12.95" customHeight="1" x14ac:dyDescent="0.25">
      <c r="A5732" s="2" t="s">
        <v>830</v>
      </c>
      <c r="B5732" s="2" t="s">
        <v>1272</v>
      </c>
      <c r="C5732" s="5" t="s">
        <v>1100</v>
      </c>
      <c r="D5732" s="2" t="s">
        <v>6201</v>
      </c>
    </row>
    <row r="5733" spans="1:4" ht="12.95" customHeight="1" x14ac:dyDescent="0.25">
      <c r="A5733" s="2" t="s">
        <v>830</v>
      </c>
      <c r="B5733" s="2" t="s">
        <v>1272</v>
      </c>
      <c r="C5733" s="5" t="s">
        <v>1109</v>
      </c>
      <c r="D5733" s="2" t="s">
        <v>6202</v>
      </c>
    </row>
    <row r="5734" spans="1:4" ht="12.95" customHeight="1" x14ac:dyDescent="0.25">
      <c r="A5734" s="2" t="s">
        <v>830</v>
      </c>
      <c r="B5734" s="2" t="s">
        <v>1272</v>
      </c>
      <c r="C5734" s="5" t="s">
        <v>1119</v>
      </c>
      <c r="D5734" s="2" t="s">
        <v>6203</v>
      </c>
    </row>
    <row r="5735" spans="1:4" ht="12.95" customHeight="1" x14ac:dyDescent="0.25">
      <c r="A5735" s="2" t="s">
        <v>830</v>
      </c>
      <c r="B5735" s="2" t="s">
        <v>1272</v>
      </c>
      <c r="C5735" s="5" t="s">
        <v>1121</v>
      </c>
      <c r="D5735" s="2" t="s">
        <v>6204</v>
      </c>
    </row>
    <row r="5736" spans="1:4" ht="12.95" customHeight="1" x14ac:dyDescent="0.25">
      <c r="A5736" s="2" t="s">
        <v>830</v>
      </c>
      <c r="B5736" s="2" t="s">
        <v>1272</v>
      </c>
      <c r="C5736" s="5" t="s">
        <v>1123</v>
      </c>
      <c r="D5736" s="2" t="s">
        <v>6205</v>
      </c>
    </row>
    <row r="5737" spans="1:4" ht="12.95" customHeight="1" x14ac:dyDescent="0.25">
      <c r="A5737" s="2" t="s">
        <v>830</v>
      </c>
      <c r="B5737" s="2" t="s">
        <v>1272</v>
      </c>
      <c r="C5737" s="5" t="s">
        <v>1125</v>
      </c>
      <c r="D5737" s="2" t="s">
        <v>6206</v>
      </c>
    </row>
    <row r="5738" spans="1:4" ht="12.95" customHeight="1" x14ac:dyDescent="0.25">
      <c r="A5738" s="2" t="s">
        <v>830</v>
      </c>
      <c r="B5738" s="2" t="s">
        <v>1272</v>
      </c>
      <c r="C5738" s="5" t="s">
        <v>1127</v>
      </c>
      <c r="D5738" s="2" t="s">
        <v>6186</v>
      </c>
    </row>
    <row r="5739" spans="1:4" ht="12.95" customHeight="1" x14ac:dyDescent="0.25">
      <c r="A5739" s="2" t="s">
        <v>830</v>
      </c>
      <c r="B5739" s="2" t="s">
        <v>1272</v>
      </c>
      <c r="C5739" s="5" t="s">
        <v>1129</v>
      </c>
      <c r="D5739" s="2" t="s">
        <v>6207</v>
      </c>
    </row>
    <row r="5740" spans="1:4" ht="12.95" customHeight="1" x14ac:dyDescent="0.25">
      <c r="A5740" s="2" t="s">
        <v>830</v>
      </c>
      <c r="B5740" s="2" t="s">
        <v>1272</v>
      </c>
      <c r="C5740" s="5" t="s">
        <v>1131</v>
      </c>
      <c r="D5740" s="2" t="s">
        <v>6188</v>
      </c>
    </row>
    <row r="5741" spans="1:4" ht="12.95" customHeight="1" x14ac:dyDescent="0.25">
      <c r="A5741" s="2" t="s">
        <v>830</v>
      </c>
      <c r="B5741" s="2" t="s">
        <v>1272</v>
      </c>
      <c r="C5741" s="5" t="s">
        <v>1133</v>
      </c>
      <c r="D5741" s="2" t="s">
        <v>6189</v>
      </c>
    </row>
    <row r="5742" spans="1:4" ht="12.95" customHeight="1" x14ac:dyDescent="0.25">
      <c r="A5742" s="2" t="s">
        <v>830</v>
      </c>
      <c r="B5742" s="2" t="s">
        <v>1272</v>
      </c>
      <c r="C5742" s="5" t="s">
        <v>1135</v>
      </c>
      <c r="D5742" s="2" t="s">
        <v>6190</v>
      </c>
    </row>
    <row r="5743" spans="1:4" ht="12.95" customHeight="1" x14ac:dyDescent="0.25">
      <c r="A5743" s="2" t="s">
        <v>830</v>
      </c>
      <c r="B5743" s="2" t="s">
        <v>1272</v>
      </c>
      <c r="C5743" s="5" t="s">
        <v>1137</v>
      </c>
      <c r="D5743" s="2" t="s">
        <v>6191</v>
      </c>
    </row>
    <row r="5744" spans="1:4" ht="12.95" customHeight="1" x14ac:dyDescent="0.25">
      <c r="A5744" s="2" t="s">
        <v>830</v>
      </c>
      <c r="B5744" s="2" t="s">
        <v>1272</v>
      </c>
      <c r="C5744" s="5" t="s">
        <v>1139</v>
      </c>
      <c r="D5744" s="2" t="s">
        <v>6192</v>
      </c>
    </row>
    <row r="5745" spans="1:4" ht="12.95" customHeight="1" x14ac:dyDescent="0.25">
      <c r="A5745" s="2" t="s">
        <v>830</v>
      </c>
      <c r="B5745" s="2" t="s">
        <v>1272</v>
      </c>
      <c r="C5745" s="5" t="s">
        <v>1141</v>
      </c>
      <c r="D5745" s="2" t="s">
        <v>6193</v>
      </c>
    </row>
    <row r="5746" spans="1:4" ht="12.95" customHeight="1" x14ac:dyDescent="0.25">
      <c r="A5746" s="2" t="s">
        <v>830</v>
      </c>
      <c r="B5746" s="2" t="s">
        <v>1272</v>
      </c>
      <c r="C5746" s="5" t="s">
        <v>1295</v>
      </c>
      <c r="D5746" s="2" t="s">
        <v>6194</v>
      </c>
    </row>
    <row r="5747" spans="1:4" ht="12.95" customHeight="1" x14ac:dyDescent="0.25">
      <c r="A5747" s="2" t="s">
        <v>830</v>
      </c>
      <c r="B5747" s="2" t="s">
        <v>1272</v>
      </c>
      <c r="C5747" s="5" t="s">
        <v>1111</v>
      </c>
      <c r="D5747" s="2" t="s">
        <v>1112</v>
      </c>
    </row>
    <row r="5748" spans="1:4" ht="12.95" customHeight="1" x14ac:dyDescent="0.25">
      <c r="A5748" s="2" t="s">
        <v>832</v>
      </c>
      <c r="B5748" s="2" t="s">
        <v>1272</v>
      </c>
      <c r="C5748" s="5" t="s">
        <v>1102</v>
      </c>
      <c r="D5748" s="2" t="s">
        <v>1103</v>
      </c>
    </row>
    <row r="5749" spans="1:4" ht="12.95" customHeight="1" x14ac:dyDescent="0.25">
      <c r="A5749" s="2" t="s">
        <v>832</v>
      </c>
      <c r="B5749" s="2" t="s">
        <v>1272</v>
      </c>
      <c r="C5749" s="5" t="s">
        <v>1084</v>
      </c>
      <c r="D5749" s="2" t="s">
        <v>1085</v>
      </c>
    </row>
    <row r="5750" spans="1:4" ht="12.95" customHeight="1" x14ac:dyDescent="0.25">
      <c r="A5750" s="2" t="s">
        <v>832</v>
      </c>
      <c r="B5750" s="2" t="s">
        <v>1272</v>
      </c>
      <c r="C5750" s="5" t="s">
        <v>1086</v>
      </c>
      <c r="D5750" s="2" t="s">
        <v>1087</v>
      </c>
    </row>
    <row r="5751" spans="1:4" ht="12.95" customHeight="1" x14ac:dyDescent="0.25">
      <c r="A5751" s="2" t="s">
        <v>832</v>
      </c>
      <c r="B5751" s="2" t="s">
        <v>1272</v>
      </c>
      <c r="C5751" s="5" t="s">
        <v>1088</v>
      </c>
      <c r="D5751" s="2" t="s">
        <v>1089</v>
      </c>
    </row>
    <row r="5752" spans="1:4" ht="12.95" customHeight="1" x14ac:dyDescent="0.25">
      <c r="A5752" s="2" t="s">
        <v>832</v>
      </c>
      <c r="B5752" s="2" t="s">
        <v>1272</v>
      </c>
      <c r="C5752" s="5" t="s">
        <v>1090</v>
      </c>
      <c r="D5752" s="2" t="s">
        <v>927</v>
      </c>
    </row>
    <row r="5753" spans="1:4" ht="12.95" customHeight="1" x14ac:dyDescent="0.25">
      <c r="A5753" s="2" t="s">
        <v>832</v>
      </c>
      <c r="B5753" s="2" t="s">
        <v>1272</v>
      </c>
      <c r="C5753" s="5" t="s">
        <v>1092</v>
      </c>
      <c r="D5753" s="2" t="s">
        <v>6199</v>
      </c>
    </row>
    <row r="5754" spans="1:4" ht="12.95" customHeight="1" x14ac:dyDescent="0.25">
      <c r="A5754" s="2" t="s">
        <v>832</v>
      </c>
      <c r="B5754" s="2" t="s">
        <v>1272</v>
      </c>
      <c r="C5754" s="5" t="s">
        <v>1094</v>
      </c>
      <c r="D5754" s="2" t="s">
        <v>6219</v>
      </c>
    </row>
    <row r="5755" spans="1:4" ht="12.95" customHeight="1" x14ac:dyDescent="0.25">
      <c r="A5755" s="2" t="s">
        <v>832</v>
      </c>
      <c r="B5755" s="2" t="s">
        <v>1272</v>
      </c>
      <c r="C5755" s="5" t="s">
        <v>1096</v>
      </c>
      <c r="D5755" s="2" t="s">
        <v>6179</v>
      </c>
    </row>
    <row r="5756" spans="1:4" ht="12.95" customHeight="1" x14ac:dyDescent="0.25">
      <c r="A5756" s="2" t="s">
        <v>832</v>
      </c>
      <c r="B5756" s="2" t="s">
        <v>1272</v>
      </c>
      <c r="C5756" s="5" t="s">
        <v>1098</v>
      </c>
      <c r="D5756" s="2" t="s">
        <v>6200</v>
      </c>
    </row>
    <row r="5757" spans="1:4" ht="12.95" customHeight="1" x14ac:dyDescent="0.25">
      <c r="A5757" s="2" t="s">
        <v>832</v>
      </c>
      <c r="B5757" s="2" t="s">
        <v>1272</v>
      </c>
      <c r="C5757" s="5" t="s">
        <v>1100</v>
      </c>
      <c r="D5757" s="2" t="s">
        <v>6201</v>
      </c>
    </row>
    <row r="5758" spans="1:4" ht="12.95" customHeight="1" x14ac:dyDescent="0.25">
      <c r="A5758" s="2" t="s">
        <v>832</v>
      </c>
      <c r="B5758" s="2" t="s">
        <v>1272</v>
      </c>
      <c r="C5758" s="5" t="s">
        <v>1109</v>
      </c>
      <c r="D5758" s="2" t="s">
        <v>6202</v>
      </c>
    </row>
    <row r="5759" spans="1:4" ht="12.95" customHeight="1" x14ac:dyDescent="0.25">
      <c r="A5759" s="2" t="s">
        <v>832</v>
      </c>
      <c r="B5759" s="2" t="s">
        <v>1272</v>
      </c>
      <c r="C5759" s="5" t="s">
        <v>1119</v>
      </c>
      <c r="D5759" s="2" t="s">
        <v>6203</v>
      </c>
    </row>
    <row r="5760" spans="1:4" ht="12.95" customHeight="1" x14ac:dyDescent="0.25">
      <c r="A5760" s="2" t="s">
        <v>832</v>
      </c>
      <c r="B5760" s="2" t="s">
        <v>1272</v>
      </c>
      <c r="C5760" s="5" t="s">
        <v>1121</v>
      </c>
      <c r="D5760" s="2" t="s">
        <v>6204</v>
      </c>
    </row>
    <row r="5761" spans="1:4" ht="12.95" customHeight="1" x14ac:dyDescent="0.25">
      <c r="A5761" s="2" t="s">
        <v>832</v>
      </c>
      <c r="B5761" s="2" t="s">
        <v>1272</v>
      </c>
      <c r="C5761" s="5" t="s">
        <v>1123</v>
      </c>
      <c r="D5761" s="2" t="s">
        <v>6205</v>
      </c>
    </row>
    <row r="5762" spans="1:4" ht="12.95" customHeight="1" x14ac:dyDescent="0.25">
      <c r="A5762" s="2" t="s">
        <v>832</v>
      </c>
      <c r="B5762" s="2" t="s">
        <v>1272</v>
      </c>
      <c r="C5762" s="5" t="s">
        <v>1125</v>
      </c>
      <c r="D5762" s="2" t="s">
        <v>6206</v>
      </c>
    </row>
    <row r="5763" spans="1:4" ht="12.95" customHeight="1" x14ac:dyDescent="0.25">
      <c r="A5763" s="2" t="s">
        <v>832</v>
      </c>
      <c r="B5763" s="2" t="s">
        <v>1272</v>
      </c>
      <c r="C5763" s="5" t="s">
        <v>1127</v>
      </c>
      <c r="D5763" s="2" t="s">
        <v>6186</v>
      </c>
    </row>
    <row r="5764" spans="1:4" ht="12.95" customHeight="1" x14ac:dyDescent="0.25">
      <c r="A5764" s="2" t="s">
        <v>832</v>
      </c>
      <c r="B5764" s="2" t="s">
        <v>1272</v>
      </c>
      <c r="C5764" s="5" t="s">
        <v>1129</v>
      </c>
      <c r="D5764" s="2" t="s">
        <v>6207</v>
      </c>
    </row>
    <row r="5765" spans="1:4" ht="12.95" customHeight="1" x14ac:dyDescent="0.25">
      <c r="A5765" s="2" t="s">
        <v>832</v>
      </c>
      <c r="B5765" s="2" t="s">
        <v>1272</v>
      </c>
      <c r="C5765" s="5" t="s">
        <v>1131</v>
      </c>
      <c r="D5765" s="2" t="s">
        <v>6188</v>
      </c>
    </row>
    <row r="5766" spans="1:4" ht="12.95" customHeight="1" x14ac:dyDescent="0.25">
      <c r="A5766" s="2" t="s">
        <v>832</v>
      </c>
      <c r="B5766" s="2" t="s">
        <v>1272</v>
      </c>
      <c r="C5766" s="5" t="s">
        <v>1133</v>
      </c>
      <c r="D5766" s="2" t="s">
        <v>6189</v>
      </c>
    </row>
    <row r="5767" spans="1:4" ht="12.95" customHeight="1" x14ac:dyDescent="0.25">
      <c r="A5767" s="2" t="s">
        <v>832</v>
      </c>
      <c r="B5767" s="2" t="s">
        <v>1272</v>
      </c>
      <c r="C5767" s="5" t="s">
        <v>1135</v>
      </c>
      <c r="D5767" s="2" t="s">
        <v>6190</v>
      </c>
    </row>
    <row r="5768" spans="1:4" ht="12.95" customHeight="1" x14ac:dyDescent="0.25">
      <c r="A5768" s="2" t="s">
        <v>832</v>
      </c>
      <c r="B5768" s="2" t="s">
        <v>1272</v>
      </c>
      <c r="C5768" s="5" t="s">
        <v>1137</v>
      </c>
      <c r="D5768" s="2" t="s">
        <v>6191</v>
      </c>
    </row>
    <row r="5769" spans="1:4" ht="12.95" customHeight="1" x14ac:dyDescent="0.25">
      <c r="A5769" s="2" t="s">
        <v>832</v>
      </c>
      <c r="B5769" s="2" t="s">
        <v>1272</v>
      </c>
      <c r="C5769" s="5" t="s">
        <v>1139</v>
      </c>
      <c r="D5769" s="2" t="s">
        <v>6192</v>
      </c>
    </row>
    <row r="5770" spans="1:4" ht="12.95" customHeight="1" x14ac:dyDescent="0.25">
      <c r="A5770" s="2" t="s">
        <v>832</v>
      </c>
      <c r="B5770" s="2" t="s">
        <v>1272</v>
      </c>
      <c r="C5770" s="5" t="s">
        <v>1141</v>
      </c>
      <c r="D5770" s="2" t="s">
        <v>6193</v>
      </c>
    </row>
    <row r="5771" spans="1:4" ht="12.95" customHeight="1" x14ac:dyDescent="0.25">
      <c r="A5771" s="2" t="s">
        <v>832</v>
      </c>
      <c r="B5771" s="2" t="s">
        <v>1272</v>
      </c>
      <c r="C5771" s="5" t="s">
        <v>1295</v>
      </c>
      <c r="D5771" s="2" t="s">
        <v>6194</v>
      </c>
    </row>
    <row r="5772" spans="1:4" ht="12.95" customHeight="1" x14ac:dyDescent="0.25">
      <c r="A5772" s="2" t="s">
        <v>832</v>
      </c>
      <c r="B5772" s="2" t="s">
        <v>1272</v>
      </c>
      <c r="C5772" s="5" t="s">
        <v>1111</v>
      </c>
      <c r="D5772" s="2" t="s">
        <v>1112</v>
      </c>
    </row>
    <row r="5773" spans="1:4" ht="12.95" customHeight="1" x14ac:dyDescent="0.25">
      <c r="A5773" s="2" t="s">
        <v>834</v>
      </c>
      <c r="B5773" s="2" t="s">
        <v>1272</v>
      </c>
      <c r="C5773" s="5" t="s">
        <v>1102</v>
      </c>
      <c r="D5773" s="2" t="s">
        <v>1103</v>
      </c>
    </row>
    <row r="5774" spans="1:4" ht="12.95" customHeight="1" x14ac:dyDescent="0.25">
      <c r="A5774" s="2" t="s">
        <v>834</v>
      </c>
      <c r="B5774" s="2" t="s">
        <v>1272</v>
      </c>
      <c r="C5774" s="5" t="s">
        <v>1084</v>
      </c>
      <c r="D5774" s="2" t="s">
        <v>1085</v>
      </c>
    </row>
    <row r="5775" spans="1:4" ht="12.95" customHeight="1" x14ac:dyDescent="0.25">
      <c r="A5775" s="2" t="s">
        <v>834</v>
      </c>
      <c r="B5775" s="2" t="s">
        <v>1272</v>
      </c>
      <c r="C5775" s="5" t="s">
        <v>1086</v>
      </c>
      <c r="D5775" s="2" t="s">
        <v>1087</v>
      </c>
    </row>
    <row r="5776" spans="1:4" ht="12.95" customHeight="1" x14ac:dyDescent="0.25">
      <c r="A5776" s="2" t="s">
        <v>834</v>
      </c>
      <c r="B5776" s="2" t="s">
        <v>1272</v>
      </c>
      <c r="C5776" s="5" t="s">
        <v>1088</v>
      </c>
      <c r="D5776" s="2" t="s">
        <v>1089</v>
      </c>
    </row>
    <row r="5777" spans="1:4" ht="12.95" customHeight="1" x14ac:dyDescent="0.25">
      <c r="A5777" s="2" t="s">
        <v>834</v>
      </c>
      <c r="B5777" s="2" t="s">
        <v>1272</v>
      </c>
      <c r="C5777" s="5" t="s">
        <v>1090</v>
      </c>
      <c r="D5777" s="2" t="s">
        <v>927</v>
      </c>
    </row>
    <row r="5778" spans="1:4" ht="12.95" customHeight="1" x14ac:dyDescent="0.25">
      <c r="A5778" s="2" t="s">
        <v>834</v>
      </c>
      <c r="B5778" s="2" t="s">
        <v>1272</v>
      </c>
      <c r="C5778" s="5" t="s">
        <v>1092</v>
      </c>
      <c r="D5778" s="2" t="s">
        <v>6199</v>
      </c>
    </row>
    <row r="5779" spans="1:4" ht="12.95" customHeight="1" x14ac:dyDescent="0.25">
      <c r="A5779" s="2" t="s">
        <v>834</v>
      </c>
      <c r="B5779" s="2" t="s">
        <v>1272</v>
      </c>
      <c r="C5779" s="5" t="s">
        <v>1094</v>
      </c>
      <c r="D5779" s="2" t="s">
        <v>6219</v>
      </c>
    </row>
    <row r="5780" spans="1:4" ht="12.95" customHeight="1" x14ac:dyDescent="0.25">
      <c r="A5780" s="2" t="s">
        <v>834</v>
      </c>
      <c r="B5780" s="2" t="s">
        <v>1272</v>
      </c>
      <c r="C5780" s="5" t="s">
        <v>1096</v>
      </c>
      <c r="D5780" s="2" t="s">
        <v>6179</v>
      </c>
    </row>
    <row r="5781" spans="1:4" ht="12.95" customHeight="1" x14ac:dyDescent="0.25">
      <c r="A5781" s="2" t="s">
        <v>834</v>
      </c>
      <c r="B5781" s="2" t="s">
        <v>1272</v>
      </c>
      <c r="C5781" s="5" t="s">
        <v>1098</v>
      </c>
      <c r="D5781" s="2" t="s">
        <v>6200</v>
      </c>
    </row>
    <row r="5782" spans="1:4" ht="12.95" customHeight="1" x14ac:dyDescent="0.25">
      <c r="A5782" s="2" t="s">
        <v>834</v>
      </c>
      <c r="B5782" s="2" t="s">
        <v>1272</v>
      </c>
      <c r="C5782" s="5" t="s">
        <v>1100</v>
      </c>
      <c r="D5782" s="2" t="s">
        <v>6201</v>
      </c>
    </row>
    <row r="5783" spans="1:4" ht="12.95" customHeight="1" x14ac:dyDescent="0.25">
      <c r="A5783" s="2" t="s">
        <v>834</v>
      </c>
      <c r="B5783" s="2" t="s">
        <v>1272</v>
      </c>
      <c r="C5783" s="5" t="s">
        <v>1109</v>
      </c>
      <c r="D5783" s="2" t="s">
        <v>6202</v>
      </c>
    </row>
    <row r="5784" spans="1:4" ht="12.95" customHeight="1" x14ac:dyDescent="0.25">
      <c r="A5784" s="2" t="s">
        <v>834</v>
      </c>
      <c r="B5784" s="2" t="s">
        <v>1272</v>
      </c>
      <c r="C5784" s="5" t="s">
        <v>1119</v>
      </c>
      <c r="D5784" s="2" t="s">
        <v>6203</v>
      </c>
    </row>
    <row r="5785" spans="1:4" ht="12.95" customHeight="1" x14ac:dyDescent="0.25">
      <c r="A5785" s="2" t="s">
        <v>834</v>
      </c>
      <c r="B5785" s="2" t="s">
        <v>1272</v>
      </c>
      <c r="C5785" s="5" t="s">
        <v>1121</v>
      </c>
      <c r="D5785" s="2" t="s">
        <v>6204</v>
      </c>
    </row>
    <row r="5786" spans="1:4" ht="12.95" customHeight="1" x14ac:dyDescent="0.25">
      <c r="A5786" s="2" t="s">
        <v>834</v>
      </c>
      <c r="B5786" s="2" t="s">
        <v>1272</v>
      </c>
      <c r="C5786" s="5" t="s">
        <v>1123</v>
      </c>
      <c r="D5786" s="2" t="s">
        <v>6205</v>
      </c>
    </row>
    <row r="5787" spans="1:4" ht="12.95" customHeight="1" x14ac:dyDescent="0.25">
      <c r="A5787" s="2" t="s">
        <v>834</v>
      </c>
      <c r="B5787" s="2" t="s">
        <v>1272</v>
      </c>
      <c r="C5787" s="5" t="s">
        <v>1125</v>
      </c>
      <c r="D5787" s="2" t="s">
        <v>6206</v>
      </c>
    </row>
    <row r="5788" spans="1:4" ht="12.95" customHeight="1" x14ac:dyDescent="0.25">
      <c r="A5788" s="2" t="s">
        <v>834</v>
      </c>
      <c r="B5788" s="2" t="s">
        <v>1272</v>
      </c>
      <c r="C5788" s="5" t="s">
        <v>1127</v>
      </c>
      <c r="D5788" s="2" t="s">
        <v>6186</v>
      </c>
    </row>
    <row r="5789" spans="1:4" ht="12.95" customHeight="1" x14ac:dyDescent="0.25">
      <c r="A5789" s="2" t="s">
        <v>834</v>
      </c>
      <c r="B5789" s="2" t="s">
        <v>1272</v>
      </c>
      <c r="C5789" s="5" t="s">
        <v>1129</v>
      </c>
      <c r="D5789" s="2" t="s">
        <v>6207</v>
      </c>
    </row>
    <row r="5790" spans="1:4" ht="12.95" customHeight="1" x14ac:dyDescent="0.25">
      <c r="A5790" s="2" t="s">
        <v>834</v>
      </c>
      <c r="B5790" s="2" t="s">
        <v>1272</v>
      </c>
      <c r="C5790" s="5" t="s">
        <v>1131</v>
      </c>
      <c r="D5790" s="2" t="s">
        <v>6188</v>
      </c>
    </row>
    <row r="5791" spans="1:4" ht="12.95" customHeight="1" x14ac:dyDescent="0.25">
      <c r="A5791" s="2" t="s">
        <v>834</v>
      </c>
      <c r="B5791" s="2" t="s">
        <v>1272</v>
      </c>
      <c r="C5791" s="5" t="s">
        <v>1133</v>
      </c>
      <c r="D5791" s="2" t="s">
        <v>6189</v>
      </c>
    </row>
    <row r="5792" spans="1:4" ht="12.95" customHeight="1" x14ac:dyDescent="0.25">
      <c r="A5792" s="2" t="s">
        <v>834</v>
      </c>
      <c r="B5792" s="2" t="s">
        <v>1272</v>
      </c>
      <c r="C5792" s="5" t="s">
        <v>1135</v>
      </c>
      <c r="D5792" s="2" t="s">
        <v>6190</v>
      </c>
    </row>
    <row r="5793" spans="1:4" ht="12.95" customHeight="1" x14ac:dyDescent="0.25">
      <c r="A5793" s="2" t="s">
        <v>834</v>
      </c>
      <c r="B5793" s="2" t="s">
        <v>1272</v>
      </c>
      <c r="C5793" s="5" t="s">
        <v>1137</v>
      </c>
      <c r="D5793" s="2" t="s">
        <v>6191</v>
      </c>
    </row>
    <row r="5794" spans="1:4" ht="12.95" customHeight="1" x14ac:dyDescent="0.25">
      <c r="A5794" s="2" t="s">
        <v>834</v>
      </c>
      <c r="B5794" s="2" t="s">
        <v>1272</v>
      </c>
      <c r="C5794" s="5" t="s">
        <v>1139</v>
      </c>
      <c r="D5794" s="2" t="s">
        <v>6192</v>
      </c>
    </row>
    <row r="5795" spans="1:4" ht="12.95" customHeight="1" x14ac:dyDescent="0.25">
      <c r="A5795" s="2" t="s">
        <v>834</v>
      </c>
      <c r="B5795" s="2" t="s">
        <v>1272</v>
      </c>
      <c r="C5795" s="5" t="s">
        <v>1141</v>
      </c>
      <c r="D5795" s="2" t="s">
        <v>6193</v>
      </c>
    </row>
    <row r="5796" spans="1:4" ht="12.95" customHeight="1" x14ac:dyDescent="0.25">
      <c r="A5796" s="2" t="s">
        <v>834</v>
      </c>
      <c r="B5796" s="2" t="s">
        <v>1272</v>
      </c>
      <c r="C5796" s="5" t="s">
        <v>1295</v>
      </c>
      <c r="D5796" s="2" t="s">
        <v>6194</v>
      </c>
    </row>
    <row r="5797" spans="1:4" ht="12.95" customHeight="1" x14ac:dyDescent="0.25">
      <c r="A5797" s="2" t="s">
        <v>834</v>
      </c>
      <c r="B5797" s="2" t="s">
        <v>1272</v>
      </c>
      <c r="C5797" s="5" t="s">
        <v>1111</v>
      </c>
      <c r="D5797" s="2" t="s">
        <v>1112</v>
      </c>
    </row>
    <row r="5798" spans="1:4" ht="12.95" customHeight="1" x14ac:dyDescent="0.25">
      <c r="A5798" s="2" t="s">
        <v>836</v>
      </c>
      <c r="B5798" s="2" t="s">
        <v>1272</v>
      </c>
      <c r="C5798" s="5" t="s">
        <v>1102</v>
      </c>
      <c r="D5798" s="2" t="s">
        <v>1103</v>
      </c>
    </row>
    <row r="5799" spans="1:4" ht="12.95" customHeight="1" x14ac:dyDescent="0.25">
      <c r="A5799" s="2" t="s">
        <v>836</v>
      </c>
      <c r="B5799" s="2" t="s">
        <v>1272</v>
      </c>
      <c r="C5799" s="5" t="s">
        <v>1084</v>
      </c>
      <c r="D5799" s="2" t="s">
        <v>1085</v>
      </c>
    </row>
    <row r="5800" spans="1:4" ht="12.95" customHeight="1" x14ac:dyDescent="0.25">
      <c r="A5800" s="2" t="s">
        <v>836</v>
      </c>
      <c r="B5800" s="2" t="s">
        <v>1272</v>
      </c>
      <c r="C5800" s="5" t="s">
        <v>1086</v>
      </c>
      <c r="D5800" s="2" t="s">
        <v>1087</v>
      </c>
    </row>
    <row r="5801" spans="1:4" ht="12.95" customHeight="1" x14ac:dyDescent="0.25">
      <c r="A5801" s="2" t="s">
        <v>836</v>
      </c>
      <c r="B5801" s="2" t="s">
        <v>1272</v>
      </c>
      <c r="C5801" s="5" t="s">
        <v>1088</v>
      </c>
      <c r="D5801" s="2" t="s">
        <v>1089</v>
      </c>
    </row>
    <row r="5802" spans="1:4" ht="12.95" customHeight="1" x14ac:dyDescent="0.25">
      <c r="A5802" s="2" t="s">
        <v>836</v>
      </c>
      <c r="B5802" s="2" t="s">
        <v>1272</v>
      </c>
      <c r="C5802" s="5" t="s">
        <v>1090</v>
      </c>
      <c r="D5802" s="2" t="s">
        <v>927</v>
      </c>
    </row>
    <row r="5803" spans="1:4" ht="12.95" customHeight="1" x14ac:dyDescent="0.25">
      <c r="A5803" s="2" t="s">
        <v>836</v>
      </c>
      <c r="B5803" s="2" t="s">
        <v>1272</v>
      </c>
      <c r="C5803" s="5" t="s">
        <v>1092</v>
      </c>
      <c r="D5803" s="2" t="s">
        <v>6199</v>
      </c>
    </row>
    <row r="5804" spans="1:4" ht="12.95" customHeight="1" x14ac:dyDescent="0.25">
      <c r="A5804" s="2" t="s">
        <v>836</v>
      </c>
      <c r="B5804" s="2" t="s">
        <v>1272</v>
      </c>
      <c r="C5804" s="5" t="s">
        <v>1094</v>
      </c>
      <c r="D5804" s="2" t="s">
        <v>6219</v>
      </c>
    </row>
    <row r="5805" spans="1:4" ht="12.95" customHeight="1" x14ac:dyDescent="0.25">
      <c r="A5805" s="2" t="s">
        <v>836</v>
      </c>
      <c r="B5805" s="2" t="s">
        <v>1272</v>
      </c>
      <c r="C5805" s="5" t="s">
        <v>1096</v>
      </c>
      <c r="D5805" s="2" t="s">
        <v>6179</v>
      </c>
    </row>
    <row r="5806" spans="1:4" ht="12.95" customHeight="1" x14ac:dyDescent="0.25">
      <c r="A5806" s="2" t="s">
        <v>836</v>
      </c>
      <c r="B5806" s="2" t="s">
        <v>1272</v>
      </c>
      <c r="C5806" s="5" t="s">
        <v>1098</v>
      </c>
      <c r="D5806" s="2" t="s">
        <v>6200</v>
      </c>
    </row>
    <row r="5807" spans="1:4" ht="12.95" customHeight="1" x14ac:dyDescent="0.25">
      <c r="A5807" s="2" t="s">
        <v>836</v>
      </c>
      <c r="B5807" s="2" t="s">
        <v>1272</v>
      </c>
      <c r="C5807" s="5" t="s">
        <v>1100</v>
      </c>
      <c r="D5807" s="2" t="s">
        <v>6201</v>
      </c>
    </row>
    <row r="5808" spans="1:4" ht="12.95" customHeight="1" x14ac:dyDescent="0.25">
      <c r="A5808" s="2" t="s">
        <v>836</v>
      </c>
      <c r="B5808" s="2" t="s">
        <v>1272</v>
      </c>
      <c r="C5808" s="5" t="s">
        <v>1109</v>
      </c>
      <c r="D5808" s="2" t="s">
        <v>6202</v>
      </c>
    </row>
    <row r="5809" spans="1:4" ht="12.95" customHeight="1" x14ac:dyDescent="0.25">
      <c r="A5809" s="2" t="s">
        <v>836</v>
      </c>
      <c r="B5809" s="2" t="s">
        <v>1272</v>
      </c>
      <c r="C5809" s="5" t="s">
        <v>1119</v>
      </c>
      <c r="D5809" s="2" t="s">
        <v>6203</v>
      </c>
    </row>
    <row r="5810" spans="1:4" ht="12.95" customHeight="1" x14ac:dyDescent="0.25">
      <c r="A5810" s="2" t="s">
        <v>836</v>
      </c>
      <c r="B5810" s="2" t="s">
        <v>1272</v>
      </c>
      <c r="C5810" s="5" t="s">
        <v>1121</v>
      </c>
      <c r="D5810" s="2" t="s">
        <v>6204</v>
      </c>
    </row>
    <row r="5811" spans="1:4" ht="12.95" customHeight="1" x14ac:dyDescent="0.25">
      <c r="A5811" s="2" t="s">
        <v>836</v>
      </c>
      <c r="B5811" s="2" t="s">
        <v>1272</v>
      </c>
      <c r="C5811" s="5" t="s">
        <v>1123</v>
      </c>
      <c r="D5811" s="2" t="s">
        <v>6205</v>
      </c>
    </row>
    <row r="5812" spans="1:4" ht="12.95" customHeight="1" x14ac:dyDescent="0.25">
      <c r="A5812" s="2" t="s">
        <v>836</v>
      </c>
      <c r="B5812" s="2" t="s">
        <v>1272</v>
      </c>
      <c r="C5812" s="5" t="s">
        <v>1125</v>
      </c>
      <c r="D5812" s="2" t="s">
        <v>6206</v>
      </c>
    </row>
    <row r="5813" spans="1:4" ht="12.95" customHeight="1" x14ac:dyDescent="0.25">
      <c r="A5813" s="2" t="s">
        <v>836</v>
      </c>
      <c r="B5813" s="2" t="s">
        <v>1272</v>
      </c>
      <c r="C5813" s="5" t="s">
        <v>1127</v>
      </c>
      <c r="D5813" s="2" t="s">
        <v>6186</v>
      </c>
    </row>
    <row r="5814" spans="1:4" ht="12.95" customHeight="1" x14ac:dyDescent="0.25">
      <c r="A5814" s="2" t="s">
        <v>836</v>
      </c>
      <c r="B5814" s="2" t="s">
        <v>1272</v>
      </c>
      <c r="C5814" s="5" t="s">
        <v>1129</v>
      </c>
      <c r="D5814" s="2" t="s">
        <v>6207</v>
      </c>
    </row>
    <row r="5815" spans="1:4" ht="12.95" customHeight="1" x14ac:dyDescent="0.25">
      <c r="A5815" s="2" t="s">
        <v>836</v>
      </c>
      <c r="B5815" s="2" t="s">
        <v>1272</v>
      </c>
      <c r="C5815" s="5" t="s">
        <v>1131</v>
      </c>
      <c r="D5815" s="2" t="s">
        <v>6188</v>
      </c>
    </row>
    <row r="5816" spans="1:4" ht="12.95" customHeight="1" x14ac:dyDescent="0.25">
      <c r="A5816" s="2" t="s">
        <v>836</v>
      </c>
      <c r="B5816" s="2" t="s">
        <v>1272</v>
      </c>
      <c r="C5816" s="5" t="s">
        <v>1133</v>
      </c>
      <c r="D5816" s="2" t="s">
        <v>6189</v>
      </c>
    </row>
    <row r="5817" spans="1:4" ht="12.95" customHeight="1" x14ac:dyDescent="0.25">
      <c r="A5817" s="2" t="s">
        <v>836</v>
      </c>
      <c r="B5817" s="2" t="s">
        <v>1272</v>
      </c>
      <c r="C5817" s="5" t="s">
        <v>1135</v>
      </c>
      <c r="D5817" s="2" t="s">
        <v>6190</v>
      </c>
    </row>
    <row r="5818" spans="1:4" ht="12.95" customHeight="1" x14ac:dyDescent="0.25">
      <c r="A5818" s="2" t="s">
        <v>836</v>
      </c>
      <c r="B5818" s="2" t="s">
        <v>1272</v>
      </c>
      <c r="C5818" s="5" t="s">
        <v>1137</v>
      </c>
      <c r="D5818" s="2" t="s">
        <v>6191</v>
      </c>
    </row>
    <row r="5819" spans="1:4" ht="12.95" customHeight="1" x14ac:dyDescent="0.25">
      <c r="A5819" s="2" t="s">
        <v>836</v>
      </c>
      <c r="B5819" s="2" t="s">
        <v>1272</v>
      </c>
      <c r="C5819" s="5" t="s">
        <v>1139</v>
      </c>
      <c r="D5819" s="2" t="s">
        <v>6192</v>
      </c>
    </row>
    <row r="5820" spans="1:4" ht="12.95" customHeight="1" x14ac:dyDescent="0.25">
      <c r="A5820" s="2" t="s">
        <v>836</v>
      </c>
      <c r="B5820" s="2" t="s">
        <v>1272</v>
      </c>
      <c r="C5820" s="5" t="s">
        <v>1141</v>
      </c>
      <c r="D5820" s="2" t="s">
        <v>6193</v>
      </c>
    </row>
    <row r="5821" spans="1:4" ht="12.95" customHeight="1" x14ac:dyDescent="0.25">
      <c r="A5821" s="2" t="s">
        <v>836</v>
      </c>
      <c r="B5821" s="2" t="s">
        <v>1272</v>
      </c>
      <c r="C5821" s="5" t="s">
        <v>1295</v>
      </c>
      <c r="D5821" s="2" t="s">
        <v>6194</v>
      </c>
    </row>
    <row r="5822" spans="1:4" ht="12.95" customHeight="1" x14ac:dyDescent="0.25">
      <c r="A5822" s="2" t="s">
        <v>836</v>
      </c>
      <c r="B5822" s="2" t="s">
        <v>1272</v>
      </c>
      <c r="C5822" s="5" t="s">
        <v>1111</v>
      </c>
      <c r="D5822" s="2" t="s">
        <v>1112</v>
      </c>
    </row>
    <row r="5823" spans="1:4" ht="12.95" customHeight="1" x14ac:dyDescent="0.25">
      <c r="A5823" s="2" t="s">
        <v>838</v>
      </c>
      <c r="B5823" s="2" t="s">
        <v>1272</v>
      </c>
      <c r="C5823" s="5" t="s">
        <v>1102</v>
      </c>
      <c r="D5823" s="2" t="s">
        <v>1103</v>
      </c>
    </row>
    <row r="5824" spans="1:4" ht="12.95" customHeight="1" x14ac:dyDescent="0.25">
      <c r="A5824" s="2" t="s">
        <v>838</v>
      </c>
      <c r="B5824" s="2" t="s">
        <v>1272</v>
      </c>
      <c r="C5824" s="5" t="s">
        <v>1084</v>
      </c>
      <c r="D5824" s="2" t="s">
        <v>1085</v>
      </c>
    </row>
    <row r="5825" spans="1:4" ht="12.95" customHeight="1" x14ac:dyDescent="0.25">
      <c r="A5825" s="2" t="s">
        <v>838</v>
      </c>
      <c r="B5825" s="2" t="s">
        <v>1272</v>
      </c>
      <c r="C5825" s="5" t="s">
        <v>1086</v>
      </c>
      <c r="D5825" s="2" t="s">
        <v>1087</v>
      </c>
    </row>
    <row r="5826" spans="1:4" ht="12.95" customHeight="1" x14ac:dyDescent="0.25">
      <c r="A5826" s="2" t="s">
        <v>838</v>
      </c>
      <c r="B5826" s="2" t="s">
        <v>1272</v>
      </c>
      <c r="C5826" s="5" t="s">
        <v>1088</v>
      </c>
      <c r="D5826" s="2" t="s">
        <v>1089</v>
      </c>
    </row>
    <row r="5827" spans="1:4" ht="12.95" customHeight="1" x14ac:dyDescent="0.25">
      <c r="A5827" s="2" t="s">
        <v>838</v>
      </c>
      <c r="B5827" s="2" t="s">
        <v>1272</v>
      </c>
      <c r="C5827" s="5" t="s">
        <v>1090</v>
      </c>
      <c r="D5827" s="2" t="s">
        <v>927</v>
      </c>
    </row>
    <row r="5828" spans="1:4" ht="12.95" customHeight="1" x14ac:dyDescent="0.25">
      <c r="A5828" s="2" t="s">
        <v>838</v>
      </c>
      <c r="B5828" s="2" t="s">
        <v>1272</v>
      </c>
      <c r="C5828" s="5" t="s">
        <v>1092</v>
      </c>
      <c r="D5828" s="2" t="s">
        <v>6199</v>
      </c>
    </row>
    <row r="5829" spans="1:4" ht="12.95" customHeight="1" x14ac:dyDescent="0.25">
      <c r="A5829" s="2" t="s">
        <v>838</v>
      </c>
      <c r="B5829" s="2" t="s">
        <v>1272</v>
      </c>
      <c r="C5829" s="5" t="s">
        <v>1094</v>
      </c>
      <c r="D5829" s="2" t="s">
        <v>6219</v>
      </c>
    </row>
    <row r="5830" spans="1:4" ht="12.95" customHeight="1" x14ac:dyDescent="0.25">
      <c r="A5830" s="2" t="s">
        <v>838</v>
      </c>
      <c r="B5830" s="2" t="s">
        <v>1272</v>
      </c>
      <c r="C5830" s="5" t="s">
        <v>1096</v>
      </c>
      <c r="D5830" s="2" t="s">
        <v>6179</v>
      </c>
    </row>
    <row r="5831" spans="1:4" ht="12.95" customHeight="1" x14ac:dyDescent="0.25">
      <c r="A5831" s="2" t="s">
        <v>838</v>
      </c>
      <c r="B5831" s="2" t="s">
        <v>1272</v>
      </c>
      <c r="C5831" s="5" t="s">
        <v>1098</v>
      </c>
      <c r="D5831" s="2" t="s">
        <v>6200</v>
      </c>
    </row>
    <row r="5832" spans="1:4" ht="12.95" customHeight="1" x14ac:dyDescent="0.25">
      <c r="A5832" s="2" t="s">
        <v>838</v>
      </c>
      <c r="B5832" s="2" t="s">
        <v>1272</v>
      </c>
      <c r="C5832" s="5" t="s">
        <v>1100</v>
      </c>
      <c r="D5832" s="2" t="s">
        <v>6201</v>
      </c>
    </row>
    <row r="5833" spans="1:4" ht="12.95" customHeight="1" x14ac:dyDescent="0.25">
      <c r="A5833" s="2" t="s">
        <v>838</v>
      </c>
      <c r="B5833" s="2" t="s">
        <v>1272</v>
      </c>
      <c r="C5833" s="5" t="s">
        <v>1109</v>
      </c>
      <c r="D5833" s="2" t="s">
        <v>6202</v>
      </c>
    </row>
    <row r="5834" spans="1:4" ht="12.95" customHeight="1" x14ac:dyDescent="0.25">
      <c r="A5834" s="2" t="s">
        <v>838</v>
      </c>
      <c r="B5834" s="2" t="s">
        <v>1272</v>
      </c>
      <c r="C5834" s="5" t="s">
        <v>1119</v>
      </c>
      <c r="D5834" s="2" t="s">
        <v>6203</v>
      </c>
    </row>
    <row r="5835" spans="1:4" ht="12.95" customHeight="1" x14ac:dyDescent="0.25">
      <c r="A5835" s="2" t="s">
        <v>838</v>
      </c>
      <c r="B5835" s="2" t="s">
        <v>1272</v>
      </c>
      <c r="C5835" s="5" t="s">
        <v>1121</v>
      </c>
      <c r="D5835" s="2" t="s">
        <v>6204</v>
      </c>
    </row>
    <row r="5836" spans="1:4" ht="12.95" customHeight="1" x14ac:dyDescent="0.25">
      <c r="A5836" s="2" t="s">
        <v>838</v>
      </c>
      <c r="B5836" s="2" t="s">
        <v>1272</v>
      </c>
      <c r="C5836" s="5" t="s">
        <v>1123</v>
      </c>
      <c r="D5836" s="2" t="s">
        <v>6205</v>
      </c>
    </row>
    <row r="5837" spans="1:4" ht="12.95" customHeight="1" x14ac:dyDescent="0.25">
      <c r="A5837" s="2" t="s">
        <v>838</v>
      </c>
      <c r="B5837" s="2" t="s">
        <v>1272</v>
      </c>
      <c r="C5837" s="5" t="s">
        <v>1125</v>
      </c>
      <c r="D5837" s="2" t="s">
        <v>6206</v>
      </c>
    </row>
    <row r="5838" spans="1:4" ht="12.95" customHeight="1" x14ac:dyDescent="0.25">
      <c r="A5838" s="2" t="s">
        <v>838</v>
      </c>
      <c r="B5838" s="2" t="s">
        <v>1272</v>
      </c>
      <c r="C5838" s="5" t="s">
        <v>1127</v>
      </c>
      <c r="D5838" s="2" t="s">
        <v>6186</v>
      </c>
    </row>
    <row r="5839" spans="1:4" ht="12.95" customHeight="1" x14ac:dyDescent="0.25">
      <c r="A5839" s="2" t="s">
        <v>838</v>
      </c>
      <c r="B5839" s="2" t="s">
        <v>1272</v>
      </c>
      <c r="C5839" s="5" t="s">
        <v>1129</v>
      </c>
      <c r="D5839" s="2" t="s">
        <v>6207</v>
      </c>
    </row>
    <row r="5840" spans="1:4" ht="12.95" customHeight="1" x14ac:dyDescent="0.25">
      <c r="A5840" s="2" t="s">
        <v>838</v>
      </c>
      <c r="B5840" s="2" t="s">
        <v>1272</v>
      </c>
      <c r="C5840" s="5" t="s">
        <v>1131</v>
      </c>
      <c r="D5840" s="2" t="s">
        <v>6188</v>
      </c>
    </row>
    <row r="5841" spans="1:4" ht="12.95" customHeight="1" x14ac:dyDescent="0.25">
      <c r="A5841" s="2" t="s">
        <v>838</v>
      </c>
      <c r="B5841" s="2" t="s">
        <v>1272</v>
      </c>
      <c r="C5841" s="5" t="s">
        <v>1133</v>
      </c>
      <c r="D5841" s="2" t="s">
        <v>6189</v>
      </c>
    </row>
    <row r="5842" spans="1:4" ht="12.95" customHeight="1" x14ac:dyDescent="0.25">
      <c r="A5842" s="2" t="s">
        <v>838</v>
      </c>
      <c r="B5842" s="2" t="s">
        <v>1272</v>
      </c>
      <c r="C5842" s="5" t="s">
        <v>1135</v>
      </c>
      <c r="D5842" s="2" t="s">
        <v>6190</v>
      </c>
    </row>
    <row r="5843" spans="1:4" ht="12.95" customHeight="1" x14ac:dyDescent="0.25">
      <c r="A5843" s="2" t="s">
        <v>838</v>
      </c>
      <c r="B5843" s="2" t="s">
        <v>1272</v>
      </c>
      <c r="C5843" s="5" t="s">
        <v>1137</v>
      </c>
      <c r="D5843" s="2" t="s">
        <v>6191</v>
      </c>
    </row>
    <row r="5844" spans="1:4" ht="12.95" customHeight="1" x14ac:dyDescent="0.25">
      <c r="A5844" s="2" t="s">
        <v>838</v>
      </c>
      <c r="B5844" s="2" t="s">
        <v>1272</v>
      </c>
      <c r="C5844" s="5" t="s">
        <v>1139</v>
      </c>
      <c r="D5844" s="2" t="s">
        <v>6192</v>
      </c>
    </row>
    <row r="5845" spans="1:4" ht="12.95" customHeight="1" x14ac:dyDescent="0.25">
      <c r="A5845" s="2" t="s">
        <v>838</v>
      </c>
      <c r="B5845" s="2" t="s">
        <v>1272</v>
      </c>
      <c r="C5845" s="5" t="s">
        <v>1141</v>
      </c>
      <c r="D5845" s="2" t="s">
        <v>6193</v>
      </c>
    </row>
    <row r="5846" spans="1:4" ht="12.95" customHeight="1" x14ac:dyDescent="0.25">
      <c r="A5846" s="2" t="s">
        <v>838</v>
      </c>
      <c r="B5846" s="2" t="s">
        <v>1272</v>
      </c>
      <c r="C5846" s="5" t="s">
        <v>1295</v>
      </c>
      <c r="D5846" s="2" t="s">
        <v>6194</v>
      </c>
    </row>
    <row r="5847" spans="1:4" ht="12.95" customHeight="1" x14ac:dyDescent="0.25">
      <c r="A5847" s="2" t="s">
        <v>838</v>
      </c>
      <c r="B5847" s="2" t="s">
        <v>1272</v>
      </c>
      <c r="C5847" s="5" t="s">
        <v>1111</v>
      </c>
      <c r="D5847" s="2" t="s">
        <v>1112</v>
      </c>
    </row>
    <row r="5848" spans="1:4" ht="12.95" customHeight="1" x14ac:dyDescent="0.25">
      <c r="A5848" s="2" t="s">
        <v>840</v>
      </c>
      <c r="B5848" s="2" t="s">
        <v>1272</v>
      </c>
      <c r="C5848" s="5" t="s">
        <v>1102</v>
      </c>
      <c r="D5848" s="2" t="s">
        <v>1103</v>
      </c>
    </row>
    <row r="5849" spans="1:4" ht="12.95" customHeight="1" x14ac:dyDescent="0.25">
      <c r="A5849" s="2" t="s">
        <v>840</v>
      </c>
      <c r="B5849" s="2" t="s">
        <v>1272</v>
      </c>
      <c r="C5849" s="5" t="s">
        <v>1084</v>
      </c>
      <c r="D5849" s="2" t="s">
        <v>1153</v>
      </c>
    </row>
    <row r="5850" spans="1:4" ht="12.95" customHeight="1" x14ac:dyDescent="0.25">
      <c r="A5850" s="2" t="s">
        <v>840</v>
      </c>
      <c r="B5850" s="2" t="s">
        <v>1272</v>
      </c>
      <c r="C5850" s="5" t="s">
        <v>1086</v>
      </c>
      <c r="D5850" s="2" t="s">
        <v>1147</v>
      </c>
    </row>
    <row r="5851" spans="1:4" ht="12.95" customHeight="1" x14ac:dyDescent="0.25">
      <c r="A5851" s="2" t="s">
        <v>840</v>
      </c>
      <c r="B5851" s="2" t="s">
        <v>1272</v>
      </c>
      <c r="C5851" s="5" t="s">
        <v>1088</v>
      </c>
      <c r="D5851" s="2" t="s">
        <v>1089</v>
      </c>
    </row>
    <row r="5852" spans="1:4" ht="12.95" customHeight="1" x14ac:dyDescent="0.25">
      <c r="A5852" s="2" t="s">
        <v>843</v>
      </c>
      <c r="B5852" s="2" t="s">
        <v>1146</v>
      </c>
      <c r="C5852" s="5" t="s">
        <v>1090</v>
      </c>
      <c r="D5852" s="2" t="s">
        <v>1179</v>
      </c>
    </row>
    <row r="5853" spans="1:4" ht="12.95" customHeight="1" x14ac:dyDescent="0.25">
      <c r="A5853" s="2" t="s">
        <v>843</v>
      </c>
      <c r="B5853" s="2" t="s">
        <v>1146</v>
      </c>
      <c r="C5853" s="5" t="s">
        <v>1092</v>
      </c>
      <c r="D5853" s="2" t="s">
        <v>1180</v>
      </c>
    </row>
    <row r="5854" spans="1:4" ht="12.95" customHeight="1" x14ac:dyDescent="0.25">
      <c r="A5854" s="2" t="s">
        <v>845</v>
      </c>
      <c r="B5854" s="2" t="s">
        <v>1272</v>
      </c>
      <c r="C5854" s="5" t="s">
        <v>1102</v>
      </c>
      <c r="D5854" s="2" t="s">
        <v>1103</v>
      </c>
    </row>
    <row r="5855" spans="1:4" ht="12.95" customHeight="1" x14ac:dyDescent="0.25">
      <c r="A5855" s="2" t="s">
        <v>845</v>
      </c>
      <c r="B5855" s="2" t="s">
        <v>1272</v>
      </c>
      <c r="C5855" s="5" t="s">
        <v>6220</v>
      </c>
      <c r="D5855" s="2" t="s">
        <v>6221</v>
      </c>
    </row>
    <row r="5856" spans="1:4" ht="12.95" customHeight="1" x14ac:dyDescent="0.25">
      <c r="A5856" s="2" t="s">
        <v>845</v>
      </c>
      <c r="B5856" s="2" t="s">
        <v>1272</v>
      </c>
      <c r="C5856" s="5" t="s">
        <v>6222</v>
      </c>
      <c r="D5856" s="2" t="s">
        <v>6223</v>
      </c>
    </row>
    <row r="5857" spans="1:4" ht="12.95" customHeight="1" x14ac:dyDescent="0.25">
      <c r="A5857" s="2" t="s">
        <v>845</v>
      </c>
      <c r="B5857" s="2" t="s">
        <v>1272</v>
      </c>
      <c r="C5857" s="5" t="s">
        <v>6224</v>
      </c>
      <c r="D5857" s="2" t="s">
        <v>6225</v>
      </c>
    </row>
    <row r="5858" spans="1:4" ht="12.95" customHeight="1" x14ac:dyDescent="0.25">
      <c r="A5858" s="2" t="s">
        <v>845</v>
      </c>
      <c r="B5858" s="2" t="s">
        <v>1272</v>
      </c>
      <c r="C5858" s="5" t="s">
        <v>6226</v>
      </c>
      <c r="D5858" s="2" t="s">
        <v>6227</v>
      </c>
    </row>
    <row r="5859" spans="1:4" ht="12.95" customHeight="1" x14ac:dyDescent="0.25">
      <c r="A5859" s="2" t="s">
        <v>845</v>
      </c>
      <c r="B5859" s="2" t="s">
        <v>1272</v>
      </c>
      <c r="C5859" s="5" t="s">
        <v>6228</v>
      </c>
      <c r="D5859" s="2" t="s">
        <v>6229</v>
      </c>
    </row>
    <row r="5860" spans="1:4" ht="12.95" customHeight="1" x14ac:dyDescent="0.25">
      <c r="A5860" s="2" t="s">
        <v>847</v>
      </c>
      <c r="B5860" s="2" t="s">
        <v>1272</v>
      </c>
      <c r="C5860" s="5" t="s">
        <v>1102</v>
      </c>
      <c r="D5860" s="2" t="s">
        <v>1103</v>
      </c>
    </row>
    <row r="5861" spans="1:4" ht="12.95" customHeight="1" x14ac:dyDescent="0.25">
      <c r="A5861" s="2" t="s">
        <v>849</v>
      </c>
      <c r="B5861" s="2" t="s">
        <v>1272</v>
      </c>
      <c r="C5861" s="5" t="s">
        <v>1102</v>
      </c>
      <c r="D5861" s="2" t="s">
        <v>1103</v>
      </c>
    </row>
    <row r="5862" spans="1:4" ht="12.95" customHeight="1" x14ac:dyDescent="0.25">
      <c r="A5862" s="2" t="s">
        <v>851</v>
      </c>
      <c r="B5862" s="2" t="s">
        <v>1272</v>
      </c>
      <c r="C5862" s="5" t="s">
        <v>1090</v>
      </c>
      <c r="D5862" s="2" t="s">
        <v>1179</v>
      </c>
    </row>
    <row r="5863" spans="1:4" ht="12.95" customHeight="1" x14ac:dyDescent="0.25">
      <c r="A5863" s="2" t="s">
        <v>851</v>
      </c>
      <c r="B5863" s="2" t="s">
        <v>1272</v>
      </c>
      <c r="C5863" s="5" t="s">
        <v>1092</v>
      </c>
      <c r="D5863" s="2" t="s">
        <v>1180</v>
      </c>
    </row>
    <row r="5864" spans="1:4" ht="12.95" customHeight="1" x14ac:dyDescent="0.25">
      <c r="A5864" s="2" t="s">
        <v>853</v>
      </c>
      <c r="B5864" s="2" t="s">
        <v>1272</v>
      </c>
      <c r="C5864" s="5" t="s">
        <v>1102</v>
      </c>
      <c r="D5864" s="2" t="s">
        <v>1103</v>
      </c>
    </row>
    <row r="5865" spans="1:4" ht="12.95" customHeight="1" x14ac:dyDescent="0.25">
      <c r="A5865" s="2" t="s">
        <v>857</v>
      </c>
      <c r="B5865" s="2" t="s">
        <v>1272</v>
      </c>
      <c r="C5865" s="5" t="s">
        <v>1084</v>
      </c>
      <c r="D5865" s="2" t="s">
        <v>1153</v>
      </c>
    </row>
    <row r="5866" spans="1:4" ht="12.95" customHeight="1" x14ac:dyDescent="0.25">
      <c r="A5866" s="2" t="s">
        <v>857</v>
      </c>
      <c r="B5866" s="2" t="s">
        <v>1272</v>
      </c>
      <c r="C5866" s="5" t="s">
        <v>1086</v>
      </c>
      <c r="D5866" s="2" t="s">
        <v>1147</v>
      </c>
    </row>
    <row r="5867" spans="1:4" ht="12.95" customHeight="1" x14ac:dyDescent="0.25">
      <c r="A5867" s="2" t="s">
        <v>857</v>
      </c>
      <c r="B5867" s="2" t="s">
        <v>1272</v>
      </c>
      <c r="C5867" s="5" t="s">
        <v>1090</v>
      </c>
      <c r="D5867" s="2" t="s">
        <v>1179</v>
      </c>
    </row>
    <row r="5868" spans="1:4" ht="12.95" customHeight="1" x14ac:dyDescent="0.25">
      <c r="A5868" s="2" t="s">
        <v>857</v>
      </c>
      <c r="B5868" s="2" t="s">
        <v>1272</v>
      </c>
      <c r="C5868" s="5" t="s">
        <v>1092</v>
      </c>
      <c r="D5868" s="2" t="s">
        <v>1180</v>
      </c>
    </row>
    <row r="5869" spans="1:4" ht="12.95" customHeight="1" x14ac:dyDescent="0.25">
      <c r="A5869" s="2" t="s">
        <v>860</v>
      </c>
      <c r="B5869" s="2" t="s">
        <v>1272</v>
      </c>
      <c r="C5869" s="5" t="s">
        <v>1102</v>
      </c>
      <c r="D5869" s="2" t="s">
        <v>1103</v>
      </c>
    </row>
    <row r="5870" spans="1:4" ht="12.95" customHeight="1" x14ac:dyDescent="0.25">
      <c r="A5870" s="2" t="s">
        <v>860</v>
      </c>
      <c r="B5870" s="2" t="s">
        <v>1272</v>
      </c>
      <c r="C5870" s="5" t="s">
        <v>1084</v>
      </c>
      <c r="D5870" s="2" t="s">
        <v>1085</v>
      </c>
    </row>
    <row r="5871" spans="1:4" ht="12.95" customHeight="1" x14ac:dyDescent="0.25">
      <c r="A5871" s="2" t="s">
        <v>860</v>
      </c>
      <c r="B5871" s="2" t="s">
        <v>1272</v>
      </c>
      <c r="C5871" s="5" t="s">
        <v>1086</v>
      </c>
      <c r="D5871" s="2" t="s">
        <v>1087</v>
      </c>
    </row>
    <row r="5872" spans="1:4" ht="12.95" customHeight="1" x14ac:dyDescent="0.25">
      <c r="A5872" s="2" t="s">
        <v>860</v>
      </c>
      <c r="B5872" s="2" t="s">
        <v>1272</v>
      </c>
      <c r="C5872" s="5" t="s">
        <v>1088</v>
      </c>
      <c r="D5872" s="2" t="s">
        <v>1089</v>
      </c>
    </row>
    <row r="5873" spans="1:4" ht="12.95" customHeight="1" x14ac:dyDescent="0.25">
      <c r="A5873" s="2" t="s">
        <v>860</v>
      </c>
      <c r="B5873" s="2" t="s">
        <v>1272</v>
      </c>
      <c r="C5873" s="5" t="s">
        <v>1090</v>
      </c>
      <c r="D5873" s="2" t="s">
        <v>927</v>
      </c>
    </row>
    <row r="5874" spans="1:4" ht="12.95" customHeight="1" x14ac:dyDescent="0.25">
      <c r="A5874" s="2" t="s">
        <v>860</v>
      </c>
      <c r="B5874" s="2" t="s">
        <v>1272</v>
      </c>
      <c r="C5874" s="5" t="s">
        <v>1092</v>
      </c>
      <c r="D5874" s="2" t="s">
        <v>1107</v>
      </c>
    </row>
    <row r="5875" spans="1:4" ht="12.95" customHeight="1" x14ac:dyDescent="0.25">
      <c r="A5875" s="2" t="s">
        <v>860</v>
      </c>
      <c r="B5875" s="2" t="s">
        <v>1272</v>
      </c>
      <c r="C5875" s="5" t="s">
        <v>1094</v>
      </c>
      <c r="D5875" s="2" t="s">
        <v>6219</v>
      </c>
    </row>
    <row r="5876" spans="1:4" ht="12.95" customHeight="1" x14ac:dyDescent="0.25">
      <c r="A5876" s="2" t="s">
        <v>860</v>
      </c>
      <c r="B5876" s="2" t="s">
        <v>1272</v>
      </c>
      <c r="C5876" s="5" t="s">
        <v>1096</v>
      </c>
      <c r="D5876" s="2" t="s">
        <v>6179</v>
      </c>
    </row>
    <row r="5877" spans="1:4" ht="12.95" customHeight="1" x14ac:dyDescent="0.25">
      <c r="A5877" s="2" t="s">
        <v>860</v>
      </c>
      <c r="B5877" s="2" t="s">
        <v>1272</v>
      </c>
      <c r="C5877" s="5" t="s">
        <v>1098</v>
      </c>
      <c r="D5877" s="2" t="s">
        <v>4632</v>
      </c>
    </row>
    <row r="5878" spans="1:4" ht="12.95" customHeight="1" x14ac:dyDescent="0.25">
      <c r="A5878" s="2" t="s">
        <v>860</v>
      </c>
      <c r="B5878" s="2" t="s">
        <v>1272</v>
      </c>
      <c r="C5878" s="5" t="s">
        <v>1100</v>
      </c>
      <c r="D5878" s="2" t="s">
        <v>6180</v>
      </c>
    </row>
    <row r="5879" spans="1:4" ht="12.95" customHeight="1" x14ac:dyDescent="0.25">
      <c r="A5879" s="2" t="s">
        <v>860</v>
      </c>
      <c r="B5879" s="2" t="s">
        <v>1272</v>
      </c>
      <c r="C5879" s="5" t="s">
        <v>1109</v>
      </c>
      <c r="D5879" s="2" t="s">
        <v>6202</v>
      </c>
    </row>
    <row r="5880" spans="1:4" ht="12.95" customHeight="1" x14ac:dyDescent="0.25">
      <c r="A5880" s="2" t="s">
        <v>860</v>
      </c>
      <c r="B5880" s="2" t="s">
        <v>1272</v>
      </c>
      <c r="C5880" s="5" t="s">
        <v>1119</v>
      </c>
      <c r="D5880" s="2" t="s">
        <v>6182</v>
      </c>
    </row>
    <row r="5881" spans="1:4" ht="12.95" customHeight="1" x14ac:dyDescent="0.25">
      <c r="A5881" s="2" t="s">
        <v>860</v>
      </c>
      <c r="B5881" s="2" t="s">
        <v>1272</v>
      </c>
      <c r="C5881" s="5" t="s">
        <v>1121</v>
      </c>
      <c r="D5881" s="2" t="s">
        <v>6183</v>
      </c>
    </row>
    <row r="5882" spans="1:4" ht="12.95" customHeight="1" x14ac:dyDescent="0.25">
      <c r="A5882" s="2" t="s">
        <v>860</v>
      </c>
      <c r="B5882" s="2" t="s">
        <v>1272</v>
      </c>
      <c r="C5882" s="5" t="s">
        <v>1123</v>
      </c>
      <c r="D5882" s="2" t="s">
        <v>6184</v>
      </c>
    </row>
    <row r="5883" spans="1:4" ht="12.95" customHeight="1" x14ac:dyDescent="0.25">
      <c r="A5883" s="2" t="s">
        <v>860</v>
      </c>
      <c r="B5883" s="2" t="s">
        <v>1272</v>
      </c>
      <c r="C5883" s="5" t="s">
        <v>1125</v>
      </c>
      <c r="D5883" s="2" t="s">
        <v>6206</v>
      </c>
    </row>
    <row r="5884" spans="1:4" ht="12.95" customHeight="1" x14ac:dyDescent="0.25">
      <c r="A5884" s="2" t="s">
        <v>860</v>
      </c>
      <c r="B5884" s="2" t="s">
        <v>1272</v>
      </c>
      <c r="C5884" s="5" t="s">
        <v>1127</v>
      </c>
      <c r="D5884" s="2" t="s">
        <v>6230</v>
      </c>
    </row>
    <row r="5885" spans="1:4" ht="12.95" customHeight="1" x14ac:dyDescent="0.25">
      <c r="A5885" s="2" t="s">
        <v>860</v>
      </c>
      <c r="B5885" s="2" t="s">
        <v>1272</v>
      </c>
      <c r="C5885" s="5" t="s">
        <v>1129</v>
      </c>
      <c r="D5885" s="2" t="s">
        <v>6187</v>
      </c>
    </row>
    <row r="5886" spans="1:4" ht="12.95" customHeight="1" x14ac:dyDescent="0.25">
      <c r="A5886" s="2" t="s">
        <v>860</v>
      </c>
      <c r="B5886" s="2" t="s">
        <v>1272</v>
      </c>
      <c r="C5886" s="5" t="s">
        <v>1131</v>
      </c>
      <c r="D5886" s="2" t="s">
        <v>6188</v>
      </c>
    </row>
    <row r="5887" spans="1:4" ht="12.95" customHeight="1" x14ac:dyDescent="0.25">
      <c r="A5887" s="2" t="s">
        <v>860</v>
      </c>
      <c r="B5887" s="2" t="s">
        <v>1272</v>
      </c>
      <c r="C5887" s="5" t="s">
        <v>1133</v>
      </c>
      <c r="D5887" s="2" t="s">
        <v>6189</v>
      </c>
    </row>
    <row r="5888" spans="1:4" ht="12.95" customHeight="1" x14ac:dyDescent="0.25">
      <c r="A5888" s="2" t="s">
        <v>860</v>
      </c>
      <c r="B5888" s="2" t="s">
        <v>1272</v>
      </c>
      <c r="C5888" s="5" t="s">
        <v>1135</v>
      </c>
      <c r="D5888" s="2" t="s">
        <v>6231</v>
      </c>
    </row>
    <row r="5889" spans="1:4" ht="12.95" customHeight="1" x14ac:dyDescent="0.25">
      <c r="A5889" s="2" t="s">
        <v>860</v>
      </c>
      <c r="B5889" s="2" t="s">
        <v>1272</v>
      </c>
      <c r="C5889" s="5" t="s">
        <v>1137</v>
      </c>
      <c r="D5889" s="2" t="s">
        <v>6232</v>
      </c>
    </row>
    <row r="5890" spans="1:4" ht="12.95" customHeight="1" x14ac:dyDescent="0.25">
      <c r="A5890" s="2" t="s">
        <v>860</v>
      </c>
      <c r="B5890" s="2" t="s">
        <v>1272</v>
      </c>
      <c r="C5890" s="5" t="s">
        <v>1139</v>
      </c>
      <c r="D5890" s="2" t="s">
        <v>6192</v>
      </c>
    </row>
    <row r="5891" spans="1:4" ht="12.95" customHeight="1" x14ac:dyDescent="0.25">
      <c r="A5891" s="2" t="s">
        <v>860</v>
      </c>
      <c r="B5891" s="2" t="s">
        <v>1272</v>
      </c>
      <c r="C5891" s="5" t="s">
        <v>1141</v>
      </c>
      <c r="D5891" s="2" t="s">
        <v>6210</v>
      </c>
    </row>
    <row r="5892" spans="1:4" ht="12.95" customHeight="1" x14ac:dyDescent="0.25">
      <c r="A5892" s="2" t="s">
        <v>860</v>
      </c>
      <c r="B5892" s="2" t="s">
        <v>1272</v>
      </c>
      <c r="C5892" s="5" t="s">
        <v>1295</v>
      </c>
      <c r="D5892" s="2" t="s">
        <v>6233</v>
      </c>
    </row>
    <row r="5893" spans="1:4" ht="12.95" customHeight="1" x14ac:dyDescent="0.25">
      <c r="A5893" s="2" t="s">
        <v>860</v>
      </c>
      <c r="B5893" s="2" t="s">
        <v>1272</v>
      </c>
      <c r="C5893" s="5" t="s">
        <v>1111</v>
      </c>
      <c r="D5893" s="2" t="s">
        <v>6211</v>
      </c>
    </row>
    <row r="5894" spans="1:4" ht="12.95" customHeight="1" x14ac:dyDescent="0.25">
      <c r="A5894" s="2" t="s">
        <v>862</v>
      </c>
      <c r="B5894" s="2" t="s">
        <v>1272</v>
      </c>
      <c r="C5894" s="5" t="s">
        <v>1084</v>
      </c>
      <c r="D5894" s="2" t="s">
        <v>1085</v>
      </c>
    </row>
    <row r="5895" spans="1:4" ht="12.95" customHeight="1" x14ac:dyDescent="0.25">
      <c r="A5895" s="2" t="s">
        <v>862</v>
      </c>
      <c r="B5895" s="2" t="s">
        <v>1272</v>
      </c>
      <c r="C5895" s="5" t="s">
        <v>1086</v>
      </c>
      <c r="D5895" s="2" t="s">
        <v>1087</v>
      </c>
    </row>
    <row r="5896" spans="1:4" ht="12.95" customHeight="1" x14ac:dyDescent="0.25">
      <c r="A5896" s="2" t="s">
        <v>862</v>
      </c>
      <c r="B5896" s="2" t="s">
        <v>1272</v>
      </c>
      <c r="C5896" s="5" t="s">
        <v>1090</v>
      </c>
      <c r="D5896" s="2" t="s">
        <v>927</v>
      </c>
    </row>
    <row r="5897" spans="1:4" ht="12.95" customHeight="1" x14ac:dyDescent="0.25">
      <c r="A5897" s="2" t="s">
        <v>862</v>
      </c>
      <c r="B5897" s="2" t="s">
        <v>1272</v>
      </c>
      <c r="C5897" s="5" t="s">
        <v>1092</v>
      </c>
      <c r="D5897" s="2" t="s">
        <v>1107</v>
      </c>
    </row>
    <row r="5898" spans="1:4" ht="12.95" customHeight="1" x14ac:dyDescent="0.25">
      <c r="A5898" s="2" t="s">
        <v>862</v>
      </c>
      <c r="B5898" s="2" t="s">
        <v>1272</v>
      </c>
      <c r="C5898" s="5" t="s">
        <v>1094</v>
      </c>
      <c r="D5898" s="2" t="s">
        <v>6219</v>
      </c>
    </row>
    <row r="5899" spans="1:4" ht="12.95" customHeight="1" x14ac:dyDescent="0.25">
      <c r="A5899" s="2" t="s">
        <v>862</v>
      </c>
      <c r="B5899" s="2" t="s">
        <v>1272</v>
      </c>
      <c r="C5899" s="5" t="s">
        <v>1096</v>
      </c>
      <c r="D5899" s="2" t="s">
        <v>6179</v>
      </c>
    </row>
    <row r="5900" spans="1:4" ht="12.95" customHeight="1" x14ac:dyDescent="0.25">
      <c r="A5900" s="2" t="s">
        <v>862</v>
      </c>
      <c r="B5900" s="2" t="s">
        <v>1272</v>
      </c>
      <c r="C5900" s="5" t="s">
        <v>1098</v>
      </c>
      <c r="D5900" s="2" t="s">
        <v>4632</v>
      </c>
    </row>
    <row r="5901" spans="1:4" ht="12.95" customHeight="1" x14ac:dyDescent="0.25">
      <c r="A5901" s="2" t="s">
        <v>862</v>
      </c>
      <c r="B5901" s="2" t="s">
        <v>1272</v>
      </c>
      <c r="C5901" s="5" t="s">
        <v>1100</v>
      </c>
      <c r="D5901" s="2" t="s">
        <v>6180</v>
      </c>
    </row>
    <row r="5902" spans="1:4" ht="12.95" customHeight="1" x14ac:dyDescent="0.25">
      <c r="A5902" s="2" t="s">
        <v>862</v>
      </c>
      <c r="B5902" s="2" t="s">
        <v>1272</v>
      </c>
      <c r="C5902" s="5" t="s">
        <v>1109</v>
      </c>
      <c r="D5902" s="2" t="s">
        <v>6202</v>
      </c>
    </row>
    <row r="5903" spans="1:4" ht="12.95" customHeight="1" x14ac:dyDescent="0.25">
      <c r="A5903" s="2" t="s">
        <v>862</v>
      </c>
      <c r="B5903" s="2" t="s">
        <v>1272</v>
      </c>
      <c r="C5903" s="5" t="s">
        <v>1119</v>
      </c>
      <c r="D5903" s="2" t="s">
        <v>6182</v>
      </c>
    </row>
    <row r="5904" spans="1:4" ht="12.95" customHeight="1" x14ac:dyDescent="0.25">
      <c r="A5904" s="2" t="s">
        <v>862</v>
      </c>
      <c r="B5904" s="2" t="s">
        <v>1272</v>
      </c>
      <c r="C5904" s="5" t="s">
        <v>1121</v>
      </c>
      <c r="D5904" s="2" t="s">
        <v>6183</v>
      </c>
    </row>
    <row r="5905" spans="1:4" ht="12.95" customHeight="1" x14ac:dyDescent="0.25">
      <c r="A5905" s="2" t="s">
        <v>862</v>
      </c>
      <c r="B5905" s="2" t="s">
        <v>1272</v>
      </c>
      <c r="C5905" s="5" t="s">
        <v>1123</v>
      </c>
      <c r="D5905" s="2" t="s">
        <v>6184</v>
      </c>
    </row>
    <row r="5906" spans="1:4" ht="12.95" customHeight="1" x14ac:dyDescent="0.25">
      <c r="A5906" s="2" t="s">
        <v>862</v>
      </c>
      <c r="B5906" s="2" t="s">
        <v>1272</v>
      </c>
      <c r="C5906" s="5" t="s">
        <v>1125</v>
      </c>
      <c r="D5906" s="2" t="s">
        <v>6206</v>
      </c>
    </row>
    <row r="5907" spans="1:4" ht="12.95" customHeight="1" x14ac:dyDescent="0.25">
      <c r="A5907" s="2" t="s">
        <v>862</v>
      </c>
      <c r="B5907" s="2" t="s">
        <v>1272</v>
      </c>
      <c r="C5907" s="5" t="s">
        <v>1127</v>
      </c>
      <c r="D5907" s="2" t="s">
        <v>6230</v>
      </c>
    </row>
    <row r="5908" spans="1:4" ht="12.95" customHeight="1" x14ac:dyDescent="0.25">
      <c r="A5908" s="2" t="s">
        <v>862</v>
      </c>
      <c r="B5908" s="2" t="s">
        <v>1272</v>
      </c>
      <c r="C5908" s="5" t="s">
        <v>1129</v>
      </c>
      <c r="D5908" s="2" t="s">
        <v>6187</v>
      </c>
    </row>
    <row r="5909" spans="1:4" ht="12.95" customHeight="1" x14ac:dyDescent="0.25">
      <c r="A5909" s="2" t="s">
        <v>862</v>
      </c>
      <c r="B5909" s="2" t="s">
        <v>1272</v>
      </c>
      <c r="C5909" s="5" t="s">
        <v>1131</v>
      </c>
      <c r="D5909" s="2" t="s">
        <v>6188</v>
      </c>
    </row>
    <row r="5910" spans="1:4" ht="12.95" customHeight="1" x14ac:dyDescent="0.25">
      <c r="A5910" s="2" t="s">
        <v>862</v>
      </c>
      <c r="B5910" s="2" t="s">
        <v>1272</v>
      </c>
      <c r="C5910" s="5" t="s">
        <v>1133</v>
      </c>
      <c r="D5910" s="2" t="s">
        <v>6189</v>
      </c>
    </row>
    <row r="5911" spans="1:4" ht="12.95" customHeight="1" x14ac:dyDescent="0.25">
      <c r="A5911" s="2" t="s">
        <v>862</v>
      </c>
      <c r="B5911" s="2" t="s">
        <v>1272</v>
      </c>
      <c r="C5911" s="5" t="s">
        <v>1135</v>
      </c>
      <c r="D5911" s="2" t="s">
        <v>6231</v>
      </c>
    </row>
    <row r="5912" spans="1:4" ht="12.95" customHeight="1" x14ac:dyDescent="0.25">
      <c r="A5912" s="2" t="s">
        <v>862</v>
      </c>
      <c r="B5912" s="2" t="s">
        <v>1272</v>
      </c>
      <c r="C5912" s="5" t="s">
        <v>1137</v>
      </c>
      <c r="D5912" s="2" t="s">
        <v>6232</v>
      </c>
    </row>
    <row r="5913" spans="1:4" ht="12.95" customHeight="1" x14ac:dyDescent="0.25">
      <c r="A5913" s="2" t="s">
        <v>862</v>
      </c>
      <c r="B5913" s="2" t="s">
        <v>1272</v>
      </c>
      <c r="C5913" s="5" t="s">
        <v>1139</v>
      </c>
      <c r="D5913" s="2" t="s">
        <v>6192</v>
      </c>
    </row>
    <row r="5914" spans="1:4" ht="12.95" customHeight="1" x14ac:dyDescent="0.25">
      <c r="A5914" s="2" t="s">
        <v>862</v>
      </c>
      <c r="B5914" s="2" t="s">
        <v>1272</v>
      </c>
      <c r="C5914" s="5" t="s">
        <v>1141</v>
      </c>
      <c r="D5914" s="2" t="s">
        <v>6210</v>
      </c>
    </row>
    <row r="5915" spans="1:4" ht="12.95" customHeight="1" x14ac:dyDescent="0.25">
      <c r="A5915" s="2" t="s">
        <v>862</v>
      </c>
      <c r="B5915" s="2" t="s">
        <v>1272</v>
      </c>
      <c r="C5915" s="5" t="s">
        <v>1295</v>
      </c>
      <c r="D5915" s="2" t="s">
        <v>6233</v>
      </c>
    </row>
    <row r="5916" spans="1:4" ht="12.95" customHeight="1" x14ac:dyDescent="0.25">
      <c r="A5916" s="2" t="s">
        <v>862</v>
      </c>
      <c r="B5916" s="2" t="s">
        <v>1272</v>
      </c>
      <c r="C5916" s="5" t="s">
        <v>1111</v>
      </c>
      <c r="D5916" s="2" t="s">
        <v>6211</v>
      </c>
    </row>
    <row r="5917" spans="1:4" ht="12.95" customHeight="1" x14ac:dyDescent="0.25">
      <c r="A5917" s="2" t="s">
        <v>865</v>
      </c>
      <c r="B5917" s="2" t="s">
        <v>1272</v>
      </c>
      <c r="C5917" s="5" t="s">
        <v>1102</v>
      </c>
      <c r="D5917" s="2" t="s">
        <v>1103</v>
      </c>
    </row>
    <row r="5918" spans="1:4" ht="12.95" customHeight="1" x14ac:dyDescent="0.25">
      <c r="A5918" s="2" t="s">
        <v>865</v>
      </c>
      <c r="B5918" s="2" t="s">
        <v>1272</v>
      </c>
      <c r="C5918" s="5" t="s">
        <v>1088</v>
      </c>
      <c r="D5918" s="2" t="s">
        <v>1089</v>
      </c>
    </row>
    <row r="5919" spans="1:4" ht="12.95" customHeight="1" x14ac:dyDescent="0.25">
      <c r="A5919" s="2" t="s">
        <v>868</v>
      </c>
      <c r="B5919" s="2" t="s">
        <v>1272</v>
      </c>
      <c r="C5919" s="5" t="s">
        <v>1102</v>
      </c>
      <c r="D5919" s="2" t="s">
        <v>1103</v>
      </c>
    </row>
    <row r="5920" spans="1:4" ht="12.95" customHeight="1" x14ac:dyDescent="0.25">
      <c r="A5920" s="2" t="s">
        <v>868</v>
      </c>
      <c r="B5920" s="2" t="s">
        <v>1272</v>
      </c>
      <c r="C5920" s="5" t="s">
        <v>1088</v>
      </c>
      <c r="D5920" s="2" t="s">
        <v>1089</v>
      </c>
    </row>
    <row r="5921" spans="1:4" ht="12.95" customHeight="1" x14ac:dyDescent="0.25">
      <c r="A5921" s="2" t="s">
        <v>870</v>
      </c>
      <c r="B5921" s="2" t="s">
        <v>1272</v>
      </c>
      <c r="C5921" s="5" t="s">
        <v>1102</v>
      </c>
      <c r="D5921" s="2" t="s">
        <v>1103</v>
      </c>
    </row>
    <row r="5922" spans="1:4" ht="12.95" customHeight="1" x14ac:dyDescent="0.25">
      <c r="A5922" s="2" t="s">
        <v>870</v>
      </c>
      <c r="B5922" s="2" t="s">
        <v>1272</v>
      </c>
      <c r="C5922" s="5" t="s">
        <v>1084</v>
      </c>
      <c r="D5922" s="2" t="s">
        <v>1153</v>
      </c>
    </row>
    <row r="5923" spans="1:4" ht="12.95" customHeight="1" x14ac:dyDescent="0.25">
      <c r="A5923" s="2" t="s">
        <v>870</v>
      </c>
      <c r="B5923" s="2" t="s">
        <v>1272</v>
      </c>
      <c r="C5923" s="5" t="s">
        <v>1086</v>
      </c>
      <c r="D5923" s="2" t="s">
        <v>1147</v>
      </c>
    </row>
    <row r="5924" spans="1:4" ht="12.95" customHeight="1" x14ac:dyDescent="0.25">
      <c r="A5924" s="2" t="s">
        <v>870</v>
      </c>
      <c r="B5924" s="2" t="s">
        <v>1272</v>
      </c>
      <c r="C5924" s="5" t="s">
        <v>1088</v>
      </c>
      <c r="D5924" s="2" t="s">
        <v>1089</v>
      </c>
    </row>
    <row r="5925" spans="1:4" ht="12.95" customHeight="1" x14ac:dyDescent="0.25">
      <c r="A5925" s="2" t="s">
        <v>873</v>
      </c>
      <c r="B5925" s="2" t="s">
        <v>1146</v>
      </c>
      <c r="C5925" s="5" t="s">
        <v>1102</v>
      </c>
      <c r="D5925" s="2" t="s">
        <v>1103</v>
      </c>
    </row>
    <row r="5926" spans="1:4" ht="12.95" customHeight="1" x14ac:dyDescent="0.25">
      <c r="A5926" s="2" t="s">
        <v>873</v>
      </c>
      <c r="B5926" s="2" t="s">
        <v>1146</v>
      </c>
      <c r="C5926" s="5" t="s">
        <v>1090</v>
      </c>
      <c r="D5926" s="2" t="s">
        <v>6234</v>
      </c>
    </row>
    <row r="5927" spans="1:4" ht="12.95" customHeight="1" x14ac:dyDescent="0.25">
      <c r="A5927" s="2" t="s">
        <v>873</v>
      </c>
      <c r="B5927" s="2" t="s">
        <v>1146</v>
      </c>
      <c r="C5927" s="5" t="s">
        <v>1092</v>
      </c>
      <c r="D5927" s="2" t="s">
        <v>6235</v>
      </c>
    </row>
    <row r="5928" spans="1:4" ht="12.95" customHeight="1" x14ac:dyDescent="0.25">
      <c r="A5928" s="2" t="s">
        <v>873</v>
      </c>
      <c r="B5928" s="2" t="s">
        <v>1146</v>
      </c>
      <c r="C5928" s="5" t="s">
        <v>1094</v>
      </c>
      <c r="D5928" s="2" t="s">
        <v>6236</v>
      </c>
    </row>
    <row r="5929" spans="1:4" ht="12.95" customHeight="1" x14ac:dyDescent="0.25">
      <c r="A5929" s="2" t="s">
        <v>873</v>
      </c>
      <c r="B5929" s="2" t="s">
        <v>1146</v>
      </c>
      <c r="C5929" s="5" t="s">
        <v>1096</v>
      </c>
      <c r="D5929" s="2" t="s">
        <v>6237</v>
      </c>
    </row>
    <row r="5930" spans="1:4" ht="12.95" customHeight="1" x14ac:dyDescent="0.25">
      <c r="A5930" s="2" t="s">
        <v>875</v>
      </c>
      <c r="B5930" s="2" t="s">
        <v>1146</v>
      </c>
      <c r="C5930" s="5" t="s">
        <v>1102</v>
      </c>
      <c r="D5930" s="2" t="s">
        <v>1103</v>
      </c>
    </row>
    <row r="5931" spans="1:4" ht="12.95" customHeight="1" x14ac:dyDescent="0.25">
      <c r="A5931" s="2" t="s">
        <v>875</v>
      </c>
      <c r="B5931" s="2" t="s">
        <v>1146</v>
      </c>
      <c r="C5931" s="5" t="s">
        <v>1090</v>
      </c>
      <c r="D5931" s="2" t="s">
        <v>6238</v>
      </c>
    </row>
    <row r="5932" spans="1:4" ht="12.95" customHeight="1" x14ac:dyDescent="0.25">
      <c r="A5932" s="2" t="s">
        <v>875</v>
      </c>
      <c r="B5932" s="2" t="s">
        <v>1146</v>
      </c>
      <c r="C5932" s="5" t="s">
        <v>1092</v>
      </c>
      <c r="D5932" s="2" t="s">
        <v>6239</v>
      </c>
    </row>
    <row r="5933" spans="1:4" ht="12.95" customHeight="1" x14ac:dyDescent="0.25">
      <c r="A5933" s="2" t="s">
        <v>875</v>
      </c>
      <c r="B5933" s="2" t="s">
        <v>1146</v>
      </c>
      <c r="C5933" s="5" t="s">
        <v>1094</v>
      </c>
      <c r="D5933" s="2" t="s">
        <v>6240</v>
      </c>
    </row>
    <row r="5934" spans="1:4" ht="12.95" customHeight="1" x14ac:dyDescent="0.25">
      <c r="A5934" s="2" t="s">
        <v>875</v>
      </c>
      <c r="B5934" s="2" t="s">
        <v>1146</v>
      </c>
      <c r="C5934" s="5" t="s">
        <v>1096</v>
      </c>
      <c r="D5934" s="2" t="s">
        <v>6241</v>
      </c>
    </row>
    <row r="5935" spans="1:4" ht="12.95" customHeight="1" x14ac:dyDescent="0.25">
      <c r="A5935" s="2" t="s">
        <v>875</v>
      </c>
      <c r="B5935" s="2" t="s">
        <v>1146</v>
      </c>
      <c r="C5935" s="5" t="s">
        <v>1098</v>
      </c>
      <c r="D5935" s="2" t="s">
        <v>6242</v>
      </c>
    </row>
    <row r="5936" spans="1:4" ht="12.95" customHeight="1" x14ac:dyDescent="0.25">
      <c r="A5936" s="2" t="s">
        <v>875</v>
      </c>
      <c r="B5936" s="2" t="s">
        <v>1146</v>
      </c>
      <c r="C5936" s="5" t="s">
        <v>1100</v>
      </c>
      <c r="D5936" s="2" t="s">
        <v>6243</v>
      </c>
    </row>
    <row r="5937" spans="1:4" ht="12.95" customHeight="1" x14ac:dyDescent="0.25">
      <c r="A5937" s="2" t="s">
        <v>877</v>
      </c>
      <c r="B5937" s="2" t="s">
        <v>1146</v>
      </c>
      <c r="C5937" s="5" t="s">
        <v>1102</v>
      </c>
      <c r="D5937" s="2" t="s">
        <v>1103</v>
      </c>
    </row>
    <row r="5938" spans="1:4" ht="12.95" customHeight="1" x14ac:dyDescent="0.25">
      <c r="A5938" s="2" t="s">
        <v>877</v>
      </c>
      <c r="B5938" s="2" t="s">
        <v>1146</v>
      </c>
      <c r="C5938" s="5" t="s">
        <v>1090</v>
      </c>
      <c r="D5938" s="2" t="s">
        <v>6244</v>
      </c>
    </row>
    <row r="5939" spans="1:4" ht="12.95" customHeight="1" x14ac:dyDescent="0.25">
      <c r="A5939" s="2" t="s">
        <v>877</v>
      </c>
      <c r="B5939" s="2" t="s">
        <v>1146</v>
      </c>
      <c r="C5939" s="5" t="s">
        <v>1092</v>
      </c>
      <c r="D5939" s="2" t="s">
        <v>6245</v>
      </c>
    </row>
    <row r="5940" spans="1:4" ht="12.95" customHeight="1" x14ac:dyDescent="0.25">
      <c r="A5940" s="2" t="s">
        <v>879</v>
      </c>
      <c r="B5940" s="2" t="s">
        <v>1083</v>
      </c>
      <c r="C5940" s="5" t="s">
        <v>1102</v>
      </c>
      <c r="D5940" s="2" t="s">
        <v>1103</v>
      </c>
    </row>
    <row r="5941" spans="1:4" ht="12.95" customHeight="1" x14ac:dyDescent="0.25">
      <c r="A5941" s="2" t="s">
        <v>879</v>
      </c>
      <c r="B5941" s="2" t="s">
        <v>1083</v>
      </c>
      <c r="C5941" s="5" t="s">
        <v>1084</v>
      </c>
      <c r="D5941" s="2" t="s">
        <v>1153</v>
      </c>
    </row>
    <row r="5942" spans="1:4" ht="12.95" customHeight="1" x14ac:dyDescent="0.25">
      <c r="A5942" s="2" t="s">
        <v>879</v>
      </c>
      <c r="B5942" s="2" t="s">
        <v>1083</v>
      </c>
      <c r="C5942" s="5" t="s">
        <v>1086</v>
      </c>
      <c r="D5942" s="2" t="s">
        <v>1147</v>
      </c>
    </row>
    <row r="5943" spans="1:4" ht="12.95" customHeight="1" x14ac:dyDescent="0.25">
      <c r="A5943" s="2" t="s">
        <v>879</v>
      </c>
      <c r="B5943" s="2" t="s">
        <v>1083</v>
      </c>
      <c r="C5943" s="5" t="s">
        <v>1090</v>
      </c>
      <c r="D5943" s="2" t="s">
        <v>1179</v>
      </c>
    </row>
    <row r="5944" spans="1:4" ht="12.95" customHeight="1" x14ac:dyDescent="0.25">
      <c r="A5944" s="2" t="s">
        <v>879</v>
      </c>
      <c r="B5944" s="2" t="s">
        <v>1083</v>
      </c>
      <c r="C5944" s="5" t="s">
        <v>1092</v>
      </c>
      <c r="D5944" s="2" t="s">
        <v>1271</v>
      </c>
    </row>
    <row r="5945" spans="1:4" ht="12.95" customHeight="1" x14ac:dyDescent="0.25">
      <c r="A5945" s="2" t="s">
        <v>881</v>
      </c>
      <c r="B5945" s="2" t="s">
        <v>1083</v>
      </c>
      <c r="C5945" s="5" t="s">
        <v>1084</v>
      </c>
      <c r="D5945" s="2" t="s">
        <v>1153</v>
      </c>
    </row>
    <row r="5946" spans="1:4" ht="12.95" customHeight="1" x14ac:dyDescent="0.25">
      <c r="A5946" s="2" t="s">
        <v>881</v>
      </c>
      <c r="B5946" s="2" t="s">
        <v>1083</v>
      </c>
      <c r="C5946" s="5" t="s">
        <v>1086</v>
      </c>
      <c r="D5946" s="2" t="s">
        <v>1147</v>
      </c>
    </row>
    <row r="5947" spans="1:4" ht="12.95" customHeight="1" x14ac:dyDescent="0.25">
      <c r="A5947" s="2" t="s">
        <v>881</v>
      </c>
      <c r="B5947" s="2" t="s">
        <v>1083</v>
      </c>
      <c r="C5947" s="5" t="s">
        <v>1090</v>
      </c>
      <c r="D5947" s="2" t="s">
        <v>1179</v>
      </c>
    </row>
    <row r="5948" spans="1:4" ht="12.95" customHeight="1" x14ac:dyDescent="0.25">
      <c r="A5948" s="2" t="s">
        <v>881</v>
      </c>
      <c r="B5948" s="2" t="s">
        <v>1083</v>
      </c>
      <c r="C5948" s="5" t="s">
        <v>1092</v>
      </c>
      <c r="D5948" s="2" t="s">
        <v>1271</v>
      </c>
    </row>
    <row r="5949" spans="1:4" ht="12.95" customHeight="1" x14ac:dyDescent="0.25">
      <c r="A5949" s="2" t="s">
        <v>884</v>
      </c>
      <c r="B5949" s="2" t="s">
        <v>1113</v>
      </c>
      <c r="C5949" s="5" t="s">
        <v>1084</v>
      </c>
      <c r="D5949" s="2" t="s">
        <v>1085</v>
      </c>
    </row>
    <row r="5950" spans="1:4" ht="12.95" customHeight="1" x14ac:dyDescent="0.25">
      <c r="A5950" s="2" t="s">
        <v>884</v>
      </c>
      <c r="B5950" s="2" t="s">
        <v>1113</v>
      </c>
      <c r="C5950" s="5" t="s">
        <v>1086</v>
      </c>
      <c r="D5950" s="2" t="s">
        <v>1087</v>
      </c>
    </row>
    <row r="5951" spans="1:4" ht="12.95" customHeight="1" x14ac:dyDescent="0.25">
      <c r="A5951" s="2" t="s">
        <v>886</v>
      </c>
      <c r="B5951" s="2" t="s">
        <v>1113</v>
      </c>
      <c r="C5951" s="5" t="s">
        <v>1102</v>
      </c>
      <c r="D5951" s="2" t="s">
        <v>1103</v>
      </c>
    </row>
    <row r="5952" spans="1:4" ht="12.95" customHeight="1" x14ac:dyDescent="0.25">
      <c r="A5952" s="2" t="s">
        <v>886</v>
      </c>
      <c r="B5952" s="2" t="s">
        <v>1272</v>
      </c>
      <c r="C5952" s="5" t="s">
        <v>1088</v>
      </c>
      <c r="D5952" s="2" t="s">
        <v>1089</v>
      </c>
    </row>
    <row r="5953" spans="1:4" ht="12.95" customHeight="1" x14ac:dyDescent="0.25">
      <c r="A5953" s="2" t="s">
        <v>886</v>
      </c>
      <c r="B5953" s="2" t="s">
        <v>1272</v>
      </c>
      <c r="C5953" s="5" t="s">
        <v>1090</v>
      </c>
      <c r="D5953" s="2" t="s">
        <v>6246</v>
      </c>
    </row>
    <row r="5954" spans="1:4" ht="12.95" customHeight="1" x14ac:dyDescent="0.25">
      <c r="A5954" s="2" t="s">
        <v>886</v>
      </c>
      <c r="B5954" s="2" t="s">
        <v>1272</v>
      </c>
      <c r="C5954" s="5" t="s">
        <v>1092</v>
      </c>
      <c r="D5954" s="2" t="s">
        <v>6247</v>
      </c>
    </row>
    <row r="5955" spans="1:4" ht="12.95" customHeight="1" x14ac:dyDescent="0.25">
      <c r="A5955" s="2" t="s">
        <v>886</v>
      </c>
      <c r="B5955" s="2" t="s">
        <v>1272</v>
      </c>
      <c r="C5955" s="5" t="s">
        <v>1094</v>
      </c>
      <c r="D5955" s="2" t="s">
        <v>6248</v>
      </c>
    </row>
    <row r="5956" spans="1:4" ht="12.95" customHeight="1" x14ac:dyDescent="0.25">
      <c r="A5956" s="2" t="s">
        <v>886</v>
      </c>
      <c r="B5956" s="2" t="s">
        <v>1113</v>
      </c>
      <c r="C5956" s="5" t="s">
        <v>1096</v>
      </c>
      <c r="D5956" s="2" t="s">
        <v>6249</v>
      </c>
    </row>
    <row r="5957" spans="1:4" ht="12.95" customHeight="1" x14ac:dyDescent="0.25">
      <c r="A5957" s="2" t="s">
        <v>886</v>
      </c>
      <c r="B5957" s="2" t="s">
        <v>1272</v>
      </c>
      <c r="C5957" s="5" t="s">
        <v>1098</v>
      </c>
      <c r="D5957" s="2" t="s">
        <v>6250</v>
      </c>
    </row>
    <row r="5958" spans="1:4" ht="12.95" customHeight="1" x14ac:dyDescent="0.25">
      <c r="A5958" s="2" t="s">
        <v>886</v>
      </c>
      <c r="B5958" s="2" t="s">
        <v>1113</v>
      </c>
      <c r="C5958" s="5" t="s">
        <v>1100</v>
      </c>
      <c r="D5958" s="2" t="s">
        <v>6251</v>
      </c>
    </row>
    <row r="5959" spans="1:4" ht="12.95" customHeight="1" x14ac:dyDescent="0.25">
      <c r="A5959" s="2" t="s">
        <v>886</v>
      </c>
      <c r="B5959" s="2" t="s">
        <v>1272</v>
      </c>
      <c r="C5959" s="5" t="s">
        <v>1109</v>
      </c>
      <c r="D5959" s="2" t="s">
        <v>6252</v>
      </c>
    </row>
    <row r="5960" spans="1:4" ht="12.95" customHeight="1" x14ac:dyDescent="0.25">
      <c r="A5960" s="2" t="s">
        <v>886</v>
      </c>
      <c r="B5960" s="2" t="s">
        <v>1272</v>
      </c>
      <c r="C5960" s="5" t="s">
        <v>1119</v>
      </c>
      <c r="D5960" s="2" t="s">
        <v>6253</v>
      </c>
    </row>
    <row r="5961" spans="1:4" ht="12.95" customHeight="1" x14ac:dyDescent="0.25">
      <c r="A5961" s="2" t="s">
        <v>886</v>
      </c>
      <c r="B5961" s="2" t="s">
        <v>1272</v>
      </c>
      <c r="C5961" s="5" t="s">
        <v>1121</v>
      </c>
      <c r="D5961" s="2" t="s">
        <v>6254</v>
      </c>
    </row>
    <row r="5962" spans="1:4" ht="12.95" customHeight="1" x14ac:dyDescent="0.25">
      <c r="A5962" s="2" t="s">
        <v>886</v>
      </c>
      <c r="B5962" s="2" t="s">
        <v>1272</v>
      </c>
      <c r="C5962" s="5" t="s">
        <v>1123</v>
      </c>
      <c r="D5962" s="2" t="s">
        <v>6255</v>
      </c>
    </row>
    <row r="5963" spans="1:4" ht="12.95" customHeight="1" x14ac:dyDescent="0.25">
      <c r="A5963" s="2" t="s">
        <v>886</v>
      </c>
      <c r="B5963" s="2" t="s">
        <v>1113</v>
      </c>
      <c r="C5963" s="5" t="s">
        <v>1125</v>
      </c>
      <c r="D5963" s="2" t="s">
        <v>6256</v>
      </c>
    </row>
    <row r="5964" spans="1:4" ht="12.95" customHeight="1" x14ac:dyDescent="0.25">
      <c r="A5964" s="2" t="s">
        <v>886</v>
      </c>
      <c r="B5964" s="2" t="s">
        <v>1272</v>
      </c>
      <c r="C5964" s="5" t="s">
        <v>1127</v>
      </c>
      <c r="D5964" s="2" t="s">
        <v>6257</v>
      </c>
    </row>
    <row r="5965" spans="1:4" ht="12.95" customHeight="1" x14ac:dyDescent="0.25">
      <c r="A5965" s="2" t="s">
        <v>886</v>
      </c>
      <c r="B5965" s="2" t="s">
        <v>1113</v>
      </c>
      <c r="C5965" s="5" t="s">
        <v>1111</v>
      </c>
      <c r="D5965" s="2" t="s">
        <v>6258</v>
      </c>
    </row>
    <row r="5966" spans="1:4" ht="12.95" customHeight="1" x14ac:dyDescent="0.25">
      <c r="A5966" s="2" t="s">
        <v>889</v>
      </c>
      <c r="B5966" s="2" t="s">
        <v>1113</v>
      </c>
      <c r="C5966" s="5" t="s">
        <v>1102</v>
      </c>
      <c r="D5966" s="2" t="s">
        <v>1103</v>
      </c>
    </row>
    <row r="5967" spans="1:4" ht="12.95" customHeight="1" x14ac:dyDescent="0.25">
      <c r="A5967" s="2" t="s">
        <v>889</v>
      </c>
      <c r="B5967" s="2" t="s">
        <v>1113</v>
      </c>
      <c r="C5967" s="5" t="s">
        <v>1084</v>
      </c>
      <c r="D5967" s="2" t="s">
        <v>1085</v>
      </c>
    </row>
    <row r="5968" spans="1:4" ht="12.95" customHeight="1" x14ac:dyDescent="0.25">
      <c r="A5968" s="2" t="s">
        <v>889</v>
      </c>
      <c r="B5968" s="2" t="s">
        <v>1113</v>
      </c>
      <c r="C5968" s="5" t="s">
        <v>1086</v>
      </c>
      <c r="D5968" s="2" t="s">
        <v>1087</v>
      </c>
    </row>
    <row r="5969" spans="1:4" ht="12.95" customHeight="1" x14ac:dyDescent="0.25">
      <c r="A5969" s="2" t="s">
        <v>889</v>
      </c>
      <c r="B5969" s="2" t="s">
        <v>1113</v>
      </c>
      <c r="C5969" s="5" t="s">
        <v>1088</v>
      </c>
      <c r="D5969" s="2" t="s">
        <v>1089</v>
      </c>
    </row>
    <row r="5970" spans="1:4" ht="12.95" customHeight="1" x14ac:dyDescent="0.25">
      <c r="A5970" s="2" t="s">
        <v>889</v>
      </c>
      <c r="B5970" s="2" t="s">
        <v>1113</v>
      </c>
      <c r="C5970" s="5" t="s">
        <v>1090</v>
      </c>
      <c r="D5970" s="2" t="s">
        <v>1281</v>
      </c>
    </row>
    <row r="5971" spans="1:4" ht="12.95" customHeight="1" x14ac:dyDescent="0.25">
      <c r="A5971" s="2" t="s">
        <v>889</v>
      </c>
      <c r="B5971" s="2" t="s">
        <v>1113</v>
      </c>
      <c r="C5971" s="5" t="s">
        <v>1092</v>
      </c>
      <c r="D5971" s="2" t="s">
        <v>1282</v>
      </c>
    </row>
    <row r="5972" spans="1:4" ht="12.95" customHeight="1" x14ac:dyDescent="0.25">
      <c r="A5972" s="2" t="s">
        <v>889</v>
      </c>
      <c r="B5972" s="2" t="s">
        <v>1113</v>
      </c>
      <c r="C5972" s="5" t="s">
        <v>1094</v>
      </c>
      <c r="D5972" s="2" t="s">
        <v>1283</v>
      </c>
    </row>
    <row r="5973" spans="1:4" ht="12.95" customHeight="1" x14ac:dyDescent="0.25">
      <c r="A5973" s="2" t="s">
        <v>889</v>
      </c>
      <c r="B5973" s="2" t="s">
        <v>1113</v>
      </c>
      <c r="C5973" s="5" t="s">
        <v>1096</v>
      </c>
      <c r="D5973" s="2" t="s">
        <v>1284</v>
      </c>
    </row>
    <row r="5974" spans="1:4" ht="12.95" customHeight="1" x14ac:dyDescent="0.25">
      <c r="A5974" s="2" t="s">
        <v>889</v>
      </c>
      <c r="B5974" s="2" t="s">
        <v>1113</v>
      </c>
      <c r="C5974" s="5" t="s">
        <v>1098</v>
      </c>
      <c r="D5974" s="2" t="s">
        <v>6259</v>
      </c>
    </row>
    <row r="5975" spans="1:4" ht="12.95" customHeight="1" x14ac:dyDescent="0.25">
      <c r="A5975" s="2" t="s">
        <v>891</v>
      </c>
      <c r="B5975" s="2" t="s">
        <v>1113</v>
      </c>
      <c r="C5975" s="5" t="s">
        <v>1286</v>
      </c>
      <c r="D5975" s="2" t="s">
        <v>1153</v>
      </c>
    </row>
    <row r="5976" spans="1:4" ht="12.95" customHeight="1" x14ac:dyDescent="0.25">
      <c r="A5976" s="2" t="s">
        <v>891</v>
      </c>
      <c r="B5976" s="2" t="s">
        <v>1113</v>
      </c>
      <c r="C5976" s="5" t="s">
        <v>1287</v>
      </c>
      <c r="D5976" s="2" t="s">
        <v>1087</v>
      </c>
    </row>
    <row r="5977" spans="1:4" ht="12.95" customHeight="1" x14ac:dyDescent="0.25">
      <c r="A5977" s="2" t="s">
        <v>891</v>
      </c>
      <c r="B5977" s="2" t="s">
        <v>1113</v>
      </c>
      <c r="C5977" s="5" t="s">
        <v>1102</v>
      </c>
      <c r="D5977" s="2" t="s">
        <v>1103</v>
      </c>
    </row>
    <row r="5978" spans="1:4" ht="12.95" customHeight="1" x14ac:dyDescent="0.25">
      <c r="A5978" s="2" t="s">
        <v>891</v>
      </c>
      <c r="B5978" s="2" t="s">
        <v>1113</v>
      </c>
      <c r="C5978" s="5" t="s">
        <v>1084</v>
      </c>
      <c r="D5978" s="2" t="s">
        <v>1153</v>
      </c>
    </row>
    <row r="5979" spans="1:4" ht="12.95" customHeight="1" x14ac:dyDescent="0.25">
      <c r="A5979" s="2" t="s">
        <v>891</v>
      </c>
      <c r="B5979" s="2" t="s">
        <v>1113</v>
      </c>
      <c r="C5979" s="5" t="s">
        <v>1086</v>
      </c>
      <c r="D5979" s="2" t="s">
        <v>1087</v>
      </c>
    </row>
    <row r="5980" spans="1:4" ht="12.95" customHeight="1" x14ac:dyDescent="0.25">
      <c r="A5980" s="2" t="s">
        <v>891</v>
      </c>
      <c r="B5980" s="2" t="s">
        <v>1113</v>
      </c>
      <c r="C5980" s="5" t="s">
        <v>1088</v>
      </c>
      <c r="D5980" s="2" t="s">
        <v>1089</v>
      </c>
    </row>
    <row r="5981" spans="1:4" ht="12.95" customHeight="1" x14ac:dyDescent="0.25">
      <c r="A5981" s="2" t="s">
        <v>894</v>
      </c>
      <c r="B5981" s="2" t="s">
        <v>1113</v>
      </c>
      <c r="C5981" s="5" t="s">
        <v>1102</v>
      </c>
      <c r="D5981" s="2" t="s">
        <v>1103</v>
      </c>
    </row>
    <row r="5982" spans="1:4" ht="12.95" customHeight="1" x14ac:dyDescent="0.25">
      <c r="A5982" s="2" t="s">
        <v>894</v>
      </c>
      <c r="B5982" s="2" t="s">
        <v>1113</v>
      </c>
      <c r="C5982" s="5" t="s">
        <v>1084</v>
      </c>
      <c r="D5982" s="2" t="s">
        <v>1153</v>
      </c>
    </row>
    <row r="5983" spans="1:4" ht="12.95" customHeight="1" x14ac:dyDescent="0.25">
      <c r="A5983" s="2" t="s">
        <v>894</v>
      </c>
      <c r="B5983" s="2" t="s">
        <v>1113</v>
      </c>
      <c r="C5983" s="5" t="s">
        <v>1086</v>
      </c>
      <c r="D5983" s="2" t="s">
        <v>1147</v>
      </c>
    </row>
    <row r="5984" spans="1:4" ht="12.95" customHeight="1" x14ac:dyDescent="0.25">
      <c r="A5984" s="2" t="s">
        <v>894</v>
      </c>
      <c r="B5984" s="2" t="s">
        <v>1113</v>
      </c>
      <c r="C5984" s="5" t="s">
        <v>1090</v>
      </c>
      <c r="D5984" s="2" t="s">
        <v>1179</v>
      </c>
    </row>
    <row r="5985" spans="1:4" ht="12.95" customHeight="1" x14ac:dyDescent="0.25">
      <c r="A5985" s="2" t="s">
        <v>894</v>
      </c>
      <c r="B5985" s="2" t="s">
        <v>1113</v>
      </c>
      <c r="C5985" s="5" t="s">
        <v>1092</v>
      </c>
      <c r="D5985" s="2" t="s">
        <v>1180</v>
      </c>
    </row>
    <row r="5986" spans="1:4" ht="12.95" customHeight="1" x14ac:dyDescent="0.25">
      <c r="A5986" s="2" t="s">
        <v>897</v>
      </c>
      <c r="B5986" s="2" t="s">
        <v>1113</v>
      </c>
      <c r="C5986" s="5" t="s">
        <v>1102</v>
      </c>
      <c r="D5986" s="2" t="s">
        <v>1103</v>
      </c>
    </row>
    <row r="5987" spans="1:4" ht="12.95" customHeight="1" x14ac:dyDescent="0.25">
      <c r="A5987" s="2" t="s">
        <v>897</v>
      </c>
      <c r="B5987" s="2" t="s">
        <v>1113</v>
      </c>
      <c r="C5987" s="5" t="s">
        <v>1084</v>
      </c>
      <c r="D5987" s="2" t="s">
        <v>1085</v>
      </c>
    </row>
    <row r="5988" spans="1:4" ht="12.95" customHeight="1" x14ac:dyDescent="0.25">
      <c r="A5988" s="2" t="s">
        <v>897</v>
      </c>
      <c r="B5988" s="2" t="s">
        <v>1113</v>
      </c>
      <c r="C5988" s="5" t="s">
        <v>1086</v>
      </c>
      <c r="D5988" s="2" t="s">
        <v>1087</v>
      </c>
    </row>
    <row r="5989" spans="1:4" ht="12.95" customHeight="1" x14ac:dyDescent="0.25">
      <c r="A5989" s="2" t="s">
        <v>897</v>
      </c>
      <c r="B5989" s="2" t="s">
        <v>1113</v>
      </c>
      <c r="C5989" s="5" t="s">
        <v>1088</v>
      </c>
      <c r="D5989" s="2" t="s">
        <v>1089</v>
      </c>
    </row>
    <row r="5990" spans="1:4" ht="12.95" customHeight="1" x14ac:dyDescent="0.25">
      <c r="A5990" s="2" t="s">
        <v>900</v>
      </c>
      <c r="B5990" s="2" t="s">
        <v>1113</v>
      </c>
      <c r="C5990" s="5" t="s">
        <v>1088</v>
      </c>
      <c r="D5990" s="2" t="s">
        <v>1089</v>
      </c>
    </row>
    <row r="5991" spans="1:4" ht="12.95" customHeight="1" x14ac:dyDescent="0.25">
      <c r="A5991" s="2" t="s">
        <v>903</v>
      </c>
      <c r="B5991" s="2" t="s">
        <v>1113</v>
      </c>
      <c r="C5991" s="5" t="s">
        <v>1084</v>
      </c>
      <c r="D5991" s="2" t="s">
        <v>1153</v>
      </c>
    </row>
    <row r="5992" spans="1:4" ht="12.95" customHeight="1" x14ac:dyDescent="0.25">
      <c r="A5992" s="2" t="s">
        <v>903</v>
      </c>
      <c r="B5992" s="2" t="s">
        <v>1113</v>
      </c>
      <c r="C5992" s="5" t="s">
        <v>1086</v>
      </c>
      <c r="D5992" s="2" t="s">
        <v>1147</v>
      </c>
    </row>
    <row r="5993" spans="1:4" ht="12.95" customHeight="1" x14ac:dyDescent="0.25">
      <c r="A5993" s="2" t="s">
        <v>903</v>
      </c>
      <c r="B5993" s="2" t="s">
        <v>1113</v>
      </c>
      <c r="C5993" s="5" t="s">
        <v>1090</v>
      </c>
      <c r="D5993" s="2" t="s">
        <v>6260</v>
      </c>
    </row>
    <row r="5994" spans="1:4" ht="12.95" customHeight="1" x14ac:dyDescent="0.25">
      <c r="A5994" s="2" t="s">
        <v>903</v>
      </c>
      <c r="B5994" s="2" t="s">
        <v>1113</v>
      </c>
      <c r="C5994" s="5" t="s">
        <v>1092</v>
      </c>
      <c r="D5994" s="2" t="s">
        <v>6261</v>
      </c>
    </row>
    <row r="5995" spans="1:4" ht="12.95" customHeight="1" x14ac:dyDescent="0.25">
      <c r="A5995" s="2" t="s">
        <v>903</v>
      </c>
      <c r="B5995" s="2" t="s">
        <v>1113</v>
      </c>
      <c r="C5995" s="5" t="s">
        <v>1094</v>
      </c>
      <c r="D5995" s="2" t="s">
        <v>6262</v>
      </c>
    </row>
    <row r="5996" spans="1:4" ht="12.95" customHeight="1" x14ac:dyDescent="0.25">
      <c r="A5996" s="2" t="s">
        <v>903</v>
      </c>
      <c r="B5996" s="2" t="s">
        <v>1113</v>
      </c>
      <c r="C5996" s="5" t="s">
        <v>1096</v>
      </c>
      <c r="D5996" s="2" t="s">
        <v>6263</v>
      </c>
    </row>
    <row r="5997" spans="1:4" ht="12.95" customHeight="1" x14ac:dyDescent="0.25">
      <c r="A5997" s="2" t="s">
        <v>903</v>
      </c>
      <c r="B5997" s="2" t="s">
        <v>1113</v>
      </c>
      <c r="C5997" s="5" t="s">
        <v>1098</v>
      </c>
      <c r="D5997" s="2" t="s">
        <v>6264</v>
      </c>
    </row>
    <row r="5998" spans="1:4" ht="12.95" customHeight="1" x14ac:dyDescent="0.25">
      <c r="A5998" s="2" t="s">
        <v>903</v>
      </c>
      <c r="B5998" s="2" t="s">
        <v>1113</v>
      </c>
      <c r="C5998" s="5" t="s">
        <v>1100</v>
      </c>
      <c r="D5998" s="2" t="s">
        <v>6265</v>
      </c>
    </row>
    <row r="5999" spans="1:4" ht="12.95" customHeight="1" x14ac:dyDescent="0.25">
      <c r="A5999" s="2" t="s">
        <v>903</v>
      </c>
      <c r="B5999" s="2" t="s">
        <v>1113</v>
      </c>
      <c r="C5999" s="5" t="s">
        <v>1109</v>
      </c>
      <c r="D5999" s="2" t="s">
        <v>6266</v>
      </c>
    </row>
    <row r="6000" spans="1:4" ht="12.95" customHeight="1" x14ac:dyDescent="0.25">
      <c r="A6000" s="2" t="s">
        <v>903</v>
      </c>
      <c r="B6000" s="2" t="s">
        <v>1113</v>
      </c>
      <c r="C6000" s="5" t="s">
        <v>1111</v>
      </c>
      <c r="D6000" s="2" t="s">
        <v>6211</v>
      </c>
    </row>
    <row r="6001" spans="1:4" ht="12.95" customHeight="1" x14ac:dyDescent="0.25">
      <c r="A6001" s="2" t="s">
        <v>906</v>
      </c>
      <c r="B6001" s="2" t="s">
        <v>1113</v>
      </c>
      <c r="C6001" s="5" t="s">
        <v>1084</v>
      </c>
      <c r="D6001" s="2" t="s">
        <v>1085</v>
      </c>
    </row>
    <row r="6002" spans="1:4" ht="12.95" customHeight="1" x14ac:dyDescent="0.25">
      <c r="A6002" s="2" t="s">
        <v>906</v>
      </c>
      <c r="B6002" s="2" t="s">
        <v>1113</v>
      </c>
      <c r="C6002" s="5" t="s">
        <v>1086</v>
      </c>
      <c r="D6002" s="2" t="s">
        <v>1087</v>
      </c>
    </row>
    <row r="6003" spans="1:4" ht="12.95" customHeight="1" x14ac:dyDescent="0.25">
      <c r="A6003" s="2" t="s">
        <v>909</v>
      </c>
      <c r="B6003" s="2" t="s">
        <v>1113</v>
      </c>
      <c r="C6003" s="5" t="s">
        <v>1102</v>
      </c>
      <c r="D6003" s="2" t="s">
        <v>1103</v>
      </c>
    </row>
    <row r="6004" spans="1:4" ht="12.95" customHeight="1" x14ac:dyDescent="0.25">
      <c r="A6004" s="2" t="s">
        <v>909</v>
      </c>
      <c r="B6004" s="2" t="s">
        <v>1113</v>
      </c>
      <c r="C6004" s="5" t="s">
        <v>1084</v>
      </c>
      <c r="D6004" s="2" t="s">
        <v>1153</v>
      </c>
    </row>
    <row r="6005" spans="1:4" ht="12.95" customHeight="1" x14ac:dyDescent="0.25">
      <c r="A6005" s="2" t="s">
        <v>909</v>
      </c>
      <c r="B6005" s="2" t="s">
        <v>1113</v>
      </c>
      <c r="C6005" s="5" t="s">
        <v>1086</v>
      </c>
      <c r="D6005" s="2" t="s">
        <v>1147</v>
      </c>
    </row>
    <row r="6006" spans="1:4" ht="12.95" customHeight="1" x14ac:dyDescent="0.25">
      <c r="A6006" s="2" t="s">
        <v>909</v>
      </c>
      <c r="B6006" s="2" t="s">
        <v>1113</v>
      </c>
      <c r="C6006" s="5" t="s">
        <v>1088</v>
      </c>
      <c r="D6006" s="2" t="s">
        <v>1089</v>
      </c>
    </row>
    <row r="6007" spans="1:4" ht="12.95" customHeight="1" x14ac:dyDescent="0.25">
      <c r="A6007" s="2" t="s">
        <v>909</v>
      </c>
      <c r="B6007" s="2" t="s">
        <v>1113</v>
      </c>
      <c r="C6007" s="5" t="s">
        <v>1090</v>
      </c>
      <c r="D6007" s="2" t="s">
        <v>1179</v>
      </c>
    </row>
    <row r="6008" spans="1:4" ht="12.95" customHeight="1" x14ac:dyDescent="0.25">
      <c r="A6008" s="2" t="s">
        <v>909</v>
      </c>
      <c r="B6008" s="2" t="s">
        <v>1113</v>
      </c>
      <c r="C6008" s="5" t="s">
        <v>1092</v>
      </c>
      <c r="D6008" s="2" t="s">
        <v>1180</v>
      </c>
    </row>
    <row r="6009" spans="1:4" ht="12.95" customHeight="1" x14ac:dyDescent="0.25">
      <c r="A6009" s="2" t="s">
        <v>912</v>
      </c>
      <c r="B6009" s="2" t="s">
        <v>1113</v>
      </c>
      <c r="C6009" s="5" t="s">
        <v>1102</v>
      </c>
      <c r="D6009" s="2" t="s">
        <v>1103</v>
      </c>
    </row>
    <row r="6010" spans="1:4" ht="12.95" customHeight="1" x14ac:dyDescent="0.25">
      <c r="A6010" s="2" t="s">
        <v>912</v>
      </c>
      <c r="B6010" s="2" t="s">
        <v>1113</v>
      </c>
      <c r="C6010" s="5" t="s">
        <v>1084</v>
      </c>
      <c r="D6010" s="2" t="s">
        <v>1153</v>
      </c>
    </row>
    <row r="6011" spans="1:4" ht="12.95" customHeight="1" x14ac:dyDescent="0.25">
      <c r="A6011" s="2" t="s">
        <v>912</v>
      </c>
      <c r="B6011" s="2" t="s">
        <v>1113</v>
      </c>
      <c r="C6011" s="5" t="s">
        <v>1086</v>
      </c>
      <c r="D6011" s="2" t="s">
        <v>1147</v>
      </c>
    </row>
    <row r="6012" spans="1:4" ht="12.95" customHeight="1" x14ac:dyDescent="0.25">
      <c r="A6012" s="2" t="s">
        <v>912</v>
      </c>
      <c r="B6012" s="2" t="s">
        <v>1113</v>
      </c>
      <c r="C6012" s="5" t="s">
        <v>1088</v>
      </c>
      <c r="D6012" s="2" t="s">
        <v>1089</v>
      </c>
    </row>
    <row r="6013" spans="1:4" ht="12.95" customHeight="1" x14ac:dyDescent="0.25">
      <c r="A6013" s="2" t="s">
        <v>912</v>
      </c>
      <c r="B6013" s="2" t="s">
        <v>1113</v>
      </c>
      <c r="C6013" s="5" t="s">
        <v>1090</v>
      </c>
      <c r="D6013" s="2" t="s">
        <v>1179</v>
      </c>
    </row>
    <row r="6014" spans="1:4" ht="12.95" customHeight="1" x14ac:dyDescent="0.25">
      <c r="A6014" s="2" t="s">
        <v>912</v>
      </c>
      <c r="B6014" s="2" t="s">
        <v>1113</v>
      </c>
      <c r="C6014" s="5" t="s">
        <v>1092</v>
      </c>
      <c r="D6014" s="2" t="s">
        <v>1180</v>
      </c>
    </row>
    <row r="6015" spans="1:4" ht="12.95" customHeight="1" x14ac:dyDescent="0.25">
      <c r="A6015" s="2" t="s">
        <v>915</v>
      </c>
      <c r="B6015" s="2" t="s">
        <v>1083</v>
      </c>
      <c r="C6015" s="5" t="s">
        <v>1102</v>
      </c>
      <c r="D6015" s="2" t="s">
        <v>1103</v>
      </c>
    </row>
    <row r="6016" spans="1:4" ht="12.95" customHeight="1" x14ac:dyDescent="0.25">
      <c r="A6016" s="2" t="s">
        <v>915</v>
      </c>
      <c r="B6016" s="2" t="s">
        <v>1083</v>
      </c>
      <c r="C6016" s="5" t="s">
        <v>1084</v>
      </c>
      <c r="D6016" s="2" t="s">
        <v>1153</v>
      </c>
    </row>
    <row r="6017" spans="1:4" ht="12.95" customHeight="1" x14ac:dyDescent="0.25">
      <c r="A6017" s="2" t="s">
        <v>915</v>
      </c>
      <c r="B6017" s="2" t="s">
        <v>1083</v>
      </c>
      <c r="C6017" s="5" t="s">
        <v>1086</v>
      </c>
      <c r="D6017" s="2" t="s">
        <v>1147</v>
      </c>
    </row>
    <row r="6018" spans="1:4" ht="12.95" customHeight="1" x14ac:dyDescent="0.25">
      <c r="A6018" s="2" t="s">
        <v>915</v>
      </c>
      <c r="B6018" s="2" t="s">
        <v>1083</v>
      </c>
      <c r="C6018" s="5" t="s">
        <v>1088</v>
      </c>
      <c r="D6018" s="2" t="s">
        <v>1089</v>
      </c>
    </row>
    <row r="6019" spans="1:4" ht="12.95" customHeight="1" x14ac:dyDescent="0.25">
      <c r="A6019" s="2" t="s">
        <v>915</v>
      </c>
      <c r="B6019" s="2" t="s">
        <v>1083</v>
      </c>
      <c r="C6019" s="5" t="s">
        <v>1090</v>
      </c>
      <c r="D6019" s="2" t="s">
        <v>1179</v>
      </c>
    </row>
    <row r="6020" spans="1:4" ht="12.95" customHeight="1" x14ac:dyDescent="0.25">
      <c r="A6020" s="2" t="s">
        <v>915</v>
      </c>
      <c r="B6020" s="2" t="s">
        <v>1083</v>
      </c>
      <c r="C6020" s="5" t="s">
        <v>1092</v>
      </c>
      <c r="D6020" s="2" t="s">
        <v>1180</v>
      </c>
    </row>
    <row r="6021" spans="1:4" ht="12.95" customHeight="1" x14ac:dyDescent="0.25">
      <c r="A6021" s="2" t="s">
        <v>918</v>
      </c>
      <c r="B6021" s="2" t="s">
        <v>1272</v>
      </c>
      <c r="C6021" s="5" t="s">
        <v>1088</v>
      </c>
      <c r="D6021" s="2" t="s">
        <v>1089</v>
      </c>
    </row>
    <row r="6022" spans="1:4" ht="12.95" customHeight="1" x14ac:dyDescent="0.25">
      <c r="A6022" s="2" t="s">
        <v>920</v>
      </c>
      <c r="B6022" s="2" t="s">
        <v>1272</v>
      </c>
      <c r="C6022" s="5" t="s">
        <v>1088</v>
      </c>
      <c r="D6022" s="2" t="s">
        <v>1089</v>
      </c>
    </row>
    <row r="6023" spans="1:4" ht="12.95" customHeight="1" x14ac:dyDescent="0.25">
      <c r="A6023" s="2" t="s">
        <v>922</v>
      </c>
      <c r="B6023" s="2" t="s">
        <v>1083</v>
      </c>
      <c r="C6023" s="5" t="s">
        <v>1084</v>
      </c>
      <c r="D6023" s="2" t="s">
        <v>1153</v>
      </c>
    </row>
    <row r="6024" spans="1:4" ht="12.95" customHeight="1" x14ac:dyDescent="0.25">
      <c r="A6024" s="2" t="s">
        <v>922</v>
      </c>
      <c r="B6024" s="2" t="s">
        <v>1083</v>
      </c>
      <c r="C6024" s="5" t="s">
        <v>1086</v>
      </c>
      <c r="D6024" s="2" t="s">
        <v>1147</v>
      </c>
    </row>
    <row r="6025" spans="1:4" ht="12.95" customHeight="1" x14ac:dyDescent="0.25">
      <c r="A6025" s="2" t="s">
        <v>922</v>
      </c>
      <c r="B6025" s="2" t="s">
        <v>1083</v>
      </c>
      <c r="C6025" s="5" t="s">
        <v>1088</v>
      </c>
      <c r="D6025" s="2" t="s">
        <v>1089</v>
      </c>
    </row>
    <row r="6026" spans="1:4" ht="12.95" customHeight="1" x14ac:dyDescent="0.25">
      <c r="A6026" s="2" t="s">
        <v>925</v>
      </c>
      <c r="B6026" s="2" t="s">
        <v>1146</v>
      </c>
      <c r="C6026" s="5" t="s">
        <v>1084</v>
      </c>
      <c r="D6026" s="2" t="s">
        <v>1085</v>
      </c>
    </row>
    <row r="6027" spans="1:4" ht="12.95" customHeight="1" x14ac:dyDescent="0.25">
      <c r="A6027" s="2" t="s">
        <v>925</v>
      </c>
      <c r="B6027" s="2" t="s">
        <v>1146</v>
      </c>
      <c r="C6027" s="5" t="s">
        <v>1086</v>
      </c>
      <c r="D6027" s="2" t="s">
        <v>1087</v>
      </c>
    </row>
    <row r="6028" spans="1:4" ht="12.95" customHeight="1" x14ac:dyDescent="0.25">
      <c r="A6028" s="2" t="s">
        <v>925</v>
      </c>
      <c r="B6028" s="2" t="s">
        <v>1146</v>
      </c>
      <c r="C6028" s="5" t="s">
        <v>1088</v>
      </c>
      <c r="D6028" s="2" t="s">
        <v>1089</v>
      </c>
    </row>
    <row r="6029" spans="1:4" ht="12.95" customHeight="1" x14ac:dyDescent="0.25">
      <c r="A6029" s="2" t="s">
        <v>925</v>
      </c>
      <c r="B6029" s="2" t="s">
        <v>1146</v>
      </c>
      <c r="C6029" s="5" t="s">
        <v>1090</v>
      </c>
      <c r="D6029" s="2" t="s">
        <v>1148</v>
      </c>
    </row>
    <row r="6030" spans="1:4" ht="12.95" customHeight="1" x14ac:dyDescent="0.25">
      <c r="A6030" s="2" t="s">
        <v>925</v>
      </c>
      <c r="B6030" s="2" t="s">
        <v>1146</v>
      </c>
      <c r="C6030" s="5" t="s">
        <v>1092</v>
      </c>
      <c r="D6030" s="2" t="s">
        <v>1182</v>
      </c>
    </row>
    <row r="6031" spans="1:4" ht="12.95" customHeight="1" x14ac:dyDescent="0.25">
      <c r="A6031" s="2" t="s">
        <v>925</v>
      </c>
      <c r="B6031" s="2" t="s">
        <v>1146</v>
      </c>
      <c r="C6031" s="5" t="s">
        <v>1094</v>
      </c>
      <c r="D6031" s="2" t="s">
        <v>1150</v>
      </c>
    </row>
    <row r="6032" spans="1:4" ht="12.95" customHeight="1" x14ac:dyDescent="0.25">
      <c r="A6032" s="2" t="s">
        <v>925</v>
      </c>
      <c r="B6032" s="2" t="s">
        <v>1146</v>
      </c>
      <c r="C6032" s="5" t="s">
        <v>1096</v>
      </c>
      <c r="D6032" s="2" t="s">
        <v>1151</v>
      </c>
    </row>
    <row r="6033" spans="1:4" ht="12.95" customHeight="1" x14ac:dyDescent="0.25">
      <c r="A6033" s="2" t="s">
        <v>925</v>
      </c>
      <c r="B6033" s="2" t="s">
        <v>1146</v>
      </c>
      <c r="C6033" s="5" t="s">
        <v>1098</v>
      </c>
      <c r="D6033" s="2" t="s">
        <v>1152</v>
      </c>
    </row>
    <row r="6034" spans="1:4" ht="12.95" customHeight="1" x14ac:dyDescent="0.25">
      <c r="A6034" s="2" t="s">
        <v>928</v>
      </c>
      <c r="B6034" s="2" t="s">
        <v>1146</v>
      </c>
      <c r="C6034" s="5" t="s">
        <v>1084</v>
      </c>
      <c r="D6034" s="2" t="s">
        <v>1153</v>
      </c>
    </row>
    <row r="6035" spans="1:4" ht="12.95" customHeight="1" x14ac:dyDescent="0.25">
      <c r="A6035" s="2" t="s">
        <v>928</v>
      </c>
      <c r="B6035" s="2" t="s">
        <v>1146</v>
      </c>
      <c r="C6035" s="5" t="s">
        <v>1086</v>
      </c>
      <c r="D6035" s="2" t="s">
        <v>1087</v>
      </c>
    </row>
    <row r="6036" spans="1:4" ht="12.95" customHeight="1" x14ac:dyDescent="0.25">
      <c r="A6036" s="2" t="s">
        <v>928</v>
      </c>
      <c r="B6036" s="2" t="s">
        <v>1146</v>
      </c>
      <c r="C6036" s="5" t="s">
        <v>1088</v>
      </c>
      <c r="D6036" s="2" t="s">
        <v>1089</v>
      </c>
    </row>
    <row r="6037" spans="1:4" ht="12.95" customHeight="1" x14ac:dyDescent="0.25">
      <c r="A6037" s="2" t="s">
        <v>928</v>
      </c>
      <c r="B6037" s="2" t="s">
        <v>1146</v>
      </c>
      <c r="C6037" s="5" t="s">
        <v>1090</v>
      </c>
      <c r="D6037" s="2" t="s">
        <v>1154</v>
      </c>
    </row>
    <row r="6038" spans="1:4" ht="12.95" customHeight="1" x14ac:dyDescent="0.25">
      <c r="A6038" s="2" t="s">
        <v>928</v>
      </c>
      <c r="B6038" s="2" t="s">
        <v>1146</v>
      </c>
      <c r="C6038" s="5" t="s">
        <v>1092</v>
      </c>
      <c r="D6038" s="2" t="s">
        <v>1155</v>
      </c>
    </row>
    <row r="6039" spans="1:4" ht="12.95" customHeight="1" x14ac:dyDescent="0.25">
      <c r="A6039" s="2" t="s">
        <v>928</v>
      </c>
      <c r="B6039" s="2" t="s">
        <v>1146</v>
      </c>
      <c r="C6039" s="5" t="s">
        <v>1094</v>
      </c>
      <c r="D6039" s="2" t="s">
        <v>6267</v>
      </c>
    </row>
    <row r="6040" spans="1:4" ht="12.95" customHeight="1" x14ac:dyDescent="0.25">
      <c r="A6040" s="2" t="s">
        <v>928</v>
      </c>
      <c r="B6040" s="2" t="s">
        <v>1146</v>
      </c>
      <c r="C6040" s="5" t="s">
        <v>1096</v>
      </c>
      <c r="D6040" s="2" t="s">
        <v>1157</v>
      </c>
    </row>
    <row r="6041" spans="1:4" ht="12.95" customHeight="1" x14ac:dyDescent="0.25">
      <c r="A6041" s="2" t="s">
        <v>928</v>
      </c>
      <c r="B6041" s="2" t="s">
        <v>1146</v>
      </c>
      <c r="C6041" s="5" t="s">
        <v>1098</v>
      </c>
      <c r="D6041" s="2" t="s">
        <v>1158</v>
      </c>
    </row>
    <row r="6042" spans="1:4" ht="12.95" customHeight="1" x14ac:dyDescent="0.25">
      <c r="A6042" s="2" t="s">
        <v>931</v>
      </c>
      <c r="B6042" s="2" t="s">
        <v>1083</v>
      </c>
      <c r="C6042" s="5" t="s">
        <v>1102</v>
      </c>
      <c r="D6042" s="2" t="s">
        <v>1103</v>
      </c>
    </row>
    <row r="6043" spans="1:4" ht="12.95" customHeight="1" x14ac:dyDescent="0.25">
      <c r="A6043" s="2" t="s">
        <v>931</v>
      </c>
      <c r="B6043" s="2" t="s">
        <v>1083</v>
      </c>
      <c r="C6043" s="5" t="s">
        <v>1084</v>
      </c>
      <c r="D6043" s="2" t="s">
        <v>1153</v>
      </c>
    </row>
    <row r="6044" spans="1:4" ht="12.95" customHeight="1" x14ac:dyDescent="0.25">
      <c r="A6044" s="2" t="s">
        <v>931</v>
      </c>
      <c r="B6044" s="2" t="s">
        <v>1083</v>
      </c>
      <c r="C6044" s="5" t="s">
        <v>1086</v>
      </c>
      <c r="D6044" s="2" t="s">
        <v>1087</v>
      </c>
    </row>
    <row r="6045" spans="1:4" ht="12.95" customHeight="1" x14ac:dyDescent="0.25">
      <c r="A6045" s="2" t="s">
        <v>931</v>
      </c>
      <c r="B6045" s="2" t="s">
        <v>1083</v>
      </c>
      <c r="C6045" s="5" t="s">
        <v>1088</v>
      </c>
      <c r="D6045" s="2" t="s">
        <v>1089</v>
      </c>
    </row>
    <row r="6046" spans="1:4" ht="12.95" customHeight="1" x14ac:dyDescent="0.25">
      <c r="A6046" s="2" t="s">
        <v>934</v>
      </c>
      <c r="B6046" s="2" t="s">
        <v>1083</v>
      </c>
      <c r="C6046" s="5" t="s">
        <v>1102</v>
      </c>
      <c r="D6046" s="2" t="s">
        <v>1103</v>
      </c>
    </row>
    <row r="6047" spans="1:4" ht="12.95" customHeight="1" x14ac:dyDescent="0.25">
      <c r="A6047" s="2" t="s">
        <v>934</v>
      </c>
      <c r="B6047" s="2" t="s">
        <v>1083</v>
      </c>
      <c r="C6047" s="5" t="s">
        <v>1084</v>
      </c>
      <c r="D6047" s="2" t="s">
        <v>1153</v>
      </c>
    </row>
    <row r="6048" spans="1:4" ht="12.95" customHeight="1" x14ac:dyDescent="0.25">
      <c r="A6048" s="2" t="s">
        <v>934</v>
      </c>
      <c r="B6048" s="2" t="s">
        <v>1083</v>
      </c>
      <c r="C6048" s="5" t="s">
        <v>1086</v>
      </c>
      <c r="D6048" s="2" t="s">
        <v>1087</v>
      </c>
    </row>
    <row r="6049" spans="1:4" ht="12.95" customHeight="1" x14ac:dyDescent="0.25">
      <c r="A6049" s="2" t="s">
        <v>934</v>
      </c>
      <c r="B6049" s="2" t="s">
        <v>1083</v>
      </c>
      <c r="C6049" s="5" t="s">
        <v>1088</v>
      </c>
      <c r="D6049" s="2" t="s">
        <v>1089</v>
      </c>
    </row>
    <row r="6050" spans="1:4" ht="12.95" customHeight="1" x14ac:dyDescent="0.25">
      <c r="A6050" s="2" t="s">
        <v>934</v>
      </c>
      <c r="B6050" s="2" t="s">
        <v>1083</v>
      </c>
      <c r="C6050" s="5" t="s">
        <v>1090</v>
      </c>
      <c r="D6050" s="2" t="s">
        <v>1159</v>
      </c>
    </row>
    <row r="6051" spans="1:4" ht="12.95" customHeight="1" x14ac:dyDescent="0.25">
      <c r="A6051" s="2" t="s">
        <v>934</v>
      </c>
      <c r="B6051" s="2" t="s">
        <v>1083</v>
      </c>
      <c r="C6051" s="5" t="s">
        <v>1092</v>
      </c>
      <c r="D6051" s="2" t="s">
        <v>1160</v>
      </c>
    </row>
    <row r="6052" spans="1:4" ht="12.95" customHeight="1" x14ac:dyDescent="0.25">
      <c r="A6052" s="2" t="s">
        <v>934</v>
      </c>
      <c r="B6052" s="2" t="s">
        <v>1083</v>
      </c>
      <c r="C6052" s="5" t="s">
        <v>1094</v>
      </c>
      <c r="D6052" s="2" t="s">
        <v>1161</v>
      </c>
    </row>
    <row r="6053" spans="1:4" ht="12.95" customHeight="1" x14ac:dyDescent="0.25">
      <c r="A6053" s="2" t="s">
        <v>934</v>
      </c>
      <c r="B6053" s="2" t="s">
        <v>1083</v>
      </c>
      <c r="C6053" s="5" t="s">
        <v>1096</v>
      </c>
      <c r="D6053" s="2" t="s">
        <v>6130</v>
      </c>
    </row>
    <row r="6054" spans="1:4" ht="12.95" customHeight="1" x14ac:dyDescent="0.25">
      <c r="A6054" s="2" t="s">
        <v>934</v>
      </c>
      <c r="B6054" s="2" t="s">
        <v>1083</v>
      </c>
      <c r="C6054" s="5" t="s">
        <v>1098</v>
      </c>
      <c r="D6054" s="2" t="s">
        <v>1163</v>
      </c>
    </row>
    <row r="6055" spans="1:4" ht="12.95" customHeight="1" x14ac:dyDescent="0.25">
      <c r="A6055" s="2" t="s">
        <v>934</v>
      </c>
      <c r="B6055" s="2" t="s">
        <v>1083</v>
      </c>
      <c r="C6055" s="5" t="s">
        <v>1100</v>
      </c>
      <c r="D6055" s="2" t="s">
        <v>1164</v>
      </c>
    </row>
    <row r="6056" spans="1:4" ht="12.95" customHeight="1" x14ac:dyDescent="0.25">
      <c r="A6056" s="2" t="s">
        <v>934</v>
      </c>
      <c r="B6056" s="2" t="s">
        <v>1083</v>
      </c>
      <c r="C6056" s="5" t="s">
        <v>1109</v>
      </c>
      <c r="D6056" s="2" t="s">
        <v>1165</v>
      </c>
    </row>
    <row r="6057" spans="1:4" ht="12.95" customHeight="1" x14ac:dyDescent="0.25">
      <c r="A6057" s="2" t="s">
        <v>937</v>
      </c>
      <c r="B6057" s="2" t="s">
        <v>1083</v>
      </c>
      <c r="C6057" s="5" t="s">
        <v>1102</v>
      </c>
      <c r="D6057" s="2" t="s">
        <v>1103</v>
      </c>
    </row>
    <row r="6058" spans="1:4" ht="12.95" customHeight="1" x14ac:dyDescent="0.25">
      <c r="A6058" s="2" t="s">
        <v>937</v>
      </c>
      <c r="B6058" s="2" t="s">
        <v>1083</v>
      </c>
      <c r="C6058" s="5" t="s">
        <v>1084</v>
      </c>
      <c r="D6058" s="2" t="s">
        <v>1153</v>
      </c>
    </row>
    <row r="6059" spans="1:4" ht="12.95" customHeight="1" x14ac:dyDescent="0.25">
      <c r="A6059" s="2" t="s">
        <v>937</v>
      </c>
      <c r="B6059" s="2" t="s">
        <v>1083</v>
      </c>
      <c r="C6059" s="5" t="s">
        <v>1086</v>
      </c>
      <c r="D6059" s="2" t="s">
        <v>1087</v>
      </c>
    </row>
    <row r="6060" spans="1:4" ht="12.95" customHeight="1" x14ac:dyDescent="0.25">
      <c r="A6060" s="2" t="s">
        <v>937</v>
      </c>
      <c r="B6060" s="2" t="s">
        <v>1083</v>
      </c>
      <c r="C6060" s="5" t="s">
        <v>1088</v>
      </c>
      <c r="D6060" s="2" t="s">
        <v>1089</v>
      </c>
    </row>
    <row r="6061" spans="1:4" ht="12.95" customHeight="1" x14ac:dyDescent="0.25">
      <c r="A6061" s="2" t="s">
        <v>937</v>
      </c>
      <c r="B6061" s="2" t="s">
        <v>1083</v>
      </c>
      <c r="C6061" s="5" t="s">
        <v>1090</v>
      </c>
      <c r="D6061" s="2" t="s">
        <v>1159</v>
      </c>
    </row>
    <row r="6062" spans="1:4" ht="12.95" customHeight="1" x14ac:dyDescent="0.25">
      <c r="A6062" s="2" t="s">
        <v>937</v>
      </c>
      <c r="B6062" s="2" t="s">
        <v>1083</v>
      </c>
      <c r="C6062" s="5" t="s">
        <v>1092</v>
      </c>
      <c r="D6062" s="2" t="s">
        <v>1160</v>
      </c>
    </row>
    <row r="6063" spans="1:4" ht="12.95" customHeight="1" x14ac:dyDescent="0.25">
      <c r="A6063" s="2" t="s">
        <v>937</v>
      </c>
      <c r="B6063" s="2" t="s">
        <v>1083</v>
      </c>
      <c r="C6063" s="5" t="s">
        <v>1094</v>
      </c>
      <c r="D6063" s="2" t="s">
        <v>1161</v>
      </c>
    </row>
    <row r="6064" spans="1:4" ht="12.95" customHeight="1" x14ac:dyDescent="0.25">
      <c r="A6064" s="2" t="s">
        <v>937</v>
      </c>
      <c r="B6064" s="2" t="s">
        <v>1083</v>
      </c>
      <c r="C6064" s="5" t="s">
        <v>1096</v>
      </c>
      <c r="D6064" s="2" t="s">
        <v>6130</v>
      </c>
    </row>
    <row r="6065" spans="1:4" ht="12.95" customHeight="1" x14ac:dyDescent="0.25">
      <c r="A6065" s="2" t="s">
        <v>937</v>
      </c>
      <c r="B6065" s="2" t="s">
        <v>1083</v>
      </c>
      <c r="C6065" s="5" t="s">
        <v>1098</v>
      </c>
      <c r="D6065" s="2" t="s">
        <v>1163</v>
      </c>
    </row>
    <row r="6066" spans="1:4" ht="12.95" customHeight="1" x14ac:dyDescent="0.25">
      <c r="A6066" s="2" t="s">
        <v>937</v>
      </c>
      <c r="B6066" s="2" t="s">
        <v>1083</v>
      </c>
      <c r="C6066" s="5" t="s">
        <v>1100</v>
      </c>
      <c r="D6066" s="2" t="s">
        <v>1164</v>
      </c>
    </row>
    <row r="6067" spans="1:4" ht="12.95" customHeight="1" x14ac:dyDescent="0.25">
      <c r="A6067" s="2" t="s">
        <v>937</v>
      </c>
      <c r="B6067" s="2" t="s">
        <v>1083</v>
      </c>
      <c r="C6067" s="5" t="s">
        <v>1109</v>
      </c>
      <c r="D6067" s="2" t="s">
        <v>1165</v>
      </c>
    </row>
    <row r="6068" spans="1:4" ht="12.95" customHeight="1" x14ac:dyDescent="0.25">
      <c r="A6068" s="2" t="s">
        <v>939</v>
      </c>
      <c r="B6068" s="2" t="s">
        <v>1083</v>
      </c>
      <c r="C6068" s="5" t="s">
        <v>1102</v>
      </c>
      <c r="D6068" s="2" t="s">
        <v>1103</v>
      </c>
    </row>
    <row r="6069" spans="1:4" ht="12.95" customHeight="1" x14ac:dyDescent="0.25">
      <c r="A6069" s="2" t="s">
        <v>939</v>
      </c>
      <c r="B6069" s="2" t="s">
        <v>1083</v>
      </c>
      <c r="C6069" s="5" t="s">
        <v>1084</v>
      </c>
      <c r="D6069" s="2" t="s">
        <v>1153</v>
      </c>
    </row>
    <row r="6070" spans="1:4" ht="12.95" customHeight="1" x14ac:dyDescent="0.25">
      <c r="A6070" s="2" t="s">
        <v>939</v>
      </c>
      <c r="B6070" s="2" t="s">
        <v>1083</v>
      </c>
      <c r="C6070" s="5" t="s">
        <v>1086</v>
      </c>
      <c r="D6070" s="2" t="s">
        <v>1087</v>
      </c>
    </row>
    <row r="6071" spans="1:4" ht="12.95" customHeight="1" x14ac:dyDescent="0.25">
      <c r="A6071" s="2" t="s">
        <v>939</v>
      </c>
      <c r="B6071" s="2" t="s">
        <v>1083</v>
      </c>
      <c r="C6071" s="5" t="s">
        <v>1088</v>
      </c>
      <c r="D6071" s="2" t="s">
        <v>1089</v>
      </c>
    </row>
    <row r="6072" spans="1:4" ht="12.95" customHeight="1" x14ac:dyDescent="0.25">
      <c r="A6072" s="2" t="s">
        <v>939</v>
      </c>
      <c r="B6072" s="2" t="s">
        <v>1083</v>
      </c>
      <c r="C6072" s="5" t="s">
        <v>1090</v>
      </c>
      <c r="D6072" s="2" t="s">
        <v>1159</v>
      </c>
    </row>
    <row r="6073" spans="1:4" ht="12.95" customHeight="1" x14ac:dyDescent="0.25">
      <c r="A6073" s="2" t="s">
        <v>939</v>
      </c>
      <c r="B6073" s="2" t="s">
        <v>1083</v>
      </c>
      <c r="C6073" s="5" t="s">
        <v>1092</v>
      </c>
      <c r="D6073" s="2" t="s">
        <v>1160</v>
      </c>
    </row>
    <row r="6074" spans="1:4" ht="12.95" customHeight="1" x14ac:dyDescent="0.25">
      <c r="A6074" s="2" t="s">
        <v>939</v>
      </c>
      <c r="B6074" s="2" t="s">
        <v>1083</v>
      </c>
      <c r="C6074" s="5" t="s">
        <v>1094</v>
      </c>
      <c r="D6074" s="2" t="s">
        <v>1161</v>
      </c>
    </row>
    <row r="6075" spans="1:4" ht="12.95" customHeight="1" x14ac:dyDescent="0.25">
      <c r="A6075" s="2" t="s">
        <v>939</v>
      </c>
      <c r="B6075" s="2" t="s">
        <v>1083</v>
      </c>
      <c r="C6075" s="5" t="s">
        <v>1096</v>
      </c>
      <c r="D6075" s="2" t="s">
        <v>6130</v>
      </c>
    </row>
    <row r="6076" spans="1:4" ht="12.95" customHeight="1" x14ac:dyDescent="0.25">
      <c r="A6076" s="2" t="s">
        <v>939</v>
      </c>
      <c r="B6076" s="2" t="s">
        <v>1083</v>
      </c>
      <c r="C6076" s="5" t="s">
        <v>1098</v>
      </c>
      <c r="D6076" s="2" t="s">
        <v>1163</v>
      </c>
    </row>
    <row r="6077" spans="1:4" ht="12.95" customHeight="1" x14ac:dyDescent="0.25">
      <c r="A6077" s="2" t="s">
        <v>939</v>
      </c>
      <c r="B6077" s="2" t="s">
        <v>1083</v>
      </c>
      <c r="C6077" s="5" t="s">
        <v>1100</v>
      </c>
      <c r="D6077" s="2" t="s">
        <v>1164</v>
      </c>
    </row>
    <row r="6078" spans="1:4" ht="12.95" customHeight="1" x14ac:dyDescent="0.25">
      <c r="A6078" s="2" t="s">
        <v>939</v>
      </c>
      <c r="B6078" s="2" t="s">
        <v>1083</v>
      </c>
      <c r="C6078" s="5" t="s">
        <v>1109</v>
      </c>
      <c r="D6078" s="2" t="s">
        <v>1165</v>
      </c>
    </row>
    <row r="6079" spans="1:4" ht="12.95" customHeight="1" x14ac:dyDescent="0.25">
      <c r="A6079" s="2" t="s">
        <v>941</v>
      </c>
      <c r="B6079" s="2" t="s">
        <v>1083</v>
      </c>
      <c r="C6079" s="5" t="s">
        <v>1102</v>
      </c>
      <c r="D6079" s="2" t="s">
        <v>1103</v>
      </c>
    </row>
    <row r="6080" spans="1:4" ht="12.95" customHeight="1" x14ac:dyDescent="0.25">
      <c r="A6080" s="2" t="s">
        <v>941</v>
      </c>
      <c r="B6080" s="2" t="s">
        <v>1083</v>
      </c>
      <c r="C6080" s="5" t="s">
        <v>1084</v>
      </c>
      <c r="D6080" s="2" t="s">
        <v>1153</v>
      </c>
    </row>
    <row r="6081" spans="1:4" ht="12.95" customHeight="1" x14ac:dyDescent="0.25">
      <c r="A6081" s="2" t="s">
        <v>941</v>
      </c>
      <c r="B6081" s="2" t="s">
        <v>1083</v>
      </c>
      <c r="C6081" s="5" t="s">
        <v>1086</v>
      </c>
      <c r="D6081" s="2" t="s">
        <v>1087</v>
      </c>
    </row>
    <row r="6082" spans="1:4" ht="12.95" customHeight="1" x14ac:dyDescent="0.25">
      <c r="A6082" s="2" t="s">
        <v>941</v>
      </c>
      <c r="B6082" s="2" t="s">
        <v>1083</v>
      </c>
      <c r="C6082" s="5" t="s">
        <v>1088</v>
      </c>
      <c r="D6082" s="2" t="s">
        <v>1089</v>
      </c>
    </row>
    <row r="6083" spans="1:4" ht="12.95" customHeight="1" x14ac:dyDescent="0.25">
      <c r="A6083" s="2" t="s">
        <v>941</v>
      </c>
      <c r="B6083" s="2" t="s">
        <v>1083</v>
      </c>
      <c r="C6083" s="5" t="s">
        <v>1090</v>
      </c>
      <c r="D6083" s="2" t="s">
        <v>1159</v>
      </c>
    </row>
    <row r="6084" spans="1:4" ht="12.95" customHeight="1" x14ac:dyDescent="0.25">
      <c r="A6084" s="2" t="s">
        <v>941</v>
      </c>
      <c r="B6084" s="2" t="s">
        <v>1083</v>
      </c>
      <c r="C6084" s="5" t="s">
        <v>1092</v>
      </c>
      <c r="D6084" s="2" t="s">
        <v>1160</v>
      </c>
    </row>
    <row r="6085" spans="1:4" ht="12.95" customHeight="1" x14ac:dyDescent="0.25">
      <c r="A6085" s="2" t="s">
        <v>941</v>
      </c>
      <c r="B6085" s="2" t="s">
        <v>1083</v>
      </c>
      <c r="C6085" s="5" t="s">
        <v>1094</v>
      </c>
      <c r="D6085" s="2" t="s">
        <v>1161</v>
      </c>
    </row>
    <row r="6086" spans="1:4" ht="12.95" customHeight="1" x14ac:dyDescent="0.25">
      <c r="A6086" s="2" t="s">
        <v>941</v>
      </c>
      <c r="B6086" s="2" t="s">
        <v>1083</v>
      </c>
      <c r="C6086" s="5" t="s">
        <v>1096</v>
      </c>
      <c r="D6086" s="2" t="s">
        <v>6130</v>
      </c>
    </row>
    <row r="6087" spans="1:4" ht="12.95" customHeight="1" x14ac:dyDescent="0.25">
      <c r="A6087" s="2" t="s">
        <v>941</v>
      </c>
      <c r="B6087" s="2" t="s">
        <v>1083</v>
      </c>
      <c r="C6087" s="5" t="s">
        <v>1098</v>
      </c>
      <c r="D6087" s="2" t="s">
        <v>1163</v>
      </c>
    </row>
    <row r="6088" spans="1:4" ht="12.95" customHeight="1" x14ac:dyDescent="0.25">
      <c r="A6088" s="2" t="s">
        <v>941</v>
      </c>
      <c r="B6088" s="2" t="s">
        <v>1083</v>
      </c>
      <c r="C6088" s="5" t="s">
        <v>1100</v>
      </c>
      <c r="D6088" s="2" t="s">
        <v>1164</v>
      </c>
    </row>
    <row r="6089" spans="1:4" ht="12.95" customHeight="1" x14ac:dyDescent="0.25">
      <c r="A6089" s="2" t="s">
        <v>941</v>
      </c>
      <c r="B6089" s="2" t="s">
        <v>1083</v>
      </c>
      <c r="C6089" s="5" t="s">
        <v>1109</v>
      </c>
      <c r="D6089" s="2" t="s">
        <v>1165</v>
      </c>
    </row>
    <row r="6090" spans="1:4" ht="12.95" customHeight="1" x14ac:dyDescent="0.25">
      <c r="A6090" s="2" t="s">
        <v>943</v>
      </c>
      <c r="B6090" s="2" t="s">
        <v>1083</v>
      </c>
      <c r="C6090" s="5" t="s">
        <v>1102</v>
      </c>
      <c r="D6090" s="2" t="s">
        <v>1103</v>
      </c>
    </row>
    <row r="6091" spans="1:4" ht="12.95" customHeight="1" x14ac:dyDescent="0.25">
      <c r="A6091" s="2" t="s">
        <v>943</v>
      </c>
      <c r="B6091" s="2" t="s">
        <v>1083</v>
      </c>
      <c r="C6091" s="5" t="s">
        <v>1084</v>
      </c>
      <c r="D6091" s="2" t="s">
        <v>1153</v>
      </c>
    </row>
    <row r="6092" spans="1:4" ht="12.95" customHeight="1" x14ac:dyDescent="0.25">
      <c r="A6092" s="2" t="s">
        <v>943</v>
      </c>
      <c r="B6092" s="2" t="s">
        <v>1083</v>
      </c>
      <c r="C6092" s="5" t="s">
        <v>1086</v>
      </c>
      <c r="D6092" s="2" t="s">
        <v>1087</v>
      </c>
    </row>
    <row r="6093" spans="1:4" ht="12.95" customHeight="1" x14ac:dyDescent="0.25">
      <c r="A6093" s="2" t="s">
        <v>943</v>
      </c>
      <c r="B6093" s="2" t="s">
        <v>1083</v>
      </c>
      <c r="C6093" s="5" t="s">
        <v>1088</v>
      </c>
      <c r="D6093" s="2" t="s">
        <v>1089</v>
      </c>
    </row>
    <row r="6094" spans="1:4" ht="12.95" customHeight="1" x14ac:dyDescent="0.25">
      <c r="A6094" s="2" t="s">
        <v>943</v>
      </c>
      <c r="B6094" s="2" t="s">
        <v>1083</v>
      </c>
      <c r="C6094" s="5" t="s">
        <v>1090</v>
      </c>
      <c r="D6094" s="2" t="s">
        <v>1159</v>
      </c>
    </row>
    <row r="6095" spans="1:4" ht="12.95" customHeight="1" x14ac:dyDescent="0.25">
      <c r="A6095" s="2" t="s">
        <v>943</v>
      </c>
      <c r="B6095" s="2" t="s">
        <v>1083</v>
      </c>
      <c r="C6095" s="5" t="s">
        <v>1092</v>
      </c>
      <c r="D6095" s="2" t="s">
        <v>1160</v>
      </c>
    </row>
    <row r="6096" spans="1:4" ht="12.95" customHeight="1" x14ac:dyDescent="0.25">
      <c r="A6096" s="2" t="s">
        <v>943</v>
      </c>
      <c r="B6096" s="2" t="s">
        <v>1083</v>
      </c>
      <c r="C6096" s="5" t="s">
        <v>1094</v>
      </c>
      <c r="D6096" s="2" t="s">
        <v>1161</v>
      </c>
    </row>
    <row r="6097" spans="1:4" ht="12.95" customHeight="1" x14ac:dyDescent="0.25">
      <c r="A6097" s="2" t="s">
        <v>943</v>
      </c>
      <c r="B6097" s="2" t="s">
        <v>1083</v>
      </c>
      <c r="C6097" s="5" t="s">
        <v>1096</v>
      </c>
      <c r="D6097" s="2" t="s">
        <v>6130</v>
      </c>
    </row>
    <row r="6098" spans="1:4" ht="12.95" customHeight="1" x14ac:dyDescent="0.25">
      <c r="A6098" s="2" t="s">
        <v>943</v>
      </c>
      <c r="B6098" s="2" t="s">
        <v>1083</v>
      </c>
      <c r="C6098" s="5" t="s">
        <v>1098</v>
      </c>
      <c r="D6098" s="2" t="s">
        <v>1163</v>
      </c>
    </row>
    <row r="6099" spans="1:4" ht="12.95" customHeight="1" x14ac:dyDescent="0.25">
      <c r="A6099" s="2" t="s">
        <v>943</v>
      </c>
      <c r="B6099" s="2" t="s">
        <v>1083</v>
      </c>
      <c r="C6099" s="5" t="s">
        <v>1100</v>
      </c>
      <c r="D6099" s="2" t="s">
        <v>1164</v>
      </c>
    </row>
    <row r="6100" spans="1:4" ht="12.95" customHeight="1" x14ac:dyDescent="0.25">
      <c r="A6100" s="2" t="s">
        <v>943</v>
      </c>
      <c r="B6100" s="2" t="s">
        <v>1083</v>
      </c>
      <c r="C6100" s="5" t="s">
        <v>1109</v>
      </c>
      <c r="D6100" s="2" t="s">
        <v>1165</v>
      </c>
    </row>
    <row r="6101" spans="1:4" ht="12.95" customHeight="1" x14ac:dyDescent="0.25">
      <c r="A6101" s="2" t="s">
        <v>945</v>
      </c>
      <c r="B6101" s="2" t="s">
        <v>1083</v>
      </c>
      <c r="C6101" s="5" t="s">
        <v>1102</v>
      </c>
      <c r="D6101" s="2" t="s">
        <v>1103</v>
      </c>
    </row>
    <row r="6102" spans="1:4" ht="12.95" customHeight="1" x14ac:dyDescent="0.25">
      <c r="A6102" s="2" t="s">
        <v>945</v>
      </c>
      <c r="B6102" s="2" t="s">
        <v>1083</v>
      </c>
      <c r="C6102" s="5" t="s">
        <v>1084</v>
      </c>
      <c r="D6102" s="2" t="s">
        <v>1153</v>
      </c>
    </row>
    <row r="6103" spans="1:4" ht="12.95" customHeight="1" x14ac:dyDescent="0.25">
      <c r="A6103" s="2" t="s">
        <v>945</v>
      </c>
      <c r="B6103" s="2" t="s">
        <v>1083</v>
      </c>
      <c r="C6103" s="5" t="s">
        <v>1086</v>
      </c>
      <c r="D6103" s="2" t="s">
        <v>1087</v>
      </c>
    </row>
    <row r="6104" spans="1:4" ht="12.95" customHeight="1" x14ac:dyDescent="0.25">
      <c r="A6104" s="2" t="s">
        <v>945</v>
      </c>
      <c r="B6104" s="2" t="s">
        <v>1083</v>
      </c>
      <c r="C6104" s="5" t="s">
        <v>1088</v>
      </c>
      <c r="D6104" s="2" t="s">
        <v>1089</v>
      </c>
    </row>
    <row r="6105" spans="1:4" ht="12.95" customHeight="1" x14ac:dyDescent="0.25">
      <c r="A6105" s="2" t="s">
        <v>945</v>
      </c>
      <c r="B6105" s="2" t="s">
        <v>1083</v>
      </c>
      <c r="C6105" s="5" t="s">
        <v>1090</v>
      </c>
      <c r="D6105" s="2" t="s">
        <v>1159</v>
      </c>
    </row>
    <row r="6106" spans="1:4" ht="12.95" customHeight="1" x14ac:dyDescent="0.25">
      <c r="A6106" s="2" t="s">
        <v>945</v>
      </c>
      <c r="B6106" s="2" t="s">
        <v>1083</v>
      </c>
      <c r="C6106" s="5" t="s">
        <v>1092</v>
      </c>
      <c r="D6106" s="2" t="s">
        <v>1160</v>
      </c>
    </row>
    <row r="6107" spans="1:4" ht="12.95" customHeight="1" x14ac:dyDescent="0.25">
      <c r="A6107" s="2" t="s">
        <v>945</v>
      </c>
      <c r="B6107" s="2" t="s">
        <v>1083</v>
      </c>
      <c r="C6107" s="5" t="s">
        <v>1094</v>
      </c>
      <c r="D6107" s="2" t="s">
        <v>1161</v>
      </c>
    </row>
    <row r="6108" spans="1:4" ht="12.95" customHeight="1" x14ac:dyDescent="0.25">
      <c r="A6108" s="2" t="s">
        <v>945</v>
      </c>
      <c r="B6108" s="2" t="s">
        <v>1083</v>
      </c>
      <c r="C6108" s="5" t="s">
        <v>1096</v>
      </c>
      <c r="D6108" s="2" t="s">
        <v>6130</v>
      </c>
    </row>
    <row r="6109" spans="1:4" ht="12.95" customHeight="1" x14ac:dyDescent="0.25">
      <c r="A6109" s="2" t="s">
        <v>945</v>
      </c>
      <c r="B6109" s="2" t="s">
        <v>1083</v>
      </c>
      <c r="C6109" s="5" t="s">
        <v>1098</v>
      </c>
      <c r="D6109" s="2" t="s">
        <v>1163</v>
      </c>
    </row>
    <row r="6110" spans="1:4" ht="12.95" customHeight="1" x14ac:dyDescent="0.25">
      <c r="A6110" s="2" t="s">
        <v>945</v>
      </c>
      <c r="B6110" s="2" t="s">
        <v>1083</v>
      </c>
      <c r="C6110" s="5" t="s">
        <v>1100</v>
      </c>
      <c r="D6110" s="2" t="s">
        <v>1164</v>
      </c>
    </row>
    <row r="6111" spans="1:4" ht="12.95" customHeight="1" x14ac:dyDescent="0.25">
      <c r="A6111" s="2" t="s">
        <v>945</v>
      </c>
      <c r="B6111" s="2" t="s">
        <v>1083</v>
      </c>
      <c r="C6111" s="5" t="s">
        <v>1109</v>
      </c>
      <c r="D6111" s="2" t="s">
        <v>1165</v>
      </c>
    </row>
    <row r="6112" spans="1:4" ht="12.95" customHeight="1" x14ac:dyDescent="0.25">
      <c r="A6112" s="2" t="s">
        <v>947</v>
      </c>
      <c r="B6112" s="2" t="s">
        <v>1083</v>
      </c>
      <c r="C6112" s="5" t="s">
        <v>1102</v>
      </c>
      <c r="D6112" s="2" t="s">
        <v>1103</v>
      </c>
    </row>
    <row r="6113" spans="1:4" ht="12.95" customHeight="1" x14ac:dyDescent="0.25">
      <c r="A6113" s="2" t="s">
        <v>947</v>
      </c>
      <c r="B6113" s="2" t="s">
        <v>1083</v>
      </c>
      <c r="C6113" s="5" t="s">
        <v>1084</v>
      </c>
      <c r="D6113" s="2" t="s">
        <v>1153</v>
      </c>
    </row>
    <row r="6114" spans="1:4" ht="12.95" customHeight="1" x14ac:dyDescent="0.25">
      <c r="A6114" s="2" t="s">
        <v>947</v>
      </c>
      <c r="B6114" s="2" t="s">
        <v>1083</v>
      </c>
      <c r="C6114" s="5" t="s">
        <v>1086</v>
      </c>
      <c r="D6114" s="2" t="s">
        <v>1087</v>
      </c>
    </row>
    <row r="6115" spans="1:4" ht="12.95" customHeight="1" x14ac:dyDescent="0.25">
      <c r="A6115" s="2" t="s">
        <v>947</v>
      </c>
      <c r="B6115" s="2" t="s">
        <v>1083</v>
      </c>
      <c r="C6115" s="5" t="s">
        <v>1088</v>
      </c>
      <c r="D6115" s="2" t="s">
        <v>1089</v>
      </c>
    </row>
    <row r="6116" spans="1:4" ht="12.95" customHeight="1" x14ac:dyDescent="0.25">
      <c r="A6116" s="2" t="s">
        <v>947</v>
      </c>
      <c r="B6116" s="2" t="s">
        <v>1083</v>
      </c>
      <c r="C6116" s="5" t="s">
        <v>1090</v>
      </c>
      <c r="D6116" s="2" t="s">
        <v>1159</v>
      </c>
    </row>
    <row r="6117" spans="1:4" ht="12.95" customHeight="1" x14ac:dyDescent="0.25">
      <c r="A6117" s="2" t="s">
        <v>947</v>
      </c>
      <c r="B6117" s="2" t="s">
        <v>1083</v>
      </c>
      <c r="C6117" s="5" t="s">
        <v>1092</v>
      </c>
      <c r="D6117" s="2" t="s">
        <v>1160</v>
      </c>
    </row>
    <row r="6118" spans="1:4" ht="12.95" customHeight="1" x14ac:dyDescent="0.25">
      <c r="A6118" s="2" t="s">
        <v>947</v>
      </c>
      <c r="B6118" s="2" t="s">
        <v>1083</v>
      </c>
      <c r="C6118" s="5" t="s">
        <v>1094</v>
      </c>
      <c r="D6118" s="2" t="s">
        <v>1161</v>
      </c>
    </row>
    <row r="6119" spans="1:4" ht="12.95" customHeight="1" x14ac:dyDescent="0.25">
      <c r="A6119" s="2" t="s">
        <v>947</v>
      </c>
      <c r="B6119" s="2" t="s">
        <v>1083</v>
      </c>
      <c r="C6119" s="5" t="s">
        <v>1096</v>
      </c>
      <c r="D6119" s="2" t="s">
        <v>6130</v>
      </c>
    </row>
    <row r="6120" spans="1:4" ht="12.95" customHeight="1" x14ac:dyDescent="0.25">
      <c r="A6120" s="2" t="s">
        <v>947</v>
      </c>
      <c r="B6120" s="2" t="s">
        <v>1083</v>
      </c>
      <c r="C6120" s="5" t="s">
        <v>1098</v>
      </c>
      <c r="D6120" s="2" t="s">
        <v>1163</v>
      </c>
    </row>
    <row r="6121" spans="1:4" ht="12.95" customHeight="1" x14ac:dyDescent="0.25">
      <c r="A6121" s="2" t="s">
        <v>947</v>
      </c>
      <c r="B6121" s="2" t="s">
        <v>1083</v>
      </c>
      <c r="C6121" s="5" t="s">
        <v>1100</v>
      </c>
      <c r="D6121" s="2" t="s">
        <v>1164</v>
      </c>
    </row>
    <row r="6122" spans="1:4" ht="12.95" customHeight="1" x14ac:dyDescent="0.25">
      <c r="A6122" s="2" t="s">
        <v>947</v>
      </c>
      <c r="B6122" s="2" t="s">
        <v>1083</v>
      </c>
      <c r="C6122" s="5" t="s">
        <v>1109</v>
      </c>
      <c r="D6122" s="2" t="s">
        <v>1165</v>
      </c>
    </row>
    <row r="6123" spans="1:4" ht="12.95" customHeight="1" x14ac:dyDescent="0.25">
      <c r="A6123" s="2" t="s">
        <v>949</v>
      </c>
      <c r="B6123" s="2" t="s">
        <v>1083</v>
      </c>
      <c r="C6123" s="5" t="s">
        <v>1102</v>
      </c>
      <c r="D6123" s="2" t="s">
        <v>1103</v>
      </c>
    </row>
    <row r="6124" spans="1:4" ht="12.95" customHeight="1" x14ac:dyDescent="0.25">
      <c r="A6124" s="2" t="s">
        <v>949</v>
      </c>
      <c r="B6124" s="2" t="s">
        <v>1083</v>
      </c>
      <c r="C6124" s="5" t="s">
        <v>1084</v>
      </c>
      <c r="D6124" s="2" t="s">
        <v>1153</v>
      </c>
    </row>
    <row r="6125" spans="1:4" ht="12.95" customHeight="1" x14ac:dyDescent="0.25">
      <c r="A6125" s="2" t="s">
        <v>949</v>
      </c>
      <c r="B6125" s="2" t="s">
        <v>1083</v>
      </c>
      <c r="C6125" s="5" t="s">
        <v>1086</v>
      </c>
      <c r="D6125" s="2" t="s">
        <v>1087</v>
      </c>
    </row>
    <row r="6126" spans="1:4" ht="12.95" customHeight="1" x14ac:dyDescent="0.25">
      <c r="A6126" s="2" t="s">
        <v>949</v>
      </c>
      <c r="B6126" s="2" t="s">
        <v>1083</v>
      </c>
      <c r="C6126" s="5" t="s">
        <v>1088</v>
      </c>
      <c r="D6126" s="2" t="s">
        <v>1089</v>
      </c>
    </row>
    <row r="6127" spans="1:4" ht="12.95" customHeight="1" x14ac:dyDescent="0.25">
      <c r="A6127" s="2" t="s">
        <v>949</v>
      </c>
      <c r="B6127" s="2" t="s">
        <v>1083</v>
      </c>
      <c r="C6127" s="5" t="s">
        <v>1090</v>
      </c>
      <c r="D6127" s="2" t="s">
        <v>1159</v>
      </c>
    </row>
    <row r="6128" spans="1:4" ht="12.95" customHeight="1" x14ac:dyDescent="0.25">
      <c r="A6128" s="2" t="s">
        <v>949</v>
      </c>
      <c r="B6128" s="2" t="s">
        <v>1083</v>
      </c>
      <c r="C6128" s="5" t="s">
        <v>1092</v>
      </c>
      <c r="D6128" s="2" t="s">
        <v>1160</v>
      </c>
    </row>
    <row r="6129" spans="1:4" ht="12.95" customHeight="1" x14ac:dyDescent="0.25">
      <c r="A6129" s="2" t="s">
        <v>949</v>
      </c>
      <c r="B6129" s="2" t="s">
        <v>1083</v>
      </c>
      <c r="C6129" s="5" t="s">
        <v>1094</v>
      </c>
      <c r="D6129" s="2" t="s">
        <v>1161</v>
      </c>
    </row>
    <row r="6130" spans="1:4" ht="12.95" customHeight="1" x14ac:dyDescent="0.25">
      <c r="A6130" s="2" t="s">
        <v>949</v>
      </c>
      <c r="B6130" s="2" t="s">
        <v>1083</v>
      </c>
      <c r="C6130" s="5" t="s">
        <v>1096</v>
      </c>
      <c r="D6130" s="2" t="s">
        <v>6130</v>
      </c>
    </row>
    <row r="6131" spans="1:4" ht="12.95" customHeight="1" x14ac:dyDescent="0.25">
      <c r="A6131" s="2" t="s">
        <v>949</v>
      </c>
      <c r="B6131" s="2" t="s">
        <v>1083</v>
      </c>
      <c r="C6131" s="5" t="s">
        <v>1098</v>
      </c>
      <c r="D6131" s="2" t="s">
        <v>1163</v>
      </c>
    </row>
    <row r="6132" spans="1:4" ht="12.95" customHeight="1" x14ac:dyDescent="0.25">
      <c r="A6132" s="2" t="s">
        <v>949</v>
      </c>
      <c r="B6132" s="2" t="s">
        <v>1083</v>
      </c>
      <c r="C6132" s="5" t="s">
        <v>1100</v>
      </c>
      <c r="D6132" s="2" t="s">
        <v>1164</v>
      </c>
    </row>
    <row r="6133" spans="1:4" ht="12.95" customHeight="1" x14ac:dyDescent="0.25">
      <c r="A6133" s="2" t="s">
        <v>949</v>
      </c>
      <c r="B6133" s="2" t="s">
        <v>1083</v>
      </c>
      <c r="C6133" s="5" t="s">
        <v>1109</v>
      </c>
      <c r="D6133" s="2" t="s">
        <v>1165</v>
      </c>
    </row>
    <row r="6134" spans="1:4" ht="12.95" customHeight="1" x14ac:dyDescent="0.25">
      <c r="A6134" s="2" t="s">
        <v>951</v>
      </c>
      <c r="B6134" s="2" t="s">
        <v>1083</v>
      </c>
      <c r="C6134" s="5" t="s">
        <v>1102</v>
      </c>
      <c r="D6134" s="2" t="s">
        <v>1103</v>
      </c>
    </row>
    <row r="6135" spans="1:4" ht="12.95" customHeight="1" x14ac:dyDescent="0.25">
      <c r="A6135" s="2" t="s">
        <v>951</v>
      </c>
      <c r="B6135" s="2" t="s">
        <v>1083</v>
      </c>
      <c r="C6135" s="5" t="s">
        <v>1084</v>
      </c>
      <c r="D6135" s="2" t="s">
        <v>1153</v>
      </c>
    </row>
    <row r="6136" spans="1:4" ht="12.95" customHeight="1" x14ac:dyDescent="0.25">
      <c r="A6136" s="2" t="s">
        <v>951</v>
      </c>
      <c r="B6136" s="2" t="s">
        <v>1083</v>
      </c>
      <c r="C6136" s="5" t="s">
        <v>1086</v>
      </c>
      <c r="D6136" s="2" t="s">
        <v>1087</v>
      </c>
    </row>
    <row r="6137" spans="1:4" ht="12.95" customHeight="1" x14ac:dyDescent="0.25">
      <c r="A6137" s="2" t="s">
        <v>951</v>
      </c>
      <c r="B6137" s="2" t="s">
        <v>1083</v>
      </c>
      <c r="C6137" s="5" t="s">
        <v>1088</v>
      </c>
      <c r="D6137" s="2" t="s">
        <v>1089</v>
      </c>
    </row>
    <row r="6138" spans="1:4" ht="12.95" customHeight="1" x14ac:dyDescent="0.25">
      <c r="A6138" s="2" t="s">
        <v>951</v>
      </c>
      <c r="B6138" s="2" t="s">
        <v>1083</v>
      </c>
      <c r="C6138" s="5" t="s">
        <v>1090</v>
      </c>
      <c r="D6138" s="2" t="s">
        <v>1159</v>
      </c>
    </row>
    <row r="6139" spans="1:4" ht="12.95" customHeight="1" x14ac:dyDescent="0.25">
      <c r="A6139" s="2" t="s">
        <v>951</v>
      </c>
      <c r="B6139" s="2" t="s">
        <v>1083</v>
      </c>
      <c r="C6139" s="5" t="s">
        <v>1092</v>
      </c>
      <c r="D6139" s="2" t="s">
        <v>1160</v>
      </c>
    </row>
    <row r="6140" spans="1:4" ht="12.95" customHeight="1" x14ac:dyDescent="0.25">
      <c r="A6140" s="2" t="s">
        <v>951</v>
      </c>
      <c r="B6140" s="2" t="s">
        <v>1083</v>
      </c>
      <c r="C6140" s="5" t="s">
        <v>1094</v>
      </c>
      <c r="D6140" s="2" t="s">
        <v>1161</v>
      </c>
    </row>
    <row r="6141" spans="1:4" ht="12.95" customHeight="1" x14ac:dyDescent="0.25">
      <c r="A6141" s="2" t="s">
        <v>951</v>
      </c>
      <c r="B6141" s="2" t="s">
        <v>1083</v>
      </c>
      <c r="C6141" s="5" t="s">
        <v>1096</v>
      </c>
      <c r="D6141" s="2" t="s">
        <v>6130</v>
      </c>
    </row>
    <row r="6142" spans="1:4" ht="12.95" customHeight="1" x14ac:dyDescent="0.25">
      <c r="A6142" s="2" t="s">
        <v>951</v>
      </c>
      <c r="B6142" s="2" t="s">
        <v>1083</v>
      </c>
      <c r="C6142" s="5" t="s">
        <v>1098</v>
      </c>
      <c r="D6142" s="2" t="s">
        <v>1163</v>
      </c>
    </row>
    <row r="6143" spans="1:4" ht="12.95" customHeight="1" x14ac:dyDescent="0.25">
      <c r="A6143" s="2" t="s">
        <v>951</v>
      </c>
      <c r="B6143" s="2" t="s">
        <v>1083</v>
      </c>
      <c r="C6143" s="5" t="s">
        <v>1100</v>
      </c>
      <c r="D6143" s="2" t="s">
        <v>1164</v>
      </c>
    </row>
    <row r="6144" spans="1:4" ht="12.95" customHeight="1" x14ac:dyDescent="0.25">
      <c r="A6144" s="2" t="s">
        <v>951</v>
      </c>
      <c r="B6144" s="2" t="s">
        <v>1083</v>
      </c>
      <c r="C6144" s="5" t="s">
        <v>1109</v>
      </c>
      <c r="D6144" s="2" t="s">
        <v>1165</v>
      </c>
    </row>
    <row r="6145" spans="1:4" ht="12.95" customHeight="1" x14ac:dyDescent="0.25">
      <c r="A6145" s="2" t="s">
        <v>953</v>
      </c>
      <c r="B6145" s="2" t="s">
        <v>1083</v>
      </c>
      <c r="C6145" s="5" t="s">
        <v>1102</v>
      </c>
      <c r="D6145" s="2" t="s">
        <v>1103</v>
      </c>
    </row>
    <row r="6146" spans="1:4" ht="12.95" customHeight="1" x14ac:dyDescent="0.25">
      <c r="A6146" s="2" t="s">
        <v>953</v>
      </c>
      <c r="B6146" s="2" t="s">
        <v>1083</v>
      </c>
      <c r="C6146" s="5" t="s">
        <v>1084</v>
      </c>
      <c r="D6146" s="2" t="s">
        <v>1085</v>
      </c>
    </row>
    <row r="6147" spans="1:4" ht="12.95" customHeight="1" x14ac:dyDescent="0.25">
      <c r="A6147" s="2" t="s">
        <v>953</v>
      </c>
      <c r="B6147" s="2" t="s">
        <v>1083</v>
      </c>
      <c r="C6147" s="5" t="s">
        <v>1086</v>
      </c>
      <c r="D6147" s="2" t="s">
        <v>1087</v>
      </c>
    </row>
    <row r="6148" spans="1:4" ht="12.95" customHeight="1" x14ac:dyDescent="0.25">
      <c r="A6148" s="2" t="s">
        <v>953</v>
      </c>
      <c r="B6148" s="2" t="s">
        <v>1083</v>
      </c>
      <c r="C6148" s="5" t="s">
        <v>1088</v>
      </c>
      <c r="D6148" s="2" t="s">
        <v>1089</v>
      </c>
    </row>
    <row r="6149" spans="1:4" ht="12.95" customHeight="1" x14ac:dyDescent="0.25">
      <c r="A6149" s="2" t="s">
        <v>953</v>
      </c>
      <c r="B6149" s="2" t="s">
        <v>1083</v>
      </c>
      <c r="C6149" s="5" t="s">
        <v>1292</v>
      </c>
      <c r="D6149" s="2" t="s">
        <v>1165</v>
      </c>
    </row>
    <row r="6150" spans="1:4" ht="12.95" customHeight="1" x14ac:dyDescent="0.25">
      <c r="A6150" s="2" t="s">
        <v>953</v>
      </c>
      <c r="B6150" s="2" t="s">
        <v>1083</v>
      </c>
      <c r="C6150" s="5" t="s">
        <v>1090</v>
      </c>
      <c r="D6150" s="2" t="s">
        <v>3364</v>
      </c>
    </row>
    <row r="6151" spans="1:4" ht="12.95" customHeight="1" x14ac:dyDescent="0.25">
      <c r="A6151" s="2" t="s">
        <v>953</v>
      </c>
      <c r="B6151" s="2" t="s">
        <v>1083</v>
      </c>
      <c r="C6151" s="5" t="s">
        <v>1092</v>
      </c>
      <c r="D6151" s="2" t="s">
        <v>3365</v>
      </c>
    </row>
    <row r="6152" spans="1:4" ht="12.95" customHeight="1" x14ac:dyDescent="0.25">
      <c r="A6152" s="2" t="s">
        <v>953</v>
      </c>
      <c r="B6152" s="2" t="s">
        <v>1083</v>
      </c>
      <c r="C6152" s="5" t="s">
        <v>1094</v>
      </c>
      <c r="D6152" s="2" t="s">
        <v>3366</v>
      </c>
    </row>
    <row r="6153" spans="1:4" ht="12.95" customHeight="1" x14ac:dyDescent="0.25">
      <c r="A6153" s="2" t="s">
        <v>953</v>
      </c>
      <c r="B6153" s="2" t="s">
        <v>1083</v>
      </c>
      <c r="C6153" s="5" t="s">
        <v>1096</v>
      </c>
      <c r="D6153" s="2" t="s">
        <v>3367</v>
      </c>
    </row>
    <row r="6154" spans="1:4" ht="12.95" customHeight="1" x14ac:dyDescent="0.25">
      <c r="A6154" s="2" t="s">
        <v>953</v>
      </c>
      <c r="B6154" s="2" t="s">
        <v>1083</v>
      </c>
      <c r="C6154" s="5" t="s">
        <v>1098</v>
      </c>
      <c r="D6154" s="2" t="s">
        <v>3368</v>
      </c>
    </row>
    <row r="6155" spans="1:4" ht="12.95" customHeight="1" x14ac:dyDescent="0.25">
      <c r="A6155" s="2" t="s">
        <v>953</v>
      </c>
      <c r="B6155" s="2" t="s">
        <v>1083</v>
      </c>
      <c r="C6155" s="5" t="s">
        <v>1100</v>
      </c>
      <c r="D6155" s="2" t="s">
        <v>3369</v>
      </c>
    </row>
    <row r="6156" spans="1:4" ht="12.95" customHeight="1" x14ac:dyDescent="0.25">
      <c r="A6156" s="2" t="s">
        <v>953</v>
      </c>
      <c r="B6156" s="2" t="s">
        <v>1083</v>
      </c>
      <c r="C6156" s="5" t="s">
        <v>1109</v>
      </c>
      <c r="D6156" s="2" t="s">
        <v>3370</v>
      </c>
    </row>
    <row r="6157" spans="1:4" ht="12.95" customHeight="1" x14ac:dyDescent="0.25">
      <c r="A6157" s="2" t="s">
        <v>953</v>
      </c>
      <c r="B6157" s="2" t="s">
        <v>1083</v>
      </c>
      <c r="C6157" s="5" t="s">
        <v>1119</v>
      </c>
      <c r="D6157" s="2" t="s">
        <v>3371</v>
      </c>
    </row>
    <row r="6158" spans="1:4" ht="12.95" customHeight="1" x14ac:dyDescent="0.25">
      <c r="A6158" s="2" t="s">
        <v>953</v>
      </c>
      <c r="B6158" s="2" t="s">
        <v>1083</v>
      </c>
      <c r="C6158" s="5" t="s">
        <v>1111</v>
      </c>
      <c r="D6158" s="2" t="s">
        <v>1143</v>
      </c>
    </row>
    <row r="6159" spans="1:4" ht="12.95" customHeight="1" x14ac:dyDescent="0.25">
      <c r="A6159" s="2" t="s">
        <v>955</v>
      </c>
      <c r="B6159" s="2" t="s">
        <v>1083</v>
      </c>
      <c r="C6159" s="5" t="s">
        <v>1102</v>
      </c>
      <c r="D6159" s="2" t="s">
        <v>1103</v>
      </c>
    </row>
    <row r="6160" spans="1:4" ht="12.95" customHeight="1" x14ac:dyDescent="0.25">
      <c r="A6160" s="2" t="s">
        <v>955</v>
      </c>
      <c r="B6160" s="2" t="s">
        <v>1083</v>
      </c>
      <c r="C6160" s="5" t="s">
        <v>1084</v>
      </c>
      <c r="D6160" s="2" t="s">
        <v>1085</v>
      </c>
    </row>
    <row r="6161" spans="1:4" ht="12.95" customHeight="1" x14ac:dyDescent="0.25">
      <c r="A6161" s="2" t="s">
        <v>955</v>
      </c>
      <c r="B6161" s="2" t="s">
        <v>1083</v>
      </c>
      <c r="C6161" s="5" t="s">
        <v>1086</v>
      </c>
      <c r="D6161" s="2" t="s">
        <v>1087</v>
      </c>
    </row>
    <row r="6162" spans="1:4" ht="12.95" customHeight="1" x14ac:dyDescent="0.25">
      <c r="A6162" s="2" t="s">
        <v>955</v>
      </c>
      <c r="B6162" s="2" t="s">
        <v>1083</v>
      </c>
      <c r="C6162" s="5" t="s">
        <v>1088</v>
      </c>
      <c r="D6162" s="2" t="s">
        <v>1089</v>
      </c>
    </row>
    <row r="6163" spans="1:4" ht="12.95" customHeight="1" x14ac:dyDescent="0.25">
      <c r="A6163" s="2" t="s">
        <v>955</v>
      </c>
      <c r="B6163" s="2" t="s">
        <v>1083</v>
      </c>
      <c r="C6163" s="5" t="s">
        <v>1292</v>
      </c>
      <c r="D6163" s="2" t="s">
        <v>1165</v>
      </c>
    </row>
    <row r="6164" spans="1:4" ht="12.95" customHeight="1" x14ac:dyDescent="0.25">
      <c r="A6164" s="2" t="s">
        <v>955</v>
      </c>
      <c r="B6164" s="2" t="s">
        <v>1083</v>
      </c>
      <c r="C6164" s="5" t="s">
        <v>1090</v>
      </c>
      <c r="D6164" s="2" t="s">
        <v>3364</v>
      </c>
    </row>
    <row r="6165" spans="1:4" ht="12.95" customHeight="1" x14ac:dyDescent="0.25">
      <c r="A6165" s="2" t="s">
        <v>955</v>
      </c>
      <c r="B6165" s="2" t="s">
        <v>1083</v>
      </c>
      <c r="C6165" s="5" t="s">
        <v>1092</v>
      </c>
      <c r="D6165" s="2" t="s">
        <v>3365</v>
      </c>
    </row>
    <row r="6166" spans="1:4" ht="12.95" customHeight="1" x14ac:dyDescent="0.25">
      <c r="A6166" s="2" t="s">
        <v>955</v>
      </c>
      <c r="B6166" s="2" t="s">
        <v>1083</v>
      </c>
      <c r="C6166" s="5" t="s">
        <v>1094</v>
      </c>
      <c r="D6166" s="2" t="s">
        <v>3366</v>
      </c>
    </row>
    <row r="6167" spans="1:4" ht="12.95" customHeight="1" x14ac:dyDescent="0.25">
      <c r="A6167" s="2" t="s">
        <v>955</v>
      </c>
      <c r="B6167" s="2" t="s">
        <v>1083</v>
      </c>
      <c r="C6167" s="5" t="s">
        <v>1096</v>
      </c>
      <c r="D6167" s="2" t="s">
        <v>3367</v>
      </c>
    </row>
    <row r="6168" spans="1:4" ht="12.95" customHeight="1" x14ac:dyDescent="0.25">
      <c r="A6168" s="2" t="s">
        <v>955</v>
      </c>
      <c r="B6168" s="2" t="s">
        <v>1083</v>
      </c>
      <c r="C6168" s="5" t="s">
        <v>1098</v>
      </c>
      <c r="D6168" s="2" t="s">
        <v>3368</v>
      </c>
    </row>
    <row r="6169" spans="1:4" ht="12.95" customHeight="1" x14ac:dyDescent="0.25">
      <c r="A6169" s="2" t="s">
        <v>955</v>
      </c>
      <c r="B6169" s="2" t="s">
        <v>1083</v>
      </c>
      <c r="C6169" s="5" t="s">
        <v>1100</v>
      </c>
      <c r="D6169" s="2" t="s">
        <v>3369</v>
      </c>
    </row>
    <row r="6170" spans="1:4" ht="12.95" customHeight="1" x14ac:dyDescent="0.25">
      <c r="A6170" s="2" t="s">
        <v>955</v>
      </c>
      <c r="B6170" s="2" t="s">
        <v>1083</v>
      </c>
      <c r="C6170" s="5" t="s">
        <v>1109</v>
      </c>
      <c r="D6170" s="2" t="s">
        <v>3370</v>
      </c>
    </row>
    <row r="6171" spans="1:4" ht="12.95" customHeight="1" x14ac:dyDescent="0.25">
      <c r="A6171" s="2" t="s">
        <v>955</v>
      </c>
      <c r="B6171" s="2" t="s">
        <v>1083</v>
      </c>
      <c r="C6171" s="5" t="s">
        <v>1119</v>
      </c>
      <c r="D6171" s="2" t="s">
        <v>3371</v>
      </c>
    </row>
    <row r="6172" spans="1:4" ht="12.95" customHeight="1" x14ac:dyDescent="0.25">
      <c r="A6172" s="2" t="s">
        <v>955</v>
      </c>
      <c r="B6172" s="2" t="s">
        <v>1083</v>
      </c>
      <c r="C6172" s="5" t="s">
        <v>1111</v>
      </c>
      <c r="D6172" s="2" t="s">
        <v>1143</v>
      </c>
    </row>
    <row r="6173" spans="1:4" ht="12.95" customHeight="1" x14ac:dyDescent="0.25">
      <c r="A6173" s="2" t="s">
        <v>957</v>
      </c>
      <c r="B6173" s="2" t="s">
        <v>1083</v>
      </c>
      <c r="C6173" s="5" t="s">
        <v>1102</v>
      </c>
      <c r="D6173" s="2" t="s">
        <v>1103</v>
      </c>
    </row>
    <row r="6174" spans="1:4" ht="12.95" customHeight="1" x14ac:dyDescent="0.25">
      <c r="A6174" s="2" t="s">
        <v>957</v>
      </c>
      <c r="B6174" s="2" t="s">
        <v>1083</v>
      </c>
      <c r="C6174" s="5" t="s">
        <v>1084</v>
      </c>
      <c r="D6174" s="2" t="s">
        <v>1085</v>
      </c>
    </row>
    <row r="6175" spans="1:4" ht="12.95" customHeight="1" x14ac:dyDescent="0.25">
      <c r="A6175" s="2" t="s">
        <v>957</v>
      </c>
      <c r="B6175" s="2" t="s">
        <v>1083</v>
      </c>
      <c r="C6175" s="5" t="s">
        <v>1086</v>
      </c>
      <c r="D6175" s="2" t="s">
        <v>1087</v>
      </c>
    </row>
    <row r="6176" spans="1:4" ht="12.95" customHeight="1" x14ac:dyDescent="0.25">
      <c r="A6176" s="2" t="s">
        <v>957</v>
      </c>
      <c r="B6176" s="2" t="s">
        <v>1083</v>
      </c>
      <c r="C6176" s="5" t="s">
        <v>1088</v>
      </c>
      <c r="D6176" s="2" t="s">
        <v>1089</v>
      </c>
    </row>
    <row r="6177" spans="1:4" ht="12.95" customHeight="1" x14ac:dyDescent="0.25">
      <c r="A6177" s="2" t="s">
        <v>957</v>
      </c>
      <c r="B6177" s="2" t="s">
        <v>1083</v>
      </c>
      <c r="C6177" s="5" t="s">
        <v>1292</v>
      </c>
      <c r="D6177" s="2" t="s">
        <v>1165</v>
      </c>
    </row>
    <row r="6178" spans="1:4" ht="12.95" customHeight="1" x14ac:dyDescent="0.25">
      <c r="A6178" s="2" t="s">
        <v>957</v>
      </c>
      <c r="B6178" s="2" t="s">
        <v>1083</v>
      </c>
      <c r="C6178" s="5" t="s">
        <v>1090</v>
      </c>
      <c r="D6178" s="2" t="s">
        <v>3364</v>
      </c>
    </row>
    <row r="6179" spans="1:4" ht="12.95" customHeight="1" x14ac:dyDescent="0.25">
      <c r="A6179" s="2" t="s">
        <v>957</v>
      </c>
      <c r="B6179" s="2" t="s">
        <v>1083</v>
      </c>
      <c r="C6179" s="5" t="s">
        <v>1092</v>
      </c>
      <c r="D6179" s="2" t="s">
        <v>3365</v>
      </c>
    </row>
    <row r="6180" spans="1:4" ht="12.95" customHeight="1" x14ac:dyDescent="0.25">
      <c r="A6180" s="2" t="s">
        <v>957</v>
      </c>
      <c r="B6180" s="2" t="s">
        <v>1083</v>
      </c>
      <c r="C6180" s="5" t="s">
        <v>1094</v>
      </c>
      <c r="D6180" s="2" t="s">
        <v>3366</v>
      </c>
    </row>
    <row r="6181" spans="1:4" ht="12.95" customHeight="1" x14ac:dyDescent="0.25">
      <c r="A6181" s="2" t="s">
        <v>957</v>
      </c>
      <c r="B6181" s="2" t="s">
        <v>1083</v>
      </c>
      <c r="C6181" s="5" t="s">
        <v>1096</v>
      </c>
      <c r="D6181" s="2" t="s">
        <v>3367</v>
      </c>
    </row>
    <row r="6182" spans="1:4" ht="12.95" customHeight="1" x14ac:dyDescent="0.25">
      <c r="A6182" s="2" t="s">
        <v>957</v>
      </c>
      <c r="B6182" s="2" t="s">
        <v>1083</v>
      </c>
      <c r="C6182" s="5" t="s">
        <v>1098</v>
      </c>
      <c r="D6182" s="2" t="s">
        <v>3368</v>
      </c>
    </row>
    <row r="6183" spans="1:4" ht="12.95" customHeight="1" x14ac:dyDescent="0.25">
      <c r="A6183" s="2" t="s">
        <v>957</v>
      </c>
      <c r="B6183" s="2" t="s">
        <v>1083</v>
      </c>
      <c r="C6183" s="5" t="s">
        <v>1100</v>
      </c>
      <c r="D6183" s="2" t="s">
        <v>3369</v>
      </c>
    </row>
    <row r="6184" spans="1:4" ht="12.95" customHeight="1" x14ac:dyDescent="0.25">
      <c r="A6184" s="2" t="s">
        <v>957</v>
      </c>
      <c r="B6184" s="2" t="s">
        <v>1083</v>
      </c>
      <c r="C6184" s="5" t="s">
        <v>1109</v>
      </c>
      <c r="D6184" s="2" t="s">
        <v>3370</v>
      </c>
    </row>
    <row r="6185" spans="1:4" ht="12.95" customHeight="1" x14ac:dyDescent="0.25">
      <c r="A6185" s="2" t="s">
        <v>957</v>
      </c>
      <c r="B6185" s="2" t="s">
        <v>1083</v>
      </c>
      <c r="C6185" s="5" t="s">
        <v>1119</v>
      </c>
      <c r="D6185" s="2" t="s">
        <v>3371</v>
      </c>
    </row>
    <row r="6186" spans="1:4" ht="12.95" customHeight="1" x14ac:dyDescent="0.25">
      <c r="A6186" s="2" t="s">
        <v>957</v>
      </c>
      <c r="B6186" s="2" t="s">
        <v>1083</v>
      </c>
      <c r="C6186" s="5" t="s">
        <v>1111</v>
      </c>
      <c r="D6186" s="2" t="s">
        <v>1143</v>
      </c>
    </row>
    <row r="6187" spans="1:4" ht="12.95" customHeight="1" x14ac:dyDescent="0.25">
      <c r="A6187" s="2" t="s">
        <v>959</v>
      </c>
      <c r="B6187" s="2" t="s">
        <v>1083</v>
      </c>
      <c r="C6187" s="5" t="s">
        <v>1102</v>
      </c>
      <c r="D6187" s="2" t="s">
        <v>1103</v>
      </c>
    </row>
    <row r="6188" spans="1:4" ht="12.95" customHeight="1" x14ac:dyDescent="0.25">
      <c r="A6188" s="2" t="s">
        <v>959</v>
      </c>
      <c r="B6188" s="2" t="s">
        <v>1083</v>
      </c>
      <c r="C6188" s="5" t="s">
        <v>1084</v>
      </c>
      <c r="D6188" s="2" t="s">
        <v>1085</v>
      </c>
    </row>
    <row r="6189" spans="1:4" ht="12.95" customHeight="1" x14ac:dyDescent="0.25">
      <c r="A6189" s="2" t="s">
        <v>959</v>
      </c>
      <c r="B6189" s="2" t="s">
        <v>1083</v>
      </c>
      <c r="C6189" s="5" t="s">
        <v>1086</v>
      </c>
      <c r="D6189" s="2" t="s">
        <v>1087</v>
      </c>
    </row>
    <row r="6190" spans="1:4" ht="12.95" customHeight="1" x14ac:dyDescent="0.25">
      <c r="A6190" s="2" t="s">
        <v>959</v>
      </c>
      <c r="B6190" s="2" t="s">
        <v>1083</v>
      </c>
      <c r="C6190" s="5" t="s">
        <v>1088</v>
      </c>
      <c r="D6190" s="2" t="s">
        <v>1089</v>
      </c>
    </row>
    <row r="6191" spans="1:4" ht="12.95" customHeight="1" x14ac:dyDescent="0.25">
      <c r="A6191" s="2" t="s">
        <v>959</v>
      </c>
      <c r="B6191" s="2" t="s">
        <v>1083</v>
      </c>
      <c r="C6191" s="5" t="s">
        <v>1292</v>
      </c>
      <c r="D6191" s="2" t="s">
        <v>1165</v>
      </c>
    </row>
    <row r="6192" spans="1:4" ht="12.95" customHeight="1" x14ac:dyDescent="0.25">
      <c r="A6192" s="2" t="s">
        <v>959</v>
      </c>
      <c r="B6192" s="2" t="s">
        <v>1083</v>
      </c>
      <c r="C6192" s="5" t="s">
        <v>1090</v>
      </c>
      <c r="D6192" s="2" t="s">
        <v>3364</v>
      </c>
    </row>
    <row r="6193" spans="1:4" ht="12.95" customHeight="1" x14ac:dyDescent="0.25">
      <c r="A6193" s="2" t="s">
        <v>959</v>
      </c>
      <c r="B6193" s="2" t="s">
        <v>1083</v>
      </c>
      <c r="C6193" s="5" t="s">
        <v>1092</v>
      </c>
      <c r="D6193" s="2" t="s">
        <v>3365</v>
      </c>
    </row>
    <row r="6194" spans="1:4" ht="12.95" customHeight="1" x14ac:dyDescent="0.25">
      <c r="A6194" s="2" t="s">
        <v>959</v>
      </c>
      <c r="B6194" s="2" t="s">
        <v>1083</v>
      </c>
      <c r="C6194" s="5" t="s">
        <v>1094</v>
      </c>
      <c r="D6194" s="2" t="s">
        <v>3366</v>
      </c>
    </row>
    <row r="6195" spans="1:4" ht="12.95" customHeight="1" x14ac:dyDescent="0.25">
      <c r="A6195" s="2" t="s">
        <v>959</v>
      </c>
      <c r="B6195" s="2" t="s">
        <v>1083</v>
      </c>
      <c r="C6195" s="5" t="s">
        <v>1096</v>
      </c>
      <c r="D6195" s="2" t="s">
        <v>3367</v>
      </c>
    </row>
    <row r="6196" spans="1:4" ht="12.95" customHeight="1" x14ac:dyDescent="0.25">
      <c r="A6196" s="2" t="s">
        <v>959</v>
      </c>
      <c r="B6196" s="2" t="s">
        <v>1083</v>
      </c>
      <c r="C6196" s="5" t="s">
        <v>1098</v>
      </c>
      <c r="D6196" s="2" t="s">
        <v>3368</v>
      </c>
    </row>
    <row r="6197" spans="1:4" ht="12.95" customHeight="1" x14ac:dyDescent="0.25">
      <c r="A6197" s="2" t="s">
        <v>959</v>
      </c>
      <c r="B6197" s="2" t="s">
        <v>1083</v>
      </c>
      <c r="C6197" s="5" t="s">
        <v>1100</v>
      </c>
      <c r="D6197" s="2" t="s">
        <v>3369</v>
      </c>
    </row>
    <row r="6198" spans="1:4" ht="12.95" customHeight="1" x14ac:dyDescent="0.25">
      <c r="A6198" s="2" t="s">
        <v>959</v>
      </c>
      <c r="B6198" s="2" t="s">
        <v>1083</v>
      </c>
      <c r="C6198" s="5" t="s">
        <v>1109</v>
      </c>
      <c r="D6198" s="2" t="s">
        <v>3370</v>
      </c>
    </row>
    <row r="6199" spans="1:4" ht="12.95" customHeight="1" x14ac:dyDescent="0.25">
      <c r="A6199" s="2" t="s">
        <v>959</v>
      </c>
      <c r="B6199" s="2" t="s">
        <v>1083</v>
      </c>
      <c r="C6199" s="5" t="s">
        <v>1119</v>
      </c>
      <c r="D6199" s="2" t="s">
        <v>3371</v>
      </c>
    </row>
    <row r="6200" spans="1:4" ht="12.95" customHeight="1" x14ac:dyDescent="0.25">
      <c r="A6200" s="2" t="s">
        <v>959</v>
      </c>
      <c r="B6200" s="2" t="s">
        <v>1083</v>
      </c>
      <c r="C6200" s="5" t="s">
        <v>1111</v>
      </c>
      <c r="D6200" s="2" t="s">
        <v>1143</v>
      </c>
    </row>
    <row r="6201" spans="1:4" ht="12.95" customHeight="1" x14ac:dyDescent="0.25">
      <c r="A6201" s="2" t="s">
        <v>961</v>
      </c>
      <c r="B6201" s="2" t="s">
        <v>1146</v>
      </c>
      <c r="C6201" s="5" t="s">
        <v>1084</v>
      </c>
      <c r="D6201" s="2" t="s">
        <v>1085</v>
      </c>
    </row>
    <row r="6202" spans="1:4" ht="12.95" customHeight="1" x14ac:dyDescent="0.25">
      <c r="A6202" s="2" t="s">
        <v>961</v>
      </c>
      <c r="B6202" s="2" t="s">
        <v>1146</v>
      </c>
      <c r="C6202" s="5" t="s">
        <v>1086</v>
      </c>
      <c r="D6202" s="2" t="s">
        <v>1087</v>
      </c>
    </row>
    <row r="6203" spans="1:4" ht="12.95" customHeight="1" x14ac:dyDescent="0.25">
      <c r="A6203" s="2" t="s">
        <v>961</v>
      </c>
      <c r="B6203" s="2" t="s">
        <v>1146</v>
      </c>
      <c r="C6203" s="5" t="s">
        <v>1088</v>
      </c>
      <c r="D6203" s="2" t="s">
        <v>1089</v>
      </c>
    </row>
    <row r="6204" spans="1:4" ht="12.95" customHeight="1" x14ac:dyDescent="0.25">
      <c r="A6204" s="2" t="s">
        <v>961</v>
      </c>
      <c r="B6204" s="2" t="s">
        <v>1146</v>
      </c>
      <c r="C6204" s="5" t="s">
        <v>1090</v>
      </c>
      <c r="D6204" s="2" t="s">
        <v>1181</v>
      </c>
    </row>
    <row r="6205" spans="1:4" ht="12.95" customHeight="1" x14ac:dyDescent="0.25">
      <c r="A6205" s="2" t="s">
        <v>961</v>
      </c>
      <c r="B6205" s="2" t="s">
        <v>1146</v>
      </c>
      <c r="C6205" s="5" t="s">
        <v>1092</v>
      </c>
      <c r="D6205" s="2" t="s">
        <v>1182</v>
      </c>
    </row>
    <row r="6206" spans="1:4" ht="12.95" customHeight="1" x14ac:dyDescent="0.25">
      <c r="A6206" s="2" t="s">
        <v>961</v>
      </c>
      <c r="B6206" s="2" t="s">
        <v>1146</v>
      </c>
      <c r="C6206" s="5" t="s">
        <v>1094</v>
      </c>
      <c r="D6206" s="2" t="s">
        <v>6268</v>
      </c>
    </row>
    <row r="6207" spans="1:4" ht="12.95" customHeight="1" x14ac:dyDescent="0.25">
      <c r="A6207" s="2" t="s">
        <v>961</v>
      </c>
      <c r="B6207" s="2" t="s">
        <v>1146</v>
      </c>
      <c r="C6207" s="5" t="s">
        <v>1096</v>
      </c>
      <c r="D6207" s="2" t="s">
        <v>6269</v>
      </c>
    </row>
    <row r="6208" spans="1:4" ht="12.95" customHeight="1" x14ac:dyDescent="0.25">
      <c r="A6208" s="2" t="s">
        <v>961</v>
      </c>
      <c r="B6208" s="2" t="s">
        <v>1146</v>
      </c>
      <c r="C6208" s="5" t="s">
        <v>1098</v>
      </c>
      <c r="D6208" s="2" t="s">
        <v>1152</v>
      </c>
    </row>
    <row r="6209" spans="1:4" ht="12.95" customHeight="1" x14ac:dyDescent="0.25">
      <c r="A6209" s="2" t="s">
        <v>963</v>
      </c>
      <c r="B6209" s="2" t="s">
        <v>1272</v>
      </c>
      <c r="C6209" s="5" t="s">
        <v>1102</v>
      </c>
      <c r="D6209" s="2" t="s">
        <v>1103</v>
      </c>
    </row>
    <row r="6210" spans="1:4" ht="12.95" customHeight="1" x14ac:dyDescent="0.25">
      <c r="A6210" s="2" t="s">
        <v>963</v>
      </c>
      <c r="B6210" s="2" t="s">
        <v>1272</v>
      </c>
      <c r="C6210" s="5" t="s">
        <v>1088</v>
      </c>
      <c r="D6210" s="2" t="s">
        <v>1089</v>
      </c>
    </row>
    <row r="6211" spans="1:4" ht="12.95" customHeight="1" x14ac:dyDescent="0.25">
      <c r="A6211" s="2" t="s">
        <v>963</v>
      </c>
      <c r="B6211" s="2" t="s">
        <v>1272</v>
      </c>
      <c r="C6211" s="5" t="s">
        <v>1090</v>
      </c>
      <c r="D6211" s="2" t="s">
        <v>6270</v>
      </c>
    </row>
    <row r="6212" spans="1:4" ht="12.95" customHeight="1" x14ac:dyDescent="0.25">
      <c r="A6212" s="2" t="s">
        <v>963</v>
      </c>
      <c r="B6212" s="2" t="s">
        <v>1272</v>
      </c>
      <c r="C6212" s="5" t="s">
        <v>1092</v>
      </c>
      <c r="D6212" s="2" t="s">
        <v>3137</v>
      </c>
    </row>
    <row r="6213" spans="1:4" ht="12.95" customHeight="1" x14ac:dyDescent="0.25">
      <c r="A6213" s="2" t="s">
        <v>963</v>
      </c>
      <c r="B6213" s="2" t="s">
        <v>1272</v>
      </c>
      <c r="C6213" s="5" t="s">
        <v>1094</v>
      </c>
      <c r="D6213" s="2" t="s">
        <v>3138</v>
      </c>
    </row>
    <row r="6214" spans="1:4" ht="12.95" customHeight="1" x14ac:dyDescent="0.25">
      <c r="A6214" s="2" t="s">
        <v>963</v>
      </c>
      <c r="B6214" s="2" t="s">
        <v>1272</v>
      </c>
      <c r="C6214" s="5" t="s">
        <v>1096</v>
      </c>
      <c r="D6214" s="2" t="s">
        <v>3139</v>
      </c>
    </row>
    <row r="6215" spans="1:4" ht="12.95" customHeight="1" x14ac:dyDescent="0.25">
      <c r="A6215" s="2" t="s">
        <v>963</v>
      </c>
      <c r="B6215" s="2" t="s">
        <v>1272</v>
      </c>
      <c r="C6215" s="5" t="s">
        <v>1098</v>
      </c>
      <c r="D6215" s="2" t="s">
        <v>3140</v>
      </c>
    </row>
    <row r="6216" spans="1:4" ht="12.95" customHeight="1" x14ac:dyDescent="0.25">
      <c r="A6216" s="2" t="s">
        <v>963</v>
      </c>
      <c r="B6216" s="2" t="s">
        <v>1272</v>
      </c>
      <c r="C6216" s="5" t="s">
        <v>1100</v>
      </c>
      <c r="D6216" s="2" t="s">
        <v>3141</v>
      </c>
    </row>
    <row r="6217" spans="1:4" ht="12.95" customHeight="1" x14ac:dyDescent="0.25">
      <c r="A6217" s="2" t="s">
        <v>963</v>
      </c>
      <c r="B6217" s="2" t="s">
        <v>1272</v>
      </c>
      <c r="C6217" s="5" t="s">
        <v>1109</v>
      </c>
      <c r="D6217" s="2" t="s">
        <v>3142</v>
      </c>
    </row>
    <row r="6218" spans="1:4" ht="12.95" customHeight="1" x14ac:dyDescent="0.25">
      <c r="A6218" s="2" t="s">
        <v>963</v>
      </c>
      <c r="B6218" s="2" t="s">
        <v>1272</v>
      </c>
      <c r="C6218" s="5" t="s">
        <v>1119</v>
      </c>
      <c r="D6218" s="2" t="s">
        <v>3143</v>
      </c>
    </row>
    <row r="6219" spans="1:4" ht="12.95" customHeight="1" x14ac:dyDescent="0.25">
      <c r="A6219" s="2" t="s">
        <v>963</v>
      </c>
      <c r="B6219" s="2" t="s">
        <v>1272</v>
      </c>
      <c r="C6219" s="5" t="s">
        <v>1121</v>
      </c>
      <c r="D6219" s="2" t="s">
        <v>3144</v>
      </c>
    </row>
    <row r="6220" spans="1:4" ht="12.95" customHeight="1" x14ac:dyDescent="0.25">
      <c r="A6220" s="2" t="s">
        <v>963</v>
      </c>
      <c r="B6220" s="2" t="s">
        <v>1272</v>
      </c>
      <c r="C6220" s="5" t="s">
        <v>1123</v>
      </c>
      <c r="D6220" s="2" t="s">
        <v>3145</v>
      </c>
    </row>
    <row r="6221" spans="1:4" ht="12.95" customHeight="1" x14ac:dyDescent="0.25">
      <c r="A6221" s="2" t="s">
        <v>963</v>
      </c>
      <c r="B6221" s="2" t="s">
        <v>1272</v>
      </c>
      <c r="C6221" s="5" t="s">
        <v>1125</v>
      </c>
      <c r="D6221" s="2" t="s">
        <v>3146</v>
      </c>
    </row>
    <row r="6222" spans="1:4" ht="12.95" customHeight="1" x14ac:dyDescent="0.25">
      <c r="A6222" s="2" t="s">
        <v>963</v>
      </c>
      <c r="B6222" s="2" t="s">
        <v>1272</v>
      </c>
      <c r="C6222" s="5" t="s">
        <v>1127</v>
      </c>
      <c r="D6222" s="2" t="s">
        <v>3147</v>
      </c>
    </row>
    <row r="6223" spans="1:4" ht="12.95" customHeight="1" x14ac:dyDescent="0.25">
      <c r="A6223" s="2" t="s">
        <v>963</v>
      </c>
      <c r="B6223" s="2" t="s">
        <v>1272</v>
      </c>
      <c r="C6223" s="5" t="s">
        <v>1129</v>
      </c>
      <c r="D6223" s="2" t="s">
        <v>3148</v>
      </c>
    </row>
    <row r="6224" spans="1:4" ht="12.95" customHeight="1" x14ac:dyDescent="0.25">
      <c r="A6224" s="2" t="s">
        <v>963</v>
      </c>
      <c r="B6224" s="2" t="s">
        <v>1272</v>
      </c>
      <c r="C6224" s="5" t="s">
        <v>1131</v>
      </c>
      <c r="D6224" s="2" t="s">
        <v>3149</v>
      </c>
    </row>
    <row r="6225" spans="1:4" ht="12.95" customHeight="1" x14ac:dyDescent="0.25">
      <c r="A6225" s="2" t="s">
        <v>963</v>
      </c>
      <c r="B6225" s="2" t="s">
        <v>1272</v>
      </c>
      <c r="C6225" s="5" t="s">
        <v>1133</v>
      </c>
      <c r="D6225" s="2" t="s">
        <v>3150</v>
      </c>
    </row>
    <row r="6226" spans="1:4" ht="12.95" customHeight="1" x14ac:dyDescent="0.25">
      <c r="A6226" s="2" t="s">
        <v>963</v>
      </c>
      <c r="B6226" s="2" t="s">
        <v>1272</v>
      </c>
      <c r="C6226" s="5" t="s">
        <v>1111</v>
      </c>
      <c r="D6226" s="2" t="s">
        <v>6271</v>
      </c>
    </row>
    <row r="6227" spans="1:4" ht="12.95" customHeight="1" x14ac:dyDescent="0.25">
      <c r="A6227" s="2" t="s">
        <v>966</v>
      </c>
      <c r="B6227" s="2" t="s">
        <v>1113</v>
      </c>
      <c r="C6227" s="5" t="s">
        <v>1084</v>
      </c>
      <c r="D6227" s="2" t="s">
        <v>1085</v>
      </c>
    </row>
    <row r="6228" spans="1:4" ht="12.95" customHeight="1" x14ac:dyDescent="0.25">
      <c r="A6228" s="2" t="s">
        <v>966</v>
      </c>
      <c r="B6228" s="2" t="s">
        <v>1113</v>
      </c>
      <c r="C6228" s="5" t="s">
        <v>1086</v>
      </c>
      <c r="D6228" s="2" t="s">
        <v>1087</v>
      </c>
    </row>
    <row r="6229" spans="1:4" ht="12.95" customHeight="1" x14ac:dyDescent="0.25">
      <c r="A6229" s="2" t="s">
        <v>966</v>
      </c>
      <c r="B6229" s="2" t="s">
        <v>1113</v>
      </c>
      <c r="C6229" s="5" t="s">
        <v>1090</v>
      </c>
      <c r="D6229" s="2" t="s">
        <v>3136</v>
      </c>
    </row>
    <row r="6230" spans="1:4" ht="12.95" customHeight="1" x14ac:dyDescent="0.25">
      <c r="A6230" s="2" t="s">
        <v>966</v>
      </c>
      <c r="B6230" s="2" t="s">
        <v>1113</v>
      </c>
      <c r="C6230" s="5" t="s">
        <v>1092</v>
      </c>
      <c r="D6230" s="2" t="s">
        <v>3137</v>
      </c>
    </row>
    <row r="6231" spans="1:4" ht="12.95" customHeight="1" x14ac:dyDescent="0.25">
      <c r="A6231" s="2" t="s">
        <v>966</v>
      </c>
      <c r="B6231" s="2" t="s">
        <v>1113</v>
      </c>
      <c r="C6231" s="5" t="s">
        <v>1094</v>
      </c>
      <c r="D6231" s="2" t="s">
        <v>3138</v>
      </c>
    </row>
    <row r="6232" spans="1:4" ht="12.95" customHeight="1" x14ac:dyDescent="0.25">
      <c r="A6232" s="2" t="s">
        <v>966</v>
      </c>
      <c r="B6232" s="2" t="s">
        <v>1113</v>
      </c>
      <c r="C6232" s="5" t="s">
        <v>1096</v>
      </c>
      <c r="D6232" s="2" t="s">
        <v>3139</v>
      </c>
    </row>
    <row r="6233" spans="1:4" ht="12.95" customHeight="1" x14ac:dyDescent="0.25">
      <c r="A6233" s="2" t="s">
        <v>966</v>
      </c>
      <c r="B6233" s="2" t="s">
        <v>1113</v>
      </c>
      <c r="C6233" s="5" t="s">
        <v>1098</v>
      </c>
      <c r="D6233" s="2" t="s">
        <v>3140</v>
      </c>
    </row>
    <row r="6234" spans="1:4" ht="12.95" customHeight="1" x14ac:dyDescent="0.25">
      <c r="A6234" s="2" t="s">
        <v>966</v>
      </c>
      <c r="B6234" s="2" t="s">
        <v>1113</v>
      </c>
      <c r="C6234" s="5" t="s">
        <v>1100</v>
      </c>
      <c r="D6234" s="2" t="s">
        <v>3141</v>
      </c>
    </row>
    <row r="6235" spans="1:4" ht="12.95" customHeight="1" x14ac:dyDescent="0.25">
      <c r="A6235" s="2" t="s">
        <v>966</v>
      </c>
      <c r="B6235" s="2" t="s">
        <v>1113</v>
      </c>
      <c r="C6235" s="5" t="s">
        <v>1109</v>
      </c>
      <c r="D6235" s="2" t="s">
        <v>3142</v>
      </c>
    </row>
    <row r="6236" spans="1:4" ht="12.95" customHeight="1" x14ac:dyDescent="0.25">
      <c r="A6236" s="2" t="s">
        <v>966</v>
      </c>
      <c r="B6236" s="2" t="s">
        <v>1113</v>
      </c>
      <c r="C6236" s="5" t="s">
        <v>1119</v>
      </c>
      <c r="D6236" s="2" t="s">
        <v>3143</v>
      </c>
    </row>
    <row r="6237" spans="1:4" ht="12.95" customHeight="1" x14ac:dyDescent="0.25">
      <c r="A6237" s="2" t="s">
        <v>966</v>
      </c>
      <c r="B6237" s="2" t="s">
        <v>1113</v>
      </c>
      <c r="C6237" s="5" t="s">
        <v>1121</v>
      </c>
      <c r="D6237" s="2" t="s">
        <v>3144</v>
      </c>
    </row>
    <row r="6238" spans="1:4" ht="12.95" customHeight="1" x14ac:dyDescent="0.25">
      <c r="A6238" s="2" t="s">
        <v>966</v>
      </c>
      <c r="B6238" s="2" t="s">
        <v>1113</v>
      </c>
      <c r="C6238" s="5" t="s">
        <v>1123</v>
      </c>
      <c r="D6238" s="2" t="s">
        <v>3145</v>
      </c>
    </row>
    <row r="6239" spans="1:4" ht="12.95" customHeight="1" x14ac:dyDescent="0.25">
      <c r="A6239" s="2" t="s">
        <v>966</v>
      </c>
      <c r="B6239" s="2" t="s">
        <v>1113</v>
      </c>
      <c r="C6239" s="5" t="s">
        <v>1131</v>
      </c>
      <c r="D6239" s="2" t="s">
        <v>3146</v>
      </c>
    </row>
    <row r="6240" spans="1:4" ht="12.95" customHeight="1" x14ac:dyDescent="0.25">
      <c r="A6240" s="2" t="s">
        <v>966</v>
      </c>
      <c r="B6240" s="2" t="s">
        <v>1113</v>
      </c>
      <c r="C6240" s="5" t="s">
        <v>1133</v>
      </c>
      <c r="D6240" s="2" t="s">
        <v>3147</v>
      </c>
    </row>
    <row r="6241" spans="1:4" ht="12.95" customHeight="1" x14ac:dyDescent="0.25">
      <c r="A6241" s="2" t="s">
        <v>966</v>
      </c>
      <c r="B6241" s="2" t="s">
        <v>1113</v>
      </c>
      <c r="C6241" s="5" t="s">
        <v>1135</v>
      </c>
      <c r="D6241" s="2" t="s">
        <v>3148</v>
      </c>
    </row>
    <row r="6242" spans="1:4" ht="12.95" customHeight="1" x14ac:dyDescent="0.25">
      <c r="A6242" s="2" t="s">
        <v>966</v>
      </c>
      <c r="B6242" s="2" t="s">
        <v>1113</v>
      </c>
      <c r="C6242" s="5" t="s">
        <v>1137</v>
      </c>
      <c r="D6242" s="2" t="s">
        <v>3149</v>
      </c>
    </row>
    <row r="6243" spans="1:4" ht="12.95" customHeight="1" x14ac:dyDescent="0.25">
      <c r="A6243" s="2" t="s">
        <v>966</v>
      </c>
      <c r="B6243" s="2" t="s">
        <v>1113</v>
      </c>
      <c r="C6243" s="5" t="s">
        <v>1139</v>
      </c>
      <c r="D6243" s="2" t="s">
        <v>3150</v>
      </c>
    </row>
    <row r="6244" spans="1:4" ht="12.95" customHeight="1" x14ac:dyDescent="0.25">
      <c r="A6244" s="2" t="s">
        <v>966</v>
      </c>
      <c r="B6244" s="2" t="s">
        <v>1113</v>
      </c>
      <c r="C6244" s="5" t="s">
        <v>1111</v>
      </c>
      <c r="D6244" s="2" t="s">
        <v>6271</v>
      </c>
    </row>
    <row r="6245" spans="1:4" ht="12.95" customHeight="1" x14ac:dyDescent="0.25">
      <c r="A6245" s="2" t="s">
        <v>971</v>
      </c>
      <c r="B6245" s="2" t="s">
        <v>1272</v>
      </c>
      <c r="C6245" s="5" t="s">
        <v>1102</v>
      </c>
      <c r="D6245" s="2" t="s">
        <v>1103</v>
      </c>
    </row>
    <row r="6246" spans="1:4" ht="12.95" customHeight="1" x14ac:dyDescent="0.25">
      <c r="A6246" s="2" t="s">
        <v>971</v>
      </c>
      <c r="B6246" s="2" t="s">
        <v>1272</v>
      </c>
      <c r="C6246" s="5" t="s">
        <v>1084</v>
      </c>
      <c r="D6246" s="2" t="s">
        <v>1085</v>
      </c>
    </row>
    <row r="6247" spans="1:4" ht="12.95" customHeight="1" x14ac:dyDescent="0.25">
      <c r="A6247" s="2" t="s">
        <v>971</v>
      </c>
      <c r="B6247" s="2" t="s">
        <v>1272</v>
      </c>
      <c r="C6247" s="5" t="s">
        <v>1086</v>
      </c>
      <c r="D6247" s="2" t="s">
        <v>1087</v>
      </c>
    </row>
    <row r="6248" spans="1:4" ht="12.95" customHeight="1" x14ac:dyDescent="0.25">
      <c r="A6248" s="2" t="s">
        <v>971</v>
      </c>
      <c r="B6248" s="2" t="s">
        <v>1272</v>
      </c>
      <c r="C6248" s="5" t="s">
        <v>1088</v>
      </c>
      <c r="D6248" s="2" t="s">
        <v>1089</v>
      </c>
    </row>
    <row r="6249" spans="1:4" ht="12.95" customHeight="1" x14ac:dyDescent="0.25">
      <c r="A6249" s="2" t="s">
        <v>971</v>
      </c>
      <c r="B6249" s="2" t="s">
        <v>1272</v>
      </c>
      <c r="C6249" s="5" t="s">
        <v>1090</v>
      </c>
      <c r="D6249" s="2" t="s">
        <v>6272</v>
      </c>
    </row>
    <row r="6250" spans="1:4" ht="12.95" customHeight="1" x14ac:dyDescent="0.25">
      <c r="A6250" s="2" t="s">
        <v>971</v>
      </c>
      <c r="B6250" s="2" t="s">
        <v>1272</v>
      </c>
      <c r="C6250" s="5" t="s">
        <v>1092</v>
      </c>
      <c r="D6250" s="2" t="s">
        <v>6273</v>
      </c>
    </row>
    <row r="6251" spans="1:4" ht="12.95" customHeight="1" x14ac:dyDescent="0.25">
      <c r="A6251" s="2" t="s">
        <v>971</v>
      </c>
      <c r="B6251" s="2" t="s">
        <v>1272</v>
      </c>
      <c r="C6251" s="5" t="s">
        <v>1094</v>
      </c>
      <c r="D6251" s="2" t="s">
        <v>6274</v>
      </c>
    </row>
    <row r="6252" spans="1:4" ht="12.95" customHeight="1" x14ac:dyDescent="0.25">
      <c r="A6252" s="2" t="s">
        <v>971</v>
      </c>
      <c r="B6252" s="2" t="s">
        <v>1272</v>
      </c>
      <c r="C6252" s="5" t="s">
        <v>1096</v>
      </c>
      <c r="D6252" s="2" t="s">
        <v>6275</v>
      </c>
    </row>
    <row r="6253" spans="1:4" ht="12.95" customHeight="1" x14ac:dyDescent="0.25">
      <c r="A6253" s="2" t="s">
        <v>971</v>
      </c>
      <c r="B6253" s="2" t="s">
        <v>1272</v>
      </c>
      <c r="C6253" s="5" t="s">
        <v>1098</v>
      </c>
      <c r="D6253" s="2" t="s">
        <v>6276</v>
      </c>
    </row>
    <row r="6254" spans="1:4" ht="12.95" customHeight="1" x14ac:dyDescent="0.25">
      <c r="A6254" s="2" t="s">
        <v>971</v>
      </c>
      <c r="B6254" s="2" t="s">
        <v>1272</v>
      </c>
      <c r="C6254" s="5" t="s">
        <v>1100</v>
      </c>
      <c r="D6254" s="2" t="s">
        <v>6277</v>
      </c>
    </row>
    <row r="6255" spans="1:4" ht="12.95" customHeight="1" x14ac:dyDescent="0.25">
      <c r="A6255" s="2" t="s">
        <v>971</v>
      </c>
      <c r="B6255" s="2" t="s">
        <v>1272</v>
      </c>
      <c r="C6255" s="5" t="s">
        <v>1109</v>
      </c>
      <c r="D6255" s="2" t="s">
        <v>6278</v>
      </c>
    </row>
    <row r="6256" spans="1:4" ht="12.95" customHeight="1" x14ac:dyDescent="0.25">
      <c r="A6256" s="2" t="s">
        <v>971</v>
      </c>
      <c r="B6256" s="2" t="s">
        <v>1272</v>
      </c>
      <c r="C6256" s="5" t="s">
        <v>1119</v>
      </c>
      <c r="D6256" s="2" t="s">
        <v>6279</v>
      </c>
    </row>
    <row r="6257" spans="1:4" ht="12.95" customHeight="1" x14ac:dyDescent="0.25">
      <c r="A6257" s="2" t="s">
        <v>971</v>
      </c>
      <c r="B6257" s="2" t="s">
        <v>1272</v>
      </c>
      <c r="C6257" s="5" t="s">
        <v>1121</v>
      </c>
      <c r="D6257" s="2" t="s">
        <v>6280</v>
      </c>
    </row>
    <row r="6258" spans="1:4" ht="12.95" customHeight="1" x14ac:dyDescent="0.25">
      <c r="A6258" s="2" t="s">
        <v>971</v>
      </c>
      <c r="B6258" s="2" t="s">
        <v>1272</v>
      </c>
      <c r="C6258" s="5" t="s">
        <v>1123</v>
      </c>
      <c r="D6258" s="2" t="s">
        <v>6281</v>
      </c>
    </row>
    <row r="6259" spans="1:4" ht="12.95" customHeight="1" x14ac:dyDescent="0.25">
      <c r="A6259" s="2" t="s">
        <v>971</v>
      </c>
      <c r="B6259" s="2" t="s">
        <v>1272</v>
      </c>
      <c r="C6259" s="5" t="s">
        <v>1125</v>
      </c>
      <c r="D6259" s="2" t="s">
        <v>6282</v>
      </c>
    </row>
    <row r="6260" spans="1:4" ht="12.95" customHeight="1" x14ac:dyDescent="0.25">
      <c r="A6260" s="2" t="s">
        <v>971</v>
      </c>
      <c r="B6260" s="2" t="s">
        <v>1272</v>
      </c>
      <c r="C6260" s="5" t="s">
        <v>1127</v>
      </c>
      <c r="D6260" s="2" t="s">
        <v>6283</v>
      </c>
    </row>
    <row r="6261" spans="1:4" ht="12.95" customHeight="1" x14ac:dyDescent="0.25">
      <c r="A6261" s="2" t="s">
        <v>971</v>
      </c>
      <c r="B6261" s="2" t="s">
        <v>1272</v>
      </c>
      <c r="C6261" s="5" t="s">
        <v>1129</v>
      </c>
      <c r="D6261" s="2" t="s">
        <v>6284</v>
      </c>
    </row>
    <row r="6262" spans="1:4" ht="12.95" customHeight="1" x14ac:dyDescent="0.25">
      <c r="A6262" s="2" t="s">
        <v>971</v>
      </c>
      <c r="B6262" s="2" t="s">
        <v>1272</v>
      </c>
      <c r="C6262" s="5" t="s">
        <v>1131</v>
      </c>
      <c r="D6262" s="2" t="s">
        <v>6285</v>
      </c>
    </row>
    <row r="6263" spans="1:4" ht="12.95" customHeight="1" x14ac:dyDescent="0.25">
      <c r="A6263" s="2" t="s">
        <v>971</v>
      </c>
      <c r="B6263" s="2" t="s">
        <v>1272</v>
      </c>
      <c r="C6263" s="5" t="s">
        <v>1133</v>
      </c>
      <c r="D6263" s="2" t="s">
        <v>6286</v>
      </c>
    </row>
    <row r="6264" spans="1:4" ht="12.95" customHeight="1" x14ac:dyDescent="0.25">
      <c r="A6264" s="2" t="s">
        <v>971</v>
      </c>
      <c r="B6264" s="2" t="s">
        <v>1272</v>
      </c>
      <c r="C6264" s="5" t="s">
        <v>1135</v>
      </c>
      <c r="D6264" s="2" t="s">
        <v>6287</v>
      </c>
    </row>
    <row r="6265" spans="1:4" ht="12.95" customHeight="1" x14ac:dyDescent="0.25">
      <c r="A6265" s="2" t="s">
        <v>971</v>
      </c>
      <c r="B6265" s="2" t="s">
        <v>1272</v>
      </c>
      <c r="C6265" s="5" t="s">
        <v>1137</v>
      </c>
      <c r="D6265" s="2" t="s">
        <v>6288</v>
      </c>
    </row>
    <row r="6266" spans="1:4" ht="12.95" customHeight="1" x14ac:dyDescent="0.25">
      <c r="A6266" s="2" t="s">
        <v>971</v>
      </c>
      <c r="B6266" s="2" t="s">
        <v>1272</v>
      </c>
      <c r="C6266" s="5" t="s">
        <v>1139</v>
      </c>
      <c r="D6266" s="2" t="s">
        <v>6289</v>
      </c>
    </row>
    <row r="6267" spans="1:4" ht="12.95" customHeight="1" x14ac:dyDescent="0.25">
      <c r="A6267" s="2" t="s">
        <v>971</v>
      </c>
      <c r="B6267" s="2" t="s">
        <v>1272</v>
      </c>
      <c r="C6267" s="5" t="s">
        <v>1141</v>
      </c>
      <c r="D6267" s="2" t="s">
        <v>6290</v>
      </c>
    </row>
    <row r="6268" spans="1:4" ht="12.95" customHeight="1" x14ac:dyDescent="0.25">
      <c r="A6268" s="2" t="s">
        <v>971</v>
      </c>
      <c r="B6268" s="2" t="s">
        <v>1272</v>
      </c>
      <c r="C6268" s="5" t="s">
        <v>1111</v>
      </c>
      <c r="D6268" s="2" t="s">
        <v>1143</v>
      </c>
    </row>
    <row r="6269" spans="1:4" ht="12.95" customHeight="1" x14ac:dyDescent="0.25">
      <c r="A6269" s="2" t="s">
        <v>974</v>
      </c>
      <c r="B6269" s="2" t="s">
        <v>1272</v>
      </c>
      <c r="C6269" s="5" t="s">
        <v>1102</v>
      </c>
      <c r="D6269" s="2" t="s">
        <v>1103</v>
      </c>
    </row>
    <row r="6270" spans="1:4" ht="12.95" customHeight="1" x14ac:dyDescent="0.25">
      <c r="A6270" s="2" t="s">
        <v>974</v>
      </c>
      <c r="B6270" s="2" t="s">
        <v>1272</v>
      </c>
      <c r="C6270" s="5" t="s">
        <v>1088</v>
      </c>
      <c r="D6270" s="2" t="s">
        <v>1089</v>
      </c>
    </row>
    <row r="6271" spans="1:4" ht="12.95" customHeight="1" x14ac:dyDescent="0.25">
      <c r="A6271" s="2" t="s">
        <v>976</v>
      </c>
      <c r="B6271" s="2" t="s">
        <v>1272</v>
      </c>
      <c r="C6271" s="5" t="s">
        <v>1102</v>
      </c>
      <c r="D6271" s="2" t="s">
        <v>1103</v>
      </c>
    </row>
    <row r="6272" spans="1:4" ht="12.95" customHeight="1" x14ac:dyDescent="0.25">
      <c r="A6272" s="2" t="s">
        <v>976</v>
      </c>
      <c r="B6272" s="2" t="s">
        <v>1272</v>
      </c>
      <c r="C6272" s="5" t="s">
        <v>1084</v>
      </c>
      <c r="D6272" s="2" t="s">
        <v>1085</v>
      </c>
    </row>
    <row r="6273" spans="1:4" ht="12.95" customHeight="1" x14ac:dyDescent="0.25">
      <c r="A6273" s="2" t="s">
        <v>976</v>
      </c>
      <c r="B6273" s="2" t="s">
        <v>1272</v>
      </c>
      <c r="C6273" s="5" t="s">
        <v>1086</v>
      </c>
      <c r="D6273" s="2" t="s">
        <v>1087</v>
      </c>
    </row>
    <row r="6274" spans="1:4" ht="12.95" customHeight="1" x14ac:dyDescent="0.25">
      <c r="A6274" s="2" t="s">
        <v>976</v>
      </c>
      <c r="B6274" s="2" t="s">
        <v>1272</v>
      </c>
      <c r="C6274" s="5" t="s">
        <v>1088</v>
      </c>
      <c r="D6274" s="2" t="s">
        <v>1089</v>
      </c>
    </row>
    <row r="6275" spans="1:4" ht="12.95" customHeight="1" x14ac:dyDescent="0.25">
      <c r="A6275" s="2" t="s">
        <v>976</v>
      </c>
      <c r="B6275" s="2" t="s">
        <v>1272</v>
      </c>
      <c r="C6275" s="5" t="s">
        <v>1090</v>
      </c>
      <c r="D6275" s="2" t="s">
        <v>6272</v>
      </c>
    </row>
    <row r="6276" spans="1:4" ht="12.95" customHeight="1" x14ac:dyDescent="0.25">
      <c r="A6276" s="2" t="s">
        <v>976</v>
      </c>
      <c r="B6276" s="2" t="s">
        <v>1272</v>
      </c>
      <c r="C6276" s="5" t="s">
        <v>1092</v>
      </c>
      <c r="D6276" s="2" t="s">
        <v>6273</v>
      </c>
    </row>
    <row r="6277" spans="1:4" ht="12.95" customHeight="1" x14ac:dyDescent="0.25">
      <c r="A6277" s="2" t="s">
        <v>976</v>
      </c>
      <c r="B6277" s="2" t="s">
        <v>1272</v>
      </c>
      <c r="C6277" s="5" t="s">
        <v>1094</v>
      </c>
      <c r="D6277" s="2" t="s">
        <v>6274</v>
      </c>
    </row>
    <row r="6278" spans="1:4" ht="12.95" customHeight="1" x14ac:dyDescent="0.25">
      <c r="A6278" s="2" t="s">
        <v>976</v>
      </c>
      <c r="B6278" s="2" t="s">
        <v>1272</v>
      </c>
      <c r="C6278" s="5" t="s">
        <v>1096</v>
      </c>
      <c r="D6278" s="2" t="s">
        <v>6275</v>
      </c>
    </row>
    <row r="6279" spans="1:4" ht="12.95" customHeight="1" x14ac:dyDescent="0.25">
      <c r="A6279" s="2" t="s">
        <v>976</v>
      </c>
      <c r="B6279" s="2" t="s">
        <v>1272</v>
      </c>
      <c r="C6279" s="5" t="s">
        <v>1098</v>
      </c>
      <c r="D6279" s="2" t="s">
        <v>6276</v>
      </c>
    </row>
    <row r="6280" spans="1:4" ht="12.95" customHeight="1" x14ac:dyDescent="0.25">
      <c r="A6280" s="2" t="s">
        <v>976</v>
      </c>
      <c r="B6280" s="2" t="s">
        <v>1272</v>
      </c>
      <c r="C6280" s="5" t="s">
        <v>1100</v>
      </c>
      <c r="D6280" s="2" t="s">
        <v>6277</v>
      </c>
    </row>
    <row r="6281" spans="1:4" ht="12.95" customHeight="1" x14ac:dyDescent="0.25">
      <c r="A6281" s="2" t="s">
        <v>976</v>
      </c>
      <c r="B6281" s="2" t="s">
        <v>1272</v>
      </c>
      <c r="C6281" s="5" t="s">
        <v>1109</v>
      </c>
      <c r="D6281" s="2" t="s">
        <v>6278</v>
      </c>
    </row>
    <row r="6282" spans="1:4" ht="12.95" customHeight="1" x14ac:dyDescent="0.25">
      <c r="A6282" s="2" t="s">
        <v>976</v>
      </c>
      <c r="B6282" s="2" t="s">
        <v>1272</v>
      </c>
      <c r="C6282" s="5" t="s">
        <v>1119</v>
      </c>
      <c r="D6282" s="2" t="s">
        <v>6279</v>
      </c>
    </row>
    <row r="6283" spans="1:4" ht="12.95" customHeight="1" x14ac:dyDescent="0.25">
      <c r="A6283" s="2" t="s">
        <v>976</v>
      </c>
      <c r="B6283" s="2" t="s">
        <v>1272</v>
      </c>
      <c r="C6283" s="5" t="s">
        <v>1121</v>
      </c>
      <c r="D6283" s="2" t="s">
        <v>6280</v>
      </c>
    </row>
    <row r="6284" spans="1:4" ht="12.95" customHeight="1" x14ac:dyDescent="0.25">
      <c r="A6284" s="2" t="s">
        <v>976</v>
      </c>
      <c r="B6284" s="2" t="s">
        <v>1272</v>
      </c>
      <c r="C6284" s="5" t="s">
        <v>1123</v>
      </c>
      <c r="D6284" s="2" t="s">
        <v>6281</v>
      </c>
    </row>
    <row r="6285" spans="1:4" ht="12.95" customHeight="1" x14ac:dyDescent="0.25">
      <c r="A6285" s="2" t="s">
        <v>976</v>
      </c>
      <c r="B6285" s="2" t="s">
        <v>1272</v>
      </c>
      <c r="C6285" s="5" t="s">
        <v>1125</v>
      </c>
      <c r="D6285" s="2" t="s">
        <v>6282</v>
      </c>
    </row>
    <row r="6286" spans="1:4" ht="12.95" customHeight="1" x14ac:dyDescent="0.25">
      <c r="A6286" s="2" t="s">
        <v>976</v>
      </c>
      <c r="B6286" s="2" t="s">
        <v>1272</v>
      </c>
      <c r="C6286" s="5" t="s">
        <v>1127</v>
      </c>
      <c r="D6286" s="2" t="s">
        <v>6283</v>
      </c>
    </row>
    <row r="6287" spans="1:4" ht="12.95" customHeight="1" x14ac:dyDescent="0.25">
      <c r="A6287" s="2" t="s">
        <v>976</v>
      </c>
      <c r="B6287" s="2" t="s">
        <v>1272</v>
      </c>
      <c r="C6287" s="5" t="s">
        <v>1129</v>
      </c>
      <c r="D6287" s="2" t="s">
        <v>6284</v>
      </c>
    </row>
    <row r="6288" spans="1:4" ht="12.95" customHeight="1" x14ac:dyDescent="0.25">
      <c r="A6288" s="2" t="s">
        <v>976</v>
      </c>
      <c r="B6288" s="2" t="s">
        <v>1272</v>
      </c>
      <c r="C6288" s="5" t="s">
        <v>1131</v>
      </c>
      <c r="D6288" s="2" t="s">
        <v>6285</v>
      </c>
    </row>
    <row r="6289" spans="1:4" ht="12.95" customHeight="1" x14ac:dyDescent="0.25">
      <c r="A6289" s="2" t="s">
        <v>976</v>
      </c>
      <c r="B6289" s="2" t="s">
        <v>1272</v>
      </c>
      <c r="C6289" s="5" t="s">
        <v>1133</v>
      </c>
      <c r="D6289" s="2" t="s">
        <v>6286</v>
      </c>
    </row>
    <row r="6290" spans="1:4" ht="12.95" customHeight="1" x14ac:dyDescent="0.25">
      <c r="A6290" s="2" t="s">
        <v>976</v>
      </c>
      <c r="B6290" s="2" t="s">
        <v>1272</v>
      </c>
      <c r="C6290" s="5" t="s">
        <v>1135</v>
      </c>
      <c r="D6290" s="2" t="s">
        <v>6287</v>
      </c>
    </row>
    <row r="6291" spans="1:4" ht="12.95" customHeight="1" x14ac:dyDescent="0.25">
      <c r="A6291" s="2" t="s">
        <v>976</v>
      </c>
      <c r="B6291" s="2" t="s">
        <v>1272</v>
      </c>
      <c r="C6291" s="5" t="s">
        <v>1137</v>
      </c>
      <c r="D6291" s="2" t="s">
        <v>6288</v>
      </c>
    </row>
    <row r="6292" spans="1:4" ht="12.95" customHeight="1" x14ac:dyDescent="0.25">
      <c r="A6292" s="2" t="s">
        <v>976</v>
      </c>
      <c r="B6292" s="2" t="s">
        <v>1272</v>
      </c>
      <c r="C6292" s="5" t="s">
        <v>1139</v>
      </c>
      <c r="D6292" s="2" t="s">
        <v>6289</v>
      </c>
    </row>
    <row r="6293" spans="1:4" ht="12.95" customHeight="1" x14ac:dyDescent="0.25">
      <c r="A6293" s="2" t="s">
        <v>976</v>
      </c>
      <c r="B6293" s="2" t="s">
        <v>1272</v>
      </c>
      <c r="C6293" s="5" t="s">
        <v>1141</v>
      </c>
      <c r="D6293" s="2" t="s">
        <v>6290</v>
      </c>
    </row>
    <row r="6294" spans="1:4" ht="12.95" customHeight="1" x14ac:dyDescent="0.25">
      <c r="A6294" s="2" t="s">
        <v>976</v>
      </c>
      <c r="B6294" s="2" t="s">
        <v>1272</v>
      </c>
      <c r="C6294" s="5" t="s">
        <v>1111</v>
      </c>
      <c r="D6294" s="2" t="s">
        <v>1143</v>
      </c>
    </row>
    <row r="6295" spans="1:4" ht="12.95" customHeight="1" x14ac:dyDescent="0.25">
      <c r="A6295" s="2" t="s">
        <v>978</v>
      </c>
      <c r="B6295" s="2" t="s">
        <v>1272</v>
      </c>
      <c r="C6295" s="5" t="s">
        <v>1090</v>
      </c>
      <c r="D6295" s="2" t="s">
        <v>6291</v>
      </c>
    </row>
    <row r="6296" spans="1:4" ht="12.95" customHeight="1" x14ac:dyDescent="0.25">
      <c r="A6296" s="2" t="s">
        <v>978</v>
      </c>
      <c r="B6296" s="2" t="s">
        <v>1272</v>
      </c>
      <c r="C6296" s="5" t="s">
        <v>1123</v>
      </c>
      <c r="D6296" s="2" t="s">
        <v>1114</v>
      </c>
    </row>
    <row r="6297" spans="1:4" ht="12.95" customHeight="1" x14ac:dyDescent="0.25">
      <c r="A6297" s="2" t="s">
        <v>978</v>
      </c>
      <c r="B6297" s="2" t="s">
        <v>1272</v>
      </c>
      <c r="C6297" s="5" t="s">
        <v>1295</v>
      </c>
      <c r="D6297" s="2" t="s">
        <v>6292</v>
      </c>
    </row>
    <row r="6298" spans="1:4" ht="12.95" customHeight="1" x14ac:dyDescent="0.25">
      <c r="A6298" s="2" t="s">
        <v>978</v>
      </c>
      <c r="B6298" s="2" t="s">
        <v>1272</v>
      </c>
      <c r="C6298" s="5" t="s">
        <v>1297</v>
      </c>
      <c r="D6298" s="2" t="s">
        <v>6293</v>
      </c>
    </row>
    <row r="6299" spans="1:4" ht="12.95" customHeight="1" x14ac:dyDescent="0.25">
      <c r="A6299" s="2" t="s">
        <v>978</v>
      </c>
      <c r="B6299" s="2" t="s">
        <v>1272</v>
      </c>
      <c r="C6299" s="5" t="s">
        <v>1299</v>
      </c>
      <c r="D6299" s="2" t="s">
        <v>6294</v>
      </c>
    </row>
    <row r="6300" spans="1:4" ht="12.95" customHeight="1" x14ac:dyDescent="0.25">
      <c r="A6300" s="2" t="s">
        <v>978</v>
      </c>
      <c r="B6300" s="2" t="s">
        <v>1272</v>
      </c>
      <c r="C6300" s="5" t="s">
        <v>1301</v>
      </c>
      <c r="D6300" s="2" t="s">
        <v>6295</v>
      </c>
    </row>
    <row r="6301" spans="1:4" ht="12.95" customHeight="1" x14ac:dyDescent="0.25">
      <c r="A6301" s="2" t="s">
        <v>978</v>
      </c>
      <c r="B6301" s="2" t="s">
        <v>1272</v>
      </c>
      <c r="C6301" s="5" t="s">
        <v>1303</v>
      </c>
      <c r="D6301" s="2" t="s">
        <v>6296</v>
      </c>
    </row>
    <row r="6302" spans="1:4" ht="12.95" customHeight="1" x14ac:dyDescent="0.25">
      <c r="A6302" s="2" t="s">
        <v>978</v>
      </c>
      <c r="B6302" s="2" t="s">
        <v>1272</v>
      </c>
      <c r="C6302" s="5" t="s">
        <v>1305</v>
      </c>
      <c r="D6302" s="2" t="s">
        <v>6297</v>
      </c>
    </row>
    <row r="6303" spans="1:4" ht="12.95" customHeight="1" x14ac:dyDescent="0.25">
      <c r="A6303" s="2" t="s">
        <v>978</v>
      </c>
      <c r="B6303" s="2" t="s">
        <v>1272</v>
      </c>
      <c r="C6303" s="5" t="s">
        <v>1307</v>
      </c>
      <c r="D6303" s="2" t="s">
        <v>6298</v>
      </c>
    </row>
    <row r="6304" spans="1:4" ht="12.95" customHeight="1" x14ac:dyDescent="0.25">
      <c r="A6304" s="2" t="s">
        <v>978</v>
      </c>
      <c r="B6304" s="2" t="s">
        <v>1272</v>
      </c>
      <c r="C6304" s="5" t="s">
        <v>1111</v>
      </c>
      <c r="D6304" s="2" t="s">
        <v>1143</v>
      </c>
    </row>
    <row r="6305" spans="1:4" ht="12.95" customHeight="1" x14ac:dyDescent="0.25">
      <c r="A6305" s="2" t="s">
        <v>980</v>
      </c>
      <c r="B6305" s="2" t="s">
        <v>1272</v>
      </c>
      <c r="C6305" s="5" t="s">
        <v>1090</v>
      </c>
      <c r="D6305" s="2" t="s">
        <v>6299</v>
      </c>
    </row>
    <row r="6306" spans="1:4" ht="12.95" customHeight="1" x14ac:dyDescent="0.25">
      <c r="A6306" s="2" t="s">
        <v>980</v>
      </c>
      <c r="B6306" s="2" t="s">
        <v>1272</v>
      </c>
      <c r="C6306" s="5" t="s">
        <v>1092</v>
      </c>
      <c r="D6306" s="2" t="s">
        <v>6300</v>
      </c>
    </row>
    <row r="6307" spans="1:4" ht="12.95" customHeight="1" x14ac:dyDescent="0.25">
      <c r="A6307" s="2" t="s">
        <v>980</v>
      </c>
      <c r="B6307" s="2" t="s">
        <v>1272</v>
      </c>
      <c r="C6307" s="5" t="s">
        <v>1094</v>
      </c>
      <c r="D6307" s="2" t="s">
        <v>6301</v>
      </c>
    </row>
    <row r="6308" spans="1:4" ht="12.95" customHeight="1" x14ac:dyDescent="0.25">
      <c r="A6308" s="2" t="s">
        <v>980</v>
      </c>
      <c r="B6308" s="2" t="s">
        <v>1272</v>
      </c>
      <c r="C6308" s="5" t="s">
        <v>1096</v>
      </c>
      <c r="D6308" s="2" t="s">
        <v>6302</v>
      </c>
    </row>
    <row r="6309" spans="1:4" ht="12.95" customHeight="1" x14ac:dyDescent="0.25">
      <c r="A6309" s="2" t="s">
        <v>980</v>
      </c>
      <c r="B6309" s="2" t="s">
        <v>1272</v>
      </c>
      <c r="C6309" s="5" t="s">
        <v>1098</v>
      </c>
      <c r="D6309" s="2" t="s">
        <v>6303</v>
      </c>
    </row>
    <row r="6310" spans="1:4" ht="12.95" customHeight="1" x14ac:dyDescent="0.25">
      <c r="A6310" s="2" t="s">
        <v>980</v>
      </c>
      <c r="B6310" s="2" t="s">
        <v>1272</v>
      </c>
      <c r="C6310" s="5" t="s">
        <v>1100</v>
      </c>
      <c r="D6310" s="2" t="s">
        <v>6304</v>
      </c>
    </row>
    <row r="6311" spans="1:4" ht="12.95" customHeight="1" x14ac:dyDescent="0.25">
      <c r="A6311" s="2" t="s">
        <v>980</v>
      </c>
      <c r="B6311" s="2" t="s">
        <v>1272</v>
      </c>
      <c r="C6311" s="5" t="s">
        <v>1119</v>
      </c>
      <c r="D6311" s="2" t="s">
        <v>6305</v>
      </c>
    </row>
    <row r="6312" spans="1:4" ht="12.95" customHeight="1" x14ac:dyDescent="0.25">
      <c r="A6312" s="2" t="s">
        <v>980</v>
      </c>
      <c r="B6312" s="2" t="s">
        <v>1272</v>
      </c>
      <c r="C6312" s="5" t="s">
        <v>1123</v>
      </c>
      <c r="D6312" s="2" t="s">
        <v>6306</v>
      </c>
    </row>
    <row r="6313" spans="1:4" ht="12.95" customHeight="1" x14ac:dyDescent="0.25">
      <c r="A6313" s="2" t="s">
        <v>980</v>
      </c>
      <c r="B6313" s="2" t="s">
        <v>1272</v>
      </c>
      <c r="C6313" s="5" t="s">
        <v>1125</v>
      </c>
      <c r="D6313" s="2" t="s">
        <v>3360</v>
      </c>
    </row>
    <row r="6314" spans="1:4" ht="12.95" customHeight="1" x14ac:dyDescent="0.25">
      <c r="A6314" s="2" t="s">
        <v>980</v>
      </c>
      <c r="B6314" s="2" t="s">
        <v>1272</v>
      </c>
      <c r="C6314" s="5" t="s">
        <v>3361</v>
      </c>
      <c r="D6314" s="2" t="s">
        <v>6307</v>
      </c>
    </row>
    <row r="6315" spans="1:4" ht="12.95" customHeight="1" x14ac:dyDescent="0.25">
      <c r="A6315" s="2" t="s">
        <v>982</v>
      </c>
      <c r="B6315" s="2" t="s">
        <v>1272</v>
      </c>
      <c r="C6315" s="5" t="s">
        <v>1102</v>
      </c>
      <c r="D6315" s="2" t="s">
        <v>1103</v>
      </c>
    </row>
    <row r="6316" spans="1:4" ht="12.95" customHeight="1" x14ac:dyDescent="0.25">
      <c r="A6316" s="2" t="s">
        <v>982</v>
      </c>
      <c r="B6316" s="2" t="s">
        <v>1272</v>
      </c>
      <c r="C6316" s="5" t="s">
        <v>1088</v>
      </c>
      <c r="D6316" s="2" t="s">
        <v>1089</v>
      </c>
    </row>
    <row r="6317" spans="1:4" ht="12.95" customHeight="1" x14ac:dyDescent="0.25">
      <c r="A6317" s="2" t="s">
        <v>984</v>
      </c>
      <c r="B6317" s="2" t="s">
        <v>1272</v>
      </c>
      <c r="C6317" s="5" t="s">
        <v>1102</v>
      </c>
      <c r="D6317" s="2" t="s">
        <v>1103</v>
      </c>
    </row>
    <row r="6318" spans="1:4" ht="12.95" customHeight="1" x14ac:dyDescent="0.25">
      <c r="A6318" s="2" t="s">
        <v>984</v>
      </c>
      <c r="B6318" s="2" t="s">
        <v>1272</v>
      </c>
      <c r="C6318" s="5" t="s">
        <v>1084</v>
      </c>
      <c r="D6318" s="2" t="s">
        <v>1085</v>
      </c>
    </row>
    <row r="6319" spans="1:4" ht="12.95" customHeight="1" x14ac:dyDescent="0.25">
      <c r="A6319" s="2" t="s">
        <v>984</v>
      </c>
      <c r="B6319" s="2" t="s">
        <v>1272</v>
      </c>
      <c r="C6319" s="5" t="s">
        <v>1086</v>
      </c>
      <c r="D6319" s="2" t="s">
        <v>1087</v>
      </c>
    </row>
    <row r="6320" spans="1:4" ht="12.95" customHeight="1" x14ac:dyDescent="0.25">
      <c r="A6320" s="2" t="s">
        <v>984</v>
      </c>
      <c r="B6320" s="2" t="s">
        <v>1272</v>
      </c>
      <c r="C6320" s="5" t="s">
        <v>1088</v>
      </c>
      <c r="D6320" s="2" t="s">
        <v>1089</v>
      </c>
    </row>
    <row r="6321" spans="1:4" ht="12.95" customHeight="1" x14ac:dyDescent="0.25">
      <c r="A6321" s="2" t="s">
        <v>987</v>
      </c>
      <c r="B6321" s="2" t="s">
        <v>1272</v>
      </c>
      <c r="C6321" s="5" t="s">
        <v>1102</v>
      </c>
      <c r="D6321" s="2" t="s">
        <v>1103</v>
      </c>
    </row>
    <row r="6322" spans="1:4" ht="12.95" customHeight="1" x14ac:dyDescent="0.25">
      <c r="A6322" s="2" t="s">
        <v>987</v>
      </c>
      <c r="B6322" s="2" t="s">
        <v>1272</v>
      </c>
      <c r="C6322" s="5" t="s">
        <v>1084</v>
      </c>
      <c r="D6322" s="2" t="s">
        <v>1085</v>
      </c>
    </row>
    <row r="6323" spans="1:4" ht="12.95" customHeight="1" x14ac:dyDescent="0.25">
      <c r="A6323" s="2" t="s">
        <v>987</v>
      </c>
      <c r="B6323" s="2" t="s">
        <v>1272</v>
      </c>
      <c r="C6323" s="5" t="s">
        <v>1086</v>
      </c>
      <c r="D6323" s="2" t="s">
        <v>1147</v>
      </c>
    </row>
    <row r="6324" spans="1:4" ht="12.95" customHeight="1" x14ac:dyDescent="0.25">
      <c r="A6324" s="2" t="s">
        <v>987</v>
      </c>
      <c r="B6324" s="2" t="s">
        <v>1272</v>
      </c>
      <c r="C6324" s="5" t="s">
        <v>1088</v>
      </c>
      <c r="D6324" s="2" t="s">
        <v>1089</v>
      </c>
    </row>
    <row r="6325" spans="1:4" ht="12.95" customHeight="1" x14ac:dyDescent="0.25">
      <c r="A6325" s="2" t="s">
        <v>987</v>
      </c>
      <c r="B6325" s="2" t="s">
        <v>1272</v>
      </c>
      <c r="C6325" s="5" t="s">
        <v>1090</v>
      </c>
      <c r="D6325" s="2" t="s">
        <v>6308</v>
      </c>
    </row>
    <row r="6326" spans="1:4" ht="12.95" customHeight="1" x14ac:dyDescent="0.25">
      <c r="A6326" s="2" t="s">
        <v>987</v>
      </c>
      <c r="B6326" s="2" t="s">
        <v>1272</v>
      </c>
      <c r="C6326" s="5" t="s">
        <v>1092</v>
      </c>
      <c r="D6326" s="2" t="s">
        <v>6309</v>
      </c>
    </row>
    <row r="6327" spans="1:4" ht="12.95" customHeight="1" x14ac:dyDescent="0.25">
      <c r="A6327" s="2" t="s">
        <v>989</v>
      </c>
      <c r="B6327" s="2" t="s">
        <v>1083</v>
      </c>
      <c r="C6327" s="5" t="s">
        <v>1084</v>
      </c>
      <c r="D6327" s="2" t="s">
        <v>1153</v>
      </c>
    </row>
    <row r="6328" spans="1:4" ht="12.95" customHeight="1" x14ac:dyDescent="0.25">
      <c r="A6328" s="2" t="s">
        <v>989</v>
      </c>
      <c r="B6328" s="2" t="s">
        <v>1083</v>
      </c>
      <c r="C6328" s="5" t="s">
        <v>1086</v>
      </c>
      <c r="D6328" s="2" t="s">
        <v>1147</v>
      </c>
    </row>
    <row r="6329" spans="1:4" ht="12.95" customHeight="1" x14ac:dyDescent="0.25">
      <c r="A6329" s="2" t="s">
        <v>989</v>
      </c>
      <c r="B6329" s="2" t="s">
        <v>1083</v>
      </c>
      <c r="C6329" s="5" t="s">
        <v>1088</v>
      </c>
      <c r="D6329" s="2" t="s">
        <v>1089</v>
      </c>
    </row>
    <row r="6330" spans="1:4" ht="12.95" customHeight="1" x14ac:dyDescent="0.25">
      <c r="A6330" s="2" t="s">
        <v>992</v>
      </c>
      <c r="B6330" s="2" t="s">
        <v>1083</v>
      </c>
      <c r="C6330" s="5" t="s">
        <v>1084</v>
      </c>
      <c r="D6330" s="2" t="s">
        <v>1085</v>
      </c>
    </row>
    <row r="6331" spans="1:4" ht="12.95" customHeight="1" x14ac:dyDescent="0.25">
      <c r="A6331" s="2" t="s">
        <v>992</v>
      </c>
      <c r="B6331" s="2" t="s">
        <v>1083</v>
      </c>
      <c r="C6331" s="5" t="s">
        <v>1086</v>
      </c>
      <c r="D6331" s="2" t="s">
        <v>1087</v>
      </c>
    </row>
    <row r="6332" spans="1:4" ht="12.95" customHeight="1" x14ac:dyDescent="0.25">
      <c r="A6332" s="2" t="s">
        <v>992</v>
      </c>
      <c r="B6332" s="2" t="s">
        <v>1083</v>
      </c>
      <c r="C6332" s="5" t="s">
        <v>1088</v>
      </c>
      <c r="D6332" s="2" t="s">
        <v>1089</v>
      </c>
    </row>
    <row r="6333" spans="1:4" ht="12.95" customHeight="1" x14ac:dyDescent="0.25">
      <c r="A6333" s="2" t="s">
        <v>992</v>
      </c>
      <c r="B6333" s="2" t="s">
        <v>1083</v>
      </c>
      <c r="C6333" s="5" t="s">
        <v>1090</v>
      </c>
      <c r="D6333" s="2" t="s">
        <v>6310</v>
      </c>
    </row>
    <row r="6334" spans="1:4" ht="12.95" customHeight="1" x14ac:dyDescent="0.25">
      <c r="A6334" s="2" t="s">
        <v>992</v>
      </c>
      <c r="B6334" s="2" t="s">
        <v>1083</v>
      </c>
      <c r="C6334" s="5" t="s">
        <v>1092</v>
      </c>
      <c r="D6334" s="2" t="s">
        <v>6311</v>
      </c>
    </row>
    <row r="6335" spans="1:4" ht="12.95" customHeight="1" x14ac:dyDescent="0.25">
      <c r="A6335" s="2" t="s">
        <v>995</v>
      </c>
      <c r="B6335" s="2" t="s">
        <v>1083</v>
      </c>
      <c r="C6335" s="5" t="s">
        <v>1102</v>
      </c>
      <c r="D6335" s="2" t="s">
        <v>1103</v>
      </c>
    </row>
    <row r="6336" spans="1:4" ht="12.95" customHeight="1" x14ac:dyDescent="0.25">
      <c r="A6336" s="2" t="s">
        <v>995</v>
      </c>
      <c r="B6336" s="2" t="s">
        <v>1083</v>
      </c>
      <c r="C6336" s="5" t="s">
        <v>1084</v>
      </c>
      <c r="D6336" s="2" t="s">
        <v>1085</v>
      </c>
    </row>
    <row r="6337" spans="1:4" ht="12.95" customHeight="1" x14ac:dyDescent="0.25">
      <c r="A6337" s="2" t="s">
        <v>995</v>
      </c>
      <c r="B6337" s="2" t="s">
        <v>1083</v>
      </c>
      <c r="C6337" s="5" t="s">
        <v>1086</v>
      </c>
      <c r="D6337" s="2" t="s">
        <v>1087</v>
      </c>
    </row>
    <row r="6338" spans="1:4" ht="12.95" customHeight="1" x14ac:dyDescent="0.25">
      <c r="A6338" s="2" t="s">
        <v>995</v>
      </c>
      <c r="B6338" s="2" t="s">
        <v>1083</v>
      </c>
      <c r="C6338" s="5" t="s">
        <v>1088</v>
      </c>
      <c r="D6338" s="2" t="s">
        <v>1089</v>
      </c>
    </row>
    <row r="6339" spans="1:4" ht="12.95" customHeight="1" x14ac:dyDescent="0.25">
      <c r="A6339" s="2" t="s">
        <v>995</v>
      </c>
      <c r="B6339" s="2" t="s">
        <v>1083</v>
      </c>
      <c r="C6339" s="5" t="s">
        <v>1090</v>
      </c>
      <c r="D6339" s="2" t="s">
        <v>1166</v>
      </c>
    </row>
    <row r="6340" spans="1:4" ht="12.95" customHeight="1" x14ac:dyDescent="0.25">
      <c r="A6340" s="2" t="s">
        <v>995</v>
      </c>
      <c r="B6340" s="2" t="s">
        <v>1083</v>
      </c>
      <c r="C6340" s="5" t="s">
        <v>1092</v>
      </c>
      <c r="D6340" s="2" t="s">
        <v>6312</v>
      </c>
    </row>
    <row r="6341" spans="1:4" ht="12.95" customHeight="1" x14ac:dyDescent="0.25">
      <c r="A6341" s="2" t="s">
        <v>995</v>
      </c>
      <c r="B6341" s="2" t="s">
        <v>1083</v>
      </c>
      <c r="C6341" s="5" t="s">
        <v>1094</v>
      </c>
      <c r="D6341" s="2" t="s">
        <v>1159</v>
      </c>
    </row>
    <row r="6342" spans="1:4" ht="12.95" customHeight="1" x14ac:dyDescent="0.25">
      <c r="A6342" s="2" t="s">
        <v>995</v>
      </c>
      <c r="B6342" s="2" t="s">
        <v>1083</v>
      </c>
      <c r="C6342" s="5" t="s">
        <v>1096</v>
      </c>
      <c r="D6342" s="2" t="s">
        <v>1169</v>
      </c>
    </row>
    <row r="6343" spans="1:4" ht="12.95" customHeight="1" x14ac:dyDescent="0.25">
      <c r="A6343" s="2" t="s">
        <v>995</v>
      </c>
      <c r="B6343" s="2" t="s">
        <v>1083</v>
      </c>
      <c r="C6343" s="5" t="s">
        <v>1098</v>
      </c>
      <c r="D6343" s="2" t="s">
        <v>6313</v>
      </c>
    </row>
    <row r="6344" spans="1:4" ht="12.95" customHeight="1" x14ac:dyDescent="0.25">
      <c r="A6344" s="2" t="s">
        <v>995</v>
      </c>
      <c r="B6344" s="2" t="s">
        <v>1083</v>
      </c>
      <c r="C6344" s="5" t="s">
        <v>1100</v>
      </c>
      <c r="D6344" s="2" t="s">
        <v>1172</v>
      </c>
    </row>
    <row r="6345" spans="1:4" ht="12.95" customHeight="1" x14ac:dyDescent="0.25">
      <c r="A6345" s="2" t="s">
        <v>995</v>
      </c>
      <c r="B6345" s="2" t="s">
        <v>1083</v>
      </c>
      <c r="C6345" s="5" t="s">
        <v>1109</v>
      </c>
      <c r="D6345" s="2" t="s">
        <v>1173</v>
      </c>
    </row>
    <row r="6346" spans="1:4" ht="12.95" customHeight="1" x14ac:dyDescent="0.25">
      <c r="A6346" s="2" t="s">
        <v>995</v>
      </c>
      <c r="B6346" s="2" t="s">
        <v>1083</v>
      </c>
      <c r="C6346" s="5" t="s">
        <v>1119</v>
      </c>
      <c r="D6346" s="2" t="s">
        <v>1174</v>
      </c>
    </row>
    <row r="6347" spans="1:4" ht="12.95" customHeight="1" x14ac:dyDescent="0.25">
      <c r="A6347" s="2" t="s">
        <v>995</v>
      </c>
      <c r="B6347" s="2" t="s">
        <v>1083</v>
      </c>
      <c r="C6347" s="5" t="s">
        <v>1121</v>
      </c>
      <c r="D6347" s="2" t="s">
        <v>1175</v>
      </c>
    </row>
    <row r="6348" spans="1:4" ht="12.95" customHeight="1" x14ac:dyDescent="0.25">
      <c r="A6348" s="2" t="s">
        <v>995</v>
      </c>
      <c r="B6348" s="2" t="s">
        <v>1083</v>
      </c>
      <c r="C6348" s="5" t="s">
        <v>1123</v>
      </c>
      <c r="D6348" s="2" t="s">
        <v>1176</v>
      </c>
    </row>
    <row r="6349" spans="1:4" ht="12.95" customHeight="1" x14ac:dyDescent="0.25">
      <c r="A6349" s="2" t="s">
        <v>995</v>
      </c>
      <c r="B6349" s="2" t="s">
        <v>1083</v>
      </c>
      <c r="C6349" s="5" t="s">
        <v>1125</v>
      </c>
      <c r="D6349" s="2" t="s">
        <v>1177</v>
      </c>
    </row>
    <row r="6350" spans="1:4" ht="12.95" customHeight="1" x14ac:dyDescent="0.25">
      <c r="A6350" s="2" t="s">
        <v>995</v>
      </c>
      <c r="B6350" s="2" t="s">
        <v>1083</v>
      </c>
      <c r="C6350" s="5" t="s">
        <v>1111</v>
      </c>
      <c r="D6350" s="2" t="s">
        <v>1143</v>
      </c>
    </row>
    <row r="6351" spans="1:4" ht="12.95" customHeight="1" x14ac:dyDescent="0.25">
      <c r="A6351" s="2" t="s">
        <v>998</v>
      </c>
      <c r="B6351" s="2" t="s">
        <v>1083</v>
      </c>
      <c r="C6351" s="5" t="s">
        <v>1102</v>
      </c>
      <c r="D6351" s="2" t="s">
        <v>1103</v>
      </c>
    </row>
    <row r="6352" spans="1:4" ht="12.95" customHeight="1" x14ac:dyDescent="0.25">
      <c r="A6352" s="2" t="s">
        <v>998</v>
      </c>
      <c r="B6352" s="2" t="s">
        <v>1083</v>
      </c>
      <c r="C6352" s="5" t="s">
        <v>1084</v>
      </c>
      <c r="D6352" s="2" t="s">
        <v>1085</v>
      </c>
    </row>
    <row r="6353" spans="1:4" ht="12.95" customHeight="1" x14ac:dyDescent="0.25">
      <c r="A6353" s="2" t="s">
        <v>998</v>
      </c>
      <c r="B6353" s="2" t="s">
        <v>1083</v>
      </c>
      <c r="C6353" s="5" t="s">
        <v>1086</v>
      </c>
      <c r="D6353" s="2" t="s">
        <v>1087</v>
      </c>
    </row>
    <row r="6354" spans="1:4" ht="12.95" customHeight="1" x14ac:dyDescent="0.25">
      <c r="A6354" s="2" t="s">
        <v>998</v>
      </c>
      <c r="B6354" s="2" t="s">
        <v>1083</v>
      </c>
      <c r="C6354" s="5" t="s">
        <v>1088</v>
      </c>
      <c r="D6354" s="2" t="s">
        <v>1089</v>
      </c>
    </row>
    <row r="6355" spans="1:4" ht="12.95" customHeight="1" x14ac:dyDescent="0.25">
      <c r="A6355" s="2" t="s">
        <v>998</v>
      </c>
      <c r="B6355" s="2" t="s">
        <v>1083</v>
      </c>
      <c r="C6355" s="5" t="s">
        <v>1090</v>
      </c>
      <c r="D6355" s="2" t="s">
        <v>1166</v>
      </c>
    </row>
    <row r="6356" spans="1:4" ht="12.95" customHeight="1" x14ac:dyDescent="0.25">
      <c r="A6356" s="2" t="s">
        <v>998</v>
      </c>
      <c r="B6356" s="2" t="s">
        <v>1083</v>
      </c>
      <c r="C6356" s="5" t="s">
        <v>1092</v>
      </c>
      <c r="D6356" s="2" t="s">
        <v>6312</v>
      </c>
    </row>
    <row r="6357" spans="1:4" ht="12.95" customHeight="1" x14ac:dyDescent="0.25">
      <c r="A6357" s="2" t="s">
        <v>998</v>
      </c>
      <c r="B6357" s="2" t="s">
        <v>1083</v>
      </c>
      <c r="C6357" s="5" t="s">
        <v>1094</v>
      </c>
      <c r="D6357" s="2" t="s">
        <v>1159</v>
      </c>
    </row>
    <row r="6358" spans="1:4" ht="12.95" customHeight="1" x14ac:dyDescent="0.25">
      <c r="A6358" s="2" t="s">
        <v>998</v>
      </c>
      <c r="B6358" s="2" t="s">
        <v>1083</v>
      </c>
      <c r="C6358" s="5" t="s">
        <v>1096</v>
      </c>
      <c r="D6358" s="2" t="s">
        <v>1169</v>
      </c>
    </row>
    <row r="6359" spans="1:4" ht="12.95" customHeight="1" x14ac:dyDescent="0.25">
      <c r="A6359" s="2" t="s">
        <v>998</v>
      </c>
      <c r="B6359" s="2" t="s">
        <v>1083</v>
      </c>
      <c r="C6359" s="5" t="s">
        <v>1098</v>
      </c>
      <c r="D6359" s="2" t="s">
        <v>6313</v>
      </c>
    </row>
    <row r="6360" spans="1:4" ht="12.95" customHeight="1" x14ac:dyDescent="0.25">
      <c r="A6360" s="2" t="s">
        <v>998</v>
      </c>
      <c r="B6360" s="2" t="s">
        <v>1083</v>
      </c>
      <c r="C6360" s="5" t="s">
        <v>1100</v>
      </c>
      <c r="D6360" s="2" t="s">
        <v>1172</v>
      </c>
    </row>
    <row r="6361" spans="1:4" ht="12.95" customHeight="1" x14ac:dyDescent="0.25">
      <c r="A6361" s="2" t="s">
        <v>998</v>
      </c>
      <c r="B6361" s="2" t="s">
        <v>1083</v>
      </c>
      <c r="C6361" s="5" t="s">
        <v>1109</v>
      </c>
      <c r="D6361" s="2" t="s">
        <v>1173</v>
      </c>
    </row>
    <row r="6362" spans="1:4" ht="12.95" customHeight="1" x14ac:dyDescent="0.25">
      <c r="A6362" s="2" t="s">
        <v>998</v>
      </c>
      <c r="B6362" s="2" t="s">
        <v>1083</v>
      </c>
      <c r="C6362" s="5" t="s">
        <v>1119</v>
      </c>
      <c r="D6362" s="2" t="s">
        <v>1174</v>
      </c>
    </row>
    <row r="6363" spans="1:4" ht="12.95" customHeight="1" x14ac:dyDescent="0.25">
      <c r="A6363" s="2" t="s">
        <v>998</v>
      </c>
      <c r="B6363" s="2" t="s">
        <v>1083</v>
      </c>
      <c r="C6363" s="5" t="s">
        <v>1121</v>
      </c>
      <c r="D6363" s="2" t="s">
        <v>1175</v>
      </c>
    </row>
    <row r="6364" spans="1:4" ht="12.95" customHeight="1" x14ac:dyDescent="0.25">
      <c r="A6364" s="2" t="s">
        <v>998</v>
      </c>
      <c r="B6364" s="2" t="s">
        <v>1083</v>
      </c>
      <c r="C6364" s="5" t="s">
        <v>1123</v>
      </c>
      <c r="D6364" s="2" t="s">
        <v>1176</v>
      </c>
    </row>
    <row r="6365" spans="1:4" ht="12.95" customHeight="1" x14ac:dyDescent="0.25">
      <c r="A6365" s="2" t="s">
        <v>998</v>
      </c>
      <c r="B6365" s="2" t="s">
        <v>1083</v>
      </c>
      <c r="C6365" s="5" t="s">
        <v>1125</v>
      </c>
      <c r="D6365" s="2" t="s">
        <v>1177</v>
      </c>
    </row>
    <row r="6366" spans="1:4" ht="12.95" customHeight="1" x14ac:dyDescent="0.25">
      <c r="A6366" s="2" t="s">
        <v>998</v>
      </c>
      <c r="B6366" s="2" t="s">
        <v>1083</v>
      </c>
      <c r="C6366" s="5" t="s">
        <v>1111</v>
      </c>
      <c r="D6366" s="2" t="s">
        <v>1143</v>
      </c>
    </row>
    <row r="6367" spans="1:4" ht="12.95" customHeight="1" x14ac:dyDescent="0.25">
      <c r="A6367" s="2" t="s">
        <v>1000</v>
      </c>
      <c r="B6367" s="2" t="s">
        <v>1083</v>
      </c>
      <c r="C6367" s="5" t="s">
        <v>1102</v>
      </c>
      <c r="D6367" s="2" t="s">
        <v>1103</v>
      </c>
    </row>
    <row r="6368" spans="1:4" ht="12.95" customHeight="1" x14ac:dyDescent="0.25">
      <c r="A6368" s="2" t="s">
        <v>1000</v>
      </c>
      <c r="B6368" s="2" t="s">
        <v>1083</v>
      </c>
      <c r="C6368" s="5" t="s">
        <v>1084</v>
      </c>
      <c r="D6368" s="2" t="s">
        <v>1085</v>
      </c>
    </row>
    <row r="6369" spans="1:4" ht="12.95" customHeight="1" x14ac:dyDescent="0.25">
      <c r="A6369" s="2" t="s">
        <v>1000</v>
      </c>
      <c r="B6369" s="2" t="s">
        <v>1083</v>
      </c>
      <c r="C6369" s="5" t="s">
        <v>1086</v>
      </c>
      <c r="D6369" s="2" t="s">
        <v>1087</v>
      </c>
    </row>
    <row r="6370" spans="1:4" ht="12.95" customHeight="1" x14ac:dyDescent="0.25">
      <c r="A6370" s="2" t="s">
        <v>1000</v>
      </c>
      <c r="B6370" s="2" t="s">
        <v>1083</v>
      </c>
      <c r="C6370" s="5" t="s">
        <v>1088</v>
      </c>
      <c r="D6370" s="2" t="s">
        <v>1089</v>
      </c>
    </row>
    <row r="6371" spans="1:4" ht="12.95" customHeight="1" x14ac:dyDescent="0.25">
      <c r="A6371" s="2" t="s">
        <v>1000</v>
      </c>
      <c r="B6371" s="2" t="s">
        <v>1083</v>
      </c>
      <c r="C6371" s="5" t="s">
        <v>1090</v>
      </c>
      <c r="D6371" s="2" t="s">
        <v>1166</v>
      </c>
    </row>
    <row r="6372" spans="1:4" ht="12.95" customHeight="1" x14ac:dyDescent="0.25">
      <c r="A6372" s="2" t="s">
        <v>1000</v>
      </c>
      <c r="B6372" s="2" t="s">
        <v>1083</v>
      </c>
      <c r="C6372" s="5" t="s">
        <v>1092</v>
      </c>
      <c r="D6372" s="2" t="s">
        <v>6312</v>
      </c>
    </row>
    <row r="6373" spans="1:4" ht="12.95" customHeight="1" x14ac:dyDescent="0.25">
      <c r="A6373" s="2" t="s">
        <v>1000</v>
      </c>
      <c r="B6373" s="2" t="s">
        <v>1083</v>
      </c>
      <c r="C6373" s="5" t="s">
        <v>1094</v>
      </c>
      <c r="D6373" s="2" t="s">
        <v>1159</v>
      </c>
    </row>
    <row r="6374" spans="1:4" ht="12.95" customHeight="1" x14ac:dyDescent="0.25">
      <c r="A6374" s="2" t="s">
        <v>1000</v>
      </c>
      <c r="B6374" s="2" t="s">
        <v>1083</v>
      </c>
      <c r="C6374" s="5" t="s">
        <v>1096</v>
      </c>
      <c r="D6374" s="2" t="s">
        <v>1169</v>
      </c>
    </row>
    <row r="6375" spans="1:4" ht="12.95" customHeight="1" x14ac:dyDescent="0.25">
      <c r="A6375" s="2" t="s">
        <v>1000</v>
      </c>
      <c r="B6375" s="2" t="s">
        <v>1083</v>
      </c>
      <c r="C6375" s="5" t="s">
        <v>1098</v>
      </c>
      <c r="D6375" s="2" t="s">
        <v>6313</v>
      </c>
    </row>
    <row r="6376" spans="1:4" ht="12.95" customHeight="1" x14ac:dyDescent="0.25">
      <c r="A6376" s="2" t="s">
        <v>1000</v>
      </c>
      <c r="B6376" s="2" t="s">
        <v>1083</v>
      </c>
      <c r="C6376" s="5" t="s">
        <v>1100</v>
      </c>
      <c r="D6376" s="2" t="s">
        <v>1172</v>
      </c>
    </row>
    <row r="6377" spans="1:4" ht="12.95" customHeight="1" x14ac:dyDescent="0.25">
      <c r="A6377" s="2" t="s">
        <v>1000</v>
      </c>
      <c r="B6377" s="2" t="s">
        <v>1083</v>
      </c>
      <c r="C6377" s="5" t="s">
        <v>1109</v>
      </c>
      <c r="D6377" s="2" t="s">
        <v>1173</v>
      </c>
    </row>
    <row r="6378" spans="1:4" ht="12.95" customHeight="1" x14ac:dyDescent="0.25">
      <c r="A6378" s="2" t="s">
        <v>1000</v>
      </c>
      <c r="B6378" s="2" t="s">
        <v>1083</v>
      </c>
      <c r="C6378" s="5" t="s">
        <v>1119</v>
      </c>
      <c r="D6378" s="2" t="s">
        <v>1174</v>
      </c>
    </row>
    <row r="6379" spans="1:4" ht="12.95" customHeight="1" x14ac:dyDescent="0.25">
      <c r="A6379" s="2" t="s">
        <v>1000</v>
      </c>
      <c r="B6379" s="2" t="s">
        <v>1083</v>
      </c>
      <c r="C6379" s="5" t="s">
        <v>1121</v>
      </c>
      <c r="D6379" s="2" t="s">
        <v>1175</v>
      </c>
    </row>
    <row r="6380" spans="1:4" ht="12.95" customHeight="1" x14ac:dyDescent="0.25">
      <c r="A6380" s="2" t="s">
        <v>1000</v>
      </c>
      <c r="B6380" s="2" t="s">
        <v>1083</v>
      </c>
      <c r="C6380" s="5" t="s">
        <v>1123</v>
      </c>
      <c r="D6380" s="2" t="s">
        <v>1176</v>
      </c>
    </row>
    <row r="6381" spans="1:4" ht="12.95" customHeight="1" x14ac:dyDescent="0.25">
      <c r="A6381" s="2" t="s">
        <v>1000</v>
      </c>
      <c r="B6381" s="2" t="s">
        <v>1083</v>
      </c>
      <c r="C6381" s="5" t="s">
        <v>1125</v>
      </c>
      <c r="D6381" s="2" t="s">
        <v>1177</v>
      </c>
    </row>
    <row r="6382" spans="1:4" ht="12.95" customHeight="1" x14ac:dyDescent="0.25">
      <c r="A6382" s="2" t="s">
        <v>1000</v>
      </c>
      <c r="B6382" s="2" t="s">
        <v>1083</v>
      </c>
      <c r="C6382" s="5" t="s">
        <v>1111</v>
      </c>
      <c r="D6382" s="2" t="s">
        <v>1143</v>
      </c>
    </row>
    <row r="6383" spans="1:4" ht="12.95" customHeight="1" x14ac:dyDescent="0.25">
      <c r="A6383" s="2" t="s">
        <v>1002</v>
      </c>
      <c r="B6383" s="2" t="s">
        <v>1083</v>
      </c>
      <c r="C6383" s="5" t="s">
        <v>1102</v>
      </c>
      <c r="D6383" s="2" t="s">
        <v>1103</v>
      </c>
    </row>
    <row r="6384" spans="1:4" ht="12.95" customHeight="1" x14ac:dyDescent="0.25">
      <c r="A6384" s="2" t="s">
        <v>1002</v>
      </c>
      <c r="B6384" s="2" t="s">
        <v>1083</v>
      </c>
      <c r="C6384" s="5" t="s">
        <v>1084</v>
      </c>
      <c r="D6384" s="2" t="s">
        <v>1085</v>
      </c>
    </row>
    <row r="6385" spans="1:4" ht="12.95" customHeight="1" x14ac:dyDescent="0.25">
      <c r="A6385" s="2" t="s">
        <v>1002</v>
      </c>
      <c r="B6385" s="2" t="s">
        <v>1083</v>
      </c>
      <c r="C6385" s="5" t="s">
        <v>1086</v>
      </c>
      <c r="D6385" s="2" t="s">
        <v>1087</v>
      </c>
    </row>
    <row r="6386" spans="1:4" ht="12.95" customHeight="1" x14ac:dyDescent="0.25">
      <c r="A6386" s="2" t="s">
        <v>1002</v>
      </c>
      <c r="B6386" s="2" t="s">
        <v>1083</v>
      </c>
      <c r="C6386" s="5" t="s">
        <v>1088</v>
      </c>
      <c r="D6386" s="2" t="s">
        <v>1089</v>
      </c>
    </row>
    <row r="6387" spans="1:4" ht="12.95" customHeight="1" x14ac:dyDescent="0.25">
      <c r="A6387" s="2" t="s">
        <v>1002</v>
      </c>
      <c r="B6387" s="2" t="s">
        <v>1083</v>
      </c>
      <c r="C6387" s="5" t="s">
        <v>1090</v>
      </c>
      <c r="D6387" s="2" t="s">
        <v>1166</v>
      </c>
    </row>
    <row r="6388" spans="1:4" ht="12.95" customHeight="1" x14ac:dyDescent="0.25">
      <c r="A6388" s="2" t="s">
        <v>1002</v>
      </c>
      <c r="B6388" s="2" t="s">
        <v>1083</v>
      </c>
      <c r="C6388" s="5" t="s">
        <v>1092</v>
      </c>
      <c r="D6388" s="2" t="s">
        <v>6312</v>
      </c>
    </row>
    <row r="6389" spans="1:4" ht="12.95" customHeight="1" x14ac:dyDescent="0.25">
      <c r="A6389" s="2" t="s">
        <v>1002</v>
      </c>
      <c r="B6389" s="2" t="s">
        <v>1083</v>
      </c>
      <c r="C6389" s="5" t="s">
        <v>1094</v>
      </c>
      <c r="D6389" s="2" t="s">
        <v>1159</v>
      </c>
    </row>
    <row r="6390" spans="1:4" ht="12.95" customHeight="1" x14ac:dyDescent="0.25">
      <c r="A6390" s="2" t="s">
        <v>1002</v>
      </c>
      <c r="B6390" s="2" t="s">
        <v>1083</v>
      </c>
      <c r="C6390" s="5" t="s">
        <v>1096</v>
      </c>
      <c r="D6390" s="2" t="s">
        <v>1169</v>
      </c>
    </row>
    <row r="6391" spans="1:4" ht="12.95" customHeight="1" x14ac:dyDescent="0.25">
      <c r="A6391" s="2" t="s">
        <v>1002</v>
      </c>
      <c r="B6391" s="2" t="s">
        <v>1083</v>
      </c>
      <c r="C6391" s="5" t="s">
        <v>1098</v>
      </c>
      <c r="D6391" s="2" t="s">
        <v>6313</v>
      </c>
    </row>
    <row r="6392" spans="1:4" ht="12.95" customHeight="1" x14ac:dyDescent="0.25">
      <c r="A6392" s="2" t="s">
        <v>1002</v>
      </c>
      <c r="B6392" s="2" t="s">
        <v>1083</v>
      </c>
      <c r="C6392" s="5" t="s">
        <v>1100</v>
      </c>
      <c r="D6392" s="2" t="s">
        <v>1172</v>
      </c>
    </row>
    <row r="6393" spans="1:4" ht="12.95" customHeight="1" x14ac:dyDescent="0.25">
      <c r="A6393" s="2" t="s">
        <v>1002</v>
      </c>
      <c r="B6393" s="2" t="s">
        <v>1083</v>
      </c>
      <c r="C6393" s="5" t="s">
        <v>1109</v>
      </c>
      <c r="D6393" s="2" t="s">
        <v>1173</v>
      </c>
    </row>
    <row r="6394" spans="1:4" ht="12.95" customHeight="1" x14ac:dyDescent="0.25">
      <c r="A6394" s="2" t="s">
        <v>1002</v>
      </c>
      <c r="B6394" s="2" t="s">
        <v>1083</v>
      </c>
      <c r="C6394" s="5" t="s">
        <v>1119</v>
      </c>
      <c r="D6394" s="2" t="s">
        <v>1174</v>
      </c>
    </row>
    <row r="6395" spans="1:4" ht="12.95" customHeight="1" x14ac:dyDescent="0.25">
      <c r="A6395" s="2" t="s">
        <v>1002</v>
      </c>
      <c r="B6395" s="2" t="s">
        <v>1083</v>
      </c>
      <c r="C6395" s="5" t="s">
        <v>1121</v>
      </c>
      <c r="D6395" s="2" t="s">
        <v>1175</v>
      </c>
    </row>
    <row r="6396" spans="1:4" ht="12.95" customHeight="1" x14ac:dyDescent="0.25">
      <c r="A6396" s="2" t="s">
        <v>1002</v>
      </c>
      <c r="B6396" s="2" t="s">
        <v>1083</v>
      </c>
      <c r="C6396" s="5" t="s">
        <v>1123</v>
      </c>
      <c r="D6396" s="2" t="s">
        <v>1176</v>
      </c>
    </row>
    <row r="6397" spans="1:4" ht="12.95" customHeight="1" x14ac:dyDescent="0.25">
      <c r="A6397" s="2" t="s">
        <v>1002</v>
      </c>
      <c r="B6397" s="2" t="s">
        <v>1083</v>
      </c>
      <c r="C6397" s="5" t="s">
        <v>1125</v>
      </c>
      <c r="D6397" s="2" t="s">
        <v>1177</v>
      </c>
    </row>
    <row r="6398" spans="1:4" ht="12.95" customHeight="1" x14ac:dyDescent="0.25">
      <c r="A6398" s="2" t="s">
        <v>1002</v>
      </c>
      <c r="B6398" s="2" t="s">
        <v>1083</v>
      </c>
      <c r="C6398" s="5" t="s">
        <v>1111</v>
      </c>
      <c r="D6398" s="2" t="s">
        <v>1143</v>
      </c>
    </row>
    <row r="6399" spans="1:4" ht="12.95" customHeight="1" x14ac:dyDescent="0.25">
      <c r="A6399" s="2" t="s">
        <v>1004</v>
      </c>
      <c r="B6399" s="2" t="s">
        <v>1083</v>
      </c>
      <c r="C6399" s="5" t="s">
        <v>1102</v>
      </c>
      <c r="D6399" s="2" t="s">
        <v>1103</v>
      </c>
    </row>
    <row r="6400" spans="1:4" ht="12.95" customHeight="1" x14ac:dyDescent="0.25">
      <c r="A6400" s="2" t="s">
        <v>1004</v>
      </c>
      <c r="B6400" s="2" t="s">
        <v>1083</v>
      </c>
      <c r="C6400" s="5" t="s">
        <v>1084</v>
      </c>
      <c r="D6400" s="2" t="s">
        <v>1085</v>
      </c>
    </row>
    <row r="6401" spans="1:4" ht="12.95" customHeight="1" x14ac:dyDescent="0.25">
      <c r="A6401" s="2" t="s">
        <v>1004</v>
      </c>
      <c r="B6401" s="2" t="s">
        <v>1083</v>
      </c>
      <c r="C6401" s="5" t="s">
        <v>1086</v>
      </c>
      <c r="D6401" s="2" t="s">
        <v>1087</v>
      </c>
    </row>
    <row r="6402" spans="1:4" ht="12.95" customHeight="1" x14ac:dyDescent="0.25">
      <c r="A6402" s="2" t="s">
        <v>1004</v>
      </c>
      <c r="B6402" s="2" t="s">
        <v>1083</v>
      </c>
      <c r="C6402" s="5" t="s">
        <v>1088</v>
      </c>
      <c r="D6402" s="2" t="s">
        <v>1089</v>
      </c>
    </row>
    <row r="6403" spans="1:4" ht="12.95" customHeight="1" x14ac:dyDescent="0.25">
      <c r="A6403" s="2" t="s">
        <v>1004</v>
      </c>
      <c r="B6403" s="2" t="s">
        <v>1083</v>
      </c>
      <c r="C6403" s="5" t="s">
        <v>1090</v>
      </c>
      <c r="D6403" s="2" t="s">
        <v>1166</v>
      </c>
    </row>
    <row r="6404" spans="1:4" ht="12.95" customHeight="1" x14ac:dyDescent="0.25">
      <c r="A6404" s="2" t="s">
        <v>1004</v>
      </c>
      <c r="B6404" s="2" t="s">
        <v>1083</v>
      </c>
      <c r="C6404" s="5" t="s">
        <v>1092</v>
      </c>
      <c r="D6404" s="2" t="s">
        <v>6312</v>
      </c>
    </row>
    <row r="6405" spans="1:4" ht="12.95" customHeight="1" x14ac:dyDescent="0.25">
      <c r="A6405" s="2" t="s">
        <v>1004</v>
      </c>
      <c r="B6405" s="2" t="s">
        <v>1083</v>
      </c>
      <c r="C6405" s="5" t="s">
        <v>1094</v>
      </c>
      <c r="D6405" s="2" t="s">
        <v>1159</v>
      </c>
    </row>
    <row r="6406" spans="1:4" ht="12.95" customHeight="1" x14ac:dyDescent="0.25">
      <c r="A6406" s="2" t="s">
        <v>1004</v>
      </c>
      <c r="B6406" s="2" t="s">
        <v>1083</v>
      </c>
      <c r="C6406" s="5" t="s">
        <v>1096</v>
      </c>
      <c r="D6406" s="2" t="s">
        <v>1169</v>
      </c>
    </row>
    <row r="6407" spans="1:4" ht="12.95" customHeight="1" x14ac:dyDescent="0.25">
      <c r="A6407" s="2" t="s">
        <v>1004</v>
      </c>
      <c r="B6407" s="2" t="s">
        <v>1083</v>
      </c>
      <c r="C6407" s="5" t="s">
        <v>1098</v>
      </c>
      <c r="D6407" s="2" t="s">
        <v>6313</v>
      </c>
    </row>
    <row r="6408" spans="1:4" ht="12.95" customHeight="1" x14ac:dyDescent="0.25">
      <c r="A6408" s="2" t="s">
        <v>1004</v>
      </c>
      <c r="B6408" s="2" t="s">
        <v>1083</v>
      </c>
      <c r="C6408" s="5" t="s">
        <v>1100</v>
      </c>
      <c r="D6408" s="2" t="s">
        <v>1172</v>
      </c>
    </row>
    <row r="6409" spans="1:4" ht="12.95" customHeight="1" x14ac:dyDescent="0.25">
      <c r="A6409" s="2" t="s">
        <v>1004</v>
      </c>
      <c r="B6409" s="2" t="s">
        <v>1083</v>
      </c>
      <c r="C6409" s="5" t="s">
        <v>1109</v>
      </c>
      <c r="D6409" s="2" t="s">
        <v>1173</v>
      </c>
    </row>
    <row r="6410" spans="1:4" ht="12.95" customHeight="1" x14ac:dyDescent="0.25">
      <c r="A6410" s="2" t="s">
        <v>1004</v>
      </c>
      <c r="B6410" s="2" t="s">
        <v>1083</v>
      </c>
      <c r="C6410" s="5" t="s">
        <v>1119</v>
      </c>
      <c r="D6410" s="2" t="s">
        <v>1174</v>
      </c>
    </row>
    <row r="6411" spans="1:4" ht="12.95" customHeight="1" x14ac:dyDescent="0.25">
      <c r="A6411" s="2" t="s">
        <v>1004</v>
      </c>
      <c r="B6411" s="2" t="s">
        <v>1083</v>
      </c>
      <c r="C6411" s="5" t="s">
        <v>1121</v>
      </c>
      <c r="D6411" s="2" t="s">
        <v>1175</v>
      </c>
    </row>
    <row r="6412" spans="1:4" ht="12.95" customHeight="1" x14ac:dyDescent="0.25">
      <c r="A6412" s="2" t="s">
        <v>1004</v>
      </c>
      <c r="B6412" s="2" t="s">
        <v>1083</v>
      </c>
      <c r="C6412" s="5" t="s">
        <v>1123</v>
      </c>
      <c r="D6412" s="2" t="s">
        <v>1176</v>
      </c>
    </row>
    <row r="6413" spans="1:4" ht="12.95" customHeight="1" x14ac:dyDescent="0.25">
      <c r="A6413" s="2" t="s">
        <v>1004</v>
      </c>
      <c r="B6413" s="2" t="s">
        <v>1083</v>
      </c>
      <c r="C6413" s="5" t="s">
        <v>1125</v>
      </c>
      <c r="D6413" s="2" t="s">
        <v>1177</v>
      </c>
    </row>
    <row r="6414" spans="1:4" ht="12.95" customHeight="1" x14ac:dyDescent="0.25">
      <c r="A6414" s="2" t="s">
        <v>1004</v>
      </c>
      <c r="B6414" s="2" t="s">
        <v>1083</v>
      </c>
      <c r="C6414" s="5" t="s">
        <v>1111</v>
      </c>
      <c r="D6414" s="2" t="s">
        <v>1143</v>
      </c>
    </row>
    <row r="6415" spans="1:4" ht="12.95" customHeight="1" x14ac:dyDescent="0.25">
      <c r="A6415" s="2" t="s">
        <v>1006</v>
      </c>
      <c r="B6415" s="2" t="s">
        <v>1083</v>
      </c>
      <c r="C6415" s="5" t="s">
        <v>1102</v>
      </c>
      <c r="D6415" s="2" t="s">
        <v>1103</v>
      </c>
    </row>
    <row r="6416" spans="1:4" ht="12.95" customHeight="1" x14ac:dyDescent="0.25">
      <c r="A6416" s="2" t="s">
        <v>1006</v>
      </c>
      <c r="B6416" s="2" t="s">
        <v>1083</v>
      </c>
      <c r="C6416" s="5" t="s">
        <v>1084</v>
      </c>
      <c r="D6416" s="2" t="s">
        <v>1085</v>
      </c>
    </row>
    <row r="6417" spans="1:4" ht="12.95" customHeight="1" x14ac:dyDescent="0.25">
      <c r="A6417" s="2" t="s">
        <v>1006</v>
      </c>
      <c r="B6417" s="2" t="s">
        <v>1083</v>
      </c>
      <c r="C6417" s="5" t="s">
        <v>1086</v>
      </c>
      <c r="D6417" s="2" t="s">
        <v>1087</v>
      </c>
    </row>
    <row r="6418" spans="1:4" ht="12.95" customHeight="1" x14ac:dyDescent="0.25">
      <c r="A6418" s="2" t="s">
        <v>1006</v>
      </c>
      <c r="B6418" s="2" t="s">
        <v>1083</v>
      </c>
      <c r="C6418" s="5" t="s">
        <v>1088</v>
      </c>
      <c r="D6418" s="2" t="s">
        <v>1089</v>
      </c>
    </row>
    <row r="6419" spans="1:4" ht="12.95" customHeight="1" x14ac:dyDescent="0.25">
      <c r="A6419" s="2" t="s">
        <v>1006</v>
      </c>
      <c r="B6419" s="2" t="s">
        <v>1083</v>
      </c>
      <c r="C6419" s="5" t="s">
        <v>1090</v>
      </c>
      <c r="D6419" s="2" t="s">
        <v>1166</v>
      </c>
    </row>
    <row r="6420" spans="1:4" ht="12.95" customHeight="1" x14ac:dyDescent="0.25">
      <c r="A6420" s="2" t="s">
        <v>1006</v>
      </c>
      <c r="B6420" s="2" t="s">
        <v>1083</v>
      </c>
      <c r="C6420" s="5" t="s">
        <v>1092</v>
      </c>
      <c r="D6420" s="2" t="s">
        <v>6312</v>
      </c>
    </row>
    <row r="6421" spans="1:4" ht="12.95" customHeight="1" x14ac:dyDescent="0.25">
      <c r="A6421" s="2" t="s">
        <v>1006</v>
      </c>
      <c r="B6421" s="2" t="s">
        <v>1083</v>
      </c>
      <c r="C6421" s="5" t="s">
        <v>1094</v>
      </c>
      <c r="D6421" s="2" t="s">
        <v>1159</v>
      </c>
    </row>
    <row r="6422" spans="1:4" ht="12.95" customHeight="1" x14ac:dyDescent="0.25">
      <c r="A6422" s="2" t="s">
        <v>1006</v>
      </c>
      <c r="B6422" s="2" t="s">
        <v>1083</v>
      </c>
      <c r="C6422" s="5" t="s">
        <v>1096</v>
      </c>
      <c r="D6422" s="2" t="s">
        <v>1169</v>
      </c>
    </row>
    <row r="6423" spans="1:4" ht="12.95" customHeight="1" x14ac:dyDescent="0.25">
      <c r="A6423" s="2" t="s">
        <v>1006</v>
      </c>
      <c r="B6423" s="2" t="s">
        <v>1083</v>
      </c>
      <c r="C6423" s="5" t="s">
        <v>1098</v>
      </c>
      <c r="D6423" s="2" t="s">
        <v>6313</v>
      </c>
    </row>
    <row r="6424" spans="1:4" ht="12.95" customHeight="1" x14ac:dyDescent="0.25">
      <c r="A6424" s="2" t="s">
        <v>1006</v>
      </c>
      <c r="B6424" s="2" t="s">
        <v>1083</v>
      </c>
      <c r="C6424" s="5" t="s">
        <v>1100</v>
      </c>
      <c r="D6424" s="2" t="s">
        <v>1172</v>
      </c>
    </row>
    <row r="6425" spans="1:4" ht="12.95" customHeight="1" x14ac:dyDescent="0.25">
      <c r="A6425" s="2" t="s">
        <v>1006</v>
      </c>
      <c r="B6425" s="2" t="s">
        <v>1083</v>
      </c>
      <c r="C6425" s="5" t="s">
        <v>1109</v>
      </c>
      <c r="D6425" s="2" t="s">
        <v>1173</v>
      </c>
    </row>
    <row r="6426" spans="1:4" ht="12.95" customHeight="1" x14ac:dyDescent="0.25">
      <c r="A6426" s="2" t="s">
        <v>1006</v>
      </c>
      <c r="B6426" s="2" t="s">
        <v>1083</v>
      </c>
      <c r="C6426" s="5" t="s">
        <v>1119</v>
      </c>
      <c r="D6426" s="2" t="s">
        <v>1174</v>
      </c>
    </row>
    <row r="6427" spans="1:4" ht="12.95" customHeight="1" x14ac:dyDescent="0.25">
      <c r="A6427" s="2" t="s">
        <v>1006</v>
      </c>
      <c r="B6427" s="2" t="s">
        <v>1083</v>
      </c>
      <c r="C6427" s="5" t="s">
        <v>1121</v>
      </c>
      <c r="D6427" s="2" t="s">
        <v>1175</v>
      </c>
    </row>
    <row r="6428" spans="1:4" ht="12.95" customHeight="1" x14ac:dyDescent="0.25">
      <c r="A6428" s="2" t="s">
        <v>1006</v>
      </c>
      <c r="B6428" s="2" t="s">
        <v>1083</v>
      </c>
      <c r="C6428" s="5" t="s">
        <v>1123</v>
      </c>
      <c r="D6428" s="2" t="s">
        <v>1176</v>
      </c>
    </row>
    <row r="6429" spans="1:4" ht="12.95" customHeight="1" x14ac:dyDescent="0.25">
      <c r="A6429" s="2" t="s">
        <v>1006</v>
      </c>
      <c r="B6429" s="2" t="s">
        <v>1083</v>
      </c>
      <c r="C6429" s="5" t="s">
        <v>1125</v>
      </c>
      <c r="D6429" s="2" t="s">
        <v>1177</v>
      </c>
    </row>
    <row r="6430" spans="1:4" ht="12.95" customHeight="1" x14ac:dyDescent="0.25">
      <c r="A6430" s="2" t="s">
        <v>1006</v>
      </c>
      <c r="B6430" s="2" t="s">
        <v>1083</v>
      </c>
      <c r="C6430" s="5" t="s">
        <v>1111</v>
      </c>
      <c r="D6430" s="2" t="s">
        <v>1143</v>
      </c>
    </row>
    <row r="6431" spans="1:4" ht="12.95" customHeight="1" x14ac:dyDescent="0.25">
      <c r="A6431" s="2" t="s">
        <v>1008</v>
      </c>
      <c r="B6431" s="2" t="s">
        <v>1083</v>
      </c>
      <c r="C6431" s="5" t="s">
        <v>1102</v>
      </c>
      <c r="D6431" s="2" t="s">
        <v>1103</v>
      </c>
    </row>
    <row r="6432" spans="1:4" ht="12.95" customHeight="1" x14ac:dyDescent="0.25">
      <c r="A6432" s="2" t="s">
        <v>1008</v>
      </c>
      <c r="B6432" s="2" t="s">
        <v>1083</v>
      </c>
      <c r="C6432" s="5" t="s">
        <v>1084</v>
      </c>
      <c r="D6432" s="2" t="s">
        <v>1085</v>
      </c>
    </row>
    <row r="6433" spans="1:4" ht="12.95" customHeight="1" x14ac:dyDescent="0.25">
      <c r="A6433" s="2" t="s">
        <v>1008</v>
      </c>
      <c r="B6433" s="2" t="s">
        <v>1083</v>
      </c>
      <c r="C6433" s="5" t="s">
        <v>1086</v>
      </c>
      <c r="D6433" s="2" t="s">
        <v>1087</v>
      </c>
    </row>
    <row r="6434" spans="1:4" ht="12.95" customHeight="1" x14ac:dyDescent="0.25">
      <c r="A6434" s="2" t="s">
        <v>1008</v>
      </c>
      <c r="B6434" s="2" t="s">
        <v>1083</v>
      </c>
      <c r="C6434" s="5" t="s">
        <v>1088</v>
      </c>
      <c r="D6434" s="2" t="s">
        <v>1089</v>
      </c>
    </row>
    <row r="6435" spans="1:4" ht="12.95" customHeight="1" x14ac:dyDescent="0.25">
      <c r="A6435" s="2" t="s">
        <v>1008</v>
      </c>
      <c r="B6435" s="2" t="s">
        <v>1083</v>
      </c>
      <c r="C6435" s="5" t="s">
        <v>1090</v>
      </c>
      <c r="D6435" s="2" t="s">
        <v>1166</v>
      </c>
    </row>
    <row r="6436" spans="1:4" ht="12.95" customHeight="1" x14ac:dyDescent="0.25">
      <c r="A6436" s="2" t="s">
        <v>1008</v>
      </c>
      <c r="B6436" s="2" t="s">
        <v>1083</v>
      </c>
      <c r="C6436" s="5" t="s">
        <v>1092</v>
      </c>
      <c r="D6436" s="2" t="s">
        <v>6312</v>
      </c>
    </row>
    <row r="6437" spans="1:4" ht="12.95" customHeight="1" x14ac:dyDescent="0.25">
      <c r="A6437" s="2" t="s">
        <v>1008</v>
      </c>
      <c r="B6437" s="2" t="s">
        <v>1083</v>
      </c>
      <c r="C6437" s="5" t="s">
        <v>1094</v>
      </c>
      <c r="D6437" s="2" t="s">
        <v>1159</v>
      </c>
    </row>
    <row r="6438" spans="1:4" ht="12.95" customHeight="1" x14ac:dyDescent="0.25">
      <c r="A6438" s="2" t="s">
        <v>1008</v>
      </c>
      <c r="B6438" s="2" t="s">
        <v>1083</v>
      </c>
      <c r="C6438" s="5" t="s">
        <v>1096</v>
      </c>
      <c r="D6438" s="2" t="s">
        <v>1169</v>
      </c>
    </row>
    <row r="6439" spans="1:4" ht="12.95" customHeight="1" x14ac:dyDescent="0.25">
      <c r="A6439" s="2" t="s">
        <v>1008</v>
      </c>
      <c r="B6439" s="2" t="s">
        <v>1083</v>
      </c>
      <c r="C6439" s="5" t="s">
        <v>1098</v>
      </c>
      <c r="D6439" s="2" t="s">
        <v>6313</v>
      </c>
    </row>
    <row r="6440" spans="1:4" ht="12.95" customHeight="1" x14ac:dyDescent="0.25">
      <c r="A6440" s="2" t="s">
        <v>1008</v>
      </c>
      <c r="B6440" s="2" t="s">
        <v>1083</v>
      </c>
      <c r="C6440" s="5" t="s">
        <v>1100</v>
      </c>
      <c r="D6440" s="2" t="s">
        <v>1172</v>
      </c>
    </row>
    <row r="6441" spans="1:4" ht="12.95" customHeight="1" x14ac:dyDescent="0.25">
      <c r="A6441" s="2" t="s">
        <v>1008</v>
      </c>
      <c r="B6441" s="2" t="s">
        <v>1083</v>
      </c>
      <c r="C6441" s="5" t="s">
        <v>1109</v>
      </c>
      <c r="D6441" s="2" t="s">
        <v>1173</v>
      </c>
    </row>
    <row r="6442" spans="1:4" ht="12.95" customHeight="1" x14ac:dyDescent="0.25">
      <c r="A6442" s="2" t="s">
        <v>1008</v>
      </c>
      <c r="B6442" s="2" t="s">
        <v>1083</v>
      </c>
      <c r="C6442" s="5" t="s">
        <v>1119</v>
      </c>
      <c r="D6442" s="2" t="s">
        <v>1174</v>
      </c>
    </row>
    <row r="6443" spans="1:4" ht="12.95" customHeight="1" x14ac:dyDescent="0.25">
      <c r="A6443" s="2" t="s">
        <v>1008</v>
      </c>
      <c r="B6443" s="2" t="s">
        <v>1083</v>
      </c>
      <c r="C6443" s="5" t="s">
        <v>1121</v>
      </c>
      <c r="D6443" s="2" t="s">
        <v>1175</v>
      </c>
    </row>
    <row r="6444" spans="1:4" ht="12.95" customHeight="1" x14ac:dyDescent="0.25">
      <c r="A6444" s="2" t="s">
        <v>1008</v>
      </c>
      <c r="B6444" s="2" t="s">
        <v>1083</v>
      </c>
      <c r="C6444" s="5" t="s">
        <v>1123</v>
      </c>
      <c r="D6444" s="2" t="s">
        <v>1176</v>
      </c>
    </row>
    <row r="6445" spans="1:4" ht="12.95" customHeight="1" x14ac:dyDescent="0.25">
      <c r="A6445" s="2" t="s">
        <v>1008</v>
      </c>
      <c r="B6445" s="2" t="s">
        <v>1083</v>
      </c>
      <c r="C6445" s="5" t="s">
        <v>1125</v>
      </c>
      <c r="D6445" s="2" t="s">
        <v>1177</v>
      </c>
    </row>
    <row r="6446" spans="1:4" ht="12.95" customHeight="1" x14ac:dyDescent="0.25">
      <c r="A6446" s="2" t="s">
        <v>1008</v>
      </c>
      <c r="B6446" s="2" t="s">
        <v>1083</v>
      </c>
      <c r="C6446" s="5" t="s">
        <v>1111</v>
      </c>
      <c r="D6446" s="2" t="s">
        <v>1143</v>
      </c>
    </row>
    <row r="6447" spans="1:4" ht="12.95" customHeight="1" x14ac:dyDescent="0.25">
      <c r="A6447" s="2" t="s">
        <v>1010</v>
      </c>
      <c r="B6447" s="2" t="s">
        <v>1083</v>
      </c>
      <c r="C6447" s="5" t="s">
        <v>1102</v>
      </c>
      <c r="D6447" s="2" t="s">
        <v>1103</v>
      </c>
    </row>
    <row r="6448" spans="1:4" ht="12.95" customHeight="1" x14ac:dyDescent="0.25">
      <c r="A6448" s="2" t="s">
        <v>1010</v>
      </c>
      <c r="B6448" s="2" t="s">
        <v>1083</v>
      </c>
      <c r="C6448" s="5" t="s">
        <v>1084</v>
      </c>
      <c r="D6448" s="2" t="s">
        <v>1085</v>
      </c>
    </row>
    <row r="6449" spans="1:4" ht="12.95" customHeight="1" x14ac:dyDescent="0.25">
      <c r="A6449" s="2" t="s">
        <v>1010</v>
      </c>
      <c r="B6449" s="2" t="s">
        <v>1083</v>
      </c>
      <c r="C6449" s="5" t="s">
        <v>1086</v>
      </c>
      <c r="D6449" s="2" t="s">
        <v>1087</v>
      </c>
    </row>
    <row r="6450" spans="1:4" ht="12.95" customHeight="1" x14ac:dyDescent="0.25">
      <c r="A6450" s="2" t="s">
        <v>1010</v>
      </c>
      <c r="B6450" s="2" t="s">
        <v>1083</v>
      </c>
      <c r="C6450" s="5" t="s">
        <v>1088</v>
      </c>
      <c r="D6450" s="2" t="s">
        <v>1089</v>
      </c>
    </row>
    <row r="6451" spans="1:4" ht="12.95" customHeight="1" x14ac:dyDescent="0.25">
      <c r="A6451" s="2" t="s">
        <v>1010</v>
      </c>
      <c r="B6451" s="2" t="s">
        <v>1083</v>
      </c>
      <c r="C6451" s="5" t="s">
        <v>1090</v>
      </c>
      <c r="D6451" s="2" t="s">
        <v>1166</v>
      </c>
    </row>
    <row r="6452" spans="1:4" ht="12.95" customHeight="1" x14ac:dyDescent="0.25">
      <c r="A6452" s="2" t="s">
        <v>1010</v>
      </c>
      <c r="B6452" s="2" t="s">
        <v>1083</v>
      </c>
      <c r="C6452" s="5" t="s">
        <v>1092</v>
      </c>
      <c r="D6452" s="2" t="s">
        <v>6312</v>
      </c>
    </row>
    <row r="6453" spans="1:4" ht="12.95" customHeight="1" x14ac:dyDescent="0.25">
      <c r="A6453" s="2" t="s">
        <v>1010</v>
      </c>
      <c r="B6453" s="2" t="s">
        <v>1083</v>
      </c>
      <c r="C6453" s="5" t="s">
        <v>1094</v>
      </c>
      <c r="D6453" s="2" t="s">
        <v>1159</v>
      </c>
    </row>
    <row r="6454" spans="1:4" ht="12.95" customHeight="1" x14ac:dyDescent="0.25">
      <c r="A6454" s="2" t="s">
        <v>1010</v>
      </c>
      <c r="B6454" s="2" t="s">
        <v>1083</v>
      </c>
      <c r="C6454" s="5" t="s">
        <v>1096</v>
      </c>
      <c r="D6454" s="2" t="s">
        <v>1169</v>
      </c>
    </row>
    <row r="6455" spans="1:4" ht="12.95" customHeight="1" x14ac:dyDescent="0.25">
      <c r="A6455" s="2" t="s">
        <v>1010</v>
      </c>
      <c r="B6455" s="2" t="s">
        <v>1083</v>
      </c>
      <c r="C6455" s="5" t="s">
        <v>1098</v>
      </c>
      <c r="D6455" s="2" t="s">
        <v>6313</v>
      </c>
    </row>
    <row r="6456" spans="1:4" ht="12.95" customHeight="1" x14ac:dyDescent="0.25">
      <c r="A6456" s="2" t="s">
        <v>1010</v>
      </c>
      <c r="B6456" s="2" t="s">
        <v>1083</v>
      </c>
      <c r="C6456" s="5" t="s">
        <v>1100</v>
      </c>
      <c r="D6456" s="2" t="s">
        <v>1172</v>
      </c>
    </row>
    <row r="6457" spans="1:4" ht="12.95" customHeight="1" x14ac:dyDescent="0.25">
      <c r="A6457" s="2" t="s">
        <v>1010</v>
      </c>
      <c r="B6457" s="2" t="s">
        <v>1083</v>
      </c>
      <c r="C6457" s="5" t="s">
        <v>1109</v>
      </c>
      <c r="D6457" s="2" t="s">
        <v>1173</v>
      </c>
    </row>
    <row r="6458" spans="1:4" ht="12.95" customHeight="1" x14ac:dyDescent="0.25">
      <c r="A6458" s="2" t="s">
        <v>1010</v>
      </c>
      <c r="B6458" s="2" t="s">
        <v>1083</v>
      </c>
      <c r="C6458" s="5" t="s">
        <v>1119</v>
      </c>
      <c r="D6458" s="2" t="s">
        <v>1174</v>
      </c>
    </row>
    <row r="6459" spans="1:4" ht="12.95" customHeight="1" x14ac:dyDescent="0.25">
      <c r="A6459" s="2" t="s">
        <v>1010</v>
      </c>
      <c r="B6459" s="2" t="s">
        <v>1083</v>
      </c>
      <c r="C6459" s="5" t="s">
        <v>1121</v>
      </c>
      <c r="D6459" s="2" t="s">
        <v>1175</v>
      </c>
    </row>
    <row r="6460" spans="1:4" ht="12.95" customHeight="1" x14ac:dyDescent="0.25">
      <c r="A6460" s="2" t="s">
        <v>1010</v>
      </c>
      <c r="B6460" s="2" t="s">
        <v>1083</v>
      </c>
      <c r="C6460" s="5" t="s">
        <v>1123</v>
      </c>
      <c r="D6460" s="2" t="s">
        <v>1176</v>
      </c>
    </row>
    <row r="6461" spans="1:4" ht="12.95" customHeight="1" x14ac:dyDescent="0.25">
      <c r="A6461" s="2" t="s">
        <v>1010</v>
      </c>
      <c r="B6461" s="2" t="s">
        <v>1083</v>
      </c>
      <c r="C6461" s="5" t="s">
        <v>1125</v>
      </c>
      <c r="D6461" s="2" t="s">
        <v>1177</v>
      </c>
    </row>
    <row r="6462" spans="1:4" ht="12.95" customHeight="1" x14ac:dyDescent="0.25">
      <c r="A6462" s="2" t="s">
        <v>1010</v>
      </c>
      <c r="B6462" s="2" t="s">
        <v>1083</v>
      </c>
      <c r="C6462" s="5" t="s">
        <v>1111</v>
      </c>
      <c r="D6462" s="2" t="s">
        <v>1143</v>
      </c>
    </row>
    <row r="6463" spans="1:4" ht="12.95" customHeight="1" x14ac:dyDescent="0.25">
      <c r="A6463" s="2" t="s">
        <v>1012</v>
      </c>
      <c r="B6463" s="2" t="s">
        <v>1083</v>
      </c>
      <c r="C6463" s="5" t="s">
        <v>1102</v>
      </c>
      <c r="D6463" s="2" t="s">
        <v>1103</v>
      </c>
    </row>
    <row r="6464" spans="1:4" ht="12.95" customHeight="1" x14ac:dyDescent="0.25">
      <c r="A6464" s="2" t="s">
        <v>1012</v>
      </c>
      <c r="B6464" s="2" t="s">
        <v>1083</v>
      </c>
      <c r="C6464" s="5" t="s">
        <v>1084</v>
      </c>
      <c r="D6464" s="2" t="s">
        <v>1085</v>
      </c>
    </row>
    <row r="6465" spans="1:4" ht="12.95" customHeight="1" x14ac:dyDescent="0.25">
      <c r="A6465" s="2" t="s">
        <v>1012</v>
      </c>
      <c r="B6465" s="2" t="s">
        <v>1083</v>
      </c>
      <c r="C6465" s="5" t="s">
        <v>1086</v>
      </c>
      <c r="D6465" s="2" t="s">
        <v>1087</v>
      </c>
    </row>
    <row r="6466" spans="1:4" ht="12.95" customHeight="1" x14ac:dyDescent="0.25">
      <c r="A6466" s="2" t="s">
        <v>1012</v>
      </c>
      <c r="B6466" s="2" t="s">
        <v>1083</v>
      </c>
      <c r="C6466" s="5" t="s">
        <v>1088</v>
      </c>
      <c r="D6466" s="2" t="s">
        <v>1089</v>
      </c>
    </row>
    <row r="6467" spans="1:4" ht="12.95" customHeight="1" x14ac:dyDescent="0.25">
      <c r="A6467" s="2" t="s">
        <v>1012</v>
      </c>
      <c r="B6467" s="2" t="s">
        <v>1083</v>
      </c>
      <c r="C6467" s="5" t="s">
        <v>1090</v>
      </c>
      <c r="D6467" s="2" t="s">
        <v>1166</v>
      </c>
    </row>
    <row r="6468" spans="1:4" ht="12.95" customHeight="1" x14ac:dyDescent="0.25">
      <c r="A6468" s="2" t="s">
        <v>1012</v>
      </c>
      <c r="B6468" s="2" t="s">
        <v>1083</v>
      </c>
      <c r="C6468" s="5" t="s">
        <v>1092</v>
      </c>
      <c r="D6468" s="2" t="s">
        <v>6312</v>
      </c>
    </row>
    <row r="6469" spans="1:4" ht="12.95" customHeight="1" x14ac:dyDescent="0.25">
      <c r="A6469" s="2" t="s">
        <v>1012</v>
      </c>
      <c r="B6469" s="2" t="s">
        <v>1083</v>
      </c>
      <c r="C6469" s="5" t="s">
        <v>1094</v>
      </c>
      <c r="D6469" s="2" t="s">
        <v>1159</v>
      </c>
    </row>
    <row r="6470" spans="1:4" ht="12.95" customHeight="1" x14ac:dyDescent="0.25">
      <c r="A6470" s="2" t="s">
        <v>1012</v>
      </c>
      <c r="B6470" s="2" t="s">
        <v>1083</v>
      </c>
      <c r="C6470" s="5" t="s">
        <v>1096</v>
      </c>
      <c r="D6470" s="2" t="s">
        <v>1169</v>
      </c>
    </row>
    <row r="6471" spans="1:4" ht="12.95" customHeight="1" x14ac:dyDescent="0.25">
      <c r="A6471" s="2" t="s">
        <v>1012</v>
      </c>
      <c r="B6471" s="2" t="s">
        <v>1083</v>
      </c>
      <c r="C6471" s="5" t="s">
        <v>1098</v>
      </c>
      <c r="D6471" s="2" t="s">
        <v>6313</v>
      </c>
    </row>
    <row r="6472" spans="1:4" ht="12.95" customHeight="1" x14ac:dyDescent="0.25">
      <c r="A6472" s="2" t="s">
        <v>1012</v>
      </c>
      <c r="B6472" s="2" t="s">
        <v>1083</v>
      </c>
      <c r="C6472" s="5" t="s">
        <v>1100</v>
      </c>
      <c r="D6472" s="2" t="s">
        <v>1172</v>
      </c>
    </row>
    <row r="6473" spans="1:4" ht="12.95" customHeight="1" x14ac:dyDescent="0.25">
      <c r="A6473" s="2" t="s">
        <v>1012</v>
      </c>
      <c r="B6473" s="2" t="s">
        <v>1083</v>
      </c>
      <c r="C6473" s="5" t="s">
        <v>1109</v>
      </c>
      <c r="D6473" s="2" t="s">
        <v>1173</v>
      </c>
    </row>
    <row r="6474" spans="1:4" ht="12.95" customHeight="1" x14ac:dyDescent="0.25">
      <c r="A6474" s="2" t="s">
        <v>1012</v>
      </c>
      <c r="B6474" s="2" t="s">
        <v>1083</v>
      </c>
      <c r="C6474" s="5" t="s">
        <v>1119</v>
      </c>
      <c r="D6474" s="2" t="s">
        <v>1174</v>
      </c>
    </row>
    <row r="6475" spans="1:4" ht="12.95" customHeight="1" x14ac:dyDescent="0.25">
      <c r="A6475" s="2" t="s">
        <v>1012</v>
      </c>
      <c r="B6475" s="2" t="s">
        <v>1083</v>
      </c>
      <c r="C6475" s="5" t="s">
        <v>1121</v>
      </c>
      <c r="D6475" s="2" t="s">
        <v>1175</v>
      </c>
    </row>
    <row r="6476" spans="1:4" ht="12.95" customHeight="1" x14ac:dyDescent="0.25">
      <c r="A6476" s="2" t="s">
        <v>1012</v>
      </c>
      <c r="B6476" s="2" t="s">
        <v>1083</v>
      </c>
      <c r="C6476" s="5" t="s">
        <v>1123</v>
      </c>
      <c r="D6476" s="2" t="s">
        <v>1176</v>
      </c>
    </row>
    <row r="6477" spans="1:4" ht="12.95" customHeight="1" x14ac:dyDescent="0.25">
      <c r="A6477" s="2" t="s">
        <v>1012</v>
      </c>
      <c r="B6477" s="2" t="s">
        <v>1083</v>
      </c>
      <c r="C6477" s="5" t="s">
        <v>1125</v>
      </c>
      <c r="D6477" s="2" t="s">
        <v>1177</v>
      </c>
    </row>
    <row r="6478" spans="1:4" ht="12.95" customHeight="1" x14ac:dyDescent="0.25">
      <c r="A6478" s="2" t="s">
        <v>1012</v>
      </c>
      <c r="B6478" s="2" t="s">
        <v>1083</v>
      </c>
      <c r="C6478" s="5" t="s">
        <v>1111</v>
      </c>
      <c r="D6478" s="2" t="s">
        <v>1143</v>
      </c>
    </row>
    <row r="6479" spans="1:4" ht="12.95" customHeight="1" x14ac:dyDescent="0.25">
      <c r="A6479" s="2" t="s">
        <v>1014</v>
      </c>
      <c r="B6479" s="2" t="s">
        <v>1083</v>
      </c>
      <c r="C6479" s="5" t="s">
        <v>1102</v>
      </c>
      <c r="D6479" s="2" t="s">
        <v>1103</v>
      </c>
    </row>
    <row r="6480" spans="1:4" ht="12.95" customHeight="1" x14ac:dyDescent="0.25">
      <c r="A6480" s="2" t="s">
        <v>1014</v>
      </c>
      <c r="B6480" s="2" t="s">
        <v>1083</v>
      </c>
      <c r="C6480" s="5" t="s">
        <v>1084</v>
      </c>
      <c r="D6480" s="2" t="s">
        <v>1085</v>
      </c>
    </row>
    <row r="6481" spans="1:4" ht="12.95" customHeight="1" x14ac:dyDescent="0.25">
      <c r="A6481" s="2" t="s">
        <v>1014</v>
      </c>
      <c r="B6481" s="2" t="s">
        <v>1083</v>
      </c>
      <c r="C6481" s="5" t="s">
        <v>1086</v>
      </c>
      <c r="D6481" s="2" t="s">
        <v>1087</v>
      </c>
    </row>
    <row r="6482" spans="1:4" ht="12.95" customHeight="1" x14ac:dyDescent="0.25">
      <c r="A6482" s="2" t="s">
        <v>1014</v>
      </c>
      <c r="B6482" s="2" t="s">
        <v>1083</v>
      </c>
      <c r="C6482" s="5" t="s">
        <v>1088</v>
      </c>
      <c r="D6482" s="2" t="s">
        <v>1089</v>
      </c>
    </row>
    <row r="6483" spans="1:4" ht="12.95" customHeight="1" x14ac:dyDescent="0.25">
      <c r="A6483" s="2" t="s">
        <v>1014</v>
      </c>
      <c r="B6483" s="2" t="s">
        <v>1083</v>
      </c>
      <c r="C6483" s="5" t="s">
        <v>1090</v>
      </c>
      <c r="D6483" s="2" t="s">
        <v>1166</v>
      </c>
    </row>
    <row r="6484" spans="1:4" ht="12.95" customHeight="1" x14ac:dyDescent="0.25">
      <c r="A6484" s="2" t="s">
        <v>1014</v>
      </c>
      <c r="B6484" s="2" t="s">
        <v>1083</v>
      </c>
      <c r="C6484" s="5" t="s">
        <v>1092</v>
      </c>
      <c r="D6484" s="2" t="s">
        <v>6312</v>
      </c>
    </row>
    <row r="6485" spans="1:4" ht="12.95" customHeight="1" x14ac:dyDescent="0.25">
      <c r="A6485" s="2" t="s">
        <v>1014</v>
      </c>
      <c r="B6485" s="2" t="s">
        <v>1083</v>
      </c>
      <c r="C6485" s="5" t="s">
        <v>1094</v>
      </c>
      <c r="D6485" s="2" t="s">
        <v>1159</v>
      </c>
    </row>
    <row r="6486" spans="1:4" ht="12.95" customHeight="1" x14ac:dyDescent="0.25">
      <c r="A6486" s="2" t="s">
        <v>1014</v>
      </c>
      <c r="B6486" s="2" t="s">
        <v>1083</v>
      </c>
      <c r="C6486" s="5" t="s">
        <v>1096</v>
      </c>
      <c r="D6486" s="2" t="s">
        <v>1169</v>
      </c>
    </row>
    <row r="6487" spans="1:4" ht="12.95" customHeight="1" x14ac:dyDescent="0.25">
      <c r="A6487" s="2" t="s">
        <v>1014</v>
      </c>
      <c r="B6487" s="2" t="s">
        <v>1083</v>
      </c>
      <c r="C6487" s="5" t="s">
        <v>1098</v>
      </c>
      <c r="D6487" s="2" t="s">
        <v>6313</v>
      </c>
    </row>
    <row r="6488" spans="1:4" ht="12.95" customHeight="1" x14ac:dyDescent="0.25">
      <c r="A6488" s="2" t="s">
        <v>1014</v>
      </c>
      <c r="B6488" s="2" t="s">
        <v>1083</v>
      </c>
      <c r="C6488" s="5" t="s">
        <v>1100</v>
      </c>
      <c r="D6488" s="2" t="s">
        <v>1172</v>
      </c>
    </row>
    <row r="6489" spans="1:4" ht="12.95" customHeight="1" x14ac:dyDescent="0.25">
      <c r="A6489" s="2" t="s">
        <v>1014</v>
      </c>
      <c r="B6489" s="2" t="s">
        <v>1083</v>
      </c>
      <c r="C6489" s="5" t="s">
        <v>1109</v>
      </c>
      <c r="D6489" s="2" t="s">
        <v>1173</v>
      </c>
    </row>
    <row r="6490" spans="1:4" ht="12.95" customHeight="1" x14ac:dyDescent="0.25">
      <c r="A6490" s="2" t="s">
        <v>1014</v>
      </c>
      <c r="B6490" s="2" t="s">
        <v>1083</v>
      </c>
      <c r="C6490" s="5" t="s">
        <v>1119</v>
      </c>
      <c r="D6490" s="2" t="s">
        <v>1174</v>
      </c>
    </row>
    <row r="6491" spans="1:4" ht="12.95" customHeight="1" x14ac:dyDescent="0.25">
      <c r="A6491" s="2" t="s">
        <v>1014</v>
      </c>
      <c r="B6491" s="2" t="s">
        <v>1083</v>
      </c>
      <c r="C6491" s="5" t="s">
        <v>1121</v>
      </c>
      <c r="D6491" s="2" t="s">
        <v>1175</v>
      </c>
    </row>
    <row r="6492" spans="1:4" ht="12.95" customHeight="1" x14ac:dyDescent="0.25">
      <c r="A6492" s="2" t="s">
        <v>1014</v>
      </c>
      <c r="B6492" s="2" t="s">
        <v>1083</v>
      </c>
      <c r="C6492" s="5" t="s">
        <v>1123</v>
      </c>
      <c r="D6492" s="2" t="s">
        <v>1176</v>
      </c>
    </row>
    <row r="6493" spans="1:4" ht="12.95" customHeight="1" x14ac:dyDescent="0.25">
      <c r="A6493" s="2" t="s">
        <v>1014</v>
      </c>
      <c r="B6493" s="2" t="s">
        <v>1083</v>
      </c>
      <c r="C6493" s="5" t="s">
        <v>1125</v>
      </c>
      <c r="D6493" s="2" t="s">
        <v>1177</v>
      </c>
    </row>
    <row r="6494" spans="1:4" ht="12.95" customHeight="1" x14ac:dyDescent="0.25">
      <c r="A6494" s="2" t="s">
        <v>1014</v>
      </c>
      <c r="B6494" s="2" t="s">
        <v>1083</v>
      </c>
      <c r="C6494" s="5" t="s">
        <v>1111</v>
      </c>
      <c r="D6494" s="2" t="s">
        <v>1143</v>
      </c>
    </row>
    <row r="6495" spans="1:4" ht="12.95" customHeight="1" x14ac:dyDescent="0.25">
      <c r="A6495" s="2" t="s">
        <v>1016</v>
      </c>
      <c r="B6495" s="2" t="s">
        <v>1083</v>
      </c>
      <c r="C6495" s="5" t="s">
        <v>1102</v>
      </c>
      <c r="D6495" s="2" t="s">
        <v>1103</v>
      </c>
    </row>
    <row r="6496" spans="1:4" ht="12.95" customHeight="1" x14ac:dyDescent="0.25">
      <c r="A6496" s="2" t="s">
        <v>1016</v>
      </c>
      <c r="B6496" s="2" t="s">
        <v>1083</v>
      </c>
      <c r="C6496" s="5" t="s">
        <v>1084</v>
      </c>
      <c r="D6496" s="2" t="s">
        <v>1085</v>
      </c>
    </row>
    <row r="6497" spans="1:4" ht="12.95" customHeight="1" x14ac:dyDescent="0.25">
      <c r="A6497" s="2" t="s">
        <v>1016</v>
      </c>
      <c r="B6497" s="2" t="s">
        <v>1083</v>
      </c>
      <c r="C6497" s="5" t="s">
        <v>1086</v>
      </c>
      <c r="D6497" s="2" t="s">
        <v>1087</v>
      </c>
    </row>
    <row r="6498" spans="1:4" ht="12.95" customHeight="1" x14ac:dyDescent="0.25">
      <c r="A6498" s="2" t="s">
        <v>1016</v>
      </c>
      <c r="B6498" s="2" t="s">
        <v>1083</v>
      </c>
      <c r="C6498" s="5" t="s">
        <v>1088</v>
      </c>
      <c r="D6498" s="2" t="s">
        <v>1089</v>
      </c>
    </row>
    <row r="6499" spans="1:4" ht="12.95" customHeight="1" x14ac:dyDescent="0.25">
      <c r="A6499" s="2" t="s">
        <v>1016</v>
      </c>
      <c r="B6499" s="2" t="s">
        <v>1083</v>
      </c>
      <c r="C6499" s="5" t="s">
        <v>1090</v>
      </c>
      <c r="D6499" s="2" t="s">
        <v>1166</v>
      </c>
    </row>
    <row r="6500" spans="1:4" ht="12.95" customHeight="1" x14ac:dyDescent="0.25">
      <c r="A6500" s="2" t="s">
        <v>1016</v>
      </c>
      <c r="B6500" s="2" t="s">
        <v>1083</v>
      </c>
      <c r="C6500" s="5" t="s">
        <v>1092</v>
      </c>
      <c r="D6500" s="2" t="s">
        <v>6312</v>
      </c>
    </row>
    <row r="6501" spans="1:4" ht="12.95" customHeight="1" x14ac:dyDescent="0.25">
      <c r="A6501" s="2" t="s">
        <v>1016</v>
      </c>
      <c r="B6501" s="2" t="s">
        <v>1083</v>
      </c>
      <c r="C6501" s="5" t="s">
        <v>1094</v>
      </c>
      <c r="D6501" s="2" t="s">
        <v>1159</v>
      </c>
    </row>
    <row r="6502" spans="1:4" ht="12.95" customHeight="1" x14ac:dyDescent="0.25">
      <c r="A6502" s="2" t="s">
        <v>1016</v>
      </c>
      <c r="B6502" s="2" t="s">
        <v>1083</v>
      </c>
      <c r="C6502" s="5" t="s">
        <v>1096</v>
      </c>
      <c r="D6502" s="2" t="s">
        <v>1169</v>
      </c>
    </row>
    <row r="6503" spans="1:4" ht="12.95" customHeight="1" x14ac:dyDescent="0.25">
      <c r="A6503" s="2" t="s">
        <v>1016</v>
      </c>
      <c r="B6503" s="2" t="s">
        <v>1083</v>
      </c>
      <c r="C6503" s="5" t="s">
        <v>1098</v>
      </c>
      <c r="D6503" s="2" t="s">
        <v>6313</v>
      </c>
    </row>
    <row r="6504" spans="1:4" ht="12.95" customHeight="1" x14ac:dyDescent="0.25">
      <c r="A6504" s="2" t="s">
        <v>1016</v>
      </c>
      <c r="B6504" s="2" t="s">
        <v>1083</v>
      </c>
      <c r="C6504" s="5" t="s">
        <v>1100</v>
      </c>
      <c r="D6504" s="2" t="s">
        <v>1172</v>
      </c>
    </row>
    <row r="6505" spans="1:4" ht="12.95" customHeight="1" x14ac:dyDescent="0.25">
      <c r="A6505" s="2" t="s">
        <v>1016</v>
      </c>
      <c r="B6505" s="2" t="s">
        <v>1083</v>
      </c>
      <c r="C6505" s="5" t="s">
        <v>1109</v>
      </c>
      <c r="D6505" s="2" t="s">
        <v>1173</v>
      </c>
    </row>
    <row r="6506" spans="1:4" ht="12.95" customHeight="1" x14ac:dyDescent="0.25">
      <c r="A6506" s="2" t="s">
        <v>1016</v>
      </c>
      <c r="B6506" s="2" t="s">
        <v>1083</v>
      </c>
      <c r="C6506" s="5" t="s">
        <v>1119</v>
      </c>
      <c r="D6506" s="2" t="s">
        <v>1174</v>
      </c>
    </row>
    <row r="6507" spans="1:4" ht="12.95" customHeight="1" x14ac:dyDescent="0.25">
      <c r="A6507" s="2" t="s">
        <v>1016</v>
      </c>
      <c r="B6507" s="2" t="s">
        <v>1083</v>
      </c>
      <c r="C6507" s="5" t="s">
        <v>1121</v>
      </c>
      <c r="D6507" s="2" t="s">
        <v>1175</v>
      </c>
    </row>
    <row r="6508" spans="1:4" ht="12.95" customHeight="1" x14ac:dyDescent="0.25">
      <c r="A6508" s="2" t="s">
        <v>1016</v>
      </c>
      <c r="B6508" s="2" t="s">
        <v>1083</v>
      </c>
      <c r="C6508" s="5" t="s">
        <v>1123</v>
      </c>
      <c r="D6508" s="2" t="s">
        <v>1176</v>
      </c>
    </row>
    <row r="6509" spans="1:4" ht="12.95" customHeight="1" x14ac:dyDescent="0.25">
      <c r="A6509" s="2" t="s">
        <v>1016</v>
      </c>
      <c r="B6509" s="2" t="s">
        <v>1083</v>
      </c>
      <c r="C6509" s="5" t="s">
        <v>1125</v>
      </c>
      <c r="D6509" s="2" t="s">
        <v>1177</v>
      </c>
    </row>
    <row r="6510" spans="1:4" ht="12.95" customHeight="1" x14ac:dyDescent="0.25">
      <c r="A6510" s="2" t="s">
        <v>1016</v>
      </c>
      <c r="B6510" s="2" t="s">
        <v>1083</v>
      </c>
      <c r="C6510" s="5" t="s">
        <v>1111</v>
      </c>
      <c r="D6510" s="2" t="s">
        <v>1143</v>
      </c>
    </row>
    <row r="6511" spans="1:4" ht="12.95" customHeight="1" x14ac:dyDescent="0.25">
      <c r="A6511" s="2" t="s">
        <v>1018</v>
      </c>
      <c r="B6511" s="2" t="s">
        <v>1083</v>
      </c>
      <c r="C6511" s="5" t="s">
        <v>1102</v>
      </c>
      <c r="D6511" s="2" t="s">
        <v>1103</v>
      </c>
    </row>
    <row r="6512" spans="1:4" ht="12.95" customHeight="1" x14ac:dyDescent="0.25">
      <c r="A6512" s="2" t="s">
        <v>1018</v>
      </c>
      <c r="B6512" s="2" t="s">
        <v>1083</v>
      </c>
      <c r="C6512" s="5" t="s">
        <v>1084</v>
      </c>
      <c r="D6512" s="2" t="s">
        <v>1085</v>
      </c>
    </row>
    <row r="6513" spans="1:4" ht="12.95" customHeight="1" x14ac:dyDescent="0.25">
      <c r="A6513" s="2" t="s">
        <v>1018</v>
      </c>
      <c r="B6513" s="2" t="s">
        <v>1083</v>
      </c>
      <c r="C6513" s="5" t="s">
        <v>1086</v>
      </c>
      <c r="D6513" s="2" t="s">
        <v>1087</v>
      </c>
    </row>
    <row r="6514" spans="1:4" ht="12.95" customHeight="1" x14ac:dyDescent="0.25">
      <c r="A6514" s="2" t="s">
        <v>1018</v>
      </c>
      <c r="B6514" s="2" t="s">
        <v>1083</v>
      </c>
      <c r="C6514" s="5" t="s">
        <v>1088</v>
      </c>
      <c r="D6514" s="2" t="s">
        <v>1089</v>
      </c>
    </row>
    <row r="6515" spans="1:4" ht="12.95" customHeight="1" x14ac:dyDescent="0.25">
      <c r="A6515" s="2" t="s">
        <v>1018</v>
      </c>
      <c r="B6515" s="2" t="s">
        <v>1083</v>
      </c>
      <c r="C6515" s="5" t="s">
        <v>1090</v>
      </c>
      <c r="D6515" s="2" t="s">
        <v>1166</v>
      </c>
    </row>
    <row r="6516" spans="1:4" ht="12.95" customHeight="1" x14ac:dyDescent="0.25">
      <c r="A6516" s="2" t="s">
        <v>1018</v>
      </c>
      <c r="B6516" s="2" t="s">
        <v>1083</v>
      </c>
      <c r="C6516" s="5" t="s">
        <v>1092</v>
      </c>
      <c r="D6516" s="2" t="s">
        <v>6312</v>
      </c>
    </row>
    <row r="6517" spans="1:4" ht="12.95" customHeight="1" x14ac:dyDescent="0.25">
      <c r="A6517" s="2" t="s">
        <v>1018</v>
      </c>
      <c r="B6517" s="2" t="s">
        <v>1083</v>
      </c>
      <c r="C6517" s="5" t="s">
        <v>1094</v>
      </c>
      <c r="D6517" s="2" t="s">
        <v>1159</v>
      </c>
    </row>
    <row r="6518" spans="1:4" ht="12.95" customHeight="1" x14ac:dyDescent="0.25">
      <c r="A6518" s="2" t="s">
        <v>1018</v>
      </c>
      <c r="B6518" s="2" t="s">
        <v>1083</v>
      </c>
      <c r="C6518" s="5" t="s">
        <v>1096</v>
      </c>
      <c r="D6518" s="2" t="s">
        <v>1169</v>
      </c>
    </row>
    <row r="6519" spans="1:4" ht="12.95" customHeight="1" x14ac:dyDescent="0.25">
      <c r="A6519" s="2" t="s">
        <v>1018</v>
      </c>
      <c r="B6519" s="2" t="s">
        <v>1083</v>
      </c>
      <c r="C6519" s="5" t="s">
        <v>1098</v>
      </c>
      <c r="D6519" s="2" t="s">
        <v>6313</v>
      </c>
    </row>
    <row r="6520" spans="1:4" ht="12.95" customHeight="1" x14ac:dyDescent="0.25">
      <c r="A6520" s="2" t="s">
        <v>1018</v>
      </c>
      <c r="B6520" s="2" t="s">
        <v>1083</v>
      </c>
      <c r="C6520" s="5" t="s">
        <v>1100</v>
      </c>
      <c r="D6520" s="2" t="s">
        <v>1172</v>
      </c>
    </row>
    <row r="6521" spans="1:4" ht="12.95" customHeight="1" x14ac:dyDescent="0.25">
      <c r="A6521" s="2" t="s">
        <v>1018</v>
      </c>
      <c r="B6521" s="2" t="s">
        <v>1083</v>
      </c>
      <c r="C6521" s="5" t="s">
        <v>1109</v>
      </c>
      <c r="D6521" s="2" t="s">
        <v>1173</v>
      </c>
    </row>
    <row r="6522" spans="1:4" ht="12.95" customHeight="1" x14ac:dyDescent="0.25">
      <c r="A6522" s="2" t="s">
        <v>1018</v>
      </c>
      <c r="B6522" s="2" t="s">
        <v>1083</v>
      </c>
      <c r="C6522" s="5" t="s">
        <v>1119</v>
      </c>
      <c r="D6522" s="2" t="s">
        <v>1174</v>
      </c>
    </row>
    <row r="6523" spans="1:4" ht="12.95" customHeight="1" x14ac:dyDescent="0.25">
      <c r="A6523" s="2" t="s">
        <v>1018</v>
      </c>
      <c r="B6523" s="2" t="s">
        <v>1083</v>
      </c>
      <c r="C6523" s="5" t="s">
        <v>1121</v>
      </c>
      <c r="D6523" s="2" t="s">
        <v>1175</v>
      </c>
    </row>
    <row r="6524" spans="1:4" ht="12.95" customHeight="1" x14ac:dyDescent="0.25">
      <c r="A6524" s="2" t="s">
        <v>1018</v>
      </c>
      <c r="B6524" s="2" t="s">
        <v>1083</v>
      </c>
      <c r="C6524" s="5" t="s">
        <v>1123</v>
      </c>
      <c r="D6524" s="2" t="s">
        <v>1176</v>
      </c>
    </row>
    <row r="6525" spans="1:4" ht="12.95" customHeight="1" x14ac:dyDescent="0.25">
      <c r="A6525" s="2" t="s">
        <v>1018</v>
      </c>
      <c r="B6525" s="2" t="s">
        <v>1083</v>
      </c>
      <c r="C6525" s="5" t="s">
        <v>1125</v>
      </c>
      <c r="D6525" s="2" t="s">
        <v>1177</v>
      </c>
    </row>
    <row r="6526" spans="1:4" ht="12.95" customHeight="1" x14ac:dyDescent="0.25">
      <c r="A6526" s="2" t="s">
        <v>1018</v>
      </c>
      <c r="B6526" s="2" t="s">
        <v>1083</v>
      </c>
      <c r="C6526" s="5" t="s">
        <v>1111</v>
      </c>
      <c r="D6526" s="2" t="s">
        <v>1143</v>
      </c>
    </row>
    <row r="6527" spans="1:4" ht="12.95" customHeight="1" x14ac:dyDescent="0.25">
      <c r="A6527" s="2" t="s">
        <v>1020</v>
      </c>
      <c r="B6527" s="2" t="s">
        <v>1083</v>
      </c>
      <c r="C6527" s="5" t="s">
        <v>1088</v>
      </c>
      <c r="D6527" s="2" t="s">
        <v>1089</v>
      </c>
    </row>
    <row r="6528" spans="1:4" ht="12.95" customHeight="1" x14ac:dyDescent="0.25">
      <c r="A6528" s="2" t="s">
        <v>1023</v>
      </c>
      <c r="B6528" s="2" t="s">
        <v>1083</v>
      </c>
      <c r="C6528" s="5" t="s">
        <v>1102</v>
      </c>
      <c r="D6528" s="2" t="s">
        <v>1103</v>
      </c>
    </row>
    <row r="6529" spans="1:4" ht="12.95" customHeight="1" x14ac:dyDescent="0.25">
      <c r="A6529" s="2" t="s">
        <v>1023</v>
      </c>
      <c r="B6529" s="2" t="s">
        <v>1083</v>
      </c>
      <c r="C6529" s="5" t="s">
        <v>1084</v>
      </c>
      <c r="D6529" s="2" t="s">
        <v>1085</v>
      </c>
    </row>
    <row r="6530" spans="1:4" ht="12.95" customHeight="1" x14ac:dyDescent="0.25">
      <c r="A6530" s="2" t="s">
        <v>1023</v>
      </c>
      <c r="B6530" s="2" t="s">
        <v>1083</v>
      </c>
      <c r="C6530" s="5" t="s">
        <v>1086</v>
      </c>
      <c r="D6530" s="2" t="s">
        <v>1087</v>
      </c>
    </row>
    <row r="6531" spans="1:4" ht="12.95" customHeight="1" x14ac:dyDescent="0.25">
      <c r="A6531" s="2" t="s">
        <v>1023</v>
      </c>
      <c r="B6531" s="2" t="s">
        <v>1083</v>
      </c>
      <c r="C6531" s="5" t="s">
        <v>1088</v>
      </c>
      <c r="D6531" s="2" t="s">
        <v>1089</v>
      </c>
    </row>
    <row r="6532" spans="1:4" ht="12.95" customHeight="1" x14ac:dyDescent="0.25">
      <c r="A6532" s="2" t="s">
        <v>1023</v>
      </c>
      <c r="B6532" s="2" t="s">
        <v>1083</v>
      </c>
      <c r="C6532" s="5" t="s">
        <v>1090</v>
      </c>
      <c r="D6532" s="2" t="s">
        <v>1166</v>
      </c>
    </row>
    <row r="6533" spans="1:4" ht="12.95" customHeight="1" x14ac:dyDescent="0.25">
      <c r="A6533" s="2" t="s">
        <v>1023</v>
      </c>
      <c r="B6533" s="2" t="s">
        <v>1083</v>
      </c>
      <c r="C6533" s="5" t="s">
        <v>1092</v>
      </c>
      <c r="D6533" s="2" t="s">
        <v>6312</v>
      </c>
    </row>
    <row r="6534" spans="1:4" ht="12.95" customHeight="1" x14ac:dyDescent="0.25">
      <c r="A6534" s="2" t="s">
        <v>1023</v>
      </c>
      <c r="B6534" s="2" t="s">
        <v>1083</v>
      </c>
      <c r="C6534" s="5" t="s">
        <v>1094</v>
      </c>
      <c r="D6534" s="2" t="s">
        <v>1159</v>
      </c>
    </row>
    <row r="6535" spans="1:4" ht="12.95" customHeight="1" x14ac:dyDescent="0.25">
      <c r="A6535" s="2" t="s">
        <v>1023</v>
      </c>
      <c r="B6535" s="2" t="s">
        <v>1083</v>
      </c>
      <c r="C6535" s="5" t="s">
        <v>1096</v>
      </c>
      <c r="D6535" s="2" t="s">
        <v>1169</v>
      </c>
    </row>
    <row r="6536" spans="1:4" ht="12.95" customHeight="1" x14ac:dyDescent="0.25">
      <c r="A6536" s="2" t="s">
        <v>1023</v>
      </c>
      <c r="B6536" s="2" t="s">
        <v>1083</v>
      </c>
      <c r="C6536" s="5" t="s">
        <v>1098</v>
      </c>
      <c r="D6536" s="2" t="s">
        <v>6313</v>
      </c>
    </row>
    <row r="6537" spans="1:4" ht="12.95" customHeight="1" x14ac:dyDescent="0.25">
      <c r="A6537" s="2" t="s">
        <v>1023</v>
      </c>
      <c r="B6537" s="2" t="s">
        <v>1083</v>
      </c>
      <c r="C6537" s="5" t="s">
        <v>1100</v>
      </c>
      <c r="D6537" s="2" t="s">
        <v>1172</v>
      </c>
    </row>
    <row r="6538" spans="1:4" ht="12.95" customHeight="1" x14ac:dyDescent="0.25">
      <c r="A6538" s="2" t="s">
        <v>1023</v>
      </c>
      <c r="B6538" s="2" t="s">
        <v>1083</v>
      </c>
      <c r="C6538" s="5" t="s">
        <v>1109</v>
      </c>
      <c r="D6538" s="2" t="s">
        <v>1173</v>
      </c>
    </row>
    <row r="6539" spans="1:4" ht="12.95" customHeight="1" x14ac:dyDescent="0.25">
      <c r="A6539" s="2" t="s">
        <v>1023</v>
      </c>
      <c r="B6539" s="2" t="s">
        <v>1083</v>
      </c>
      <c r="C6539" s="5" t="s">
        <v>1119</v>
      </c>
      <c r="D6539" s="2" t="s">
        <v>1174</v>
      </c>
    </row>
    <row r="6540" spans="1:4" ht="12.95" customHeight="1" x14ac:dyDescent="0.25">
      <c r="A6540" s="2" t="s">
        <v>1023</v>
      </c>
      <c r="B6540" s="2" t="s">
        <v>1083</v>
      </c>
      <c r="C6540" s="5" t="s">
        <v>1121</v>
      </c>
      <c r="D6540" s="2" t="s">
        <v>1175</v>
      </c>
    </row>
    <row r="6541" spans="1:4" ht="12.95" customHeight="1" x14ac:dyDescent="0.25">
      <c r="A6541" s="2" t="s">
        <v>1023</v>
      </c>
      <c r="B6541" s="2" t="s">
        <v>1083</v>
      </c>
      <c r="C6541" s="5" t="s">
        <v>1123</v>
      </c>
      <c r="D6541" s="2" t="s">
        <v>1176</v>
      </c>
    </row>
    <row r="6542" spans="1:4" ht="12.95" customHeight="1" x14ac:dyDescent="0.25">
      <c r="A6542" s="2" t="s">
        <v>1023</v>
      </c>
      <c r="B6542" s="2" t="s">
        <v>1083</v>
      </c>
      <c r="C6542" s="5" t="s">
        <v>1125</v>
      </c>
      <c r="D6542" s="2" t="s">
        <v>1177</v>
      </c>
    </row>
    <row r="6543" spans="1:4" ht="12.95" customHeight="1" x14ac:dyDescent="0.25">
      <c r="A6543" s="2" t="s">
        <v>1023</v>
      </c>
      <c r="B6543" s="2" t="s">
        <v>1083</v>
      </c>
      <c r="C6543" s="5" t="s">
        <v>1111</v>
      </c>
      <c r="D6543" s="2" t="s">
        <v>1143</v>
      </c>
    </row>
    <row r="6544" spans="1:4" ht="12.95" customHeight="1" x14ac:dyDescent="0.25">
      <c r="A6544" s="2" t="s">
        <v>1025</v>
      </c>
      <c r="B6544" s="2" t="s">
        <v>1083</v>
      </c>
      <c r="C6544" s="5" t="s">
        <v>1102</v>
      </c>
      <c r="D6544" s="2" t="s">
        <v>1103</v>
      </c>
    </row>
    <row r="6545" spans="1:4" ht="12.95" customHeight="1" x14ac:dyDescent="0.25">
      <c r="A6545" s="2" t="s">
        <v>1025</v>
      </c>
      <c r="B6545" s="2" t="s">
        <v>1083</v>
      </c>
      <c r="C6545" s="5" t="s">
        <v>1084</v>
      </c>
      <c r="D6545" s="2" t="s">
        <v>1085</v>
      </c>
    </row>
    <row r="6546" spans="1:4" ht="12.95" customHeight="1" x14ac:dyDescent="0.25">
      <c r="A6546" s="2" t="s">
        <v>1025</v>
      </c>
      <c r="B6546" s="2" t="s">
        <v>1083</v>
      </c>
      <c r="C6546" s="5" t="s">
        <v>1086</v>
      </c>
      <c r="D6546" s="2" t="s">
        <v>1087</v>
      </c>
    </row>
    <row r="6547" spans="1:4" ht="12.95" customHeight="1" x14ac:dyDescent="0.25">
      <c r="A6547" s="2" t="s">
        <v>1025</v>
      </c>
      <c r="B6547" s="2" t="s">
        <v>1083</v>
      </c>
      <c r="C6547" s="5" t="s">
        <v>1088</v>
      </c>
      <c r="D6547" s="2" t="s">
        <v>1089</v>
      </c>
    </row>
    <row r="6548" spans="1:4" ht="12.95" customHeight="1" x14ac:dyDescent="0.25">
      <c r="A6548" s="2" t="s">
        <v>1025</v>
      </c>
      <c r="B6548" s="2" t="s">
        <v>1083</v>
      </c>
      <c r="C6548" s="5" t="s">
        <v>1090</v>
      </c>
      <c r="D6548" s="2" t="s">
        <v>1166</v>
      </c>
    </row>
    <row r="6549" spans="1:4" ht="12.95" customHeight="1" x14ac:dyDescent="0.25">
      <c r="A6549" s="2" t="s">
        <v>1025</v>
      </c>
      <c r="B6549" s="2" t="s">
        <v>1083</v>
      </c>
      <c r="C6549" s="5" t="s">
        <v>1092</v>
      </c>
      <c r="D6549" s="2" t="s">
        <v>6312</v>
      </c>
    </row>
    <row r="6550" spans="1:4" ht="12.95" customHeight="1" x14ac:dyDescent="0.25">
      <c r="A6550" s="2" t="s">
        <v>1025</v>
      </c>
      <c r="B6550" s="2" t="s">
        <v>1083</v>
      </c>
      <c r="C6550" s="5" t="s">
        <v>1094</v>
      </c>
      <c r="D6550" s="2" t="s">
        <v>1159</v>
      </c>
    </row>
    <row r="6551" spans="1:4" ht="12.95" customHeight="1" x14ac:dyDescent="0.25">
      <c r="A6551" s="2" t="s">
        <v>1025</v>
      </c>
      <c r="B6551" s="2" t="s">
        <v>1083</v>
      </c>
      <c r="C6551" s="5" t="s">
        <v>1096</v>
      </c>
      <c r="D6551" s="2" t="s">
        <v>1169</v>
      </c>
    </row>
    <row r="6552" spans="1:4" ht="12.95" customHeight="1" x14ac:dyDescent="0.25">
      <c r="A6552" s="2" t="s">
        <v>1025</v>
      </c>
      <c r="B6552" s="2" t="s">
        <v>1083</v>
      </c>
      <c r="C6552" s="5" t="s">
        <v>1098</v>
      </c>
      <c r="D6552" s="2" t="s">
        <v>6313</v>
      </c>
    </row>
    <row r="6553" spans="1:4" ht="12.95" customHeight="1" x14ac:dyDescent="0.25">
      <c r="A6553" s="2" t="s">
        <v>1025</v>
      </c>
      <c r="B6553" s="2" t="s">
        <v>1083</v>
      </c>
      <c r="C6553" s="5" t="s">
        <v>1100</v>
      </c>
      <c r="D6553" s="2" t="s">
        <v>1172</v>
      </c>
    </row>
    <row r="6554" spans="1:4" ht="12.95" customHeight="1" x14ac:dyDescent="0.25">
      <c r="A6554" s="2" t="s">
        <v>1025</v>
      </c>
      <c r="B6554" s="2" t="s">
        <v>1083</v>
      </c>
      <c r="C6554" s="5" t="s">
        <v>1109</v>
      </c>
      <c r="D6554" s="2" t="s">
        <v>1173</v>
      </c>
    </row>
    <row r="6555" spans="1:4" ht="12.95" customHeight="1" x14ac:dyDescent="0.25">
      <c r="A6555" s="2" t="s">
        <v>1025</v>
      </c>
      <c r="B6555" s="2" t="s">
        <v>1083</v>
      </c>
      <c r="C6555" s="5" t="s">
        <v>1119</v>
      </c>
      <c r="D6555" s="2" t="s">
        <v>1174</v>
      </c>
    </row>
    <row r="6556" spans="1:4" ht="12.95" customHeight="1" x14ac:dyDescent="0.25">
      <c r="A6556" s="2" t="s">
        <v>1025</v>
      </c>
      <c r="B6556" s="2" t="s">
        <v>1083</v>
      </c>
      <c r="C6556" s="5" t="s">
        <v>1121</v>
      </c>
      <c r="D6556" s="2" t="s">
        <v>1175</v>
      </c>
    </row>
    <row r="6557" spans="1:4" ht="12.95" customHeight="1" x14ac:dyDescent="0.25">
      <c r="A6557" s="2" t="s">
        <v>1025</v>
      </c>
      <c r="B6557" s="2" t="s">
        <v>1083</v>
      </c>
      <c r="C6557" s="5" t="s">
        <v>1123</v>
      </c>
      <c r="D6557" s="2" t="s">
        <v>1176</v>
      </c>
    </row>
    <row r="6558" spans="1:4" ht="12.95" customHeight="1" x14ac:dyDescent="0.25">
      <c r="A6558" s="2" t="s">
        <v>1025</v>
      </c>
      <c r="B6558" s="2" t="s">
        <v>1083</v>
      </c>
      <c r="C6558" s="5" t="s">
        <v>1125</v>
      </c>
      <c r="D6558" s="2" t="s">
        <v>1177</v>
      </c>
    </row>
    <row r="6559" spans="1:4" ht="12.95" customHeight="1" x14ac:dyDescent="0.25">
      <c r="A6559" s="2" t="s">
        <v>1025</v>
      </c>
      <c r="B6559" s="2" t="s">
        <v>1083</v>
      </c>
      <c r="C6559" s="5" t="s">
        <v>1111</v>
      </c>
      <c r="D6559" s="2" t="s">
        <v>1143</v>
      </c>
    </row>
    <row r="6560" spans="1:4" ht="12.95" customHeight="1" x14ac:dyDescent="0.25">
      <c r="A6560" s="2" t="s">
        <v>1027</v>
      </c>
      <c r="B6560" s="2" t="s">
        <v>1083</v>
      </c>
      <c r="C6560" s="5" t="s">
        <v>1102</v>
      </c>
      <c r="D6560" s="2" t="s">
        <v>1103</v>
      </c>
    </row>
    <row r="6561" spans="1:4" ht="12.95" customHeight="1" x14ac:dyDescent="0.25">
      <c r="A6561" s="2" t="s">
        <v>1027</v>
      </c>
      <c r="B6561" s="2" t="s">
        <v>1083</v>
      </c>
      <c r="C6561" s="5" t="s">
        <v>1084</v>
      </c>
      <c r="D6561" s="2" t="s">
        <v>1153</v>
      </c>
    </row>
    <row r="6562" spans="1:4" ht="12.95" customHeight="1" x14ac:dyDescent="0.25">
      <c r="A6562" s="2" t="s">
        <v>1027</v>
      </c>
      <c r="B6562" s="2" t="s">
        <v>1083</v>
      </c>
      <c r="C6562" s="5" t="s">
        <v>1086</v>
      </c>
      <c r="D6562" s="2" t="s">
        <v>1147</v>
      </c>
    </row>
    <row r="6563" spans="1:4" ht="12.95" customHeight="1" x14ac:dyDescent="0.25">
      <c r="A6563" s="2" t="s">
        <v>1027</v>
      </c>
      <c r="B6563" s="2" t="s">
        <v>1083</v>
      </c>
      <c r="C6563" s="5" t="s">
        <v>1088</v>
      </c>
      <c r="D6563" s="2" t="s">
        <v>1089</v>
      </c>
    </row>
    <row r="6564" spans="1:4" ht="12.95" customHeight="1" x14ac:dyDescent="0.25">
      <c r="A6564" s="2" t="s">
        <v>1027</v>
      </c>
      <c r="B6564" s="2" t="s">
        <v>1083</v>
      </c>
      <c r="C6564" s="5" t="s">
        <v>1090</v>
      </c>
      <c r="D6564" s="2" t="s">
        <v>1179</v>
      </c>
    </row>
    <row r="6565" spans="1:4" ht="12.95" customHeight="1" x14ac:dyDescent="0.25">
      <c r="A6565" s="2" t="s">
        <v>1027</v>
      </c>
      <c r="B6565" s="2" t="s">
        <v>1083</v>
      </c>
      <c r="C6565" s="5" t="s">
        <v>1092</v>
      </c>
      <c r="D6565" s="2" t="s">
        <v>1180</v>
      </c>
    </row>
    <row r="6566" spans="1:4" ht="12.95" customHeight="1" x14ac:dyDescent="0.25">
      <c r="A6566" s="2" t="s">
        <v>1030</v>
      </c>
      <c r="B6566" s="2" t="s">
        <v>1083</v>
      </c>
      <c r="C6566" s="5" t="s">
        <v>1102</v>
      </c>
      <c r="D6566" s="2" t="s">
        <v>1103</v>
      </c>
    </row>
    <row r="6567" spans="1:4" ht="12.95" customHeight="1" x14ac:dyDescent="0.25">
      <c r="A6567" s="2" t="s">
        <v>1030</v>
      </c>
      <c r="B6567" s="2" t="s">
        <v>1083</v>
      </c>
      <c r="C6567" s="5" t="s">
        <v>1090</v>
      </c>
      <c r="D6567" s="2" t="s">
        <v>3151</v>
      </c>
    </row>
    <row r="6568" spans="1:4" ht="12.95" customHeight="1" x14ac:dyDescent="0.25">
      <c r="A6568" s="2" t="s">
        <v>1030</v>
      </c>
      <c r="B6568" s="2" t="s">
        <v>1083</v>
      </c>
      <c r="C6568" s="5" t="s">
        <v>1092</v>
      </c>
      <c r="D6568" s="2" t="s">
        <v>3152</v>
      </c>
    </row>
    <row r="6569" spans="1:4" ht="12.95" customHeight="1" x14ac:dyDescent="0.25">
      <c r="A6569" s="2" t="s">
        <v>1030</v>
      </c>
      <c r="B6569" s="2" t="s">
        <v>1083</v>
      </c>
      <c r="C6569" s="5" t="s">
        <v>1096</v>
      </c>
      <c r="D6569" s="2" t="s">
        <v>3153</v>
      </c>
    </row>
    <row r="6570" spans="1:4" ht="12.95" customHeight="1" x14ac:dyDescent="0.25">
      <c r="A6570" s="2" t="s">
        <v>1030</v>
      </c>
      <c r="B6570" s="2" t="s">
        <v>1083</v>
      </c>
      <c r="C6570" s="5" t="s">
        <v>1098</v>
      </c>
      <c r="D6570" s="2" t="s">
        <v>3154</v>
      </c>
    </row>
    <row r="6571" spans="1:4" ht="12.95" customHeight="1" x14ac:dyDescent="0.25">
      <c r="A6571" s="2" t="s">
        <v>1030</v>
      </c>
      <c r="B6571" s="2" t="s">
        <v>1083</v>
      </c>
      <c r="C6571" s="5" t="s">
        <v>1100</v>
      </c>
      <c r="D6571" s="2" t="s">
        <v>3155</v>
      </c>
    </row>
    <row r="6572" spans="1:4" ht="12.95" customHeight="1" x14ac:dyDescent="0.25">
      <c r="A6572" s="2" t="s">
        <v>1030</v>
      </c>
      <c r="B6572" s="2" t="s">
        <v>1083</v>
      </c>
      <c r="C6572" s="5" t="s">
        <v>1119</v>
      </c>
      <c r="D6572" s="2" t="s">
        <v>3156</v>
      </c>
    </row>
    <row r="6573" spans="1:4" ht="12.95" customHeight="1" x14ac:dyDescent="0.25">
      <c r="A6573" s="2" t="s">
        <v>1030</v>
      </c>
      <c r="B6573" s="2" t="s">
        <v>1083</v>
      </c>
      <c r="C6573" s="5" t="s">
        <v>1121</v>
      </c>
      <c r="D6573" s="2" t="s">
        <v>3157</v>
      </c>
    </row>
    <row r="6574" spans="1:4" ht="12.95" customHeight="1" x14ac:dyDescent="0.25">
      <c r="A6574" s="2" t="s">
        <v>1030</v>
      </c>
      <c r="B6574" s="2" t="s">
        <v>1083</v>
      </c>
      <c r="C6574" s="5" t="s">
        <v>1123</v>
      </c>
      <c r="D6574" s="2" t="s">
        <v>3158</v>
      </c>
    </row>
    <row r="6575" spans="1:4" ht="12.95" customHeight="1" x14ac:dyDescent="0.25">
      <c r="A6575" s="2" t="s">
        <v>1030</v>
      </c>
      <c r="B6575" s="2" t="s">
        <v>1083</v>
      </c>
      <c r="C6575" s="5" t="s">
        <v>1125</v>
      </c>
      <c r="D6575" s="2" t="s">
        <v>3159</v>
      </c>
    </row>
    <row r="6576" spans="1:4" ht="12.95" customHeight="1" x14ac:dyDescent="0.25">
      <c r="A6576" s="2" t="s">
        <v>1030</v>
      </c>
      <c r="B6576" s="2" t="s">
        <v>1083</v>
      </c>
      <c r="C6576" s="5" t="s">
        <v>1127</v>
      </c>
      <c r="D6576" s="2" t="s">
        <v>3160</v>
      </c>
    </row>
    <row r="6577" spans="1:4" ht="12.95" customHeight="1" x14ac:dyDescent="0.25">
      <c r="A6577" s="2" t="s">
        <v>1030</v>
      </c>
      <c r="B6577" s="2" t="s">
        <v>1083</v>
      </c>
      <c r="C6577" s="5" t="s">
        <v>1129</v>
      </c>
      <c r="D6577" s="2" t="s">
        <v>3161</v>
      </c>
    </row>
    <row r="6578" spans="1:4" ht="12.95" customHeight="1" x14ac:dyDescent="0.25">
      <c r="A6578" s="2" t="s">
        <v>1030</v>
      </c>
      <c r="B6578" s="2" t="s">
        <v>1083</v>
      </c>
      <c r="C6578" s="5" t="s">
        <v>1133</v>
      </c>
      <c r="D6578" s="2" t="s">
        <v>3162</v>
      </c>
    </row>
    <row r="6579" spans="1:4" ht="12.95" customHeight="1" x14ac:dyDescent="0.25">
      <c r="A6579" s="2" t="s">
        <v>1030</v>
      </c>
      <c r="B6579" s="2" t="s">
        <v>1083</v>
      </c>
      <c r="C6579" s="5" t="s">
        <v>1135</v>
      </c>
      <c r="D6579" s="2" t="s">
        <v>3163</v>
      </c>
    </row>
    <row r="6580" spans="1:4" ht="12.95" customHeight="1" x14ac:dyDescent="0.25">
      <c r="A6580" s="2" t="s">
        <v>1030</v>
      </c>
      <c r="B6580" s="2" t="s">
        <v>1083</v>
      </c>
      <c r="C6580" s="5" t="s">
        <v>1137</v>
      </c>
      <c r="D6580" s="2" t="s">
        <v>3164</v>
      </c>
    </row>
    <row r="6581" spans="1:4" ht="12.95" customHeight="1" x14ac:dyDescent="0.25">
      <c r="A6581" s="2" t="s">
        <v>1030</v>
      </c>
      <c r="B6581" s="2" t="s">
        <v>1083</v>
      </c>
      <c r="C6581" s="5" t="s">
        <v>1139</v>
      </c>
      <c r="D6581" s="2" t="s">
        <v>3165</v>
      </c>
    </row>
    <row r="6582" spans="1:4" ht="12.95" customHeight="1" x14ac:dyDescent="0.25">
      <c r="A6582" s="2" t="s">
        <v>1030</v>
      </c>
      <c r="B6582" s="2" t="s">
        <v>1083</v>
      </c>
      <c r="C6582" s="5" t="s">
        <v>1141</v>
      </c>
      <c r="D6582" s="2" t="s">
        <v>3166</v>
      </c>
    </row>
    <row r="6583" spans="1:4" ht="12.95" customHeight="1" x14ac:dyDescent="0.25">
      <c r="A6583" s="2" t="s">
        <v>1030</v>
      </c>
      <c r="B6583" s="2" t="s">
        <v>1083</v>
      </c>
      <c r="C6583" s="5" t="s">
        <v>1295</v>
      </c>
      <c r="D6583" s="2" t="s">
        <v>3167</v>
      </c>
    </row>
    <row r="6584" spans="1:4" ht="12.95" customHeight="1" x14ac:dyDescent="0.25">
      <c r="A6584" s="2" t="s">
        <v>1030</v>
      </c>
      <c r="B6584" s="2" t="s">
        <v>1083</v>
      </c>
      <c r="C6584" s="5" t="s">
        <v>1187</v>
      </c>
      <c r="D6584" s="2" t="s">
        <v>3168</v>
      </c>
    </row>
    <row r="6585" spans="1:4" ht="12.95" customHeight="1" x14ac:dyDescent="0.25">
      <c r="A6585" s="2" t="s">
        <v>1030</v>
      </c>
      <c r="B6585" s="2" t="s">
        <v>1083</v>
      </c>
      <c r="C6585" s="5" t="s">
        <v>1189</v>
      </c>
      <c r="D6585" s="2" t="s">
        <v>3169</v>
      </c>
    </row>
    <row r="6586" spans="1:4" ht="12.95" customHeight="1" x14ac:dyDescent="0.25">
      <c r="A6586" s="2" t="s">
        <v>1030</v>
      </c>
      <c r="B6586" s="2" t="s">
        <v>1083</v>
      </c>
      <c r="C6586" s="5" t="s">
        <v>1191</v>
      </c>
      <c r="D6586" s="2" t="s">
        <v>3170</v>
      </c>
    </row>
    <row r="6587" spans="1:4" ht="12.95" customHeight="1" x14ac:dyDescent="0.25">
      <c r="A6587" s="2" t="s">
        <v>1030</v>
      </c>
      <c r="B6587" s="2" t="s">
        <v>1083</v>
      </c>
      <c r="C6587" s="5" t="s">
        <v>1193</v>
      </c>
      <c r="D6587" s="2" t="s">
        <v>3171</v>
      </c>
    </row>
    <row r="6588" spans="1:4" ht="12.95" customHeight="1" x14ac:dyDescent="0.25">
      <c r="A6588" s="2" t="s">
        <v>1030</v>
      </c>
      <c r="B6588" s="2" t="s">
        <v>1083</v>
      </c>
      <c r="C6588" s="5" t="s">
        <v>3172</v>
      </c>
      <c r="D6588" s="2" t="s">
        <v>3173</v>
      </c>
    </row>
    <row r="6589" spans="1:4" ht="12.95" customHeight="1" x14ac:dyDescent="0.25">
      <c r="A6589" s="2" t="s">
        <v>1030</v>
      </c>
      <c r="B6589" s="2" t="s">
        <v>1083</v>
      </c>
      <c r="C6589" s="5" t="s">
        <v>3174</v>
      </c>
      <c r="D6589" s="2" t="s">
        <v>3175</v>
      </c>
    </row>
    <row r="6590" spans="1:4" ht="12.95" customHeight="1" x14ac:dyDescent="0.25">
      <c r="A6590" s="2" t="s">
        <v>1030</v>
      </c>
      <c r="B6590" s="2" t="s">
        <v>1083</v>
      </c>
      <c r="C6590" s="5" t="s">
        <v>3176</v>
      </c>
      <c r="D6590" s="2" t="s">
        <v>3177</v>
      </c>
    </row>
    <row r="6591" spans="1:4" ht="12.95" customHeight="1" x14ac:dyDescent="0.25">
      <c r="A6591" s="2" t="s">
        <v>1030</v>
      </c>
      <c r="B6591" s="2" t="s">
        <v>1083</v>
      </c>
      <c r="C6591" s="5" t="s">
        <v>3178</v>
      </c>
      <c r="D6591" s="2" t="s">
        <v>3179</v>
      </c>
    </row>
    <row r="6592" spans="1:4" ht="12.95" customHeight="1" x14ac:dyDescent="0.25">
      <c r="A6592" s="2" t="s">
        <v>1030</v>
      </c>
      <c r="B6592" s="2" t="s">
        <v>1083</v>
      </c>
      <c r="C6592" s="5" t="s">
        <v>3180</v>
      </c>
      <c r="D6592" s="2" t="s">
        <v>3181</v>
      </c>
    </row>
    <row r="6593" spans="1:4" ht="12.95" customHeight="1" x14ac:dyDescent="0.25">
      <c r="A6593" s="2" t="s">
        <v>1030</v>
      </c>
      <c r="B6593" s="2" t="s">
        <v>1083</v>
      </c>
      <c r="C6593" s="5" t="s">
        <v>1297</v>
      </c>
      <c r="D6593" s="2" t="s">
        <v>3182</v>
      </c>
    </row>
    <row r="6594" spans="1:4" ht="12.95" customHeight="1" x14ac:dyDescent="0.25">
      <c r="A6594" s="2" t="s">
        <v>1030</v>
      </c>
      <c r="B6594" s="2" t="s">
        <v>1083</v>
      </c>
      <c r="C6594" s="5" t="s">
        <v>1195</v>
      </c>
      <c r="D6594" s="2" t="s">
        <v>3183</v>
      </c>
    </row>
    <row r="6595" spans="1:4" ht="12.95" customHeight="1" x14ac:dyDescent="0.25">
      <c r="A6595" s="2" t="s">
        <v>1030</v>
      </c>
      <c r="B6595" s="2" t="s">
        <v>1083</v>
      </c>
      <c r="C6595" s="5" t="s">
        <v>1197</v>
      </c>
      <c r="D6595" s="2" t="s">
        <v>3184</v>
      </c>
    </row>
    <row r="6596" spans="1:4" ht="12.95" customHeight="1" x14ac:dyDescent="0.25">
      <c r="A6596" s="2" t="s">
        <v>1030</v>
      </c>
      <c r="B6596" s="2" t="s">
        <v>1083</v>
      </c>
      <c r="C6596" s="5" t="s">
        <v>1199</v>
      </c>
      <c r="D6596" s="2" t="s">
        <v>3185</v>
      </c>
    </row>
    <row r="6597" spans="1:4" ht="12.95" customHeight="1" x14ac:dyDescent="0.25">
      <c r="A6597" s="2" t="s">
        <v>1030</v>
      </c>
      <c r="B6597" s="2" t="s">
        <v>1083</v>
      </c>
      <c r="C6597" s="5" t="s">
        <v>1201</v>
      </c>
      <c r="D6597" s="2" t="s">
        <v>3186</v>
      </c>
    </row>
    <row r="6598" spans="1:4" ht="12.95" customHeight="1" x14ac:dyDescent="0.25">
      <c r="A6598" s="2" t="s">
        <v>1030</v>
      </c>
      <c r="B6598" s="2" t="s">
        <v>1083</v>
      </c>
      <c r="C6598" s="5" t="s">
        <v>3187</v>
      </c>
      <c r="D6598" s="2" t="s">
        <v>3188</v>
      </c>
    </row>
    <row r="6599" spans="1:4" ht="12.95" customHeight="1" x14ac:dyDescent="0.25">
      <c r="A6599" s="2" t="s">
        <v>1030</v>
      </c>
      <c r="B6599" s="2" t="s">
        <v>1083</v>
      </c>
      <c r="C6599" s="5" t="s">
        <v>3189</v>
      </c>
      <c r="D6599" s="2" t="s">
        <v>3190</v>
      </c>
    </row>
    <row r="6600" spans="1:4" ht="12.95" customHeight="1" x14ac:dyDescent="0.25">
      <c r="A6600" s="2" t="s">
        <v>1030</v>
      </c>
      <c r="B6600" s="2" t="s">
        <v>1083</v>
      </c>
      <c r="C6600" s="5" t="s">
        <v>3191</v>
      </c>
      <c r="D6600" s="2" t="s">
        <v>3192</v>
      </c>
    </row>
    <row r="6601" spans="1:4" ht="12.95" customHeight="1" x14ac:dyDescent="0.25">
      <c r="A6601" s="2" t="s">
        <v>1030</v>
      </c>
      <c r="B6601" s="2" t="s">
        <v>1083</v>
      </c>
      <c r="C6601" s="5" t="s">
        <v>3193</v>
      </c>
      <c r="D6601" s="2" t="s">
        <v>3194</v>
      </c>
    </row>
    <row r="6602" spans="1:4" ht="12.95" customHeight="1" x14ac:dyDescent="0.25">
      <c r="A6602" s="2" t="s">
        <v>1030</v>
      </c>
      <c r="B6602" s="2" t="s">
        <v>1083</v>
      </c>
      <c r="C6602" s="5" t="s">
        <v>3195</v>
      </c>
      <c r="D6602" s="2" t="s">
        <v>3196</v>
      </c>
    </row>
    <row r="6603" spans="1:4" ht="12.95" customHeight="1" x14ac:dyDescent="0.25">
      <c r="A6603" s="2" t="s">
        <v>1030</v>
      </c>
      <c r="B6603" s="2" t="s">
        <v>1083</v>
      </c>
      <c r="C6603" s="5" t="s">
        <v>1299</v>
      </c>
      <c r="D6603" s="2" t="s">
        <v>3197</v>
      </c>
    </row>
    <row r="6604" spans="1:4" ht="12.95" customHeight="1" x14ac:dyDescent="0.25">
      <c r="A6604" s="2" t="s">
        <v>1030</v>
      </c>
      <c r="B6604" s="2" t="s">
        <v>1083</v>
      </c>
      <c r="C6604" s="5" t="s">
        <v>1203</v>
      </c>
      <c r="D6604" s="2" t="s">
        <v>3198</v>
      </c>
    </row>
    <row r="6605" spans="1:4" ht="12.95" customHeight="1" x14ac:dyDescent="0.25">
      <c r="A6605" s="2" t="s">
        <v>1030</v>
      </c>
      <c r="B6605" s="2" t="s">
        <v>1083</v>
      </c>
      <c r="C6605" s="5" t="s">
        <v>1205</v>
      </c>
      <c r="D6605" s="2" t="s">
        <v>3199</v>
      </c>
    </row>
    <row r="6606" spans="1:4" ht="12.95" customHeight="1" x14ac:dyDescent="0.25">
      <c r="A6606" s="2" t="s">
        <v>1030</v>
      </c>
      <c r="B6606" s="2" t="s">
        <v>1083</v>
      </c>
      <c r="C6606" s="5" t="s">
        <v>1209</v>
      </c>
      <c r="D6606" s="2" t="s">
        <v>3200</v>
      </c>
    </row>
    <row r="6607" spans="1:4" ht="12.95" customHeight="1" x14ac:dyDescent="0.25">
      <c r="A6607" s="2" t="s">
        <v>1030</v>
      </c>
      <c r="B6607" s="2" t="s">
        <v>1083</v>
      </c>
      <c r="C6607" s="5" t="s">
        <v>3201</v>
      </c>
      <c r="D6607" s="2" t="s">
        <v>3202</v>
      </c>
    </row>
    <row r="6608" spans="1:4" ht="12.95" customHeight="1" x14ac:dyDescent="0.25">
      <c r="A6608" s="2" t="s">
        <v>1030</v>
      </c>
      <c r="B6608" s="2" t="s">
        <v>1083</v>
      </c>
      <c r="C6608" s="5" t="s">
        <v>3203</v>
      </c>
      <c r="D6608" s="2" t="s">
        <v>3204</v>
      </c>
    </row>
    <row r="6609" spans="1:4" ht="12.95" customHeight="1" x14ac:dyDescent="0.25">
      <c r="A6609" s="2" t="s">
        <v>1030</v>
      </c>
      <c r="B6609" s="2" t="s">
        <v>1083</v>
      </c>
      <c r="C6609" s="5" t="s">
        <v>3205</v>
      </c>
      <c r="D6609" s="2" t="s">
        <v>3206</v>
      </c>
    </row>
    <row r="6610" spans="1:4" ht="12.95" customHeight="1" x14ac:dyDescent="0.25">
      <c r="A6610" s="2" t="s">
        <v>1030</v>
      </c>
      <c r="B6610" s="2" t="s">
        <v>1083</v>
      </c>
      <c r="C6610" s="5" t="s">
        <v>3207</v>
      </c>
      <c r="D6610" s="2" t="s">
        <v>3208</v>
      </c>
    </row>
    <row r="6611" spans="1:4" ht="12.95" customHeight="1" x14ac:dyDescent="0.25">
      <c r="A6611" s="2" t="s">
        <v>1030</v>
      </c>
      <c r="B6611" s="2" t="s">
        <v>1083</v>
      </c>
      <c r="C6611" s="5" t="s">
        <v>3209</v>
      </c>
      <c r="D6611" s="2" t="s">
        <v>3210</v>
      </c>
    </row>
    <row r="6612" spans="1:4" ht="12.95" customHeight="1" x14ac:dyDescent="0.25">
      <c r="A6612" s="2" t="s">
        <v>1030</v>
      </c>
      <c r="B6612" s="2" t="s">
        <v>1083</v>
      </c>
      <c r="C6612" s="5" t="s">
        <v>1301</v>
      </c>
      <c r="D6612" s="2" t="s">
        <v>3211</v>
      </c>
    </row>
    <row r="6613" spans="1:4" ht="12.95" customHeight="1" x14ac:dyDescent="0.25">
      <c r="A6613" s="2" t="s">
        <v>1030</v>
      </c>
      <c r="B6613" s="2" t="s">
        <v>1083</v>
      </c>
      <c r="C6613" s="5" t="s">
        <v>1211</v>
      </c>
      <c r="D6613" s="2" t="s">
        <v>3212</v>
      </c>
    </row>
    <row r="6614" spans="1:4" ht="12.95" customHeight="1" x14ac:dyDescent="0.25">
      <c r="A6614" s="2" t="s">
        <v>1030</v>
      </c>
      <c r="B6614" s="2" t="s">
        <v>1083</v>
      </c>
      <c r="C6614" s="5" t="s">
        <v>1215</v>
      </c>
      <c r="D6614" s="2" t="s">
        <v>3213</v>
      </c>
    </row>
    <row r="6615" spans="1:4" ht="12.95" customHeight="1" x14ac:dyDescent="0.25">
      <c r="A6615" s="2" t="s">
        <v>1030</v>
      </c>
      <c r="B6615" s="2" t="s">
        <v>1083</v>
      </c>
      <c r="C6615" s="5" t="s">
        <v>1217</v>
      </c>
      <c r="D6615" s="2" t="s">
        <v>3214</v>
      </c>
    </row>
    <row r="6616" spans="1:4" ht="12.95" customHeight="1" x14ac:dyDescent="0.25">
      <c r="A6616" s="2" t="s">
        <v>1030</v>
      </c>
      <c r="B6616" s="2" t="s">
        <v>1083</v>
      </c>
      <c r="C6616" s="5" t="s">
        <v>3215</v>
      </c>
      <c r="D6616" s="2" t="s">
        <v>3216</v>
      </c>
    </row>
    <row r="6617" spans="1:4" ht="12.95" customHeight="1" x14ac:dyDescent="0.25">
      <c r="A6617" s="2" t="s">
        <v>1030</v>
      </c>
      <c r="B6617" s="2" t="s">
        <v>1083</v>
      </c>
      <c r="C6617" s="5" t="s">
        <v>3217</v>
      </c>
      <c r="D6617" s="2" t="s">
        <v>3218</v>
      </c>
    </row>
    <row r="6618" spans="1:4" ht="12.95" customHeight="1" x14ac:dyDescent="0.25">
      <c r="A6618" s="2" t="s">
        <v>1032</v>
      </c>
      <c r="B6618" s="2" t="s">
        <v>1083</v>
      </c>
      <c r="C6618" s="5" t="s">
        <v>1102</v>
      </c>
      <c r="D6618" s="2" t="s">
        <v>1103</v>
      </c>
    </row>
    <row r="6619" spans="1:4" ht="12.95" customHeight="1" x14ac:dyDescent="0.25">
      <c r="A6619" s="2" t="s">
        <v>1032</v>
      </c>
      <c r="B6619" s="2" t="s">
        <v>1083</v>
      </c>
      <c r="C6619" s="5" t="s">
        <v>1084</v>
      </c>
      <c r="D6619" s="2" t="s">
        <v>1085</v>
      </c>
    </row>
    <row r="6620" spans="1:4" ht="12.95" customHeight="1" x14ac:dyDescent="0.25">
      <c r="A6620" s="2" t="s">
        <v>1032</v>
      </c>
      <c r="B6620" s="2" t="s">
        <v>1083</v>
      </c>
      <c r="C6620" s="5" t="s">
        <v>1086</v>
      </c>
      <c r="D6620" s="2" t="s">
        <v>1087</v>
      </c>
    </row>
    <row r="6621" spans="1:4" ht="12.95" customHeight="1" x14ac:dyDescent="0.25">
      <c r="A6621" s="2" t="s">
        <v>1032</v>
      </c>
      <c r="B6621" s="2" t="s">
        <v>1083</v>
      </c>
      <c r="C6621" s="5" t="s">
        <v>1088</v>
      </c>
      <c r="D6621" s="2" t="s">
        <v>1089</v>
      </c>
    </row>
    <row r="6622" spans="1:4" ht="12.95" customHeight="1" x14ac:dyDescent="0.25">
      <c r="A6622" s="2" t="s">
        <v>1032</v>
      </c>
      <c r="B6622" s="2" t="s">
        <v>1083</v>
      </c>
      <c r="C6622" s="5" t="s">
        <v>1292</v>
      </c>
      <c r="D6622" s="2" t="s">
        <v>1165</v>
      </c>
    </row>
    <row r="6623" spans="1:4" ht="12.95" customHeight="1" x14ac:dyDescent="0.25">
      <c r="A6623" s="2" t="s">
        <v>1032</v>
      </c>
      <c r="B6623" s="2" t="s">
        <v>1083</v>
      </c>
      <c r="C6623" s="5" t="s">
        <v>1090</v>
      </c>
      <c r="D6623" s="2" t="s">
        <v>3364</v>
      </c>
    </row>
    <row r="6624" spans="1:4" ht="12.95" customHeight="1" x14ac:dyDescent="0.25">
      <c r="A6624" s="2" t="s">
        <v>1032</v>
      </c>
      <c r="B6624" s="2" t="s">
        <v>1083</v>
      </c>
      <c r="C6624" s="5" t="s">
        <v>1092</v>
      </c>
      <c r="D6624" s="2" t="s">
        <v>3365</v>
      </c>
    </row>
    <row r="6625" spans="1:4" ht="12.95" customHeight="1" x14ac:dyDescent="0.25">
      <c r="A6625" s="2" t="s">
        <v>1032</v>
      </c>
      <c r="B6625" s="2" t="s">
        <v>1083</v>
      </c>
      <c r="C6625" s="5" t="s">
        <v>1094</v>
      </c>
      <c r="D6625" s="2" t="s">
        <v>3366</v>
      </c>
    </row>
    <row r="6626" spans="1:4" ht="12.95" customHeight="1" x14ac:dyDescent="0.25">
      <c r="A6626" s="2" t="s">
        <v>1032</v>
      </c>
      <c r="B6626" s="2" t="s">
        <v>1083</v>
      </c>
      <c r="C6626" s="5" t="s">
        <v>1096</v>
      </c>
      <c r="D6626" s="2" t="s">
        <v>3367</v>
      </c>
    </row>
    <row r="6627" spans="1:4" ht="12.95" customHeight="1" x14ac:dyDescent="0.25">
      <c r="A6627" s="2" t="s">
        <v>1032</v>
      </c>
      <c r="B6627" s="2" t="s">
        <v>1083</v>
      </c>
      <c r="C6627" s="5" t="s">
        <v>1098</v>
      </c>
      <c r="D6627" s="2" t="s">
        <v>3368</v>
      </c>
    </row>
    <row r="6628" spans="1:4" ht="12.95" customHeight="1" x14ac:dyDescent="0.25">
      <c r="A6628" s="2" t="s">
        <v>1032</v>
      </c>
      <c r="B6628" s="2" t="s">
        <v>1083</v>
      </c>
      <c r="C6628" s="5" t="s">
        <v>1100</v>
      </c>
      <c r="D6628" s="2" t="s">
        <v>3369</v>
      </c>
    </row>
    <row r="6629" spans="1:4" ht="12.95" customHeight="1" x14ac:dyDescent="0.25">
      <c r="A6629" s="2" t="s">
        <v>1032</v>
      </c>
      <c r="B6629" s="2" t="s">
        <v>1083</v>
      </c>
      <c r="C6629" s="5" t="s">
        <v>1109</v>
      </c>
      <c r="D6629" s="2" t="s">
        <v>3370</v>
      </c>
    </row>
    <row r="6630" spans="1:4" ht="12.95" customHeight="1" x14ac:dyDescent="0.25">
      <c r="A6630" s="2" t="s">
        <v>1032</v>
      </c>
      <c r="B6630" s="2" t="s">
        <v>1083</v>
      </c>
      <c r="C6630" s="5" t="s">
        <v>1119</v>
      </c>
      <c r="D6630" s="2" t="s">
        <v>3371</v>
      </c>
    </row>
    <row r="6631" spans="1:4" ht="12.95" customHeight="1" x14ac:dyDescent="0.25">
      <c r="A6631" s="2" t="s">
        <v>1032</v>
      </c>
      <c r="B6631" s="2" t="s">
        <v>1083</v>
      </c>
      <c r="C6631" s="5" t="s">
        <v>1111</v>
      </c>
      <c r="D6631" s="2" t="s">
        <v>1143</v>
      </c>
    </row>
    <row r="6632" spans="1:4" ht="12.95" customHeight="1" x14ac:dyDescent="0.25">
      <c r="A6632" s="2" t="s">
        <v>1034</v>
      </c>
      <c r="B6632" s="2" t="s">
        <v>1083</v>
      </c>
      <c r="C6632" s="5" t="s">
        <v>1102</v>
      </c>
      <c r="D6632" s="2" t="s">
        <v>1103</v>
      </c>
    </row>
    <row r="6633" spans="1:4" ht="12.95" customHeight="1" x14ac:dyDescent="0.25">
      <c r="A6633" s="2" t="s">
        <v>1034</v>
      </c>
      <c r="B6633" s="2" t="s">
        <v>1083</v>
      </c>
      <c r="C6633" s="5" t="s">
        <v>1084</v>
      </c>
      <c r="D6633" s="2" t="s">
        <v>1085</v>
      </c>
    </row>
    <row r="6634" spans="1:4" ht="12.95" customHeight="1" x14ac:dyDescent="0.25">
      <c r="A6634" s="2" t="s">
        <v>1034</v>
      </c>
      <c r="B6634" s="2" t="s">
        <v>1083</v>
      </c>
      <c r="C6634" s="5" t="s">
        <v>1086</v>
      </c>
      <c r="D6634" s="2" t="s">
        <v>1087</v>
      </c>
    </row>
    <row r="6635" spans="1:4" ht="12.95" customHeight="1" x14ac:dyDescent="0.25">
      <c r="A6635" s="2" t="s">
        <v>1034</v>
      </c>
      <c r="B6635" s="2" t="s">
        <v>1083</v>
      </c>
      <c r="C6635" s="5" t="s">
        <v>1088</v>
      </c>
      <c r="D6635" s="2" t="s">
        <v>1089</v>
      </c>
    </row>
    <row r="6636" spans="1:4" ht="12.95" customHeight="1" x14ac:dyDescent="0.25">
      <c r="A6636" s="2" t="s">
        <v>1034</v>
      </c>
      <c r="B6636" s="2" t="s">
        <v>1083</v>
      </c>
      <c r="C6636" s="5" t="s">
        <v>1292</v>
      </c>
      <c r="D6636" s="2" t="s">
        <v>1165</v>
      </c>
    </row>
    <row r="6637" spans="1:4" ht="12.95" customHeight="1" x14ac:dyDescent="0.25">
      <c r="A6637" s="2" t="s">
        <v>1034</v>
      </c>
      <c r="B6637" s="2" t="s">
        <v>1083</v>
      </c>
      <c r="C6637" s="5" t="s">
        <v>1090</v>
      </c>
      <c r="D6637" s="2" t="s">
        <v>3364</v>
      </c>
    </row>
    <row r="6638" spans="1:4" ht="12.95" customHeight="1" x14ac:dyDescent="0.25">
      <c r="A6638" s="2" t="s">
        <v>1034</v>
      </c>
      <c r="B6638" s="2" t="s">
        <v>1083</v>
      </c>
      <c r="C6638" s="5" t="s">
        <v>1092</v>
      </c>
      <c r="D6638" s="2" t="s">
        <v>3365</v>
      </c>
    </row>
    <row r="6639" spans="1:4" ht="12.95" customHeight="1" x14ac:dyDescent="0.25">
      <c r="A6639" s="2" t="s">
        <v>1034</v>
      </c>
      <c r="B6639" s="2" t="s">
        <v>1083</v>
      </c>
      <c r="C6639" s="5" t="s">
        <v>1094</v>
      </c>
      <c r="D6639" s="2" t="s">
        <v>3366</v>
      </c>
    </row>
    <row r="6640" spans="1:4" ht="12.95" customHeight="1" x14ac:dyDescent="0.25">
      <c r="A6640" s="2" t="s">
        <v>1034</v>
      </c>
      <c r="B6640" s="2" t="s">
        <v>1083</v>
      </c>
      <c r="C6640" s="5" t="s">
        <v>1096</v>
      </c>
      <c r="D6640" s="2" t="s">
        <v>3367</v>
      </c>
    </row>
    <row r="6641" spans="1:4" ht="12.95" customHeight="1" x14ac:dyDescent="0.25">
      <c r="A6641" s="2" t="s">
        <v>1034</v>
      </c>
      <c r="B6641" s="2" t="s">
        <v>1083</v>
      </c>
      <c r="C6641" s="5" t="s">
        <v>1098</v>
      </c>
      <c r="D6641" s="2" t="s">
        <v>3368</v>
      </c>
    </row>
    <row r="6642" spans="1:4" ht="12.95" customHeight="1" x14ac:dyDescent="0.25">
      <c r="A6642" s="2" t="s">
        <v>1034</v>
      </c>
      <c r="B6642" s="2" t="s">
        <v>1083</v>
      </c>
      <c r="C6642" s="5" t="s">
        <v>1100</v>
      </c>
      <c r="D6642" s="2" t="s">
        <v>3369</v>
      </c>
    </row>
    <row r="6643" spans="1:4" ht="12.95" customHeight="1" x14ac:dyDescent="0.25">
      <c r="A6643" s="2" t="s">
        <v>1034</v>
      </c>
      <c r="B6643" s="2" t="s">
        <v>1083</v>
      </c>
      <c r="C6643" s="5" t="s">
        <v>1109</v>
      </c>
      <c r="D6643" s="2" t="s">
        <v>3370</v>
      </c>
    </row>
    <row r="6644" spans="1:4" ht="12.95" customHeight="1" x14ac:dyDescent="0.25">
      <c r="A6644" s="2" t="s">
        <v>1034</v>
      </c>
      <c r="B6644" s="2" t="s">
        <v>1083</v>
      </c>
      <c r="C6644" s="5" t="s">
        <v>1119</v>
      </c>
      <c r="D6644" s="2" t="s">
        <v>3371</v>
      </c>
    </row>
    <row r="6645" spans="1:4" ht="12.95" customHeight="1" x14ac:dyDescent="0.25">
      <c r="A6645" s="2" t="s">
        <v>1034</v>
      </c>
      <c r="B6645" s="2" t="s">
        <v>1083</v>
      </c>
      <c r="C6645" s="5" t="s">
        <v>1111</v>
      </c>
      <c r="D6645" s="2" t="s">
        <v>1143</v>
      </c>
    </row>
    <row r="6646" spans="1:4" ht="12.95" customHeight="1" x14ac:dyDescent="0.25">
      <c r="A6646" s="2" t="s">
        <v>1036</v>
      </c>
      <c r="B6646" s="2" t="s">
        <v>1083</v>
      </c>
      <c r="C6646" s="5" t="s">
        <v>1102</v>
      </c>
      <c r="D6646" s="2" t="s">
        <v>1103</v>
      </c>
    </row>
    <row r="6647" spans="1:4" ht="12.95" customHeight="1" x14ac:dyDescent="0.25">
      <c r="A6647" s="2" t="s">
        <v>1036</v>
      </c>
      <c r="B6647" s="2" t="s">
        <v>1083</v>
      </c>
      <c r="C6647" s="5" t="s">
        <v>1088</v>
      </c>
      <c r="D6647" s="2" t="s">
        <v>1089</v>
      </c>
    </row>
    <row r="6648" spans="1:4" ht="12.95" customHeight="1" x14ac:dyDescent="0.25">
      <c r="A6648" s="2" t="s">
        <v>1036</v>
      </c>
      <c r="B6648" s="2" t="s">
        <v>1083</v>
      </c>
      <c r="C6648" s="5" t="s">
        <v>1090</v>
      </c>
      <c r="D6648" s="2" t="s">
        <v>1179</v>
      </c>
    </row>
    <row r="6649" spans="1:4" ht="12.95" customHeight="1" x14ac:dyDescent="0.25">
      <c r="A6649" s="2" t="s">
        <v>1036</v>
      </c>
      <c r="B6649" s="2" t="s">
        <v>1083</v>
      </c>
      <c r="C6649" s="5" t="s">
        <v>1092</v>
      </c>
      <c r="D6649" s="2" t="s">
        <v>1180</v>
      </c>
    </row>
    <row r="6650" spans="1:4" ht="12.95" customHeight="1" x14ac:dyDescent="0.25">
      <c r="A6650" s="2" t="s">
        <v>1040</v>
      </c>
      <c r="B6650" s="2" t="s">
        <v>1083</v>
      </c>
      <c r="C6650" s="5" t="s">
        <v>1102</v>
      </c>
      <c r="D6650" s="2" t="s">
        <v>1103</v>
      </c>
    </row>
    <row r="6651" spans="1:4" ht="12.95" customHeight="1" x14ac:dyDescent="0.25">
      <c r="A6651" s="2" t="s">
        <v>1040</v>
      </c>
      <c r="B6651" s="2" t="s">
        <v>1083</v>
      </c>
      <c r="C6651" s="5" t="s">
        <v>1088</v>
      </c>
      <c r="D6651" s="2" t="s">
        <v>1089</v>
      </c>
    </row>
    <row r="6652" spans="1:4" ht="12.95" customHeight="1" x14ac:dyDescent="0.25">
      <c r="A6652" s="2" t="s">
        <v>1044</v>
      </c>
      <c r="B6652" s="2" t="s">
        <v>1083</v>
      </c>
      <c r="C6652" s="5" t="s">
        <v>1084</v>
      </c>
      <c r="D6652" s="2" t="s">
        <v>1153</v>
      </c>
    </row>
    <row r="6653" spans="1:4" ht="12.95" customHeight="1" x14ac:dyDescent="0.25">
      <c r="A6653" s="2" t="s">
        <v>1044</v>
      </c>
      <c r="B6653" s="2" t="s">
        <v>1083</v>
      </c>
      <c r="C6653" s="5" t="s">
        <v>1086</v>
      </c>
      <c r="D6653" s="2" t="s">
        <v>1147</v>
      </c>
    </row>
    <row r="6654" spans="1:4" ht="12.95" customHeight="1" x14ac:dyDescent="0.25">
      <c r="A6654" s="2" t="s">
        <v>1044</v>
      </c>
      <c r="B6654" s="2" t="s">
        <v>1083</v>
      </c>
      <c r="C6654" s="5" t="s">
        <v>1088</v>
      </c>
      <c r="D6654" s="2" t="s">
        <v>1089</v>
      </c>
    </row>
    <row r="6655" spans="1:4" ht="12.95" customHeight="1" x14ac:dyDescent="0.25">
      <c r="A6655" s="2" t="s">
        <v>1044</v>
      </c>
      <c r="B6655" s="2" t="s">
        <v>1083</v>
      </c>
      <c r="C6655" s="5" t="s">
        <v>1090</v>
      </c>
      <c r="D6655" s="2" t="s">
        <v>1179</v>
      </c>
    </row>
    <row r="6656" spans="1:4" ht="12.95" customHeight="1" x14ac:dyDescent="0.25">
      <c r="A6656" s="2" t="s">
        <v>1044</v>
      </c>
      <c r="B6656" s="2" t="s">
        <v>1083</v>
      </c>
      <c r="C6656" s="5" t="s">
        <v>1092</v>
      </c>
      <c r="D6656" s="2" t="s">
        <v>1180</v>
      </c>
    </row>
    <row r="6657" spans="1:4" ht="12.95" customHeight="1" x14ac:dyDescent="0.25">
      <c r="A6657" s="2" t="s">
        <v>1047</v>
      </c>
      <c r="B6657" s="2" t="s">
        <v>1083</v>
      </c>
      <c r="C6657" s="5" t="s">
        <v>1102</v>
      </c>
      <c r="D6657" s="2" t="s">
        <v>1103</v>
      </c>
    </row>
    <row r="6658" spans="1:4" ht="12.95" customHeight="1" x14ac:dyDescent="0.25">
      <c r="A6658" s="2" t="s">
        <v>1047</v>
      </c>
      <c r="B6658" s="2" t="s">
        <v>1083</v>
      </c>
      <c r="C6658" s="5" t="s">
        <v>1088</v>
      </c>
      <c r="D6658" s="2" t="s">
        <v>1089</v>
      </c>
    </row>
    <row r="6659" spans="1:4" ht="12.95" customHeight="1" x14ac:dyDescent="0.25">
      <c r="A6659" s="2" t="s">
        <v>1049</v>
      </c>
      <c r="B6659" s="2" t="s">
        <v>1083</v>
      </c>
      <c r="C6659" s="5" t="s">
        <v>1102</v>
      </c>
      <c r="D6659" s="2" t="s">
        <v>1103</v>
      </c>
    </row>
    <row r="6660" spans="1:4" ht="12.95" customHeight="1" x14ac:dyDescent="0.25">
      <c r="A6660" s="2" t="s">
        <v>1049</v>
      </c>
      <c r="B6660" s="2" t="s">
        <v>1083</v>
      </c>
      <c r="C6660" s="5" t="s">
        <v>1088</v>
      </c>
      <c r="D6660" s="2" t="s">
        <v>1089</v>
      </c>
    </row>
    <row r="6661" spans="1:4" ht="12.95" customHeight="1" x14ac:dyDescent="0.25">
      <c r="A6661" s="2" t="s">
        <v>1051</v>
      </c>
      <c r="B6661" s="2" t="s">
        <v>1083</v>
      </c>
      <c r="C6661" s="5" t="s">
        <v>1102</v>
      </c>
      <c r="D6661" s="2" t="s">
        <v>1103</v>
      </c>
    </row>
    <row r="6662" spans="1:4" ht="12.95" customHeight="1" x14ac:dyDescent="0.25">
      <c r="A6662" s="2" t="s">
        <v>1051</v>
      </c>
      <c r="B6662" s="2" t="s">
        <v>1083</v>
      </c>
      <c r="C6662" s="5" t="s">
        <v>1084</v>
      </c>
      <c r="D6662" s="2" t="s">
        <v>1153</v>
      </c>
    </row>
    <row r="6663" spans="1:4" ht="12.95" customHeight="1" x14ac:dyDescent="0.25">
      <c r="A6663" s="2" t="s">
        <v>1051</v>
      </c>
      <c r="B6663" s="2" t="s">
        <v>1083</v>
      </c>
      <c r="C6663" s="5" t="s">
        <v>1086</v>
      </c>
      <c r="D6663" s="2" t="s">
        <v>1147</v>
      </c>
    </row>
    <row r="6664" spans="1:4" ht="12.95" customHeight="1" x14ac:dyDescent="0.25">
      <c r="A6664" s="2" t="s">
        <v>1051</v>
      </c>
      <c r="B6664" s="2" t="s">
        <v>1083</v>
      </c>
      <c r="C6664" s="5" t="s">
        <v>1088</v>
      </c>
      <c r="D6664" s="2" t="s">
        <v>1089</v>
      </c>
    </row>
    <row r="6665" spans="1:4" ht="12.95" customHeight="1" x14ac:dyDescent="0.25">
      <c r="A6665" s="2" t="s">
        <v>1054</v>
      </c>
      <c r="B6665" s="2" t="s">
        <v>1083</v>
      </c>
      <c r="C6665" s="5" t="s">
        <v>1102</v>
      </c>
      <c r="D6665" s="2" t="s">
        <v>1103</v>
      </c>
    </row>
    <row r="6666" spans="1:4" ht="12.95" customHeight="1" x14ac:dyDescent="0.25">
      <c r="A6666" s="2" t="s">
        <v>1054</v>
      </c>
      <c r="B6666" s="2" t="s">
        <v>1083</v>
      </c>
      <c r="C6666" s="5" t="s">
        <v>1084</v>
      </c>
      <c r="D6666" s="2" t="s">
        <v>1085</v>
      </c>
    </row>
    <row r="6667" spans="1:4" ht="12.95" customHeight="1" x14ac:dyDescent="0.25">
      <c r="A6667" s="2" t="s">
        <v>1054</v>
      </c>
      <c r="B6667" s="2" t="s">
        <v>1083</v>
      </c>
      <c r="C6667" s="5" t="s">
        <v>1086</v>
      </c>
      <c r="D6667" s="2" t="s">
        <v>1087</v>
      </c>
    </row>
    <row r="6668" spans="1:4" ht="12.95" customHeight="1" x14ac:dyDescent="0.25">
      <c r="A6668" s="2" t="s">
        <v>1054</v>
      </c>
      <c r="B6668" s="2" t="s">
        <v>1083</v>
      </c>
      <c r="C6668" s="5" t="s">
        <v>1088</v>
      </c>
      <c r="D6668" s="2" t="s">
        <v>1089</v>
      </c>
    </row>
    <row r="6669" spans="1:4" ht="12.95" customHeight="1" x14ac:dyDescent="0.25">
      <c r="A6669" s="2" t="s">
        <v>1054</v>
      </c>
      <c r="B6669" s="2" t="s">
        <v>1083</v>
      </c>
      <c r="C6669" s="5" t="s">
        <v>1090</v>
      </c>
      <c r="D6669" s="2" t="s">
        <v>927</v>
      </c>
    </row>
    <row r="6670" spans="1:4" ht="12.95" customHeight="1" x14ac:dyDescent="0.25">
      <c r="A6670" s="2" t="s">
        <v>1054</v>
      </c>
      <c r="B6670" s="2" t="s">
        <v>1083</v>
      </c>
      <c r="C6670" s="5" t="s">
        <v>1092</v>
      </c>
      <c r="D6670" s="2" t="s">
        <v>1107</v>
      </c>
    </row>
    <row r="6671" spans="1:4" ht="12.95" customHeight="1" x14ac:dyDescent="0.25">
      <c r="A6671" s="2" t="s">
        <v>1054</v>
      </c>
      <c r="B6671" s="2" t="s">
        <v>1083</v>
      </c>
      <c r="C6671" s="5" t="s">
        <v>1094</v>
      </c>
      <c r="D6671" s="2" t="s">
        <v>6178</v>
      </c>
    </row>
    <row r="6672" spans="1:4" ht="12.95" customHeight="1" x14ac:dyDescent="0.25">
      <c r="A6672" s="2" t="s">
        <v>1054</v>
      </c>
      <c r="B6672" s="2" t="s">
        <v>1083</v>
      </c>
      <c r="C6672" s="5" t="s">
        <v>1096</v>
      </c>
      <c r="D6672" s="2" t="s">
        <v>6179</v>
      </c>
    </row>
    <row r="6673" spans="1:4" ht="12.95" customHeight="1" x14ac:dyDescent="0.25">
      <c r="A6673" s="2" t="s">
        <v>1054</v>
      </c>
      <c r="B6673" s="2" t="s">
        <v>1083</v>
      </c>
      <c r="C6673" s="5" t="s">
        <v>1098</v>
      </c>
      <c r="D6673" s="2" t="s">
        <v>6200</v>
      </c>
    </row>
    <row r="6674" spans="1:4" ht="12.95" customHeight="1" x14ac:dyDescent="0.25">
      <c r="A6674" s="2" t="s">
        <v>1054</v>
      </c>
      <c r="B6674" s="2" t="s">
        <v>1083</v>
      </c>
      <c r="C6674" s="5" t="s">
        <v>1100</v>
      </c>
      <c r="D6674" s="2" t="s">
        <v>6180</v>
      </c>
    </row>
    <row r="6675" spans="1:4" ht="12.95" customHeight="1" x14ac:dyDescent="0.25">
      <c r="A6675" s="2" t="s">
        <v>1054</v>
      </c>
      <c r="B6675" s="2" t="s">
        <v>1083</v>
      </c>
      <c r="C6675" s="5" t="s">
        <v>1109</v>
      </c>
      <c r="D6675" s="2" t="s">
        <v>6181</v>
      </c>
    </row>
    <row r="6676" spans="1:4" ht="12.95" customHeight="1" x14ac:dyDescent="0.25">
      <c r="A6676" s="2" t="s">
        <v>1054</v>
      </c>
      <c r="B6676" s="2" t="s">
        <v>1083</v>
      </c>
      <c r="C6676" s="5" t="s">
        <v>1119</v>
      </c>
      <c r="D6676" s="2" t="s">
        <v>6182</v>
      </c>
    </row>
    <row r="6677" spans="1:4" ht="12.95" customHeight="1" x14ac:dyDescent="0.25">
      <c r="A6677" s="2" t="s">
        <v>1054</v>
      </c>
      <c r="B6677" s="2" t="s">
        <v>1083</v>
      </c>
      <c r="C6677" s="5" t="s">
        <v>1121</v>
      </c>
      <c r="D6677" s="2" t="s">
        <v>6204</v>
      </c>
    </row>
    <row r="6678" spans="1:4" ht="12.95" customHeight="1" x14ac:dyDescent="0.25">
      <c r="A6678" s="2" t="s">
        <v>1054</v>
      </c>
      <c r="B6678" s="2" t="s">
        <v>1083</v>
      </c>
      <c r="C6678" s="5" t="s">
        <v>1123</v>
      </c>
      <c r="D6678" s="2" t="s">
        <v>6184</v>
      </c>
    </row>
    <row r="6679" spans="1:4" ht="12.95" customHeight="1" x14ac:dyDescent="0.25">
      <c r="A6679" s="2" t="s">
        <v>1054</v>
      </c>
      <c r="B6679" s="2" t="s">
        <v>1083</v>
      </c>
      <c r="C6679" s="5" t="s">
        <v>1125</v>
      </c>
      <c r="D6679" s="2" t="s">
        <v>6206</v>
      </c>
    </row>
    <row r="6680" spans="1:4" ht="12.95" customHeight="1" x14ac:dyDescent="0.25">
      <c r="A6680" s="2" t="s">
        <v>1054</v>
      </c>
      <c r="B6680" s="2" t="s">
        <v>1083</v>
      </c>
      <c r="C6680" s="5" t="s">
        <v>1127</v>
      </c>
      <c r="D6680" s="2" t="s">
        <v>6186</v>
      </c>
    </row>
    <row r="6681" spans="1:4" ht="12.95" customHeight="1" x14ac:dyDescent="0.25">
      <c r="A6681" s="2" t="s">
        <v>1054</v>
      </c>
      <c r="B6681" s="2" t="s">
        <v>1083</v>
      </c>
      <c r="C6681" s="5" t="s">
        <v>1129</v>
      </c>
      <c r="D6681" s="2" t="s">
        <v>6207</v>
      </c>
    </row>
    <row r="6682" spans="1:4" ht="12.95" customHeight="1" x14ac:dyDescent="0.25">
      <c r="A6682" s="2" t="s">
        <v>1054</v>
      </c>
      <c r="B6682" s="2" t="s">
        <v>1083</v>
      </c>
      <c r="C6682" s="5" t="s">
        <v>1131</v>
      </c>
      <c r="D6682" s="2" t="s">
        <v>6314</v>
      </c>
    </row>
    <row r="6683" spans="1:4" ht="12.95" customHeight="1" x14ac:dyDescent="0.25">
      <c r="A6683" s="2" t="s">
        <v>1054</v>
      </c>
      <c r="B6683" s="2" t="s">
        <v>1083</v>
      </c>
      <c r="C6683" s="5" t="s">
        <v>1133</v>
      </c>
      <c r="D6683" s="2" t="s">
        <v>6189</v>
      </c>
    </row>
    <row r="6684" spans="1:4" ht="12.95" customHeight="1" x14ac:dyDescent="0.25">
      <c r="A6684" s="2" t="s">
        <v>1054</v>
      </c>
      <c r="B6684" s="2" t="s">
        <v>1083</v>
      </c>
      <c r="C6684" s="5" t="s">
        <v>1135</v>
      </c>
      <c r="D6684" s="2" t="s">
        <v>6208</v>
      </c>
    </row>
    <row r="6685" spans="1:4" ht="12.95" customHeight="1" x14ac:dyDescent="0.25">
      <c r="A6685" s="2" t="s">
        <v>1054</v>
      </c>
      <c r="B6685" s="2" t="s">
        <v>1083</v>
      </c>
      <c r="C6685" s="5" t="s">
        <v>1137</v>
      </c>
      <c r="D6685" s="2" t="s">
        <v>6191</v>
      </c>
    </row>
    <row r="6686" spans="1:4" ht="12.95" customHeight="1" x14ac:dyDescent="0.25">
      <c r="A6686" s="2" t="s">
        <v>1054</v>
      </c>
      <c r="B6686" s="2" t="s">
        <v>1083</v>
      </c>
      <c r="C6686" s="5" t="s">
        <v>1139</v>
      </c>
      <c r="D6686" s="2" t="s">
        <v>1106</v>
      </c>
    </row>
    <row r="6687" spans="1:4" ht="12.95" customHeight="1" x14ac:dyDescent="0.25">
      <c r="A6687" s="2" t="s">
        <v>1054</v>
      </c>
      <c r="B6687" s="2" t="s">
        <v>1083</v>
      </c>
      <c r="C6687" s="5" t="s">
        <v>1141</v>
      </c>
      <c r="D6687" s="2" t="s">
        <v>6193</v>
      </c>
    </row>
    <row r="6688" spans="1:4" ht="12.95" customHeight="1" x14ac:dyDescent="0.25">
      <c r="A6688" s="2" t="s">
        <v>1054</v>
      </c>
      <c r="B6688" s="2" t="s">
        <v>1083</v>
      </c>
      <c r="C6688" s="5" t="s">
        <v>1295</v>
      </c>
      <c r="D6688" s="2" t="s">
        <v>6194</v>
      </c>
    </row>
    <row r="6689" spans="1:4" ht="12.95" customHeight="1" x14ac:dyDescent="0.25">
      <c r="A6689" s="2" t="s">
        <v>1054</v>
      </c>
      <c r="B6689" s="2" t="s">
        <v>1083</v>
      </c>
      <c r="C6689" s="5" t="s">
        <v>1111</v>
      </c>
      <c r="D6689" s="2" t="s">
        <v>1112</v>
      </c>
    </row>
    <row r="6690" spans="1:4" ht="12.95" customHeight="1" x14ac:dyDescent="0.25">
      <c r="A6690" s="2" t="s">
        <v>1057</v>
      </c>
      <c r="B6690" s="2" t="s">
        <v>1083</v>
      </c>
      <c r="C6690" s="5" t="s">
        <v>1088</v>
      </c>
      <c r="D6690" s="2" t="s">
        <v>1089</v>
      </c>
    </row>
    <row r="6691" spans="1:4" ht="12.95" customHeight="1" x14ac:dyDescent="0.25">
      <c r="A6691" s="2" t="s">
        <v>1060</v>
      </c>
      <c r="B6691" s="2" t="s">
        <v>1083</v>
      </c>
      <c r="C6691" s="5" t="s">
        <v>1102</v>
      </c>
      <c r="D6691" s="2" t="s">
        <v>1103</v>
      </c>
    </row>
    <row r="6692" spans="1:4" ht="12.95" customHeight="1" x14ac:dyDescent="0.25">
      <c r="A6692" s="2" t="s">
        <v>1060</v>
      </c>
      <c r="B6692" s="2" t="s">
        <v>1083</v>
      </c>
      <c r="C6692" s="5" t="s">
        <v>1084</v>
      </c>
      <c r="D6692" s="2" t="s">
        <v>1085</v>
      </c>
    </row>
    <row r="6693" spans="1:4" ht="12.95" customHeight="1" x14ac:dyDescent="0.25">
      <c r="A6693" s="2" t="s">
        <v>1060</v>
      </c>
      <c r="B6693" s="2" t="s">
        <v>1083</v>
      </c>
      <c r="C6693" s="5" t="s">
        <v>1086</v>
      </c>
      <c r="D6693" s="2" t="s">
        <v>1087</v>
      </c>
    </row>
    <row r="6694" spans="1:4" ht="12.95" customHeight="1" x14ac:dyDescent="0.25">
      <c r="A6694" s="2" t="s">
        <v>1060</v>
      </c>
      <c r="B6694" s="2" t="s">
        <v>1083</v>
      </c>
      <c r="C6694" s="5" t="s">
        <v>1088</v>
      </c>
      <c r="D6694" s="2" t="s">
        <v>1089</v>
      </c>
    </row>
    <row r="6695" spans="1:4" ht="12.95" customHeight="1" x14ac:dyDescent="0.25">
      <c r="A6695" s="2" t="s">
        <v>1060</v>
      </c>
      <c r="B6695" s="2" t="s">
        <v>1083</v>
      </c>
      <c r="C6695" s="5" t="s">
        <v>1292</v>
      </c>
      <c r="D6695" s="2" t="s">
        <v>1165</v>
      </c>
    </row>
    <row r="6696" spans="1:4" ht="12.95" customHeight="1" x14ac:dyDescent="0.25">
      <c r="A6696" s="2" t="s">
        <v>1060</v>
      </c>
      <c r="B6696" s="2" t="s">
        <v>1083</v>
      </c>
      <c r="C6696" s="5" t="s">
        <v>1090</v>
      </c>
      <c r="D6696" s="2" t="s">
        <v>3364</v>
      </c>
    </row>
    <row r="6697" spans="1:4" ht="12.95" customHeight="1" x14ac:dyDescent="0.25">
      <c r="A6697" s="2" t="s">
        <v>1060</v>
      </c>
      <c r="B6697" s="2" t="s">
        <v>1083</v>
      </c>
      <c r="C6697" s="5" t="s">
        <v>1092</v>
      </c>
      <c r="D6697" s="2" t="s">
        <v>3365</v>
      </c>
    </row>
    <row r="6698" spans="1:4" ht="12.95" customHeight="1" x14ac:dyDescent="0.25">
      <c r="A6698" s="2" t="s">
        <v>1060</v>
      </c>
      <c r="B6698" s="2" t="s">
        <v>1083</v>
      </c>
      <c r="C6698" s="5" t="s">
        <v>1094</v>
      </c>
      <c r="D6698" s="2" t="s">
        <v>3366</v>
      </c>
    </row>
    <row r="6699" spans="1:4" ht="12.95" customHeight="1" x14ac:dyDescent="0.25">
      <c r="A6699" s="2" t="s">
        <v>1060</v>
      </c>
      <c r="B6699" s="2" t="s">
        <v>1083</v>
      </c>
      <c r="C6699" s="5" t="s">
        <v>1096</v>
      </c>
      <c r="D6699" s="2" t="s">
        <v>3367</v>
      </c>
    </row>
    <row r="6700" spans="1:4" ht="12.95" customHeight="1" x14ac:dyDescent="0.25">
      <c r="A6700" s="2" t="s">
        <v>1060</v>
      </c>
      <c r="B6700" s="2" t="s">
        <v>1083</v>
      </c>
      <c r="C6700" s="5" t="s">
        <v>1098</v>
      </c>
      <c r="D6700" s="2" t="s">
        <v>3368</v>
      </c>
    </row>
    <row r="6701" spans="1:4" ht="12.95" customHeight="1" x14ac:dyDescent="0.25">
      <c r="A6701" s="2" t="s">
        <v>1060</v>
      </c>
      <c r="B6701" s="2" t="s">
        <v>1083</v>
      </c>
      <c r="C6701" s="5" t="s">
        <v>1100</v>
      </c>
      <c r="D6701" s="2" t="s">
        <v>3369</v>
      </c>
    </row>
    <row r="6702" spans="1:4" ht="12.95" customHeight="1" x14ac:dyDescent="0.25">
      <c r="A6702" s="2" t="s">
        <v>1060</v>
      </c>
      <c r="B6702" s="2" t="s">
        <v>1083</v>
      </c>
      <c r="C6702" s="5" t="s">
        <v>1109</v>
      </c>
      <c r="D6702" s="2" t="s">
        <v>3370</v>
      </c>
    </row>
    <row r="6703" spans="1:4" ht="12.95" customHeight="1" x14ac:dyDescent="0.25">
      <c r="A6703" s="2" t="s">
        <v>1060</v>
      </c>
      <c r="B6703" s="2" t="s">
        <v>1083</v>
      </c>
      <c r="C6703" s="5" t="s">
        <v>1119</v>
      </c>
      <c r="D6703" s="2" t="s">
        <v>3371</v>
      </c>
    </row>
    <row r="6704" spans="1:4" ht="12.95" customHeight="1" x14ac:dyDescent="0.25">
      <c r="A6704" s="2" t="s">
        <v>1060</v>
      </c>
      <c r="B6704" s="2" t="s">
        <v>1083</v>
      </c>
      <c r="C6704" s="5" t="s">
        <v>1111</v>
      </c>
      <c r="D6704" s="2" t="s">
        <v>1143</v>
      </c>
    </row>
    <row r="6705" spans="1:4" ht="12.95" customHeight="1" x14ac:dyDescent="0.25">
      <c r="A6705" s="2" t="s">
        <v>1062</v>
      </c>
      <c r="B6705" s="2" t="s">
        <v>1083</v>
      </c>
      <c r="C6705" s="5" t="s">
        <v>1102</v>
      </c>
      <c r="D6705" s="2" t="s">
        <v>1103</v>
      </c>
    </row>
    <row r="6706" spans="1:4" ht="12.95" customHeight="1" x14ac:dyDescent="0.25">
      <c r="A6706" s="2" t="s">
        <v>1062</v>
      </c>
      <c r="B6706" s="2" t="s">
        <v>1083</v>
      </c>
      <c r="C6706" s="5" t="s">
        <v>1084</v>
      </c>
      <c r="D6706" s="2" t="s">
        <v>1085</v>
      </c>
    </row>
    <row r="6707" spans="1:4" ht="12.95" customHeight="1" x14ac:dyDescent="0.25">
      <c r="A6707" s="2" t="s">
        <v>1062</v>
      </c>
      <c r="B6707" s="2" t="s">
        <v>1083</v>
      </c>
      <c r="C6707" s="5" t="s">
        <v>1086</v>
      </c>
      <c r="D6707" s="2" t="s">
        <v>1087</v>
      </c>
    </row>
    <row r="6708" spans="1:4" ht="12.95" customHeight="1" x14ac:dyDescent="0.25">
      <c r="A6708" s="2" t="s">
        <v>1062</v>
      </c>
      <c r="B6708" s="2" t="s">
        <v>1083</v>
      </c>
      <c r="C6708" s="5" t="s">
        <v>1088</v>
      </c>
      <c r="D6708" s="2" t="s">
        <v>1089</v>
      </c>
    </row>
    <row r="6709" spans="1:4" ht="12.95" customHeight="1" x14ac:dyDescent="0.25">
      <c r="A6709" s="2" t="s">
        <v>1062</v>
      </c>
      <c r="B6709" s="2" t="s">
        <v>1083</v>
      </c>
      <c r="C6709" s="5" t="s">
        <v>1292</v>
      </c>
      <c r="D6709" s="2" t="s">
        <v>1165</v>
      </c>
    </row>
    <row r="6710" spans="1:4" ht="12.95" customHeight="1" x14ac:dyDescent="0.25">
      <c r="A6710" s="2" t="s">
        <v>1062</v>
      </c>
      <c r="B6710" s="2" t="s">
        <v>1083</v>
      </c>
      <c r="C6710" s="5" t="s">
        <v>1090</v>
      </c>
      <c r="D6710" s="2" t="s">
        <v>3364</v>
      </c>
    </row>
    <row r="6711" spans="1:4" ht="12.95" customHeight="1" x14ac:dyDescent="0.25">
      <c r="A6711" s="2" t="s">
        <v>1062</v>
      </c>
      <c r="B6711" s="2" t="s">
        <v>1083</v>
      </c>
      <c r="C6711" s="5" t="s">
        <v>1092</v>
      </c>
      <c r="D6711" s="2" t="s">
        <v>3365</v>
      </c>
    </row>
    <row r="6712" spans="1:4" ht="12.95" customHeight="1" x14ac:dyDescent="0.25">
      <c r="A6712" s="2" t="s">
        <v>1062</v>
      </c>
      <c r="B6712" s="2" t="s">
        <v>1083</v>
      </c>
      <c r="C6712" s="5" t="s">
        <v>1094</v>
      </c>
      <c r="D6712" s="2" t="s">
        <v>3366</v>
      </c>
    </row>
    <row r="6713" spans="1:4" ht="12.95" customHeight="1" x14ac:dyDescent="0.25">
      <c r="A6713" s="2" t="s">
        <v>1062</v>
      </c>
      <c r="B6713" s="2" t="s">
        <v>1083</v>
      </c>
      <c r="C6713" s="5" t="s">
        <v>1096</v>
      </c>
      <c r="D6713" s="2" t="s">
        <v>3367</v>
      </c>
    </row>
    <row r="6714" spans="1:4" ht="12.95" customHeight="1" x14ac:dyDescent="0.25">
      <c r="A6714" s="2" t="s">
        <v>1062</v>
      </c>
      <c r="B6714" s="2" t="s">
        <v>1083</v>
      </c>
      <c r="C6714" s="5" t="s">
        <v>1098</v>
      </c>
      <c r="D6714" s="2" t="s">
        <v>3368</v>
      </c>
    </row>
    <row r="6715" spans="1:4" ht="12.95" customHeight="1" x14ac:dyDescent="0.25">
      <c r="A6715" s="2" t="s">
        <v>1062</v>
      </c>
      <c r="B6715" s="2" t="s">
        <v>1083</v>
      </c>
      <c r="C6715" s="5" t="s">
        <v>1100</v>
      </c>
      <c r="D6715" s="2" t="s">
        <v>3369</v>
      </c>
    </row>
    <row r="6716" spans="1:4" ht="12.95" customHeight="1" x14ac:dyDescent="0.25">
      <c r="A6716" s="2" t="s">
        <v>1062</v>
      </c>
      <c r="B6716" s="2" t="s">
        <v>1083</v>
      </c>
      <c r="C6716" s="5" t="s">
        <v>1109</v>
      </c>
      <c r="D6716" s="2" t="s">
        <v>3370</v>
      </c>
    </row>
    <row r="6717" spans="1:4" ht="12.95" customHeight="1" x14ac:dyDescent="0.25">
      <c r="A6717" s="2" t="s">
        <v>1062</v>
      </c>
      <c r="B6717" s="2" t="s">
        <v>1083</v>
      </c>
      <c r="C6717" s="5" t="s">
        <v>1119</v>
      </c>
      <c r="D6717" s="2" t="s">
        <v>3371</v>
      </c>
    </row>
    <row r="6718" spans="1:4" ht="12.95" customHeight="1" x14ac:dyDescent="0.25">
      <c r="A6718" s="2" t="s">
        <v>1062</v>
      </c>
      <c r="B6718" s="2" t="s">
        <v>1083</v>
      </c>
      <c r="C6718" s="5" t="s">
        <v>1111</v>
      </c>
      <c r="D6718" s="2" t="s">
        <v>1143</v>
      </c>
    </row>
    <row r="6719" spans="1:4" ht="12.95" customHeight="1" x14ac:dyDescent="0.25">
      <c r="A6719" s="2" t="s">
        <v>1064</v>
      </c>
      <c r="B6719" s="2" t="s">
        <v>1083</v>
      </c>
      <c r="C6719" s="5" t="s">
        <v>1102</v>
      </c>
      <c r="D6719" s="2" t="s">
        <v>1103</v>
      </c>
    </row>
    <row r="6720" spans="1:4" ht="12.95" customHeight="1" x14ac:dyDescent="0.25">
      <c r="A6720" s="2" t="s">
        <v>1064</v>
      </c>
      <c r="B6720" s="2" t="s">
        <v>1083</v>
      </c>
      <c r="C6720" s="5" t="s">
        <v>1084</v>
      </c>
      <c r="D6720" s="2" t="s">
        <v>1085</v>
      </c>
    </row>
    <row r="6721" spans="1:4" ht="12.95" customHeight="1" x14ac:dyDescent="0.25">
      <c r="A6721" s="2" t="s">
        <v>1064</v>
      </c>
      <c r="B6721" s="2" t="s">
        <v>1083</v>
      </c>
      <c r="C6721" s="5" t="s">
        <v>1086</v>
      </c>
      <c r="D6721" s="2" t="s">
        <v>1087</v>
      </c>
    </row>
    <row r="6722" spans="1:4" ht="12.95" customHeight="1" x14ac:dyDescent="0.25">
      <c r="A6722" s="2" t="s">
        <v>1064</v>
      </c>
      <c r="B6722" s="2" t="s">
        <v>1083</v>
      </c>
      <c r="C6722" s="5" t="s">
        <v>1088</v>
      </c>
      <c r="D6722" s="2" t="s">
        <v>1089</v>
      </c>
    </row>
    <row r="6723" spans="1:4" ht="12.95" customHeight="1" x14ac:dyDescent="0.25">
      <c r="A6723" s="2" t="s">
        <v>1064</v>
      </c>
      <c r="B6723" s="2" t="s">
        <v>1083</v>
      </c>
      <c r="C6723" s="5" t="s">
        <v>1292</v>
      </c>
      <c r="D6723" s="2" t="s">
        <v>1165</v>
      </c>
    </row>
    <row r="6724" spans="1:4" ht="12.95" customHeight="1" x14ac:dyDescent="0.25">
      <c r="A6724" s="2" t="s">
        <v>1064</v>
      </c>
      <c r="B6724" s="2" t="s">
        <v>1083</v>
      </c>
      <c r="C6724" s="5" t="s">
        <v>1090</v>
      </c>
      <c r="D6724" s="2" t="s">
        <v>3364</v>
      </c>
    </row>
    <row r="6725" spans="1:4" ht="12.95" customHeight="1" x14ac:dyDescent="0.25">
      <c r="A6725" s="2" t="s">
        <v>1064</v>
      </c>
      <c r="B6725" s="2" t="s">
        <v>1083</v>
      </c>
      <c r="C6725" s="5" t="s">
        <v>1092</v>
      </c>
      <c r="D6725" s="2" t="s">
        <v>3365</v>
      </c>
    </row>
    <row r="6726" spans="1:4" ht="12.95" customHeight="1" x14ac:dyDescent="0.25">
      <c r="A6726" s="2" t="s">
        <v>1064</v>
      </c>
      <c r="B6726" s="2" t="s">
        <v>1083</v>
      </c>
      <c r="C6726" s="5" t="s">
        <v>1094</v>
      </c>
      <c r="D6726" s="2" t="s">
        <v>3366</v>
      </c>
    </row>
    <row r="6727" spans="1:4" ht="12.95" customHeight="1" x14ac:dyDescent="0.25">
      <c r="A6727" s="2" t="s">
        <v>1064</v>
      </c>
      <c r="B6727" s="2" t="s">
        <v>1083</v>
      </c>
      <c r="C6727" s="5" t="s">
        <v>1096</v>
      </c>
      <c r="D6727" s="2" t="s">
        <v>3367</v>
      </c>
    </row>
    <row r="6728" spans="1:4" ht="12.95" customHeight="1" x14ac:dyDescent="0.25">
      <c r="A6728" s="2" t="s">
        <v>1064</v>
      </c>
      <c r="B6728" s="2" t="s">
        <v>1083</v>
      </c>
      <c r="C6728" s="5" t="s">
        <v>1098</v>
      </c>
      <c r="D6728" s="2" t="s">
        <v>3368</v>
      </c>
    </row>
    <row r="6729" spans="1:4" ht="12.95" customHeight="1" x14ac:dyDescent="0.25">
      <c r="A6729" s="2" t="s">
        <v>1064</v>
      </c>
      <c r="B6729" s="2" t="s">
        <v>1083</v>
      </c>
      <c r="C6729" s="5" t="s">
        <v>1100</v>
      </c>
      <c r="D6729" s="2" t="s">
        <v>3369</v>
      </c>
    </row>
    <row r="6730" spans="1:4" ht="12.95" customHeight="1" x14ac:dyDescent="0.25">
      <c r="A6730" s="2" t="s">
        <v>1064</v>
      </c>
      <c r="B6730" s="2" t="s">
        <v>1083</v>
      </c>
      <c r="C6730" s="5" t="s">
        <v>1109</v>
      </c>
      <c r="D6730" s="2" t="s">
        <v>3370</v>
      </c>
    </row>
    <row r="6731" spans="1:4" ht="12.95" customHeight="1" x14ac:dyDescent="0.25">
      <c r="A6731" s="2" t="s">
        <v>1064</v>
      </c>
      <c r="B6731" s="2" t="s">
        <v>1083</v>
      </c>
      <c r="C6731" s="5" t="s">
        <v>1119</v>
      </c>
      <c r="D6731" s="2" t="s">
        <v>3371</v>
      </c>
    </row>
    <row r="6732" spans="1:4" ht="12.95" customHeight="1" x14ac:dyDescent="0.25">
      <c r="A6732" s="2" t="s">
        <v>1064</v>
      </c>
      <c r="B6732" s="2" t="s">
        <v>1083</v>
      </c>
      <c r="C6732" s="5" t="s">
        <v>1111</v>
      </c>
      <c r="D6732" s="2" t="s">
        <v>1143</v>
      </c>
    </row>
    <row r="6733" spans="1:4" ht="12.95" customHeight="1" x14ac:dyDescent="0.25">
      <c r="A6733" s="2" t="s">
        <v>1066</v>
      </c>
      <c r="B6733" s="2" t="s">
        <v>1083</v>
      </c>
      <c r="C6733" s="5" t="s">
        <v>1102</v>
      </c>
      <c r="D6733" s="2" t="s">
        <v>1103</v>
      </c>
    </row>
    <row r="6734" spans="1:4" ht="12.95" customHeight="1" x14ac:dyDescent="0.25">
      <c r="A6734" s="2" t="s">
        <v>1066</v>
      </c>
      <c r="B6734" s="2" t="s">
        <v>1083</v>
      </c>
      <c r="C6734" s="5" t="s">
        <v>1084</v>
      </c>
      <c r="D6734" s="2" t="s">
        <v>1085</v>
      </c>
    </row>
    <row r="6735" spans="1:4" ht="12.95" customHeight="1" x14ac:dyDescent="0.25">
      <c r="A6735" s="2" t="s">
        <v>1066</v>
      </c>
      <c r="B6735" s="2" t="s">
        <v>1083</v>
      </c>
      <c r="C6735" s="5" t="s">
        <v>1086</v>
      </c>
      <c r="D6735" s="2" t="s">
        <v>1087</v>
      </c>
    </row>
    <row r="6736" spans="1:4" ht="12.95" customHeight="1" x14ac:dyDescent="0.25">
      <c r="A6736" s="2" t="s">
        <v>1066</v>
      </c>
      <c r="B6736" s="2" t="s">
        <v>1083</v>
      </c>
      <c r="C6736" s="5" t="s">
        <v>1088</v>
      </c>
      <c r="D6736" s="2" t="s">
        <v>1089</v>
      </c>
    </row>
    <row r="6737" spans="1:4" ht="12.95" customHeight="1" x14ac:dyDescent="0.25">
      <c r="A6737" s="2" t="s">
        <v>1066</v>
      </c>
      <c r="B6737" s="2" t="s">
        <v>1083</v>
      </c>
      <c r="C6737" s="5" t="s">
        <v>1090</v>
      </c>
      <c r="D6737" s="2" t="s">
        <v>1281</v>
      </c>
    </row>
    <row r="6738" spans="1:4" ht="12.95" customHeight="1" x14ac:dyDescent="0.25">
      <c r="A6738" s="2" t="s">
        <v>1066</v>
      </c>
      <c r="B6738" s="2" t="s">
        <v>1083</v>
      </c>
      <c r="C6738" s="5" t="s">
        <v>1092</v>
      </c>
      <c r="D6738" s="2" t="s">
        <v>1282</v>
      </c>
    </row>
    <row r="6739" spans="1:4" ht="12.95" customHeight="1" x14ac:dyDescent="0.25">
      <c r="A6739" s="2" t="s">
        <v>1066</v>
      </c>
      <c r="B6739" s="2" t="s">
        <v>1083</v>
      </c>
      <c r="C6739" s="5" t="s">
        <v>1094</v>
      </c>
      <c r="D6739" s="2" t="s">
        <v>1283</v>
      </c>
    </row>
    <row r="6740" spans="1:4" ht="12.95" customHeight="1" x14ac:dyDescent="0.25">
      <c r="A6740" s="2" t="s">
        <v>1066</v>
      </c>
      <c r="B6740" s="2" t="s">
        <v>1083</v>
      </c>
      <c r="C6740" s="5" t="s">
        <v>1096</v>
      </c>
      <c r="D6740" s="2" t="s">
        <v>1284</v>
      </c>
    </row>
    <row r="6741" spans="1:4" ht="12.95" customHeight="1" x14ac:dyDescent="0.25">
      <c r="A6741" s="2" t="s">
        <v>1066</v>
      </c>
      <c r="B6741" s="2" t="s">
        <v>1083</v>
      </c>
      <c r="C6741" s="5" t="s">
        <v>1098</v>
      </c>
      <c r="D6741" s="2" t="s">
        <v>6259</v>
      </c>
    </row>
    <row r="6742" spans="1:4" ht="12.95" customHeight="1" x14ac:dyDescent="0.25">
      <c r="A6742" s="2" t="s">
        <v>1068</v>
      </c>
      <c r="B6742" s="2" t="s">
        <v>1083</v>
      </c>
      <c r="C6742" s="5" t="s">
        <v>1286</v>
      </c>
      <c r="D6742" s="2" t="s">
        <v>1085</v>
      </c>
    </row>
    <row r="6743" spans="1:4" ht="12.95" customHeight="1" x14ac:dyDescent="0.25">
      <c r="A6743" s="2" t="s">
        <v>1068</v>
      </c>
      <c r="B6743" s="2" t="s">
        <v>1083</v>
      </c>
      <c r="C6743" s="5" t="s">
        <v>1287</v>
      </c>
      <c r="D6743" s="2" t="s">
        <v>1147</v>
      </c>
    </row>
    <row r="6744" spans="1:4" ht="12.95" customHeight="1" x14ac:dyDescent="0.25">
      <c r="A6744" s="2" t="s">
        <v>1068</v>
      </c>
      <c r="B6744" s="2" t="s">
        <v>1083</v>
      </c>
      <c r="C6744" s="5" t="s">
        <v>1102</v>
      </c>
      <c r="D6744" s="2" t="s">
        <v>1103</v>
      </c>
    </row>
    <row r="6745" spans="1:4" ht="12.95" customHeight="1" x14ac:dyDescent="0.25">
      <c r="A6745" s="2" t="s">
        <v>1068</v>
      </c>
      <c r="B6745" s="2" t="s">
        <v>1083</v>
      </c>
      <c r="C6745" s="5" t="s">
        <v>1084</v>
      </c>
      <c r="D6745" s="2" t="s">
        <v>1153</v>
      </c>
    </row>
    <row r="6746" spans="1:4" ht="12.95" customHeight="1" x14ac:dyDescent="0.25">
      <c r="A6746" s="2" t="s">
        <v>1068</v>
      </c>
      <c r="B6746" s="2" t="s">
        <v>1083</v>
      </c>
      <c r="C6746" s="5" t="s">
        <v>1086</v>
      </c>
      <c r="D6746" s="2" t="s">
        <v>1147</v>
      </c>
    </row>
    <row r="6747" spans="1:4" ht="12.95" customHeight="1" x14ac:dyDescent="0.25">
      <c r="A6747" s="2" t="s">
        <v>1068</v>
      </c>
      <c r="B6747" s="2" t="s">
        <v>1083</v>
      </c>
      <c r="C6747" s="5" t="s">
        <v>1088</v>
      </c>
      <c r="D6747" s="2" t="s">
        <v>1089</v>
      </c>
    </row>
    <row r="6748" spans="1:4" ht="12.95" customHeight="1" x14ac:dyDescent="0.25">
      <c r="A6748" s="2" t="s">
        <v>1073</v>
      </c>
      <c r="B6748" s="2" t="s">
        <v>1083</v>
      </c>
      <c r="C6748" s="5" t="s">
        <v>1102</v>
      </c>
      <c r="D6748" s="2" t="s">
        <v>1103</v>
      </c>
    </row>
    <row r="6749" spans="1:4" ht="12.95" customHeight="1" x14ac:dyDescent="0.25">
      <c r="A6749" s="2" t="s">
        <v>1073</v>
      </c>
      <c r="B6749" s="2" t="s">
        <v>1083</v>
      </c>
      <c r="C6749" s="5" t="s">
        <v>1084</v>
      </c>
      <c r="D6749" s="2" t="s">
        <v>1085</v>
      </c>
    </row>
    <row r="6750" spans="1:4" ht="12.95" customHeight="1" x14ac:dyDescent="0.25">
      <c r="A6750" s="2" t="s">
        <v>1073</v>
      </c>
      <c r="B6750" s="2" t="s">
        <v>1083</v>
      </c>
      <c r="C6750" s="5" t="s">
        <v>1086</v>
      </c>
      <c r="D6750" s="2" t="s">
        <v>1087</v>
      </c>
    </row>
    <row r="6751" spans="1:4" ht="12.95" customHeight="1" x14ac:dyDescent="0.25">
      <c r="A6751" s="2" t="s">
        <v>1073</v>
      </c>
      <c r="B6751" s="2" t="s">
        <v>1083</v>
      </c>
      <c r="C6751" s="5" t="s">
        <v>1088</v>
      </c>
      <c r="D6751" s="2" t="s">
        <v>1089</v>
      </c>
    </row>
    <row r="6752" spans="1:4" ht="12.95" customHeight="1" x14ac:dyDescent="0.25">
      <c r="A6752" s="2" t="s">
        <v>1076</v>
      </c>
      <c r="B6752" s="2" t="s">
        <v>1083</v>
      </c>
      <c r="C6752" s="5" t="s">
        <v>1084</v>
      </c>
      <c r="D6752" s="2" t="s">
        <v>1085</v>
      </c>
    </row>
    <row r="6753" spans="1:4" ht="12.95" customHeight="1" x14ac:dyDescent="0.25">
      <c r="A6753" s="2" t="s">
        <v>1076</v>
      </c>
      <c r="B6753" s="2" t="s">
        <v>1083</v>
      </c>
      <c r="C6753" s="5" t="s">
        <v>1086</v>
      </c>
      <c r="D6753" s="2" t="s">
        <v>1087</v>
      </c>
    </row>
    <row r="6754" spans="1:4" ht="12.95" customHeight="1" x14ac:dyDescent="0.25">
      <c r="A6754" s="2" t="s">
        <v>1076</v>
      </c>
      <c r="B6754" s="2" t="s">
        <v>1083</v>
      </c>
      <c r="C6754" s="5" t="s">
        <v>1088</v>
      </c>
      <c r="D6754" s="2" t="s">
        <v>1089</v>
      </c>
    </row>
    <row r="6755" spans="1:4" ht="12.95" customHeight="1" x14ac:dyDescent="0.25">
      <c r="A6755" s="2" t="s">
        <v>1076</v>
      </c>
      <c r="B6755" s="2" t="s">
        <v>1083</v>
      </c>
      <c r="C6755" s="5" t="s">
        <v>1090</v>
      </c>
      <c r="D6755" s="2" t="s">
        <v>6315</v>
      </c>
    </row>
    <row r="6756" spans="1:4" ht="12.95" customHeight="1" x14ac:dyDescent="0.25">
      <c r="A6756" s="2" t="s">
        <v>1076</v>
      </c>
      <c r="B6756" s="2" t="s">
        <v>1083</v>
      </c>
      <c r="C6756" s="5" t="s">
        <v>1092</v>
      </c>
      <c r="D6756" s="2" t="s">
        <v>6316</v>
      </c>
    </row>
    <row r="6757" spans="1:4" ht="12.95" customHeight="1" x14ac:dyDescent="0.25">
      <c r="A6757" s="2" t="s">
        <v>1076</v>
      </c>
      <c r="B6757" s="2" t="s">
        <v>1083</v>
      </c>
      <c r="C6757" s="5" t="s">
        <v>1094</v>
      </c>
      <c r="D6757" s="2" t="s">
        <v>6317</v>
      </c>
    </row>
    <row r="6758" spans="1:4" ht="12.95" customHeight="1" x14ac:dyDescent="0.25">
      <c r="A6758" s="2" t="s">
        <v>1079</v>
      </c>
      <c r="B6758" s="2" t="s">
        <v>1178</v>
      </c>
      <c r="C6758" s="5" t="s">
        <v>1102</v>
      </c>
      <c r="D6758" s="2" t="s">
        <v>1103</v>
      </c>
    </row>
    <row r="6759" spans="1:4" ht="12.95" customHeight="1" x14ac:dyDescent="0.25">
      <c r="A6759" s="2" t="s">
        <v>1079</v>
      </c>
      <c r="B6759" s="2" t="s">
        <v>1178</v>
      </c>
      <c r="C6759" s="5" t="s">
        <v>1088</v>
      </c>
      <c r="D6759" s="2" t="s">
        <v>1089</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1" width="13.7109375" customWidth="1"/>
    <col min="2" max="2" width="60.7109375" customWidth="1"/>
    <col min="3" max="3" width="25.7109375" customWidth="1"/>
    <col min="4" max="4" width="40.7109375" customWidth="1"/>
  </cols>
  <sheetData>
    <row r="1" spans="1:4" ht="30" customHeight="1" x14ac:dyDescent="0.25">
      <c r="A1" s="1" t="s">
        <v>0</v>
      </c>
      <c r="B1" s="1" t="s">
        <v>6318</v>
      </c>
      <c r="C1" s="1" t="s">
        <v>6319</v>
      </c>
      <c r="D1" s="1" t="s">
        <v>6320</v>
      </c>
    </row>
    <row r="2" spans="1:4" ht="75.95" customHeight="1" x14ac:dyDescent="0.25">
      <c r="A2" s="3" t="s">
        <v>1146</v>
      </c>
      <c r="B2" s="2" t="s">
        <v>6321</v>
      </c>
      <c r="C2" s="2" t="s">
        <v>349</v>
      </c>
      <c r="D2" s="2" t="s">
        <v>6322</v>
      </c>
    </row>
    <row r="3" spans="1:4" ht="75.95" customHeight="1" x14ac:dyDescent="0.25">
      <c r="A3" s="3" t="s">
        <v>1083</v>
      </c>
      <c r="B3" s="2" t="s">
        <v>6323</v>
      </c>
      <c r="C3" s="2" t="s">
        <v>6324</v>
      </c>
      <c r="D3" s="2" t="s">
        <v>6325</v>
      </c>
    </row>
    <row r="4" spans="1:4" ht="75.95" customHeight="1" x14ac:dyDescent="0.25">
      <c r="A4" s="3" t="s">
        <v>1113</v>
      </c>
      <c r="B4" s="2" t="s">
        <v>6326</v>
      </c>
      <c r="C4" s="2" t="s">
        <v>6327</v>
      </c>
      <c r="D4" s="2" t="s">
        <v>6328</v>
      </c>
    </row>
    <row r="5" spans="1:4" ht="75.95" customHeight="1" x14ac:dyDescent="0.25">
      <c r="A5" s="3" t="s">
        <v>1272</v>
      </c>
      <c r="B5" s="2" t="s">
        <v>6329</v>
      </c>
      <c r="C5" s="2" t="s">
        <v>6330</v>
      </c>
      <c r="D5" s="2" t="s">
        <v>6331</v>
      </c>
    </row>
    <row r="6" spans="1:4" ht="75.95" customHeight="1" x14ac:dyDescent="0.25">
      <c r="A6" s="3" t="s">
        <v>1178</v>
      </c>
      <c r="B6" s="2" t="s">
        <v>6332</v>
      </c>
      <c r="C6" s="2" t="s">
        <v>6333</v>
      </c>
      <c r="D6" s="2" t="s">
        <v>6334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workbookViewId="0"/>
  </sheetViews>
  <sheetFormatPr defaultRowHeight="15" x14ac:dyDescent="0.25"/>
  <cols>
    <col min="1" max="1" width="25.7109375" customWidth="1"/>
    <col min="2" max="2" width="60.7109375" customWidth="1"/>
    <col min="3" max="4" width="25.7109375" customWidth="1"/>
  </cols>
  <sheetData>
    <row r="1" spans="1:4" x14ac:dyDescent="0.25">
      <c r="A1" s="3728" t="s">
        <v>6345</v>
      </c>
      <c r="B1" s="3728"/>
      <c r="C1" s="3728"/>
      <c r="D1" s="3728"/>
    </row>
    <row r="2" spans="1:4" ht="30" customHeight="1" x14ac:dyDescent="0.25">
      <c r="A2" s="1" t="s">
        <v>0</v>
      </c>
      <c r="B2" s="1" t="s">
        <v>6318</v>
      </c>
      <c r="C2" s="1" t="s">
        <v>6319</v>
      </c>
      <c r="D2" s="1" t="s">
        <v>6320</v>
      </c>
    </row>
    <row r="3" spans="1:4" ht="24" x14ac:dyDescent="0.25">
      <c r="A3" s="3" t="s">
        <v>6335</v>
      </c>
      <c r="B3" s="2" t="s">
        <v>6336</v>
      </c>
      <c r="C3" s="2" t="s">
        <v>349</v>
      </c>
      <c r="D3" s="2" t="s">
        <v>6337</v>
      </c>
    </row>
    <row r="4" spans="1:4" ht="24" x14ac:dyDescent="0.25">
      <c r="A4" s="3" t="s">
        <v>6338</v>
      </c>
      <c r="B4" s="2" t="s">
        <v>6339</v>
      </c>
      <c r="C4" s="2" t="s">
        <v>6324</v>
      </c>
      <c r="D4" s="2" t="s">
        <v>6340</v>
      </c>
    </row>
    <row r="5" spans="1:4" ht="24" x14ac:dyDescent="0.25">
      <c r="A5" s="3" t="s">
        <v>6341</v>
      </c>
      <c r="B5" s="2" t="s">
        <v>6342</v>
      </c>
      <c r="C5" s="2" t="s">
        <v>349</v>
      </c>
      <c r="D5" s="2" t="s">
        <v>6337</v>
      </c>
    </row>
    <row r="6" spans="1:4" ht="24" x14ac:dyDescent="0.25">
      <c r="A6" s="3" t="s">
        <v>6343</v>
      </c>
      <c r="B6" s="2" t="s">
        <v>6344</v>
      </c>
      <c r="C6" s="2" t="s">
        <v>6324</v>
      </c>
      <c r="D6" s="2" t="s">
        <v>6340</v>
      </c>
    </row>
    <row r="8" spans="1:4" x14ac:dyDescent="0.25">
      <c r="A8" s="3728" t="s">
        <v>6411</v>
      </c>
      <c r="B8" s="3728"/>
      <c r="C8" s="3728"/>
    </row>
    <row r="9" spans="1:4" ht="30" customHeight="1" x14ac:dyDescent="0.25">
      <c r="A9" s="1" t="s">
        <v>0</v>
      </c>
      <c r="B9" s="1" t="s">
        <v>6318</v>
      </c>
      <c r="C9" s="1" t="s">
        <v>6346</v>
      </c>
    </row>
    <row r="10" spans="1:4" x14ac:dyDescent="0.25">
      <c r="A10" s="3" t="s">
        <v>6347</v>
      </c>
      <c r="B10" s="2" t="s">
        <v>6348</v>
      </c>
      <c r="C10" s="2" t="s">
        <v>6341</v>
      </c>
    </row>
    <row r="11" spans="1:4" x14ac:dyDescent="0.25">
      <c r="A11" s="3" t="s">
        <v>6349</v>
      </c>
      <c r="B11" s="2" t="s">
        <v>6350</v>
      </c>
      <c r="C11" s="2" t="s">
        <v>6341</v>
      </c>
    </row>
    <row r="12" spans="1:4" x14ac:dyDescent="0.25">
      <c r="A12" s="3" t="s">
        <v>6351</v>
      </c>
      <c r="B12" s="2" t="s">
        <v>6352</v>
      </c>
      <c r="C12" s="2" t="s">
        <v>6341</v>
      </c>
    </row>
    <row r="13" spans="1:4" x14ac:dyDescent="0.25">
      <c r="A13" s="3" t="s">
        <v>349</v>
      </c>
      <c r="B13" s="2" t="s">
        <v>6353</v>
      </c>
      <c r="C13" s="2" t="s">
        <v>6341</v>
      </c>
    </row>
    <row r="14" spans="1:4" x14ac:dyDescent="0.25">
      <c r="A14" s="3" t="s">
        <v>6354</v>
      </c>
      <c r="B14" s="2" t="s">
        <v>6355</v>
      </c>
      <c r="C14" s="2" t="s">
        <v>6341</v>
      </c>
    </row>
    <row r="15" spans="1:4" x14ac:dyDescent="0.25">
      <c r="A15" s="3" t="s">
        <v>6356</v>
      </c>
      <c r="B15" s="2" t="s">
        <v>6357</v>
      </c>
      <c r="C15" s="2" t="s">
        <v>6341</v>
      </c>
    </row>
    <row r="16" spans="1:4" x14ac:dyDescent="0.25">
      <c r="A16" s="3" t="s">
        <v>6358</v>
      </c>
      <c r="B16" s="2" t="s">
        <v>6359</v>
      </c>
      <c r="C16" s="2" t="s">
        <v>6341</v>
      </c>
    </row>
    <row r="17" spans="1:3" x14ac:dyDescent="0.25">
      <c r="A17" s="3" t="s">
        <v>6360</v>
      </c>
      <c r="B17" s="2" t="s">
        <v>6361</v>
      </c>
      <c r="C17" s="2" t="s">
        <v>6341</v>
      </c>
    </row>
    <row r="18" spans="1:3" x14ac:dyDescent="0.25">
      <c r="A18" s="3" t="s">
        <v>6362</v>
      </c>
      <c r="B18" s="2" t="s">
        <v>6363</v>
      </c>
      <c r="C18" s="2" t="s">
        <v>6341</v>
      </c>
    </row>
    <row r="19" spans="1:3" x14ac:dyDescent="0.25">
      <c r="A19" s="3" t="s">
        <v>6364</v>
      </c>
      <c r="B19" s="2" t="s">
        <v>6365</v>
      </c>
      <c r="C19" s="2" t="s">
        <v>6341</v>
      </c>
    </row>
    <row r="20" spans="1:3" x14ac:dyDescent="0.25">
      <c r="A20" s="3" t="s">
        <v>6366</v>
      </c>
      <c r="B20" s="2" t="s">
        <v>6367</v>
      </c>
      <c r="C20" s="2" t="s">
        <v>6341</v>
      </c>
    </row>
    <row r="21" spans="1:3" x14ac:dyDescent="0.25">
      <c r="A21" s="3" t="s">
        <v>668</v>
      </c>
      <c r="B21" s="2" t="s">
        <v>669</v>
      </c>
      <c r="C21" s="2" t="s">
        <v>6341</v>
      </c>
    </row>
    <row r="22" spans="1:3" x14ac:dyDescent="0.25">
      <c r="A22" s="3" t="s">
        <v>6368</v>
      </c>
      <c r="B22" s="2" t="s">
        <v>6369</v>
      </c>
      <c r="C22" s="2" t="s">
        <v>6341</v>
      </c>
    </row>
    <row r="23" spans="1:3" x14ac:dyDescent="0.25">
      <c r="A23" s="3" t="s">
        <v>6370</v>
      </c>
      <c r="B23" s="2" t="s">
        <v>6371</v>
      </c>
      <c r="C23" s="2" t="s">
        <v>6341</v>
      </c>
    </row>
    <row r="24" spans="1:3" x14ac:dyDescent="0.25">
      <c r="A24" s="3" t="s">
        <v>6372</v>
      </c>
      <c r="B24" s="2" t="s">
        <v>6373</v>
      </c>
      <c r="C24" s="2" t="s">
        <v>6341</v>
      </c>
    </row>
    <row r="25" spans="1:3" x14ac:dyDescent="0.25">
      <c r="A25" s="3" t="s">
        <v>6374</v>
      </c>
      <c r="B25" s="2" t="s">
        <v>6375</v>
      </c>
      <c r="C25" s="2" t="s">
        <v>6341</v>
      </c>
    </row>
    <row r="26" spans="1:3" x14ac:dyDescent="0.25">
      <c r="A26" s="3" t="s">
        <v>6376</v>
      </c>
      <c r="B26" s="2" t="s">
        <v>6377</v>
      </c>
      <c r="C26" s="2" t="s">
        <v>6341</v>
      </c>
    </row>
    <row r="27" spans="1:3" x14ac:dyDescent="0.25">
      <c r="A27" s="3" t="s">
        <v>6347</v>
      </c>
      <c r="B27" s="2" t="s">
        <v>6348</v>
      </c>
      <c r="C27" s="2" t="s">
        <v>6335</v>
      </c>
    </row>
    <row r="28" spans="1:3" x14ac:dyDescent="0.25">
      <c r="A28" s="3" t="s">
        <v>6378</v>
      </c>
      <c r="B28" s="2" t="s">
        <v>6350</v>
      </c>
      <c r="C28" s="2" t="s">
        <v>6335</v>
      </c>
    </row>
    <row r="29" spans="1:3" x14ac:dyDescent="0.25">
      <c r="A29" s="3" t="s">
        <v>349</v>
      </c>
      <c r="B29" s="2" t="s">
        <v>6353</v>
      </c>
      <c r="C29" s="2" t="s">
        <v>6335</v>
      </c>
    </row>
    <row r="30" spans="1:3" x14ac:dyDescent="0.25">
      <c r="A30" s="3" t="s">
        <v>6354</v>
      </c>
      <c r="B30" s="2" t="s">
        <v>6355</v>
      </c>
      <c r="C30" s="2" t="s">
        <v>6335</v>
      </c>
    </row>
    <row r="31" spans="1:3" x14ac:dyDescent="0.25">
      <c r="A31" s="3" t="s">
        <v>6356</v>
      </c>
      <c r="B31" s="2" t="s">
        <v>6357</v>
      </c>
      <c r="C31" s="2" t="s">
        <v>6335</v>
      </c>
    </row>
    <row r="32" spans="1:3" x14ac:dyDescent="0.25">
      <c r="A32" s="3" t="s">
        <v>6379</v>
      </c>
      <c r="B32" s="2" t="s">
        <v>6359</v>
      </c>
      <c r="C32" s="2" t="s">
        <v>6335</v>
      </c>
    </row>
    <row r="33" spans="1:3" x14ac:dyDescent="0.25">
      <c r="A33" s="3" t="s">
        <v>6380</v>
      </c>
      <c r="B33" s="2" t="s">
        <v>6361</v>
      </c>
      <c r="C33" s="2" t="s">
        <v>6335</v>
      </c>
    </row>
    <row r="34" spans="1:3" x14ac:dyDescent="0.25">
      <c r="A34" s="3" t="s">
        <v>6381</v>
      </c>
      <c r="B34" s="2" t="s">
        <v>6363</v>
      </c>
      <c r="C34" s="2" t="s">
        <v>6335</v>
      </c>
    </row>
    <row r="35" spans="1:3" x14ac:dyDescent="0.25">
      <c r="A35" s="3" t="s">
        <v>6364</v>
      </c>
      <c r="B35" s="2" t="s">
        <v>6365</v>
      </c>
      <c r="C35" s="2" t="s">
        <v>6335</v>
      </c>
    </row>
    <row r="36" spans="1:3" x14ac:dyDescent="0.25">
      <c r="A36" s="3" t="s">
        <v>6366</v>
      </c>
      <c r="B36" s="2" t="s">
        <v>6367</v>
      </c>
      <c r="C36" s="2" t="s">
        <v>6335</v>
      </c>
    </row>
    <row r="37" spans="1:3" x14ac:dyDescent="0.25">
      <c r="A37" s="3" t="s">
        <v>668</v>
      </c>
      <c r="B37" s="2" t="s">
        <v>669</v>
      </c>
      <c r="C37" s="2" t="s">
        <v>6335</v>
      </c>
    </row>
    <row r="38" spans="1:3" x14ac:dyDescent="0.25">
      <c r="A38" s="3" t="s">
        <v>6368</v>
      </c>
      <c r="B38" s="2" t="s">
        <v>6369</v>
      </c>
      <c r="C38" s="2" t="s">
        <v>6335</v>
      </c>
    </row>
    <row r="39" spans="1:3" x14ac:dyDescent="0.25">
      <c r="A39" s="3" t="s">
        <v>6370</v>
      </c>
      <c r="B39" s="2" t="s">
        <v>6371</v>
      </c>
      <c r="C39" s="2" t="s">
        <v>6335</v>
      </c>
    </row>
    <row r="40" spans="1:3" x14ac:dyDescent="0.25">
      <c r="A40" s="3" t="s">
        <v>6372</v>
      </c>
      <c r="B40" s="2" t="s">
        <v>6373</v>
      </c>
      <c r="C40" s="2" t="s">
        <v>6335</v>
      </c>
    </row>
    <row r="41" spans="1:3" x14ac:dyDescent="0.25">
      <c r="A41" s="3" t="s">
        <v>6382</v>
      </c>
      <c r="B41" s="2" t="s">
        <v>6383</v>
      </c>
      <c r="C41" s="2" t="s">
        <v>6335</v>
      </c>
    </row>
    <row r="42" spans="1:3" x14ac:dyDescent="0.25">
      <c r="A42" s="3" t="s">
        <v>6384</v>
      </c>
      <c r="B42" s="2" t="s">
        <v>6385</v>
      </c>
      <c r="C42" s="2" t="s">
        <v>6335</v>
      </c>
    </row>
    <row r="43" spans="1:3" x14ac:dyDescent="0.25">
      <c r="A43" s="3" t="s">
        <v>6347</v>
      </c>
      <c r="B43" s="2" t="s">
        <v>6348</v>
      </c>
      <c r="C43" s="2" t="s">
        <v>6343</v>
      </c>
    </row>
    <row r="44" spans="1:3" x14ac:dyDescent="0.25">
      <c r="A44" s="3" t="s">
        <v>6351</v>
      </c>
      <c r="B44" s="2" t="s">
        <v>6352</v>
      </c>
      <c r="C44" s="2" t="s">
        <v>6343</v>
      </c>
    </row>
    <row r="45" spans="1:3" x14ac:dyDescent="0.25">
      <c r="A45" s="3" t="s">
        <v>349</v>
      </c>
      <c r="B45" s="2" t="s">
        <v>6353</v>
      </c>
      <c r="C45" s="2" t="s">
        <v>6343</v>
      </c>
    </row>
    <row r="46" spans="1:3" x14ac:dyDescent="0.25">
      <c r="A46" s="3" t="s">
        <v>6354</v>
      </c>
      <c r="B46" s="2" t="s">
        <v>6355</v>
      </c>
      <c r="C46" s="2" t="s">
        <v>6343</v>
      </c>
    </row>
    <row r="47" spans="1:3" x14ac:dyDescent="0.25">
      <c r="A47" s="3" t="s">
        <v>523</v>
      </c>
      <c r="B47" s="2" t="s">
        <v>6386</v>
      </c>
      <c r="C47" s="2" t="s">
        <v>6343</v>
      </c>
    </row>
    <row r="48" spans="1:3" x14ac:dyDescent="0.25">
      <c r="A48" s="3" t="s">
        <v>6387</v>
      </c>
      <c r="B48" s="2" t="s">
        <v>6359</v>
      </c>
      <c r="C48" s="2" t="s">
        <v>6343</v>
      </c>
    </row>
    <row r="49" spans="1:3" x14ac:dyDescent="0.25">
      <c r="A49" s="3" t="s">
        <v>6388</v>
      </c>
      <c r="B49" s="2" t="s">
        <v>6361</v>
      </c>
      <c r="C49" s="2" t="s">
        <v>6343</v>
      </c>
    </row>
    <row r="50" spans="1:3" x14ac:dyDescent="0.25">
      <c r="A50" s="3" t="s">
        <v>6389</v>
      </c>
      <c r="B50" s="2" t="s">
        <v>6363</v>
      </c>
      <c r="C50" s="2" t="s">
        <v>6343</v>
      </c>
    </row>
    <row r="51" spans="1:3" x14ac:dyDescent="0.25">
      <c r="A51" s="3" t="s">
        <v>6390</v>
      </c>
      <c r="B51" s="2" t="s">
        <v>6350</v>
      </c>
      <c r="C51" s="2" t="s">
        <v>6343</v>
      </c>
    </row>
    <row r="52" spans="1:3" x14ac:dyDescent="0.25">
      <c r="A52" s="3" t="s">
        <v>668</v>
      </c>
      <c r="B52" s="2" t="s">
        <v>669</v>
      </c>
      <c r="C52" s="2" t="s">
        <v>6343</v>
      </c>
    </row>
    <row r="53" spans="1:3" x14ac:dyDescent="0.25">
      <c r="A53" s="3" t="s">
        <v>6370</v>
      </c>
      <c r="B53" s="2" t="s">
        <v>6371</v>
      </c>
      <c r="C53" s="2" t="s">
        <v>6343</v>
      </c>
    </row>
    <row r="54" spans="1:3" x14ac:dyDescent="0.25">
      <c r="A54" s="3" t="s">
        <v>6372</v>
      </c>
      <c r="B54" s="2" t="s">
        <v>6373</v>
      </c>
      <c r="C54" s="2" t="s">
        <v>6343</v>
      </c>
    </row>
    <row r="55" spans="1:3" x14ac:dyDescent="0.25">
      <c r="A55" s="3" t="s">
        <v>6391</v>
      </c>
      <c r="B55" s="2" t="s">
        <v>6392</v>
      </c>
      <c r="C55" s="2" t="s">
        <v>6343</v>
      </c>
    </row>
    <row r="56" spans="1:3" x14ac:dyDescent="0.25">
      <c r="A56" s="3" t="s">
        <v>6393</v>
      </c>
      <c r="B56" s="2" t="s">
        <v>6394</v>
      </c>
      <c r="C56" s="2" t="s">
        <v>6343</v>
      </c>
    </row>
    <row r="57" spans="1:3" x14ac:dyDescent="0.25">
      <c r="A57" s="3" t="s">
        <v>6395</v>
      </c>
      <c r="B57" s="2" t="s">
        <v>6396</v>
      </c>
      <c r="C57" s="2" t="s">
        <v>6343</v>
      </c>
    </row>
    <row r="58" spans="1:3" x14ac:dyDescent="0.25">
      <c r="A58" s="3" t="s">
        <v>6397</v>
      </c>
      <c r="B58" s="2" t="s">
        <v>6398</v>
      </c>
      <c r="C58" s="2" t="s">
        <v>6343</v>
      </c>
    </row>
    <row r="59" spans="1:3" x14ac:dyDescent="0.25">
      <c r="A59" s="3" t="s">
        <v>6347</v>
      </c>
      <c r="B59" s="2" t="s">
        <v>6348</v>
      </c>
      <c r="C59" s="2" t="s">
        <v>6338</v>
      </c>
    </row>
    <row r="60" spans="1:3" x14ac:dyDescent="0.25">
      <c r="A60" s="3" t="s">
        <v>349</v>
      </c>
      <c r="B60" s="2" t="s">
        <v>6353</v>
      </c>
      <c r="C60" s="2" t="s">
        <v>6338</v>
      </c>
    </row>
    <row r="61" spans="1:3" x14ac:dyDescent="0.25">
      <c r="A61" s="3" t="s">
        <v>6354</v>
      </c>
      <c r="B61" s="2" t="s">
        <v>6355</v>
      </c>
      <c r="C61" s="2" t="s">
        <v>6338</v>
      </c>
    </row>
    <row r="62" spans="1:3" x14ac:dyDescent="0.25">
      <c r="A62" s="3" t="s">
        <v>523</v>
      </c>
      <c r="B62" s="2" t="s">
        <v>6386</v>
      </c>
      <c r="C62" s="2" t="s">
        <v>6338</v>
      </c>
    </row>
    <row r="63" spans="1:3" x14ac:dyDescent="0.25">
      <c r="A63" s="3" t="s">
        <v>6399</v>
      </c>
      <c r="B63" s="2" t="s">
        <v>6359</v>
      </c>
      <c r="C63" s="2" t="s">
        <v>6338</v>
      </c>
    </row>
    <row r="64" spans="1:3" x14ac:dyDescent="0.25">
      <c r="A64" s="3" t="s">
        <v>6400</v>
      </c>
      <c r="B64" s="2" t="s">
        <v>6361</v>
      </c>
      <c r="C64" s="2" t="s">
        <v>6338</v>
      </c>
    </row>
    <row r="65" spans="1:3" x14ac:dyDescent="0.25">
      <c r="A65" s="3" t="s">
        <v>6401</v>
      </c>
      <c r="B65" s="2" t="s">
        <v>6363</v>
      </c>
      <c r="C65" s="2" t="s">
        <v>6338</v>
      </c>
    </row>
    <row r="66" spans="1:3" x14ac:dyDescent="0.25">
      <c r="A66" s="3" t="s">
        <v>6402</v>
      </c>
      <c r="B66" s="2" t="s">
        <v>6350</v>
      </c>
      <c r="C66" s="2" t="s">
        <v>6338</v>
      </c>
    </row>
    <row r="67" spans="1:3" x14ac:dyDescent="0.25">
      <c r="A67" s="3" t="s">
        <v>668</v>
      </c>
      <c r="B67" s="2" t="s">
        <v>669</v>
      </c>
      <c r="C67" s="2" t="s">
        <v>6338</v>
      </c>
    </row>
    <row r="68" spans="1:3" x14ac:dyDescent="0.25">
      <c r="A68" s="3" t="s">
        <v>6370</v>
      </c>
      <c r="B68" s="2" t="s">
        <v>6371</v>
      </c>
      <c r="C68" s="2" t="s">
        <v>6338</v>
      </c>
    </row>
    <row r="69" spans="1:3" x14ac:dyDescent="0.25">
      <c r="A69" s="3" t="s">
        <v>6372</v>
      </c>
      <c r="B69" s="2" t="s">
        <v>6373</v>
      </c>
      <c r="C69" s="2" t="s">
        <v>6338</v>
      </c>
    </row>
    <row r="70" spans="1:3" x14ac:dyDescent="0.25">
      <c r="A70" s="3" t="s">
        <v>6403</v>
      </c>
      <c r="B70" s="2" t="s">
        <v>6404</v>
      </c>
      <c r="C70" s="2" t="s">
        <v>6338</v>
      </c>
    </row>
    <row r="71" spans="1:3" x14ac:dyDescent="0.25">
      <c r="A71" s="3" t="s">
        <v>6405</v>
      </c>
      <c r="B71" s="2" t="s">
        <v>6406</v>
      </c>
      <c r="C71" s="2" t="s">
        <v>6338</v>
      </c>
    </row>
    <row r="72" spans="1:3" x14ac:dyDescent="0.25">
      <c r="A72" s="3" t="s">
        <v>6407</v>
      </c>
      <c r="B72" s="2" t="s">
        <v>6408</v>
      </c>
      <c r="C72" s="2" t="s">
        <v>6338</v>
      </c>
    </row>
    <row r="73" spans="1:3" x14ac:dyDescent="0.25">
      <c r="A73" s="3" t="s">
        <v>6409</v>
      </c>
      <c r="B73" s="2" t="s">
        <v>6410</v>
      </c>
      <c r="C73" s="2" t="s">
        <v>6338</v>
      </c>
    </row>
    <row r="74" spans="1:3" x14ac:dyDescent="0.25">
      <c r="A74" s="3"/>
      <c r="B74" s="2"/>
      <c r="C74" s="2"/>
    </row>
  </sheetData>
  <mergeCells count="2">
    <mergeCell ref="A1:D1"/>
    <mergeCell ref="A8:C8"/>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791"/>
  <sheetViews>
    <sheetView workbookViewId="0">
      <pane ySplit="1" topLeftCell="A845" activePane="bottomLeft" state="frozen"/>
      <selection pane="bottomLeft" activeCell="A873" sqref="A873:G873"/>
    </sheetView>
  </sheetViews>
  <sheetFormatPr defaultRowHeight="15" x14ac:dyDescent="0.25"/>
  <cols>
    <col min="1" max="1" width="15.7109375" customWidth="1"/>
    <col min="2" max="2" width="50.7109375" customWidth="1"/>
    <col min="3" max="4" width="11.7109375" customWidth="1"/>
    <col min="5" max="5" width="10.7109375" customWidth="1"/>
    <col min="6" max="6" width="11.7109375" customWidth="1"/>
    <col min="7" max="7" width="10.7109375" customWidth="1"/>
  </cols>
  <sheetData>
    <row r="1" spans="1:7" x14ac:dyDescent="0.25">
      <c r="A1" s="1" t="s">
        <v>1082</v>
      </c>
      <c r="B1" s="1" t="s">
        <v>1</v>
      </c>
      <c r="C1" s="1" t="s">
        <v>6412</v>
      </c>
      <c r="D1" s="1" t="s">
        <v>6413</v>
      </c>
      <c r="E1" s="1" t="s">
        <v>6414</v>
      </c>
      <c r="F1" s="1" t="s">
        <v>6415</v>
      </c>
      <c r="G1" s="1" t="s">
        <v>6416</v>
      </c>
    </row>
    <row r="2" spans="1:7" x14ac:dyDescent="0.25">
      <c r="A2" s="3731" t="s">
        <v>1146</v>
      </c>
      <c r="B2" s="3730"/>
      <c r="C2" s="3730"/>
      <c r="D2" s="3730"/>
      <c r="E2" s="3730"/>
      <c r="F2" s="3730"/>
      <c r="G2" s="3730"/>
    </row>
    <row r="3" spans="1:7" x14ac:dyDescent="0.25">
      <c r="A3" s="3729" t="s">
        <v>349</v>
      </c>
      <c r="B3" s="3730"/>
      <c r="C3" s="3730"/>
      <c r="D3" s="3730"/>
      <c r="E3" s="3730"/>
      <c r="F3" s="3730"/>
      <c r="G3" s="3730"/>
    </row>
    <row r="4" spans="1:7" x14ac:dyDescent="0.25">
      <c r="A4" s="11" t="s">
        <v>6417</v>
      </c>
      <c r="B4" s="11" t="s">
        <v>6418</v>
      </c>
      <c r="C4" s="12">
        <v>18140</v>
      </c>
      <c r="D4" s="12">
        <v>12896357</v>
      </c>
      <c r="E4" s="13">
        <v>8.1635237241181795E-8</v>
      </c>
      <c r="F4" s="14">
        <v>100</v>
      </c>
      <c r="G4" s="15">
        <v>2.0557335828564899E-14</v>
      </c>
    </row>
    <row r="5" spans="1:7" x14ac:dyDescent="0.25">
      <c r="A5" s="6" t="s">
        <v>6417</v>
      </c>
      <c r="B5" s="6" t="s">
        <v>6419</v>
      </c>
      <c r="C5" s="7">
        <v>18140</v>
      </c>
      <c r="D5" s="7">
        <v>12896357</v>
      </c>
      <c r="E5" s="8">
        <v>0</v>
      </c>
      <c r="F5" s="9">
        <v>100</v>
      </c>
      <c r="G5" s="10">
        <v>0</v>
      </c>
    </row>
    <row r="6" spans="1:7" x14ac:dyDescent="0.25">
      <c r="A6" s="3729" t="s">
        <v>719</v>
      </c>
      <c r="B6" s="3730"/>
      <c r="C6" s="3730"/>
      <c r="D6" s="3730"/>
      <c r="E6" s="3730"/>
      <c r="F6" s="3730"/>
      <c r="G6" s="3730"/>
    </row>
    <row r="7" spans="1:7" x14ac:dyDescent="0.25">
      <c r="A7" s="11" t="s">
        <v>6417</v>
      </c>
      <c r="B7" s="11" t="s">
        <v>6418</v>
      </c>
      <c r="C7" s="20">
        <v>18140</v>
      </c>
      <c r="D7" s="20">
        <v>12896357</v>
      </c>
      <c r="E7" s="21">
        <v>8.1525879874953995E-8</v>
      </c>
      <c r="F7" s="22">
        <v>100</v>
      </c>
      <c r="G7" s="23">
        <v>1.02786679142825E-14</v>
      </c>
    </row>
    <row r="8" spans="1:7" x14ac:dyDescent="0.25">
      <c r="A8" s="6" t="s">
        <v>6417</v>
      </c>
      <c r="B8" s="6" t="s">
        <v>6419</v>
      </c>
      <c r="C8" s="16">
        <v>18140</v>
      </c>
      <c r="D8" s="16">
        <v>12896357</v>
      </c>
      <c r="E8" s="17">
        <v>0</v>
      </c>
      <c r="F8" s="18">
        <v>100</v>
      </c>
      <c r="G8" s="19">
        <v>0</v>
      </c>
    </row>
    <row r="9" spans="1:7" x14ac:dyDescent="0.25">
      <c r="A9" s="3729" t="s">
        <v>183</v>
      </c>
      <c r="B9" s="3730"/>
      <c r="C9" s="3730"/>
      <c r="D9" s="3730"/>
      <c r="E9" s="3730"/>
      <c r="F9" s="3730"/>
      <c r="G9" s="3730"/>
    </row>
    <row r="10" spans="1:7" x14ac:dyDescent="0.25">
      <c r="A10" s="11" t="s">
        <v>6417</v>
      </c>
      <c r="B10" s="11" t="s">
        <v>6418</v>
      </c>
      <c r="C10" s="28">
        <v>26104</v>
      </c>
      <c r="D10" s="28">
        <v>12896357</v>
      </c>
      <c r="E10" s="29">
        <v>1.3203213255768599E-7</v>
      </c>
      <c r="F10" s="30">
        <v>100</v>
      </c>
      <c r="G10" s="31">
        <v>1.01233138679652E-13</v>
      </c>
    </row>
    <row r="11" spans="1:7" x14ac:dyDescent="0.25">
      <c r="A11" s="6" t="s">
        <v>6417</v>
      </c>
      <c r="B11" s="6" t="s">
        <v>6419</v>
      </c>
      <c r="C11" s="24">
        <v>26104</v>
      </c>
      <c r="D11" s="24">
        <v>12896357</v>
      </c>
      <c r="E11" s="25">
        <v>0</v>
      </c>
      <c r="F11" s="26">
        <v>100</v>
      </c>
      <c r="G11" s="27">
        <v>0</v>
      </c>
    </row>
    <row r="12" spans="1:7" x14ac:dyDescent="0.25">
      <c r="A12" s="3729" t="s">
        <v>791</v>
      </c>
      <c r="B12" s="3730"/>
      <c r="C12" s="3730"/>
      <c r="D12" s="3730"/>
      <c r="E12" s="3730"/>
      <c r="F12" s="3730"/>
      <c r="G12" s="3730"/>
    </row>
    <row r="13" spans="1:7" x14ac:dyDescent="0.25">
      <c r="A13" s="11" t="s">
        <v>1100</v>
      </c>
      <c r="B13" s="11" t="s">
        <v>6217</v>
      </c>
      <c r="C13" s="36">
        <v>3763</v>
      </c>
      <c r="D13" s="36">
        <v>2650434.0080798101</v>
      </c>
      <c r="E13" s="37">
        <v>4.62894586326471E-2</v>
      </c>
      <c r="F13" s="38">
        <v>20.551803955797801</v>
      </c>
      <c r="G13" s="39">
        <v>3.5893448069597399E-7</v>
      </c>
    </row>
    <row r="14" spans="1:7" x14ac:dyDescent="0.25">
      <c r="A14" s="6" t="s">
        <v>1096</v>
      </c>
      <c r="B14" s="6" t="s">
        <v>6215</v>
      </c>
      <c r="C14" s="32">
        <v>3723</v>
      </c>
      <c r="D14" s="32">
        <v>2650434.0058530001</v>
      </c>
      <c r="E14" s="33">
        <v>3.3584255938058499E-2</v>
      </c>
      <c r="F14" s="34">
        <v>20.551803938530799</v>
      </c>
      <c r="G14" s="35">
        <v>2.6041675583535801E-7</v>
      </c>
    </row>
    <row r="15" spans="1:7" x14ac:dyDescent="0.25">
      <c r="A15" s="11" t="s">
        <v>1094</v>
      </c>
      <c r="B15" s="11" t="s">
        <v>6214</v>
      </c>
      <c r="C15" s="36">
        <v>3712</v>
      </c>
      <c r="D15" s="36">
        <v>2650433.9831751599</v>
      </c>
      <c r="E15" s="37">
        <v>9.6402079867037999E-2</v>
      </c>
      <c r="F15" s="38">
        <v>20.551803762683999</v>
      </c>
      <c r="G15" s="39">
        <v>7.4751393208643195E-7</v>
      </c>
    </row>
    <row r="16" spans="1:7" x14ac:dyDescent="0.25">
      <c r="A16" s="6" t="s">
        <v>1098</v>
      </c>
      <c r="B16" s="6" t="s">
        <v>6216</v>
      </c>
      <c r="C16" s="32">
        <v>3780</v>
      </c>
      <c r="D16" s="32">
        <v>2599603.0349204899</v>
      </c>
      <c r="E16" s="33">
        <v>0.19971775625482199</v>
      </c>
      <c r="F16" s="34">
        <v>20.157654095032299</v>
      </c>
      <c r="G16" s="35">
        <v>1.54863713178747E-6</v>
      </c>
    </row>
    <row r="17" spans="1:7" x14ac:dyDescent="0.25">
      <c r="A17" s="11" t="s">
        <v>1092</v>
      </c>
      <c r="B17" s="11" t="s">
        <v>6213</v>
      </c>
      <c r="C17" s="36">
        <v>3680</v>
      </c>
      <c r="D17" s="36">
        <v>2345451.9679715401</v>
      </c>
      <c r="E17" s="37">
        <v>0.18311154372486599</v>
      </c>
      <c r="F17" s="38">
        <v>18.186934247955001</v>
      </c>
      <c r="G17" s="39">
        <v>1.41987020429688E-6</v>
      </c>
    </row>
    <row r="18" spans="1:7" x14ac:dyDescent="0.25">
      <c r="A18" s="6" t="s">
        <v>6417</v>
      </c>
      <c r="B18" s="6" t="s">
        <v>6418</v>
      </c>
      <c r="C18" s="32">
        <v>18658</v>
      </c>
      <c r="D18" s="32">
        <v>12896357</v>
      </c>
      <c r="E18" s="33">
        <v>8.5478975665448296E-8</v>
      </c>
      <c r="F18" s="34">
        <v>100</v>
      </c>
      <c r="G18" s="35">
        <v>0</v>
      </c>
    </row>
    <row r="19" spans="1:7" x14ac:dyDescent="0.25">
      <c r="A19" s="11" t="s">
        <v>6417</v>
      </c>
      <c r="B19" s="11" t="s">
        <v>6419</v>
      </c>
      <c r="C19" s="36">
        <v>18658</v>
      </c>
      <c r="D19" s="36">
        <v>12896357</v>
      </c>
      <c r="E19" s="37">
        <v>0</v>
      </c>
      <c r="F19" s="38">
        <v>100</v>
      </c>
      <c r="G19" s="39">
        <v>0</v>
      </c>
    </row>
    <row r="20" spans="1:7" x14ac:dyDescent="0.25">
      <c r="A20" s="3729" t="s">
        <v>734</v>
      </c>
      <c r="B20" s="3730"/>
      <c r="C20" s="3730"/>
      <c r="D20" s="3730"/>
      <c r="E20" s="3730"/>
      <c r="F20" s="3730"/>
      <c r="G20" s="3730"/>
    </row>
    <row r="21" spans="1:7" x14ac:dyDescent="0.25">
      <c r="A21" s="11" t="s">
        <v>6420</v>
      </c>
      <c r="B21" s="11"/>
      <c r="C21" s="44">
        <v>26112</v>
      </c>
      <c r="D21" s="44">
        <v>12896357</v>
      </c>
      <c r="E21" s="45">
        <v>4.63364035059229E-7</v>
      </c>
      <c r="F21" s="46">
        <v>100</v>
      </c>
      <c r="G21" s="47">
        <v>0</v>
      </c>
    </row>
    <row r="22" spans="1:7" x14ac:dyDescent="0.25">
      <c r="A22" s="6" t="s">
        <v>6417</v>
      </c>
      <c r="B22" s="6" t="s">
        <v>6418</v>
      </c>
      <c r="C22" s="40">
        <v>26112</v>
      </c>
      <c r="D22" s="40">
        <v>12896357</v>
      </c>
      <c r="E22" s="41">
        <v>4.63364035059229E-7</v>
      </c>
      <c r="F22" s="42">
        <v>100</v>
      </c>
      <c r="G22" s="43">
        <v>0</v>
      </c>
    </row>
    <row r="23" spans="1:7" x14ac:dyDescent="0.25">
      <c r="A23" s="11" t="s">
        <v>6417</v>
      </c>
      <c r="B23" s="11" t="s">
        <v>6419</v>
      </c>
      <c r="C23" s="44">
        <v>26112</v>
      </c>
      <c r="D23" s="44">
        <v>12896357</v>
      </c>
      <c r="E23" s="45">
        <v>0</v>
      </c>
      <c r="F23" s="46">
        <v>100</v>
      </c>
      <c r="G23" s="47">
        <v>0</v>
      </c>
    </row>
    <row r="24" spans="1:7" x14ac:dyDescent="0.25">
      <c r="A24" s="3729" t="s">
        <v>381</v>
      </c>
      <c r="B24" s="3730"/>
      <c r="C24" s="3730"/>
      <c r="D24" s="3730"/>
      <c r="E24" s="3730"/>
      <c r="F24" s="3730"/>
      <c r="G24" s="3730"/>
    </row>
    <row r="25" spans="1:7" x14ac:dyDescent="0.25">
      <c r="A25" s="11" t="s">
        <v>1090</v>
      </c>
      <c r="B25" s="11" t="s">
        <v>3243</v>
      </c>
      <c r="C25" s="52">
        <v>25863</v>
      </c>
      <c r="D25" s="52">
        <v>12430881.6090806</v>
      </c>
      <c r="E25" s="53">
        <v>41361.104301489002</v>
      </c>
      <c r="F25" s="54">
        <v>96.390644343054205</v>
      </c>
      <c r="G25" s="55">
        <v>0.32071928763645702</v>
      </c>
    </row>
    <row r="26" spans="1:7" x14ac:dyDescent="0.25">
      <c r="A26" s="6" t="s">
        <v>1092</v>
      </c>
      <c r="B26" s="6" t="s">
        <v>3244</v>
      </c>
      <c r="C26" s="48">
        <v>249</v>
      </c>
      <c r="D26" s="48">
        <v>465475.39091943001</v>
      </c>
      <c r="E26" s="49">
        <v>41361.104301453197</v>
      </c>
      <c r="F26" s="50">
        <v>3.60935565694583</v>
      </c>
      <c r="G26" s="51">
        <v>0.32071928763645702</v>
      </c>
    </row>
    <row r="27" spans="1:7" x14ac:dyDescent="0.25">
      <c r="A27" s="11" t="s">
        <v>6417</v>
      </c>
      <c r="B27" s="11" t="s">
        <v>6418</v>
      </c>
      <c r="C27" s="52">
        <v>26112</v>
      </c>
      <c r="D27" s="52">
        <v>12896357</v>
      </c>
      <c r="E27" s="53">
        <v>6.3690325409853295E-7</v>
      </c>
      <c r="F27" s="54">
        <v>100</v>
      </c>
      <c r="G27" s="55">
        <v>1.78031750616652E-14</v>
      </c>
    </row>
    <row r="28" spans="1:7" x14ac:dyDescent="0.25">
      <c r="A28" s="6" t="s">
        <v>6417</v>
      </c>
      <c r="B28" s="6" t="s">
        <v>6419</v>
      </c>
      <c r="C28" s="48">
        <v>26112</v>
      </c>
      <c r="D28" s="48">
        <v>12896357</v>
      </c>
      <c r="E28" s="49">
        <v>0</v>
      </c>
      <c r="F28" s="50">
        <v>100</v>
      </c>
      <c r="G28" s="51">
        <v>0</v>
      </c>
    </row>
    <row r="29" spans="1:7" x14ac:dyDescent="0.25">
      <c r="A29" s="3729" t="s">
        <v>668</v>
      </c>
      <c r="B29" s="3730"/>
      <c r="C29" s="3730"/>
      <c r="D29" s="3730"/>
      <c r="E29" s="3730"/>
      <c r="F29" s="3730"/>
      <c r="G29" s="3730"/>
    </row>
    <row r="30" spans="1:7" x14ac:dyDescent="0.25">
      <c r="A30" s="11" t="s">
        <v>1092</v>
      </c>
      <c r="B30" s="11" t="s">
        <v>80</v>
      </c>
      <c r="C30" s="60">
        <v>24033</v>
      </c>
      <c r="D30" s="60">
        <v>11265154.6809921</v>
      </c>
      <c r="E30" s="61">
        <v>65556.400874315397</v>
      </c>
      <c r="F30" s="62">
        <v>87.351448792802699</v>
      </c>
      <c r="G30" s="63">
        <v>0.50833270879799997</v>
      </c>
    </row>
    <row r="31" spans="1:7" x14ac:dyDescent="0.25">
      <c r="A31" s="6" t="s">
        <v>1292</v>
      </c>
      <c r="B31" s="6" t="s">
        <v>6161</v>
      </c>
      <c r="C31" s="56">
        <v>2079</v>
      </c>
      <c r="D31" s="56">
        <v>1631202.3190079799</v>
      </c>
      <c r="E31" s="57">
        <v>65556.400874367901</v>
      </c>
      <c r="F31" s="58">
        <v>12.648551207197301</v>
      </c>
      <c r="G31" s="59">
        <v>0.50833270879800696</v>
      </c>
    </row>
    <row r="32" spans="1:7" x14ac:dyDescent="0.25">
      <c r="A32" s="11" t="s">
        <v>6417</v>
      </c>
      <c r="B32" s="11" t="s">
        <v>6418</v>
      </c>
      <c r="C32" s="60">
        <v>26112</v>
      </c>
      <c r="D32" s="60">
        <v>12896357.000000101</v>
      </c>
      <c r="E32" s="61">
        <v>1.1275741406747901E-6</v>
      </c>
      <c r="F32" s="62">
        <v>100</v>
      </c>
      <c r="G32" s="63">
        <v>1.78031750616652E-14</v>
      </c>
    </row>
    <row r="33" spans="1:7" x14ac:dyDescent="0.25">
      <c r="A33" s="6" t="s">
        <v>6417</v>
      </c>
      <c r="B33" s="6" t="s">
        <v>6419</v>
      </c>
      <c r="C33" s="56">
        <v>26112</v>
      </c>
      <c r="D33" s="56">
        <v>12896357.000000101</v>
      </c>
      <c r="E33" s="57">
        <v>0</v>
      </c>
      <c r="F33" s="58">
        <v>100</v>
      </c>
      <c r="G33" s="59">
        <v>0</v>
      </c>
    </row>
    <row r="34" spans="1:7" x14ac:dyDescent="0.25">
      <c r="A34" s="3729" t="s">
        <v>670</v>
      </c>
      <c r="B34" s="3730"/>
      <c r="C34" s="3730"/>
      <c r="D34" s="3730"/>
      <c r="E34" s="3730"/>
      <c r="F34" s="3730"/>
      <c r="G34" s="3730"/>
    </row>
    <row r="35" spans="1:7" x14ac:dyDescent="0.25">
      <c r="A35" s="11" t="s">
        <v>1090</v>
      </c>
      <c r="B35" s="11" t="s">
        <v>6174</v>
      </c>
      <c r="C35" s="68">
        <v>5477</v>
      </c>
      <c r="D35" s="68">
        <v>6004444.0461272998</v>
      </c>
      <c r="E35" s="69">
        <v>0.26404858842555501</v>
      </c>
      <c r="F35" s="70">
        <v>46.559226346845698</v>
      </c>
      <c r="G35" s="71">
        <v>2.04746551442106E-6</v>
      </c>
    </row>
    <row r="36" spans="1:7" x14ac:dyDescent="0.25">
      <c r="A36" s="6" t="s">
        <v>1092</v>
      </c>
      <c r="B36" s="6" t="s">
        <v>6175</v>
      </c>
      <c r="C36" s="64">
        <v>8651</v>
      </c>
      <c r="D36" s="64">
        <v>3916697.9426435102</v>
      </c>
      <c r="E36" s="65">
        <v>0.32744651052491902</v>
      </c>
      <c r="F36" s="66">
        <v>30.3705763002955</v>
      </c>
      <c r="G36" s="67">
        <v>2.5390627605737399E-6</v>
      </c>
    </row>
    <row r="37" spans="1:7" x14ac:dyDescent="0.25">
      <c r="A37" s="11" t="s">
        <v>1094</v>
      </c>
      <c r="B37" s="11" t="s">
        <v>6176</v>
      </c>
      <c r="C37" s="68">
        <v>8384</v>
      </c>
      <c r="D37" s="68">
        <v>2646933.0223599598</v>
      </c>
      <c r="E37" s="69">
        <v>0.126444618258992</v>
      </c>
      <c r="F37" s="70">
        <v>20.524656865190401</v>
      </c>
      <c r="G37" s="71">
        <v>9.8046728424681808E-7</v>
      </c>
    </row>
    <row r="38" spans="1:7" x14ac:dyDescent="0.25">
      <c r="A38" s="6" t="s">
        <v>1096</v>
      </c>
      <c r="B38" s="6" t="s">
        <v>6177</v>
      </c>
      <c r="C38" s="64">
        <v>3600</v>
      </c>
      <c r="D38" s="64">
        <v>328281.98886925902</v>
      </c>
      <c r="E38" s="65">
        <v>6.2525680823024093E-2</v>
      </c>
      <c r="F38" s="66">
        <v>2.54554048766841</v>
      </c>
      <c r="G38" s="67">
        <v>4.8483217206099497E-7</v>
      </c>
    </row>
    <row r="39" spans="1:7" x14ac:dyDescent="0.25">
      <c r="A39" s="11" t="s">
        <v>6417</v>
      </c>
      <c r="B39" s="11" t="s">
        <v>6418</v>
      </c>
      <c r="C39" s="68">
        <v>26112</v>
      </c>
      <c r="D39" s="68">
        <v>12896357</v>
      </c>
      <c r="E39" s="69">
        <v>2.7605596884497898E-7</v>
      </c>
      <c r="F39" s="70">
        <v>100</v>
      </c>
      <c r="G39" s="71">
        <v>1.02786679142825E-14</v>
      </c>
    </row>
    <row r="40" spans="1:7" x14ac:dyDescent="0.25">
      <c r="A40" s="6" t="s">
        <v>6417</v>
      </c>
      <c r="B40" s="6" t="s">
        <v>6419</v>
      </c>
      <c r="C40" s="64">
        <v>26112</v>
      </c>
      <c r="D40" s="64">
        <v>12896357</v>
      </c>
      <c r="E40" s="65">
        <v>0</v>
      </c>
      <c r="F40" s="66">
        <v>100</v>
      </c>
      <c r="G40" s="67">
        <v>0</v>
      </c>
    </row>
    <row r="41" spans="1:7" x14ac:dyDescent="0.25">
      <c r="A41" s="3729" t="s">
        <v>636</v>
      </c>
      <c r="B41" s="3730"/>
      <c r="C41" s="3730"/>
      <c r="D41" s="3730"/>
      <c r="E41" s="3730"/>
      <c r="F41" s="3730"/>
      <c r="G41" s="3730"/>
    </row>
    <row r="42" spans="1:7" x14ac:dyDescent="0.25">
      <c r="A42" s="11" t="s">
        <v>1090</v>
      </c>
      <c r="B42" s="11" t="s">
        <v>6136</v>
      </c>
      <c r="C42" s="76">
        <v>24456</v>
      </c>
      <c r="D42" s="76">
        <v>11974715.6494337</v>
      </c>
      <c r="E42" s="77">
        <v>17655.2837072357</v>
      </c>
      <c r="F42" s="78">
        <v>92.853475205701002</v>
      </c>
      <c r="G42" s="79">
        <v>0.13690132575609701</v>
      </c>
    </row>
    <row r="43" spans="1:7" x14ac:dyDescent="0.25">
      <c r="A43" s="6" t="s">
        <v>1094</v>
      </c>
      <c r="B43" s="6" t="s">
        <v>6138</v>
      </c>
      <c r="C43" s="72">
        <v>1498</v>
      </c>
      <c r="D43" s="72">
        <v>824465.54109154502</v>
      </c>
      <c r="E43" s="73">
        <v>14317.9619646803</v>
      </c>
      <c r="F43" s="74">
        <v>6.3930111510680296</v>
      </c>
      <c r="G43" s="75">
        <v>0.111023306540608</v>
      </c>
    </row>
    <row r="44" spans="1:7" x14ac:dyDescent="0.25">
      <c r="A44" s="11" t="s">
        <v>1092</v>
      </c>
      <c r="B44" s="11" t="s">
        <v>6137</v>
      </c>
      <c r="C44" s="76">
        <v>158</v>
      </c>
      <c r="D44" s="76">
        <v>97175.809474767098</v>
      </c>
      <c r="E44" s="77">
        <v>11825.1232431593</v>
      </c>
      <c r="F44" s="78">
        <v>0.75351364323092895</v>
      </c>
      <c r="G44" s="79">
        <v>9.1693516573394696E-2</v>
      </c>
    </row>
    <row r="45" spans="1:7" x14ac:dyDescent="0.25">
      <c r="A45" s="6" t="s">
        <v>6417</v>
      </c>
      <c r="B45" s="6" t="s">
        <v>6418</v>
      </c>
      <c r="C45" s="72">
        <v>26112</v>
      </c>
      <c r="D45" s="72">
        <v>12896357</v>
      </c>
      <c r="E45" s="73">
        <v>8.3490206382267695E-7</v>
      </c>
      <c r="F45" s="74">
        <v>100</v>
      </c>
      <c r="G45" s="75">
        <v>1.01233138679652E-13</v>
      </c>
    </row>
    <row r="46" spans="1:7" x14ac:dyDescent="0.25">
      <c r="A46" s="11" t="s">
        <v>6417</v>
      </c>
      <c r="B46" s="11" t="s">
        <v>6419</v>
      </c>
      <c r="C46" s="76">
        <v>26112</v>
      </c>
      <c r="D46" s="76">
        <v>12896357</v>
      </c>
      <c r="E46" s="77">
        <v>0</v>
      </c>
      <c r="F46" s="78">
        <v>100</v>
      </c>
      <c r="G46" s="79">
        <v>0</v>
      </c>
    </row>
    <row r="47" spans="1:7" x14ac:dyDescent="0.25">
      <c r="A47" s="3729" t="s">
        <v>640</v>
      </c>
      <c r="B47" s="3730"/>
      <c r="C47" s="3730"/>
      <c r="D47" s="3730"/>
      <c r="E47" s="3730"/>
      <c r="F47" s="3730"/>
      <c r="G47" s="3730"/>
    </row>
    <row r="48" spans="1:7" x14ac:dyDescent="0.25">
      <c r="A48" s="11" t="s">
        <v>1094</v>
      </c>
      <c r="B48" s="11" t="s">
        <v>6138</v>
      </c>
      <c r="C48" s="84">
        <v>18024</v>
      </c>
      <c r="D48" s="84">
        <v>9096491.93896164</v>
      </c>
      <c r="E48" s="85">
        <v>44575.550995460202</v>
      </c>
      <c r="F48" s="86">
        <v>70.535360791901397</v>
      </c>
      <c r="G48" s="87">
        <v>0.34564451802544099</v>
      </c>
    </row>
    <row r="49" spans="1:7" x14ac:dyDescent="0.25">
      <c r="A49" s="6" t="s">
        <v>1092</v>
      </c>
      <c r="B49" s="6" t="s">
        <v>6137</v>
      </c>
      <c r="C49" s="80">
        <v>8088</v>
      </c>
      <c r="D49" s="80">
        <v>3799865.06103838</v>
      </c>
      <c r="E49" s="81">
        <v>44575.550995504098</v>
      </c>
      <c r="F49" s="82">
        <v>29.464639208098699</v>
      </c>
      <c r="G49" s="83">
        <v>0.34564451802545199</v>
      </c>
    </row>
    <row r="50" spans="1:7" x14ac:dyDescent="0.25">
      <c r="A50" s="11" t="s">
        <v>6417</v>
      </c>
      <c r="B50" s="11" t="s">
        <v>6418</v>
      </c>
      <c r="C50" s="84">
        <v>26112</v>
      </c>
      <c r="D50" s="84">
        <v>12896357</v>
      </c>
      <c r="E50" s="85">
        <v>5.1823824619694596E-7</v>
      </c>
      <c r="F50" s="86">
        <v>100</v>
      </c>
      <c r="G50" s="87">
        <v>1.45362315675074E-14</v>
      </c>
    </row>
    <row r="51" spans="1:7" x14ac:dyDescent="0.25">
      <c r="A51" s="6" t="s">
        <v>6417</v>
      </c>
      <c r="B51" s="6" t="s">
        <v>6419</v>
      </c>
      <c r="C51" s="80">
        <v>26112</v>
      </c>
      <c r="D51" s="80">
        <v>12896357</v>
      </c>
      <c r="E51" s="81">
        <v>0</v>
      </c>
      <c r="F51" s="82">
        <v>100</v>
      </c>
      <c r="G51" s="83">
        <v>0</v>
      </c>
    </row>
    <row r="52" spans="1:7" x14ac:dyDescent="0.25">
      <c r="A52" s="3729" t="s">
        <v>341</v>
      </c>
      <c r="B52" s="3730"/>
      <c r="C52" s="3730"/>
      <c r="D52" s="3730"/>
      <c r="E52" s="3730"/>
      <c r="F52" s="3730"/>
      <c r="G52" s="3730"/>
    </row>
    <row r="53" spans="1:7" x14ac:dyDescent="0.25">
      <c r="A53" s="11" t="s">
        <v>1090</v>
      </c>
      <c r="B53" s="11" t="s">
        <v>3230</v>
      </c>
      <c r="C53" s="92">
        <v>18436</v>
      </c>
      <c r="D53" s="92">
        <v>6910427.0690345904</v>
      </c>
      <c r="E53" s="93">
        <v>296.97052904395099</v>
      </c>
      <c r="F53" s="94">
        <v>53.586591832261298</v>
      </c>
      <c r="G53" s="95">
        <v>9.22547940843241E-4</v>
      </c>
    </row>
    <row r="54" spans="1:7" x14ac:dyDescent="0.25">
      <c r="A54" s="6" t="s">
        <v>1092</v>
      </c>
      <c r="B54" s="6" t="s">
        <v>3231</v>
      </c>
      <c r="C54" s="88">
        <v>7444</v>
      </c>
      <c r="D54" s="88">
        <v>5851372.1458722698</v>
      </c>
      <c r="E54" s="89">
        <v>9870.7461960233595</v>
      </c>
      <c r="F54" s="90">
        <v>45.374198686583497</v>
      </c>
      <c r="G54" s="91">
        <v>7.6621814208990696E-2</v>
      </c>
    </row>
    <row r="55" spans="1:7" x14ac:dyDescent="0.25">
      <c r="A55" s="11" t="s">
        <v>1111</v>
      </c>
      <c r="B55" s="11" t="s">
        <v>3232</v>
      </c>
      <c r="C55" s="92">
        <v>225</v>
      </c>
      <c r="D55" s="92">
        <v>134014.518994832</v>
      </c>
      <c r="E55" s="93">
        <v>9859.5234313013607</v>
      </c>
      <c r="F55" s="94">
        <v>1.0392094811552799</v>
      </c>
      <c r="G55" s="95">
        <v>7.6453599119145399E-2</v>
      </c>
    </row>
    <row r="56" spans="1:7" x14ac:dyDescent="0.25">
      <c r="A56" s="6" t="s">
        <v>1086</v>
      </c>
      <c r="B56" s="6" t="s">
        <v>1087</v>
      </c>
      <c r="C56" s="88">
        <v>7</v>
      </c>
      <c r="D56" s="88">
        <v>543.26609832822203</v>
      </c>
      <c r="E56" s="89">
        <v>393.33031261893098</v>
      </c>
      <c r="F56" s="90">
        <v>100</v>
      </c>
      <c r="G56" s="91">
        <v>0</v>
      </c>
    </row>
    <row r="57" spans="1:7" x14ac:dyDescent="0.25">
      <c r="A57" s="11" t="s">
        <v>6417</v>
      </c>
      <c r="B57" s="11" t="s">
        <v>6418</v>
      </c>
      <c r="C57" s="92">
        <v>26105</v>
      </c>
      <c r="D57" s="92">
        <v>12895813.7339017</v>
      </c>
      <c r="E57" s="93">
        <v>393.33031263566397</v>
      </c>
      <c r="F57" s="94">
        <v>99.995787445258202</v>
      </c>
      <c r="G57" s="95">
        <v>3.0499335015231701E-3</v>
      </c>
    </row>
    <row r="58" spans="1:7" x14ac:dyDescent="0.25">
      <c r="A58" s="6" t="s">
        <v>6417</v>
      </c>
      <c r="B58" s="6" t="s">
        <v>6419</v>
      </c>
      <c r="C58" s="88">
        <v>26112</v>
      </c>
      <c r="D58" s="88">
        <v>12896357</v>
      </c>
      <c r="E58" s="89">
        <v>0</v>
      </c>
      <c r="F58" s="90">
        <v>100</v>
      </c>
      <c r="G58" s="91">
        <v>0</v>
      </c>
    </row>
    <row r="59" spans="1:7" x14ac:dyDescent="0.25">
      <c r="A59" s="3729" t="s">
        <v>346</v>
      </c>
      <c r="B59" s="3730"/>
      <c r="C59" s="3730"/>
      <c r="D59" s="3730"/>
      <c r="E59" s="3730"/>
      <c r="F59" s="3730"/>
      <c r="G59" s="3730"/>
    </row>
    <row r="60" spans="1:7" x14ac:dyDescent="0.25">
      <c r="A60" s="11" t="s">
        <v>6421</v>
      </c>
      <c r="B60" s="11"/>
      <c r="C60" s="100">
        <v>93</v>
      </c>
      <c r="D60" s="100">
        <v>70902.955392831704</v>
      </c>
      <c r="E60" s="101">
        <v>7426.1500290835702</v>
      </c>
      <c r="F60" s="102">
        <v>60.486196744144898</v>
      </c>
      <c r="G60" s="103">
        <v>5.1993294530599297</v>
      </c>
    </row>
    <row r="61" spans="1:7" x14ac:dyDescent="0.25">
      <c r="A61" s="6" t="s">
        <v>6422</v>
      </c>
      <c r="B61" s="6"/>
      <c r="C61" s="96">
        <v>46</v>
      </c>
      <c r="D61" s="96">
        <v>21464.371333246501</v>
      </c>
      <c r="E61" s="97">
        <v>6937.6518694878196</v>
      </c>
      <c r="F61" s="98">
        <v>18.3109177926227</v>
      </c>
      <c r="G61" s="99">
        <v>5.4691933595008502</v>
      </c>
    </row>
    <row r="62" spans="1:7" x14ac:dyDescent="0.25">
      <c r="A62" s="11" t="s">
        <v>6423</v>
      </c>
      <c r="B62" s="11"/>
      <c r="C62" s="100">
        <v>62</v>
      </c>
      <c r="D62" s="100">
        <v>20105.403199992699</v>
      </c>
      <c r="E62" s="101">
        <v>3626.5319153198202</v>
      </c>
      <c r="F62" s="102">
        <v>17.1516034393408</v>
      </c>
      <c r="G62" s="103">
        <v>3.0085584970923001</v>
      </c>
    </row>
    <row r="63" spans="1:7" x14ac:dyDescent="0.25">
      <c r="A63" s="6" t="s">
        <v>6424</v>
      </c>
      <c r="B63" s="6"/>
      <c r="C63" s="96">
        <v>7</v>
      </c>
      <c r="D63" s="96">
        <v>3705.8241278057199</v>
      </c>
      <c r="E63" s="97">
        <v>1786.74616420437</v>
      </c>
      <c r="F63" s="98">
        <v>3.1613803127354201</v>
      </c>
      <c r="G63" s="99">
        <v>1.5497309141558799</v>
      </c>
    </row>
    <row r="64" spans="1:7" x14ac:dyDescent="0.25">
      <c r="A64" s="11" t="s">
        <v>6425</v>
      </c>
      <c r="B64" s="11"/>
      <c r="C64" s="100">
        <v>1</v>
      </c>
      <c r="D64" s="100">
        <v>1043.1580216063501</v>
      </c>
      <c r="E64" s="101">
        <v>1047.3745898198599</v>
      </c>
      <c r="F64" s="102">
        <v>0.88990171115622796</v>
      </c>
      <c r="G64" s="103">
        <v>0.89704530950835704</v>
      </c>
    </row>
    <row r="65" spans="1:7" x14ac:dyDescent="0.25">
      <c r="A65" s="6" t="s">
        <v>1088</v>
      </c>
      <c r="B65" s="6" t="s">
        <v>1089</v>
      </c>
      <c r="C65" s="96">
        <v>25887</v>
      </c>
      <c r="D65" s="96">
        <v>12762342.481005199</v>
      </c>
      <c r="E65" s="97">
        <v>9859.5234313093097</v>
      </c>
      <c r="F65" s="98">
        <v>99.868591993581802</v>
      </c>
      <c r="G65" s="99">
        <v>4.9821571509078302E-2</v>
      </c>
    </row>
    <row r="66" spans="1:7" x14ac:dyDescent="0.25">
      <c r="A66" s="11" t="s">
        <v>1102</v>
      </c>
      <c r="B66" s="11" t="s">
        <v>1103</v>
      </c>
      <c r="C66" s="100">
        <v>16</v>
      </c>
      <c r="D66" s="100">
        <v>16792.806919348499</v>
      </c>
      <c r="E66" s="101">
        <v>6368.4673469379204</v>
      </c>
      <c r="F66" s="102">
        <v>0.13140800641821701</v>
      </c>
      <c r="G66" s="103">
        <v>4.98215715090791E-2</v>
      </c>
    </row>
    <row r="67" spans="1:7" x14ac:dyDescent="0.25">
      <c r="A67" s="6" t="s">
        <v>6417</v>
      </c>
      <c r="B67" s="6" t="s">
        <v>6418</v>
      </c>
      <c r="C67" s="96">
        <v>209</v>
      </c>
      <c r="D67" s="96">
        <v>117221.712075483</v>
      </c>
      <c r="E67" s="97">
        <v>8498.8833345950206</v>
      </c>
      <c r="F67" s="98">
        <v>0.90895213334651603</v>
      </c>
      <c r="G67" s="99">
        <v>6.5901427314664598E-2</v>
      </c>
    </row>
    <row r="68" spans="1:7" x14ac:dyDescent="0.25">
      <c r="A68" s="11" t="s">
        <v>6417</v>
      </c>
      <c r="B68" s="11" t="s">
        <v>6419</v>
      </c>
      <c r="C68" s="100">
        <v>26112</v>
      </c>
      <c r="D68" s="100">
        <v>12896357</v>
      </c>
      <c r="E68" s="101">
        <v>0</v>
      </c>
      <c r="F68" s="102">
        <v>100</v>
      </c>
      <c r="G68" s="103">
        <v>0</v>
      </c>
    </row>
    <row r="69" spans="1:7" x14ac:dyDescent="0.25">
      <c r="A69" s="3729" t="s">
        <v>288</v>
      </c>
      <c r="B69" s="3730"/>
      <c r="C69" s="3730"/>
      <c r="D69" s="3730"/>
      <c r="E69" s="3730"/>
      <c r="F69" s="3730"/>
      <c r="G69" s="3730"/>
    </row>
    <row r="70" spans="1:7" x14ac:dyDescent="0.25">
      <c r="A70" s="11" t="s">
        <v>6426</v>
      </c>
      <c r="B70" s="11"/>
      <c r="C70" s="108">
        <v>10928</v>
      </c>
      <c r="D70" s="108">
        <v>3899187.8414492202</v>
      </c>
      <c r="E70" s="109">
        <v>92.041547804571493</v>
      </c>
      <c r="F70" s="110">
        <v>30.234800738295402</v>
      </c>
      <c r="G70" s="111">
        <v>7.1370192218243303E-4</v>
      </c>
    </row>
    <row r="71" spans="1:7" x14ac:dyDescent="0.25">
      <c r="A71" s="6" t="s">
        <v>6427</v>
      </c>
      <c r="B71" s="6"/>
      <c r="C71" s="104">
        <v>8459</v>
      </c>
      <c r="D71" s="104">
        <v>3099858.1585507798</v>
      </c>
      <c r="E71" s="105">
        <v>92.041547792166099</v>
      </c>
      <c r="F71" s="106">
        <v>24.036696243371601</v>
      </c>
      <c r="G71" s="107">
        <v>7.1370192213970505E-4</v>
      </c>
    </row>
    <row r="72" spans="1:7" x14ac:dyDescent="0.25">
      <c r="A72" s="11" t="s">
        <v>6428</v>
      </c>
      <c r="B72" s="11"/>
      <c r="C72" s="108">
        <v>2320</v>
      </c>
      <c r="D72" s="108">
        <v>2367275.40993131</v>
      </c>
      <c r="E72" s="109">
        <v>43829.874130756398</v>
      </c>
      <c r="F72" s="110">
        <v>18.356156005384399</v>
      </c>
      <c r="G72" s="111">
        <v>0.339862444338006</v>
      </c>
    </row>
    <row r="73" spans="1:7" x14ac:dyDescent="0.25">
      <c r="A73" s="6" t="s">
        <v>6429</v>
      </c>
      <c r="B73" s="6"/>
      <c r="C73" s="104">
        <v>3218</v>
      </c>
      <c r="D73" s="104">
        <v>2124943</v>
      </c>
      <c r="E73" s="105">
        <v>1.7639020559498501E-8</v>
      </c>
      <c r="F73" s="106">
        <v>16.477079534941499</v>
      </c>
      <c r="G73" s="107">
        <v>2.8908467988956299E-13</v>
      </c>
    </row>
    <row r="74" spans="1:7" x14ac:dyDescent="0.25">
      <c r="A74" s="11" t="s">
        <v>6430</v>
      </c>
      <c r="B74" s="11"/>
      <c r="C74" s="108">
        <v>781</v>
      </c>
      <c r="D74" s="108">
        <v>903419.41879176605</v>
      </c>
      <c r="E74" s="109">
        <v>49171.022358941198</v>
      </c>
      <c r="F74" s="110">
        <v>7.0052296070259699</v>
      </c>
      <c r="G74" s="111">
        <v>0.38127839016043003</v>
      </c>
    </row>
    <row r="75" spans="1:7" x14ac:dyDescent="0.25">
      <c r="A75" s="6" t="s">
        <v>6431</v>
      </c>
      <c r="B75" s="6"/>
      <c r="C75" s="104">
        <v>255</v>
      </c>
      <c r="D75" s="104">
        <v>276774.37796999799</v>
      </c>
      <c r="E75" s="105">
        <v>23679.9447646267</v>
      </c>
      <c r="F75" s="106">
        <v>2.1461438914105599</v>
      </c>
      <c r="G75" s="107">
        <v>0.183617317391466</v>
      </c>
    </row>
    <row r="76" spans="1:7" x14ac:dyDescent="0.25">
      <c r="A76" s="11" t="s">
        <v>6432</v>
      </c>
      <c r="B76" s="11"/>
      <c r="C76" s="108">
        <v>100</v>
      </c>
      <c r="D76" s="108">
        <v>143148.30714336599</v>
      </c>
      <c r="E76" s="109">
        <v>19313.503100829199</v>
      </c>
      <c r="F76" s="110">
        <v>1.1099902642534301</v>
      </c>
      <c r="G76" s="111">
        <v>0.149759370811688</v>
      </c>
    </row>
    <row r="77" spans="1:7" x14ac:dyDescent="0.25">
      <c r="A77" s="6" t="s">
        <v>6433</v>
      </c>
      <c r="B77" s="6"/>
      <c r="C77" s="104">
        <v>32</v>
      </c>
      <c r="D77" s="104">
        <v>41667.986407722899</v>
      </c>
      <c r="E77" s="105">
        <v>12431.2118776566</v>
      </c>
      <c r="F77" s="106">
        <v>0.32309889070008602</v>
      </c>
      <c r="G77" s="107">
        <v>9.6393205287792605E-2</v>
      </c>
    </row>
    <row r="78" spans="1:7" x14ac:dyDescent="0.25">
      <c r="A78" s="11" t="s">
        <v>6434</v>
      </c>
      <c r="B78" s="11"/>
      <c r="C78" s="108">
        <v>12</v>
      </c>
      <c r="D78" s="108">
        <v>20586.7091946539</v>
      </c>
      <c r="E78" s="109">
        <v>7464.9264369171196</v>
      </c>
      <c r="F78" s="110">
        <v>0.15963197354612599</v>
      </c>
      <c r="G78" s="111">
        <v>5.78839934170335E-2</v>
      </c>
    </row>
    <row r="79" spans="1:7" x14ac:dyDescent="0.25">
      <c r="A79" s="6" t="s">
        <v>1123</v>
      </c>
      <c r="B79" s="6"/>
      <c r="C79" s="104">
        <v>6</v>
      </c>
      <c r="D79" s="104">
        <v>19495.790561181799</v>
      </c>
      <c r="E79" s="105">
        <v>8794.5465086428194</v>
      </c>
      <c r="F79" s="106">
        <v>0.151172851070902</v>
      </c>
      <c r="G79" s="107">
        <v>6.8194037344366507E-2</v>
      </c>
    </row>
    <row r="80" spans="1:7" x14ac:dyDescent="0.25">
      <c r="A80" s="11" t="s">
        <v>6417</v>
      </c>
      <c r="B80" s="11" t="s">
        <v>6418</v>
      </c>
      <c r="C80" s="108">
        <v>26111</v>
      </c>
      <c r="D80" s="108">
        <v>12896357</v>
      </c>
      <c r="E80" s="109">
        <v>1.15282107749198E-7</v>
      </c>
      <c r="F80" s="110">
        <v>100</v>
      </c>
      <c r="G80" s="111">
        <v>1.02786679142825E-14</v>
      </c>
    </row>
    <row r="81" spans="1:7" x14ac:dyDescent="0.25">
      <c r="A81" s="6" t="s">
        <v>6417</v>
      </c>
      <c r="B81" s="6" t="s">
        <v>6419</v>
      </c>
      <c r="C81" s="104">
        <v>26111</v>
      </c>
      <c r="D81" s="104">
        <v>12896357</v>
      </c>
      <c r="E81" s="105">
        <v>0</v>
      </c>
      <c r="F81" s="106">
        <v>100</v>
      </c>
      <c r="G81" s="107">
        <v>0</v>
      </c>
    </row>
    <row r="82" spans="1:7" x14ac:dyDescent="0.25">
      <c r="A82" s="3729" t="s">
        <v>295</v>
      </c>
      <c r="B82" s="3730"/>
      <c r="C82" s="3730"/>
      <c r="D82" s="3730"/>
      <c r="E82" s="3730"/>
      <c r="F82" s="3730"/>
      <c r="G82" s="3730"/>
    </row>
    <row r="83" spans="1:7" x14ac:dyDescent="0.25">
      <c r="A83" s="11" t="s">
        <v>6426</v>
      </c>
      <c r="B83" s="11"/>
      <c r="C83" s="116">
        <v>9778</v>
      </c>
      <c r="D83" s="116">
        <v>4457498.86208467</v>
      </c>
      <c r="E83" s="117">
        <v>37810.353287427097</v>
      </c>
      <c r="F83" s="118">
        <v>34.564015730059801</v>
      </c>
      <c r="G83" s="119">
        <v>0.29318631057918099</v>
      </c>
    </row>
    <row r="84" spans="1:7" x14ac:dyDescent="0.25">
      <c r="A84" s="6" t="s">
        <v>6427</v>
      </c>
      <c r="B84" s="6"/>
      <c r="C84" s="112">
        <v>8445</v>
      </c>
      <c r="D84" s="112">
        <v>4086066.4572164202</v>
      </c>
      <c r="E84" s="113">
        <v>3.1021235444990101</v>
      </c>
      <c r="F84" s="114">
        <v>31.683881403224401</v>
      </c>
      <c r="G84" s="115">
        <v>2.4054262176135101E-5</v>
      </c>
    </row>
    <row r="85" spans="1:7" x14ac:dyDescent="0.25">
      <c r="A85" s="11" t="s">
        <v>6429</v>
      </c>
      <c r="B85" s="11"/>
      <c r="C85" s="116">
        <v>4190</v>
      </c>
      <c r="D85" s="116">
        <v>2106930.0754993199</v>
      </c>
      <c r="E85" s="117">
        <v>81615.755486504597</v>
      </c>
      <c r="F85" s="118">
        <v>16.337405016775801</v>
      </c>
      <c r="G85" s="119">
        <v>0.63285899643213095</v>
      </c>
    </row>
    <row r="86" spans="1:7" x14ac:dyDescent="0.25">
      <c r="A86" s="6" t="s">
        <v>1292</v>
      </c>
      <c r="B86" s="6"/>
      <c r="C86" s="112">
        <v>1170</v>
      </c>
      <c r="D86" s="112">
        <v>965650.77254044299</v>
      </c>
      <c r="E86" s="113">
        <v>1.2996135808090701</v>
      </c>
      <c r="F86" s="114">
        <v>7.4877794755561098</v>
      </c>
      <c r="G86" s="115">
        <v>1.00773697241658E-5</v>
      </c>
    </row>
    <row r="87" spans="1:7" x14ac:dyDescent="0.25">
      <c r="A87" s="11" t="s">
        <v>6428</v>
      </c>
      <c r="B87" s="11"/>
      <c r="C87" s="116">
        <v>1628</v>
      </c>
      <c r="D87" s="116">
        <v>861182.57957003999</v>
      </c>
      <c r="E87" s="117">
        <v>55007.659204942101</v>
      </c>
      <c r="F87" s="118">
        <v>6.6777197589213699</v>
      </c>
      <c r="G87" s="119">
        <v>0.42653641803605902</v>
      </c>
    </row>
    <row r="88" spans="1:7" x14ac:dyDescent="0.25">
      <c r="A88" s="6" t="s">
        <v>6430</v>
      </c>
      <c r="B88" s="6"/>
      <c r="C88" s="112">
        <v>551</v>
      </c>
      <c r="D88" s="112">
        <v>271947.309268301</v>
      </c>
      <c r="E88" s="113">
        <v>27031.303425358201</v>
      </c>
      <c r="F88" s="114">
        <v>2.10871418392265</v>
      </c>
      <c r="G88" s="115">
        <v>0.209604180664031</v>
      </c>
    </row>
    <row r="89" spans="1:7" x14ac:dyDescent="0.25">
      <c r="A89" s="11" t="s">
        <v>6431</v>
      </c>
      <c r="B89" s="11"/>
      <c r="C89" s="116">
        <v>200</v>
      </c>
      <c r="D89" s="116">
        <v>89314.887169907204</v>
      </c>
      <c r="E89" s="117">
        <v>14129.9967355094</v>
      </c>
      <c r="F89" s="118">
        <v>0.69255904725580397</v>
      </c>
      <c r="G89" s="119">
        <v>0.109565800136499</v>
      </c>
    </row>
    <row r="90" spans="1:7" x14ac:dyDescent="0.25">
      <c r="A90" s="6" t="s">
        <v>6432</v>
      </c>
      <c r="B90" s="6"/>
      <c r="C90" s="112">
        <v>88</v>
      </c>
      <c r="D90" s="112">
        <v>36773.338909929902</v>
      </c>
      <c r="E90" s="113">
        <v>11065.680048087699</v>
      </c>
      <c r="F90" s="114">
        <v>0.28514516859241601</v>
      </c>
      <c r="G90" s="115">
        <v>8.5804697001545596E-2</v>
      </c>
    </row>
    <row r="91" spans="1:7" x14ac:dyDescent="0.25">
      <c r="A91" s="11" t="s">
        <v>6433</v>
      </c>
      <c r="B91" s="11"/>
      <c r="C91" s="116">
        <v>26</v>
      </c>
      <c r="D91" s="116">
        <v>8827.3194625024898</v>
      </c>
      <c r="E91" s="117">
        <v>3876.5210863522302</v>
      </c>
      <c r="F91" s="118">
        <v>6.8448163016133101E-2</v>
      </c>
      <c r="G91" s="119">
        <v>3.0059039823046401E-2</v>
      </c>
    </row>
    <row r="92" spans="1:7" x14ac:dyDescent="0.25">
      <c r="A92" s="6" t="s">
        <v>6434</v>
      </c>
      <c r="B92" s="6"/>
      <c r="C92" s="112">
        <v>13</v>
      </c>
      <c r="D92" s="112">
        <v>4870.5714986799503</v>
      </c>
      <c r="E92" s="113">
        <v>3149.8563271191802</v>
      </c>
      <c r="F92" s="114">
        <v>3.7767033734254898E-2</v>
      </c>
      <c r="G92" s="115">
        <v>2.4424388430928E-2</v>
      </c>
    </row>
    <row r="93" spans="1:7" x14ac:dyDescent="0.25">
      <c r="A93" s="11" t="s">
        <v>1127</v>
      </c>
      <c r="B93" s="11"/>
      <c r="C93" s="116">
        <v>8</v>
      </c>
      <c r="D93" s="116">
        <v>3906.1201018756301</v>
      </c>
      <c r="E93" s="117">
        <v>3368.0297230107699</v>
      </c>
      <c r="F93" s="118">
        <v>3.0288554371405998E-2</v>
      </c>
      <c r="G93" s="119">
        <v>2.6116132819607701E-2</v>
      </c>
    </row>
    <row r="94" spans="1:7" x14ac:dyDescent="0.25">
      <c r="A94" s="6" t="s">
        <v>1123</v>
      </c>
      <c r="B94" s="6"/>
      <c r="C94" s="112">
        <v>12</v>
      </c>
      <c r="D94" s="112">
        <v>2852.73378606403</v>
      </c>
      <c r="E94" s="113">
        <v>1319.97003106191</v>
      </c>
      <c r="F94" s="114">
        <v>2.2120462282984501E-2</v>
      </c>
      <c r="G94" s="115">
        <v>1.02352162789996E-2</v>
      </c>
    </row>
    <row r="95" spans="1:7" x14ac:dyDescent="0.25">
      <c r="A95" s="11" t="s">
        <v>1125</v>
      </c>
      <c r="B95" s="11"/>
      <c r="C95" s="116">
        <v>3</v>
      </c>
      <c r="D95" s="116">
        <v>535.97289184528802</v>
      </c>
      <c r="E95" s="117">
        <v>393.28672106032201</v>
      </c>
      <c r="F95" s="118">
        <v>4.1560022868883601E-3</v>
      </c>
      <c r="G95" s="119">
        <v>3.0495954870070801E-3</v>
      </c>
    </row>
    <row r="96" spans="1:7" x14ac:dyDescent="0.25">
      <c r="A96" s="6" t="s">
        <v>6417</v>
      </c>
      <c r="B96" s="6" t="s">
        <v>6418</v>
      </c>
      <c r="C96" s="112">
        <v>26112</v>
      </c>
      <c r="D96" s="112">
        <v>12896357</v>
      </c>
      <c r="E96" s="113">
        <v>8.9023637921732595E-8</v>
      </c>
      <c r="F96" s="114">
        <v>100</v>
      </c>
      <c r="G96" s="115">
        <v>1.02786679142825E-14</v>
      </c>
    </row>
    <row r="97" spans="1:7" x14ac:dyDescent="0.25">
      <c r="A97" s="11" t="s">
        <v>6417</v>
      </c>
      <c r="B97" s="11" t="s">
        <v>6419</v>
      </c>
      <c r="C97" s="116">
        <v>26112</v>
      </c>
      <c r="D97" s="116">
        <v>12896357</v>
      </c>
      <c r="E97" s="117">
        <v>0</v>
      </c>
      <c r="F97" s="118">
        <v>100</v>
      </c>
      <c r="G97" s="119">
        <v>0</v>
      </c>
    </row>
    <row r="98" spans="1:7" x14ac:dyDescent="0.25">
      <c r="A98" s="3729" t="s">
        <v>272</v>
      </c>
      <c r="B98" s="3730"/>
      <c r="C98" s="3730"/>
      <c r="D98" s="3730"/>
      <c r="E98" s="3730"/>
      <c r="F98" s="3730"/>
      <c r="G98" s="3730"/>
    </row>
    <row r="99" spans="1:7" x14ac:dyDescent="0.25">
      <c r="A99" s="11" t="s">
        <v>1100</v>
      </c>
      <c r="B99" s="11" t="s">
        <v>3120</v>
      </c>
      <c r="C99" s="124">
        <v>4135</v>
      </c>
      <c r="D99" s="124">
        <v>1882464.5688434199</v>
      </c>
      <c r="E99" s="125">
        <v>43170.136807832401</v>
      </c>
      <c r="F99" s="126">
        <v>14.985145853785401</v>
      </c>
      <c r="G99" s="127">
        <v>0.32923479136661798</v>
      </c>
    </row>
    <row r="100" spans="1:7" x14ac:dyDescent="0.25">
      <c r="A100" s="6" t="s">
        <v>1109</v>
      </c>
      <c r="B100" s="6" t="s">
        <v>3121</v>
      </c>
      <c r="C100" s="120">
        <v>3406</v>
      </c>
      <c r="D100" s="120">
        <v>1583598.58027768</v>
      </c>
      <c r="E100" s="121">
        <v>53439.761208256699</v>
      </c>
      <c r="F100" s="122">
        <v>12.6060570233672</v>
      </c>
      <c r="G100" s="123">
        <v>0.42132854787003199</v>
      </c>
    </row>
    <row r="101" spans="1:7" x14ac:dyDescent="0.25">
      <c r="A101" s="11" t="s">
        <v>1098</v>
      </c>
      <c r="B101" s="11" t="s">
        <v>3119</v>
      </c>
      <c r="C101" s="124">
        <v>2729</v>
      </c>
      <c r="D101" s="124">
        <v>1284404.5917792199</v>
      </c>
      <c r="E101" s="125">
        <v>36025.669893618098</v>
      </c>
      <c r="F101" s="126">
        <v>10.224357186658001</v>
      </c>
      <c r="G101" s="127">
        <v>0.29009909769421699</v>
      </c>
    </row>
    <row r="102" spans="1:7" x14ac:dyDescent="0.25">
      <c r="A102" s="6" t="s">
        <v>1119</v>
      </c>
      <c r="B102" s="6" t="s">
        <v>3122</v>
      </c>
      <c r="C102" s="120">
        <v>2812</v>
      </c>
      <c r="D102" s="120">
        <v>1256487.69644887</v>
      </c>
      <c r="E102" s="121">
        <v>40701.781490866502</v>
      </c>
      <c r="F102" s="122">
        <v>10.0021279053031</v>
      </c>
      <c r="G102" s="123">
        <v>0.33482121281319399</v>
      </c>
    </row>
    <row r="103" spans="1:7" x14ac:dyDescent="0.25">
      <c r="A103" s="11" t="s">
        <v>1096</v>
      </c>
      <c r="B103" s="11" t="s">
        <v>3118</v>
      </c>
      <c r="C103" s="124">
        <v>2216</v>
      </c>
      <c r="D103" s="124">
        <v>1185744.2471342999</v>
      </c>
      <c r="E103" s="125">
        <v>38412.184856855602</v>
      </c>
      <c r="F103" s="126">
        <v>9.4389826946444799</v>
      </c>
      <c r="G103" s="127">
        <v>0.29188888592650802</v>
      </c>
    </row>
    <row r="104" spans="1:7" x14ac:dyDescent="0.25">
      <c r="A104" s="6" t="s">
        <v>1094</v>
      </c>
      <c r="B104" s="6" t="s">
        <v>3117</v>
      </c>
      <c r="C104" s="120">
        <v>2086</v>
      </c>
      <c r="D104" s="120">
        <v>1153887.40377522</v>
      </c>
      <c r="E104" s="121">
        <v>58342.321838264899</v>
      </c>
      <c r="F104" s="122">
        <v>9.1853899035353503</v>
      </c>
      <c r="G104" s="123">
        <v>0.46240692609783601</v>
      </c>
    </row>
    <row r="105" spans="1:7" x14ac:dyDescent="0.25">
      <c r="A105" s="11" t="s">
        <v>1125</v>
      </c>
      <c r="B105" s="11" t="s">
        <v>3125</v>
      </c>
      <c r="C105" s="124">
        <v>2169</v>
      </c>
      <c r="D105" s="124">
        <v>1062128.42131291</v>
      </c>
      <c r="E105" s="125">
        <v>32018.925892331801</v>
      </c>
      <c r="F105" s="126">
        <v>8.4549529230203007</v>
      </c>
      <c r="G105" s="127">
        <v>0.26038046938811799</v>
      </c>
    </row>
    <row r="106" spans="1:7" x14ac:dyDescent="0.25">
      <c r="A106" s="6" t="s">
        <v>1123</v>
      </c>
      <c r="B106" s="6" t="s">
        <v>3124</v>
      </c>
      <c r="C106" s="120">
        <v>1844</v>
      </c>
      <c r="D106" s="120">
        <v>917481.91937539098</v>
      </c>
      <c r="E106" s="121">
        <v>28575.7909457108</v>
      </c>
      <c r="F106" s="122">
        <v>7.3035108376559199</v>
      </c>
      <c r="G106" s="123">
        <v>0.21598334442758099</v>
      </c>
    </row>
    <row r="107" spans="1:7" x14ac:dyDescent="0.25">
      <c r="A107" s="11" t="s">
        <v>1090</v>
      </c>
      <c r="B107" s="11" t="s">
        <v>3115</v>
      </c>
      <c r="C107" s="124">
        <v>1036</v>
      </c>
      <c r="D107" s="124">
        <v>821052.57387949899</v>
      </c>
      <c r="E107" s="125">
        <v>29832.344093409502</v>
      </c>
      <c r="F107" s="126">
        <v>6.5358959615210601</v>
      </c>
      <c r="G107" s="127">
        <v>0.233195083157721</v>
      </c>
    </row>
    <row r="108" spans="1:7" x14ac:dyDescent="0.25">
      <c r="A108" s="6" t="s">
        <v>1121</v>
      </c>
      <c r="B108" s="6" t="s">
        <v>3123</v>
      </c>
      <c r="C108" s="120">
        <v>1683</v>
      </c>
      <c r="D108" s="120">
        <v>799134.36724701303</v>
      </c>
      <c r="E108" s="121">
        <v>38535.469704479998</v>
      </c>
      <c r="F108" s="122">
        <v>6.3614185616924903</v>
      </c>
      <c r="G108" s="123">
        <v>0.31940289913758002</v>
      </c>
    </row>
    <row r="109" spans="1:7" x14ac:dyDescent="0.25">
      <c r="A109" s="11" t="s">
        <v>1092</v>
      </c>
      <c r="B109" s="11" t="s">
        <v>3116</v>
      </c>
      <c r="C109" s="124">
        <v>1193</v>
      </c>
      <c r="D109" s="124">
        <v>615819.47639682796</v>
      </c>
      <c r="E109" s="125">
        <v>23828.587558958301</v>
      </c>
      <c r="F109" s="126">
        <v>4.9021611488167203</v>
      </c>
      <c r="G109" s="127">
        <v>0.18846237255152201</v>
      </c>
    </row>
    <row r="110" spans="1:7" x14ac:dyDescent="0.25">
      <c r="A110" s="6" t="s">
        <v>1086</v>
      </c>
      <c r="B110" s="6" t="s">
        <v>1087</v>
      </c>
      <c r="C110" s="120">
        <v>662</v>
      </c>
      <c r="D110" s="120">
        <v>227108.03180553499</v>
      </c>
      <c r="E110" s="121">
        <v>27530.766481098999</v>
      </c>
      <c r="F110" s="122">
        <v>67.965251683725796</v>
      </c>
      <c r="G110" s="123">
        <v>3.82071647781919</v>
      </c>
    </row>
    <row r="111" spans="1:7" x14ac:dyDescent="0.25">
      <c r="A111" s="11" t="s">
        <v>1084</v>
      </c>
      <c r="B111" s="11" t="s">
        <v>1085</v>
      </c>
      <c r="C111" s="124">
        <v>136</v>
      </c>
      <c r="D111" s="124">
        <v>104580.51800481101</v>
      </c>
      <c r="E111" s="125">
        <v>13789.514924552999</v>
      </c>
      <c r="F111" s="126">
        <v>31.297181217693101</v>
      </c>
      <c r="G111" s="127">
        <v>3.75684833740522</v>
      </c>
    </row>
    <row r="112" spans="1:7" x14ac:dyDescent="0.25">
      <c r="A112" s="6" t="s">
        <v>1102</v>
      </c>
      <c r="B112" s="6" t="s">
        <v>1103</v>
      </c>
      <c r="C112" s="120">
        <v>5</v>
      </c>
      <c r="D112" s="120">
        <v>2464.6037193062102</v>
      </c>
      <c r="E112" s="121">
        <v>1964.8707244018201</v>
      </c>
      <c r="F112" s="122">
        <v>0.73756709858118996</v>
      </c>
      <c r="G112" s="123">
        <v>0.59784480581051103</v>
      </c>
    </row>
    <row r="113" spans="1:7" x14ac:dyDescent="0.25">
      <c r="A113" s="11" t="s">
        <v>6417</v>
      </c>
      <c r="B113" s="11" t="s">
        <v>6418</v>
      </c>
      <c r="C113" s="124">
        <v>25309</v>
      </c>
      <c r="D113" s="124">
        <v>12562203.8464703</v>
      </c>
      <c r="E113" s="125">
        <v>31277.142211603201</v>
      </c>
      <c r="F113" s="126">
        <v>97.408933751371407</v>
      </c>
      <c r="G113" s="127">
        <v>0.24252695712133199</v>
      </c>
    </row>
    <row r="114" spans="1:7" x14ac:dyDescent="0.25">
      <c r="A114" s="6" t="s">
        <v>6417</v>
      </c>
      <c r="B114" s="6" t="s">
        <v>6419</v>
      </c>
      <c r="C114" s="120">
        <v>26112</v>
      </c>
      <c r="D114" s="120">
        <v>12896357</v>
      </c>
      <c r="E114" s="121">
        <v>0</v>
      </c>
      <c r="F114" s="122">
        <v>100</v>
      </c>
      <c r="G114" s="123">
        <v>0</v>
      </c>
    </row>
    <row r="115" spans="1:7" x14ac:dyDescent="0.25">
      <c r="A115" s="3729" t="s">
        <v>378</v>
      </c>
      <c r="B115" s="3730"/>
      <c r="C115" s="3730"/>
      <c r="D115" s="3730"/>
      <c r="E115" s="3730"/>
      <c r="F115" s="3730"/>
      <c r="G115" s="3730"/>
    </row>
    <row r="116" spans="1:7" x14ac:dyDescent="0.25">
      <c r="A116" s="11" t="s">
        <v>1092</v>
      </c>
      <c r="B116" s="11" t="s">
        <v>1271</v>
      </c>
      <c r="C116" s="132">
        <v>11198</v>
      </c>
      <c r="D116" s="132">
        <v>7011043.8984568296</v>
      </c>
      <c r="E116" s="133">
        <v>108696.88680484499</v>
      </c>
      <c r="F116" s="134">
        <v>55.8986961114419</v>
      </c>
      <c r="G116" s="135">
        <v>0.90301592416066601</v>
      </c>
    </row>
    <row r="117" spans="1:7" x14ac:dyDescent="0.25">
      <c r="A117" s="6" t="s">
        <v>1090</v>
      </c>
      <c r="B117" s="6" t="s">
        <v>3242</v>
      </c>
      <c r="C117" s="128">
        <v>14144</v>
      </c>
      <c r="D117" s="128">
        <v>5531366.5443186704</v>
      </c>
      <c r="E117" s="129">
        <v>118346.92098856901</v>
      </c>
      <c r="F117" s="130">
        <v>44.1013038885581</v>
      </c>
      <c r="G117" s="131">
        <v>0.90301592416066701</v>
      </c>
    </row>
    <row r="118" spans="1:7" x14ac:dyDescent="0.25">
      <c r="A118" s="11" t="s">
        <v>1088</v>
      </c>
      <c r="B118" s="11" t="s">
        <v>1089</v>
      </c>
      <c r="C118" s="132">
        <v>767</v>
      </c>
      <c r="D118" s="132">
        <v>353723.57822024799</v>
      </c>
      <c r="E118" s="133">
        <v>29579.1514276956</v>
      </c>
      <c r="F118" s="134">
        <v>99.937002070036996</v>
      </c>
      <c r="G118" s="135">
        <v>6.2708450227448295E-2</v>
      </c>
    </row>
    <row r="119" spans="1:7" x14ac:dyDescent="0.25">
      <c r="A119" s="6" t="s">
        <v>1086</v>
      </c>
      <c r="B119" s="6" t="s">
        <v>1147</v>
      </c>
      <c r="C119" s="128">
        <v>3</v>
      </c>
      <c r="D119" s="128">
        <v>222.97900422674499</v>
      </c>
      <c r="E119" s="129">
        <v>223.36200644428999</v>
      </c>
      <c r="F119" s="130">
        <v>6.2997929963005905E-2</v>
      </c>
      <c r="G119" s="131">
        <v>6.2708450227451099E-2</v>
      </c>
    </row>
    <row r="120" spans="1:7" x14ac:dyDescent="0.25">
      <c r="A120" s="11" t="s">
        <v>6417</v>
      </c>
      <c r="B120" s="11" t="s">
        <v>6418</v>
      </c>
      <c r="C120" s="132">
        <v>25342</v>
      </c>
      <c r="D120" s="132">
        <v>12542410.442775499</v>
      </c>
      <c r="E120" s="133">
        <v>29709.157164590499</v>
      </c>
      <c r="F120" s="134">
        <v>97.255453170034997</v>
      </c>
      <c r="G120" s="135">
        <v>0.23036860071878501</v>
      </c>
    </row>
    <row r="121" spans="1:7" x14ac:dyDescent="0.25">
      <c r="A121" s="6" t="s">
        <v>6417</v>
      </c>
      <c r="B121" s="6" t="s">
        <v>6419</v>
      </c>
      <c r="C121" s="128">
        <v>26112</v>
      </c>
      <c r="D121" s="128">
        <v>12896357</v>
      </c>
      <c r="E121" s="129">
        <v>0</v>
      </c>
      <c r="F121" s="130">
        <v>100</v>
      </c>
      <c r="G121" s="131">
        <v>0</v>
      </c>
    </row>
    <row r="122" spans="1:7" x14ac:dyDescent="0.25">
      <c r="A122" s="3729" t="s">
        <v>518</v>
      </c>
      <c r="B122" s="3730"/>
      <c r="C122" s="3730"/>
      <c r="D122" s="3730"/>
      <c r="E122" s="3730"/>
      <c r="F122" s="3730"/>
      <c r="G122" s="3730"/>
    </row>
    <row r="123" spans="1:7" x14ac:dyDescent="0.25">
      <c r="A123" s="11" t="s">
        <v>1090</v>
      </c>
      <c r="B123" s="11" t="s">
        <v>1181</v>
      </c>
      <c r="C123" s="140">
        <v>19307</v>
      </c>
      <c r="D123" s="140">
        <v>9261666.0830847602</v>
      </c>
      <c r="E123" s="141">
        <v>41946.3165117545</v>
      </c>
      <c r="F123" s="142">
        <v>73.341156641239095</v>
      </c>
      <c r="G123" s="143">
        <v>0.28759164123460101</v>
      </c>
    </row>
    <row r="124" spans="1:7" x14ac:dyDescent="0.25">
      <c r="A124" s="6" t="s">
        <v>1092</v>
      </c>
      <c r="B124" s="6" t="s">
        <v>1149</v>
      </c>
      <c r="C124" s="136">
        <v>2865</v>
      </c>
      <c r="D124" s="136">
        <v>1484439.1887900501</v>
      </c>
      <c r="E124" s="137">
        <v>41916.413691911097</v>
      </c>
      <c r="F124" s="138">
        <v>11.7549570555435</v>
      </c>
      <c r="G124" s="139">
        <v>0.332656024757016</v>
      </c>
    </row>
    <row r="125" spans="1:7" x14ac:dyDescent="0.25">
      <c r="A125" s="11" t="s">
        <v>1098</v>
      </c>
      <c r="B125" s="11" t="s">
        <v>6113</v>
      </c>
      <c r="C125" s="140">
        <v>1955</v>
      </c>
      <c r="D125" s="140">
        <v>998681.15632901504</v>
      </c>
      <c r="E125" s="141">
        <v>51906.280974203</v>
      </c>
      <c r="F125" s="142">
        <v>7.9083428903522703</v>
      </c>
      <c r="G125" s="143">
        <v>0.40525155466311402</v>
      </c>
    </row>
    <row r="126" spans="1:7" x14ac:dyDescent="0.25">
      <c r="A126" s="6" t="s">
        <v>1094</v>
      </c>
      <c r="B126" s="6" t="s">
        <v>1150</v>
      </c>
      <c r="C126" s="136">
        <v>1113</v>
      </c>
      <c r="D126" s="136">
        <v>615447.54251135199</v>
      </c>
      <c r="E126" s="137">
        <v>22501.434140730202</v>
      </c>
      <c r="F126" s="138">
        <v>4.8735977107001096</v>
      </c>
      <c r="G126" s="139">
        <v>0.17850923229003801</v>
      </c>
    </row>
    <row r="127" spans="1:7" x14ac:dyDescent="0.25">
      <c r="A127" s="11" t="s">
        <v>1096</v>
      </c>
      <c r="B127" s="11" t="s">
        <v>1151</v>
      </c>
      <c r="C127" s="140">
        <v>511</v>
      </c>
      <c r="D127" s="140">
        <v>267963.49334963498</v>
      </c>
      <c r="E127" s="141">
        <v>29967.620195891901</v>
      </c>
      <c r="F127" s="142">
        <v>2.1219457021650201</v>
      </c>
      <c r="G127" s="143">
        <v>0.239779437955978</v>
      </c>
    </row>
    <row r="128" spans="1:7" x14ac:dyDescent="0.25">
      <c r="A128" s="6" t="s">
        <v>1088</v>
      </c>
      <c r="B128" s="6" t="s">
        <v>1089</v>
      </c>
      <c r="C128" s="136">
        <v>361</v>
      </c>
      <c r="D128" s="136">
        <v>268159.53593516501</v>
      </c>
      <c r="E128" s="137">
        <v>23262.4560559204</v>
      </c>
      <c r="F128" s="138">
        <v>100</v>
      </c>
      <c r="G128" s="139">
        <v>0</v>
      </c>
    </row>
    <row r="129" spans="1:7" x14ac:dyDescent="0.25">
      <c r="A129" s="11" t="s">
        <v>6417</v>
      </c>
      <c r="B129" s="11" t="s">
        <v>6418</v>
      </c>
      <c r="C129" s="140">
        <v>25751</v>
      </c>
      <c r="D129" s="140">
        <v>12628197.464064799</v>
      </c>
      <c r="E129" s="141">
        <v>23262.456055906201</v>
      </c>
      <c r="F129" s="142">
        <v>97.920656694482304</v>
      </c>
      <c r="G129" s="143">
        <v>0.18038005659985701</v>
      </c>
    </row>
    <row r="130" spans="1:7" x14ac:dyDescent="0.25">
      <c r="A130" s="6" t="s">
        <v>6417</v>
      </c>
      <c r="B130" s="6" t="s">
        <v>6419</v>
      </c>
      <c r="C130" s="136">
        <v>26112</v>
      </c>
      <c r="D130" s="136">
        <v>12896357</v>
      </c>
      <c r="E130" s="137">
        <v>0</v>
      </c>
      <c r="F130" s="138">
        <v>100</v>
      </c>
      <c r="G130" s="139">
        <v>0</v>
      </c>
    </row>
    <row r="131" spans="1:7" x14ac:dyDescent="0.25">
      <c r="A131" s="3729" t="s">
        <v>689</v>
      </c>
      <c r="B131" s="3730"/>
      <c r="C131" s="3730"/>
      <c r="D131" s="3730"/>
      <c r="E131" s="3730"/>
      <c r="F131" s="3730"/>
      <c r="G131" s="3730"/>
    </row>
    <row r="132" spans="1:7" x14ac:dyDescent="0.25">
      <c r="A132" s="11" t="s">
        <v>1090</v>
      </c>
      <c r="B132" s="11" t="s">
        <v>1148</v>
      </c>
      <c r="C132" s="148">
        <v>18280</v>
      </c>
      <c r="D132" s="148">
        <v>10022823.0702843</v>
      </c>
      <c r="E132" s="149">
        <v>58339.775530446503</v>
      </c>
      <c r="F132" s="150">
        <v>79.752072928520107</v>
      </c>
      <c r="G132" s="151">
        <v>0.40908796497627498</v>
      </c>
    </row>
    <row r="133" spans="1:7" x14ac:dyDescent="0.25">
      <c r="A133" s="6" t="s">
        <v>1098</v>
      </c>
      <c r="B133" s="6" t="s">
        <v>1152</v>
      </c>
      <c r="C133" s="144">
        <v>4692</v>
      </c>
      <c r="D133" s="144">
        <v>1573245.5475492401</v>
      </c>
      <c r="E133" s="145">
        <v>34619.603471426301</v>
      </c>
      <c r="F133" s="146">
        <v>12.5183885580709</v>
      </c>
      <c r="G133" s="147">
        <v>0.26800775763354301</v>
      </c>
    </row>
    <row r="134" spans="1:7" x14ac:dyDescent="0.25">
      <c r="A134" s="11" t="s">
        <v>1092</v>
      </c>
      <c r="B134" s="11" t="s">
        <v>1182</v>
      </c>
      <c r="C134" s="148">
        <v>1516</v>
      </c>
      <c r="D134" s="148">
        <v>620427.24240261596</v>
      </c>
      <c r="E134" s="149">
        <v>41837.899948252103</v>
      </c>
      <c r="F134" s="150">
        <v>4.9367686465137197</v>
      </c>
      <c r="G134" s="151">
        <v>0.33810926827728499</v>
      </c>
    </row>
    <row r="135" spans="1:7" x14ac:dyDescent="0.25">
      <c r="A135" s="6" t="s">
        <v>1094</v>
      </c>
      <c r="B135" s="6" t="s">
        <v>1150</v>
      </c>
      <c r="C135" s="144">
        <v>629</v>
      </c>
      <c r="D135" s="144">
        <v>223915.34662608599</v>
      </c>
      <c r="E135" s="145">
        <v>16374.150939373199</v>
      </c>
      <c r="F135" s="146">
        <v>1.78170490776027</v>
      </c>
      <c r="G135" s="147">
        <v>0.12875970572332701</v>
      </c>
    </row>
    <row r="136" spans="1:7" x14ac:dyDescent="0.25">
      <c r="A136" s="11" t="s">
        <v>1096</v>
      </c>
      <c r="B136" s="11" t="s">
        <v>1151</v>
      </c>
      <c r="C136" s="148">
        <v>351</v>
      </c>
      <c r="D136" s="148">
        <v>127065.35173144699</v>
      </c>
      <c r="E136" s="149">
        <v>13085.9326460382</v>
      </c>
      <c r="F136" s="150">
        <v>1.01106495913501</v>
      </c>
      <c r="G136" s="151">
        <v>0.104729874373081</v>
      </c>
    </row>
    <row r="137" spans="1:7" x14ac:dyDescent="0.25">
      <c r="A137" s="6" t="s">
        <v>1088</v>
      </c>
      <c r="B137" s="6" t="s">
        <v>1089</v>
      </c>
      <c r="C137" s="144">
        <v>644</v>
      </c>
      <c r="D137" s="144">
        <v>328880.441406289</v>
      </c>
      <c r="E137" s="145">
        <v>21807.659170244198</v>
      </c>
      <c r="F137" s="146">
        <v>100</v>
      </c>
      <c r="G137" s="147">
        <v>0</v>
      </c>
    </row>
    <row r="138" spans="1:7" x14ac:dyDescent="0.25">
      <c r="A138" s="11" t="s">
        <v>6417</v>
      </c>
      <c r="B138" s="11" t="s">
        <v>6418</v>
      </c>
      <c r="C138" s="148">
        <v>25468</v>
      </c>
      <c r="D138" s="148">
        <v>12567476.5585937</v>
      </c>
      <c r="E138" s="149">
        <v>21807.659170213799</v>
      </c>
      <c r="F138" s="150">
        <v>97.449819034892599</v>
      </c>
      <c r="G138" s="151">
        <v>0.16909937566277899</v>
      </c>
    </row>
    <row r="139" spans="1:7" x14ac:dyDescent="0.25">
      <c r="A139" s="6" t="s">
        <v>6417</v>
      </c>
      <c r="B139" s="6" t="s">
        <v>6419</v>
      </c>
      <c r="C139" s="144">
        <v>26112</v>
      </c>
      <c r="D139" s="144">
        <v>12896357</v>
      </c>
      <c r="E139" s="145">
        <v>0</v>
      </c>
      <c r="F139" s="146">
        <v>100</v>
      </c>
      <c r="G139" s="147">
        <v>0</v>
      </c>
    </row>
    <row r="140" spans="1:7" x14ac:dyDescent="0.25">
      <c r="A140" s="3729" t="s">
        <v>713</v>
      </c>
      <c r="B140" s="3730"/>
      <c r="C140" s="3730"/>
      <c r="D140" s="3730"/>
      <c r="E140" s="3730"/>
      <c r="F140" s="3730"/>
      <c r="G140" s="3730"/>
    </row>
    <row r="141" spans="1:7" x14ac:dyDescent="0.25">
      <c r="A141" s="11" t="s">
        <v>1090</v>
      </c>
      <c r="B141" s="11" t="s">
        <v>1148</v>
      </c>
      <c r="C141" s="156">
        <v>8437</v>
      </c>
      <c r="D141" s="156">
        <v>4236504.1980579402</v>
      </c>
      <c r="E141" s="157">
        <v>59154.128575672803</v>
      </c>
      <c r="F141" s="158">
        <v>34.499229432073797</v>
      </c>
      <c r="G141" s="159">
        <v>0.52538295635668397</v>
      </c>
    </row>
    <row r="142" spans="1:7" x14ac:dyDescent="0.25">
      <c r="A142" s="6" t="s">
        <v>1098</v>
      </c>
      <c r="B142" s="6" t="s">
        <v>6113</v>
      </c>
      <c r="C142" s="152">
        <v>9217</v>
      </c>
      <c r="D142" s="152">
        <v>3958748.4394840701</v>
      </c>
      <c r="E142" s="153">
        <v>40949.837213571103</v>
      </c>
      <c r="F142" s="154">
        <v>32.237374092590699</v>
      </c>
      <c r="G142" s="155">
        <v>0.34086748500004999</v>
      </c>
    </row>
    <row r="143" spans="1:7" x14ac:dyDescent="0.25">
      <c r="A143" s="11" t="s">
        <v>1092</v>
      </c>
      <c r="B143" s="11" t="s">
        <v>1182</v>
      </c>
      <c r="C143" s="156">
        <v>3602</v>
      </c>
      <c r="D143" s="156">
        <v>2034194.14972012</v>
      </c>
      <c r="E143" s="157">
        <v>47582.580442302002</v>
      </c>
      <c r="F143" s="158">
        <v>16.565103538135801</v>
      </c>
      <c r="G143" s="159">
        <v>0.373256349638732</v>
      </c>
    </row>
    <row r="144" spans="1:7" x14ac:dyDescent="0.25">
      <c r="A144" s="6" t="s">
        <v>1094</v>
      </c>
      <c r="B144" s="6" t="s">
        <v>1150</v>
      </c>
      <c r="C144" s="152">
        <v>2367</v>
      </c>
      <c r="D144" s="152">
        <v>1350340.1357959299</v>
      </c>
      <c r="E144" s="153">
        <v>70587.381598007196</v>
      </c>
      <c r="F144" s="154">
        <v>10.9962582304337</v>
      </c>
      <c r="G144" s="155">
        <v>0.55893105448843605</v>
      </c>
    </row>
    <row r="145" spans="1:7" x14ac:dyDescent="0.25">
      <c r="A145" s="11" t="s">
        <v>1096</v>
      </c>
      <c r="B145" s="11" t="s">
        <v>1151</v>
      </c>
      <c r="C145" s="156">
        <v>1401</v>
      </c>
      <c r="D145" s="156">
        <v>700209.667588335</v>
      </c>
      <c r="E145" s="157">
        <v>31370.626217644902</v>
      </c>
      <c r="F145" s="158">
        <v>5.7020347067659696</v>
      </c>
      <c r="G145" s="159">
        <v>0.25648572115870399</v>
      </c>
    </row>
    <row r="146" spans="1:7" x14ac:dyDescent="0.25">
      <c r="A146" s="6" t="s">
        <v>1088</v>
      </c>
      <c r="B146" s="6" t="s">
        <v>1089</v>
      </c>
      <c r="C146" s="152">
        <v>1086</v>
      </c>
      <c r="D146" s="152">
        <v>612303.61703652295</v>
      </c>
      <c r="E146" s="153">
        <v>34672.004163432597</v>
      </c>
      <c r="F146" s="154">
        <v>99.3418149096684</v>
      </c>
      <c r="G146" s="155">
        <v>0.62442968759607598</v>
      </c>
    </row>
    <row r="147" spans="1:7" x14ac:dyDescent="0.25">
      <c r="A147" s="11" t="s">
        <v>1086</v>
      </c>
      <c r="B147" s="11" t="s">
        <v>1087</v>
      </c>
      <c r="C147" s="156">
        <v>2</v>
      </c>
      <c r="D147" s="156">
        <v>4056.7923170721501</v>
      </c>
      <c r="E147" s="157">
        <v>3848.7441563256202</v>
      </c>
      <c r="F147" s="158">
        <v>0.658185090331595</v>
      </c>
      <c r="G147" s="159">
        <v>0.62442968759607598</v>
      </c>
    </row>
    <row r="148" spans="1:7" x14ac:dyDescent="0.25">
      <c r="A148" s="6" t="s">
        <v>6417</v>
      </c>
      <c r="B148" s="6" t="s">
        <v>6418</v>
      </c>
      <c r="C148" s="152">
        <v>25024</v>
      </c>
      <c r="D148" s="152">
        <v>12279996.590646399</v>
      </c>
      <c r="E148" s="153">
        <v>34060.251016933697</v>
      </c>
      <c r="F148" s="154">
        <v>95.220662630899596</v>
      </c>
      <c r="G148" s="155">
        <v>0.26410753840734402</v>
      </c>
    </row>
    <row r="149" spans="1:7" x14ac:dyDescent="0.25">
      <c r="A149" s="11" t="s">
        <v>6417</v>
      </c>
      <c r="B149" s="11" t="s">
        <v>6419</v>
      </c>
      <c r="C149" s="156">
        <v>26112</v>
      </c>
      <c r="D149" s="156">
        <v>12896357</v>
      </c>
      <c r="E149" s="157">
        <v>0</v>
      </c>
      <c r="F149" s="158">
        <v>100</v>
      </c>
      <c r="G149" s="159">
        <v>0</v>
      </c>
    </row>
    <row r="150" spans="1:7" x14ac:dyDescent="0.25">
      <c r="A150" s="3729" t="s">
        <v>464</v>
      </c>
      <c r="B150" s="3730"/>
      <c r="C150" s="3730"/>
      <c r="D150" s="3730"/>
      <c r="E150" s="3730"/>
      <c r="F150" s="3730"/>
      <c r="G150" s="3730"/>
    </row>
    <row r="151" spans="1:7" x14ac:dyDescent="0.25">
      <c r="A151" s="11" t="s">
        <v>1098</v>
      </c>
      <c r="B151" s="11" t="s">
        <v>6113</v>
      </c>
      <c r="C151" s="164">
        <v>6252</v>
      </c>
      <c r="D151" s="164">
        <v>3022837.9296446801</v>
      </c>
      <c r="E151" s="165">
        <v>51722.9094021153</v>
      </c>
      <c r="F151" s="166">
        <v>83.574390618259798</v>
      </c>
      <c r="G151" s="167">
        <v>0.66101670933777201</v>
      </c>
    </row>
    <row r="152" spans="1:7" x14ac:dyDescent="0.25">
      <c r="A152" s="6" t="s">
        <v>1090</v>
      </c>
      <c r="B152" s="6" t="s">
        <v>1148</v>
      </c>
      <c r="C152" s="160">
        <v>610</v>
      </c>
      <c r="D152" s="160">
        <v>356757.67527468398</v>
      </c>
      <c r="E152" s="161">
        <v>18070.2467379468</v>
      </c>
      <c r="F152" s="162">
        <v>9.8635143541994008</v>
      </c>
      <c r="G152" s="163">
        <v>0.55126680754519797</v>
      </c>
    </row>
    <row r="153" spans="1:7" x14ac:dyDescent="0.25">
      <c r="A153" s="11" t="s">
        <v>1092</v>
      </c>
      <c r="B153" s="11" t="s">
        <v>1182</v>
      </c>
      <c r="C153" s="164">
        <v>278</v>
      </c>
      <c r="D153" s="164">
        <v>149758.862154929</v>
      </c>
      <c r="E153" s="165">
        <v>16856.519085516898</v>
      </c>
      <c r="F153" s="166">
        <v>4.1404818702117296</v>
      </c>
      <c r="G153" s="167">
        <v>0.449674888302867</v>
      </c>
    </row>
    <row r="154" spans="1:7" x14ac:dyDescent="0.25">
      <c r="A154" s="6" t="s">
        <v>1094</v>
      </c>
      <c r="B154" s="6" t="s">
        <v>1150</v>
      </c>
      <c r="C154" s="160">
        <v>148</v>
      </c>
      <c r="D154" s="160">
        <v>55916.380089762002</v>
      </c>
      <c r="E154" s="161">
        <v>15164.2240519184</v>
      </c>
      <c r="F154" s="162">
        <v>1.5459569782922999</v>
      </c>
      <c r="G154" s="163">
        <v>0.41709487876314</v>
      </c>
    </row>
    <row r="155" spans="1:7" x14ac:dyDescent="0.25">
      <c r="A155" s="11" t="s">
        <v>1096</v>
      </c>
      <c r="B155" s="11" t="s">
        <v>1151</v>
      </c>
      <c r="C155" s="164">
        <v>70</v>
      </c>
      <c r="D155" s="164">
        <v>31671.983387954599</v>
      </c>
      <c r="E155" s="165">
        <v>6997.1600504164498</v>
      </c>
      <c r="F155" s="166">
        <v>0.87565617903672799</v>
      </c>
      <c r="G155" s="167">
        <v>0.18858607062434199</v>
      </c>
    </row>
    <row r="156" spans="1:7" x14ac:dyDescent="0.25">
      <c r="A156" s="6" t="s">
        <v>1088</v>
      </c>
      <c r="B156" s="6" t="s">
        <v>1089</v>
      </c>
      <c r="C156" s="160">
        <v>18695</v>
      </c>
      <c r="D156" s="160">
        <v>9252712.7575742695</v>
      </c>
      <c r="E156" s="161">
        <v>53224.468161194804</v>
      </c>
      <c r="F156" s="162">
        <v>99.712251103505693</v>
      </c>
      <c r="G156" s="163">
        <v>6.2902608804683693E-2</v>
      </c>
    </row>
    <row r="157" spans="1:7" x14ac:dyDescent="0.25">
      <c r="A157" s="11" t="s">
        <v>1084</v>
      </c>
      <c r="B157" s="11" t="s">
        <v>1153</v>
      </c>
      <c r="C157" s="164">
        <v>45</v>
      </c>
      <c r="D157" s="164">
        <v>21095.445527975899</v>
      </c>
      <c r="E157" s="165">
        <v>5856.6178405050696</v>
      </c>
      <c r="F157" s="166">
        <v>0.22733596262392899</v>
      </c>
      <c r="G157" s="167">
        <v>6.2902063336962299E-2</v>
      </c>
    </row>
    <row r="158" spans="1:7" x14ac:dyDescent="0.25">
      <c r="A158" s="6" t="s">
        <v>1086</v>
      </c>
      <c r="B158" s="6" t="s">
        <v>1087</v>
      </c>
      <c r="C158" s="160">
        <v>14</v>
      </c>
      <c r="D158" s="160">
        <v>5605.9663457483402</v>
      </c>
      <c r="E158" s="161">
        <v>2232.9483879384202</v>
      </c>
      <c r="F158" s="162">
        <v>6.0412933870391303E-2</v>
      </c>
      <c r="G158" s="163">
        <v>2.4306524822441701E-2</v>
      </c>
    </row>
    <row r="159" spans="1:7" x14ac:dyDescent="0.25">
      <c r="A159" s="11" t="s">
        <v>6417</v>
      </c>
      <c r="B159" s="11" t="s">
        <v>6418</v>
      </c>
      <c r="C159" s="164">
        <v>7358</v>
      </c>
      <c r="D159" s="164">
        <v>3616942.8305520099</v>
      </c>
      <c r="E159" s="165">
        <v>52095.777439876503</v>
      </c>
      <c r="F159" s="166">
        <v>28.0462368601614</v>
      </c>
      <c r="G159" s="167">
        <v>0.40395731476629498</v>
      </c>
    </row>
    <row r="160" spans="1:7" x14ac:dyDescent="0.25">
      <c r="A160" s="6" t="s">
        <v>6417</v>
      </c>
      <c r="B160" s="6" t="s">
        <v>6419</v>
      </c>
      <c r="C160" s="160">
        <v>26112</v>
      </c>
      <c r="D160" s="160">
        <v>12896357</v>
      </c>
      <c r="E160" s="161">
        <v>0</v>
      </c>
      <c r="F160" s="162">
        <v>100</v>
      </c>
      <c r="G160" s="163">
        <v>0</v>
      </c>
    </row>
    <row r="161" spans="1:7" x14ac:dyDescent="0.25">
      <c r="A161" s="3729" t="s">
        <v>467</v>
      </c>
      <c r="B161" s="3730"/>
      <c r="C161" s="3730"/>
      <c r="D161" s="3730"/>
      <c r="E161" s="3730"/>
      <c r="F161" s="3730"/>
      <c r="G161" s="3730"/>
    </row>
    <row r="162" spans="1:7" x14ac:dyDescent="0.25">
      <c r="A162" s="11" t="s">
        <v>1088</v>
      </c>
      <c r="B162" s="11" t="s">
        <v>1089</v>
      </c>
      <c r="C162" s="172">
        <v>24404</v>
      </c>
      <c r="D162" s="172">
        <v>12030444.270849699</v>
      </c>
      <c r="E162" s="173">
        <v>38134.6366477337</v>
      </c>
      <c r="F162" s="174">
        <v>99.565352158718397</v>
      </c>
      <c r="G162" s="175">
        <v>5.4764052634835803E-2</v>
      </c>
    </row>
    <row r="163" spans="1:7" x14ac:dyDescent="0.25">
      <c r="A163" s="6" t="s">
        <v>1102</v>
      </c>
      <c r="B163" s="6" t="s">
        <v>1103</v>
      </c>
      <c r="C163" s="168">
        <v>103</v>
      </c>
      <c r="D163" s="168">
        <v>52518.336134112498</v>
      </c>
      <c r="E163" s="169">
        <v>6701.8357739038202</v>
      </c>
      <c r="F163" s="170">
        <v>0.43464784128155498</v>
      </c>
      <c r="G163" s="171">
        <v>5.4764052634837398E-2</v>
      </c>
    </row>
    <row r="164" spans="1:7" x14ac:dyDescent="0.25">
      <c r="A164" s="11" t="s">
        <v>6417</v>
      </c>
      <c r="B164" s="11" t="s">
        <v>6418</v>
      </c>
      <c r="C164" s="172">
        <v>1529</v>
      </c>
      <c r="D164" s="172">
        <v>813394.393016243</v>
      </c>
      <c r="E164" s="173">
        <v>41001.740045491897</v>
      </c>
      <c r="F164" s="174">
        <v>6.3071640542848</v>
      </c>
      <c r="G164" s="175">
        <v>0.31793273127824201</v>
      </c>
    </row>
    <row r="165" spans="1:7" x14ac:dyDescent="0.25">
      <c r="A165" s="6" t="s">
        <v>6417</v>
      </c>
      <c r="B165" s="6" t="s">
        <v>6419</v>
      </c>
      <c r="C165" s="168">
        <v>26036</v>
      </c>
      <c r="D165" s="168">
        <v>12896357</v>
      </c>
      <c r="E165" s="169">
        <v>0</v>
      </c>
      <c r="F165" s="170">
        <v>100</v>
      </c>
      <c r="G165" s="171">
        <v>0</v>
      </c>
    </row>
    <row r="166" spans="1:7" x14ac:dyDescent="0.25">
      <c r="A166" s="3729" t="s">
        <v>925</v>
      </c>
      <c r="B166" s="3730"/>
      <c r="C166" s="3730"/>
      <c r="D166" s="3730"/>
      <c r="E166" s="3730"/>
      <c r="F166" s="3730"/>
      <c r="G166" s="3730"/>
    </row>
    <row r="167" spans="1:7" x14ac:dyDescent="0.25">
      <c r="A167" s="11" t="s">
        <v>1090</v>
      </c>
      <c r="B167" s="11" t="s">
        <v>1148</v>
      </c>
      <c r="C167" s="180">
        <v>5555</v>
      </c>
      <c r="D167" s="180">
        <v>2924630.4655257198</v>
      </c>
      <c r="E167" s="181">
        <v>41845.612093139702</v>
      </c>
      <c r="F167" s="182">
        <v>24.614062908222301</v>
      </c>
      <c r="G167" s="183">
        <v>0.31941999496094597</v>
      </c>
    </row>
    <row r="168" spans="1:7" x14ac:dyDescent="0.25">
      <c r="A168" s="6" t="s">
        <v>1092</v>
      </c>
      <c r="B168" s="6" t="s">
        <v>1182</v>
      </c>
      <c r="C168" s="176">
        <v>5511</v>
      </c>
      <c r="D168" s="176">
        <v>2820986.2877479801</v>
      </c>
      <c r="E168" s="177">
        <v>49409.639064887597</v>
      </c>
      <c r="F168" s="178">
        <v>23.741780292704401</v>
      </c>
      <c r="G168" s="179">
        <v>0.41681772443368598</v>
      </c>
    </row>
    <row r="169" spans="1:7" x14ac:dyDescent="0.25">
      <c r="A169" s="11" t="s">
        <v>1094</v>
      </c>
      <c r="B169" s="11" t="s">
        <v>1150</v>
      </c>
      <c r="C169" s="180">
        <v>4215</v>
      </c>
      <c r="D169" s="180">
        <v>2162208.6077046199</v>
      </c>
      <c r="E169" s="181">
        <v>49085.430331236799</v>
      </c>
      <c r="F169" s="182">
        <v>18.1974233388062</v>
      </c>
      <c r="G169" s="183">
        <v>0.38690280697871798</v>
      </c>
    </row>
    <row r="170" spans="1:7" x14ac:dyDescent="0.25">
      <c r="A170" s="6" t="s">
        <v>1096</v>
      </c>
      <c r="B170" s="6" t="s">
        <v>1151</v>
      </c>
      <c r="C170" s="176">
        <v>4318</v>
      </c>
      <c r="D170" s="176">
        <v>2084402.85007998</v>
      </c>
      <c r="E170" s="177">
        <v>70770.131724454797</v>
      </c>
      <c r="F170" s="178">
        <v>17.5426001618717</v>
      </c>
      <c r="G170" s="179">
        <v>0.61619683629239297</v>
      </c>
    </row>
    <row r="171" spans="1:7" x14ac:dyDescent="0.25">
      <c r="A171" s="11" t="s">
        <v>1098</v>
      </c>
      <c r="B171" s="11" t="s">
        <v>1152</v>
      </c>
      <c r="C171" s="180">
        <v>4454</v>
      </c>
      <c r="D171" s="180">
        <v>1889721.0487233901</v>
      </c>
      <c r="E171" s="181">
        <v>43888.920934969603</v>
      </c>
      <c r="F171" s="182">
        <v>15.904133298395401</v>
      </c>
      <c r="G171" s="183">
        <v>0.35974446124098702</v>
      </c>
    </row>
    <row r="172" spans="1:7" x14ac:dyDescent="0.25">
      <c r="A172" s="6" t="s">
        <v>1088</v>
      </c>
      <c r="B172" s="6" t="s">
        <v>1089</v>
      </c>
      <c r="C172" s="176">
        <v>2056</v>
      </c>
      <c r="D172" s="176">
        <v>1013427.09493051</v>
      </c>
      <c r="E172" s="177">
        <v>37641.060931219203</v>
      </c>
      <c r="F172" s="178">
        <v>99.903328292073894</v>
      </c>
      <c r="G172" s="179">
        <v>9.7805705100865795E-2</v>
      </c>
    </row>
    <row r="173" spans="1:7" x14ac:dyDescent="0.25">
      <c r="A173" s="11" t="s">
        <v>1086</v>
      </c>
      <c r="B173" s="11" t="s">
        <v>1087</v>
      </c>
      <c r="C173" s="180">
        <v>1</v>
      </c>
      <c r="D173" s="180">
        <v>738.09690177475397</v>
      </c>
      <c r="E173" s="181">
        <v>745.97956136488096</v>
      </c>
      <c r="F173" s="182">
        <v>7.2761363356307104E-2</v>
      </c>
      <c r="G173" s="183">
        <v>7.3807191208629094E-2</v>
      </c>
    </row>
    <row r="174" spans="1:7" x14ac:dyDescent="0.25">
      <c r="A174" s="6" t="s">
        <v>1084</v>
      </c>
      <c r="B174" s="6" t="s">
        <v>1085</v>
      </c>
      <c r="C174" s="176">
        <v>2</v>
      </c>
      <c r="D174" s="176">
        <v>242.54838602902601</v>
      </c>
      <c r="E174" s="177">
        <v>242.96834968169901</v>
      </c>
      <c r="F174" s="178">
        <v>2.39103445698103E-2</v>
      </c>
      <c r="G174" s="179">
        <v>2.4031370769195499E-2</v>
      </c>
    </row>
    <row r="175" spans="1:7" x14ac:dyDescent="0.25">
      <c r="A175" s="11" t="s">
        <v>6417</v>
      </c>
      <c r="B175" s="11" t="s">
        <v>6418</v>
      </c>
      <c r="C175" s="180">
        <v>24053</v>
      </c>
      <c r="D175" s="180">
        <v>11881949.2597817</v>
      </c>
      <c r="E175" s="181">
        <v>37457.329076090398</v>
      </c>
      <c r="F175" s="182">
        <v>92.134152767185995</v>
      </c>
      <c r="G175" s="183">
        <v>0.29044891573708698</v>
      </c>
    </row>
    <row r="176" spans="1:7" x14ac:dyDescent="0.25">
      <c r="A176" s="6" t="s">
        <v>6417</v>
      </c>
      <c r="B176" s="6" t="s">
        <v>6419</v>
      </c>
      <c r="C176" s="176">
        <v>26112</v>
      </c>
      <c r="D176" s="176">
        <v>12896357</v>
      </c>
      <c r="E176" s="177">
        <v>0</v>
      </c>
      <c r="F176" s="178">
        <v>100</v>
      </c>
      <c r="G176" s="179">
        <v>0</v>
      </c>
    </row>
    <row r="177" spans="1:7" x14ac:dyDescent="0.25">
      <c r="A177" s="3729" t="s">
        <v>46</v>
      </c>
      <c r="B177" s="3730"/>
      <c r="C177" s="3730"/>
      <c r="D177" s="3730"/>
      <c r="E177" s="3730"/>
      <c r="F177" s="3730"/>
      <c r="G177" s="3730"/>
    </row>
    <row r="178" spans="1:7" x14ac:dyDescent="0.25">
      <c r="A178" s="11" t="s">
        <v>1098</v>
      </c>
      <c r="B178" s="11" t="s">
        <v>1152</v>
      </c>
      <c r="C178" s="188">
        <v>14722</v>
      </c>
      <c r="D178" s="188">
        <v>7331434.4552067202</v>
      </c>
      <c r="E178" s="189">
        <v>67848.840219961799</v>
      </c>
      <c r="F178" s="190">
        <v>64.534175481365295</v>
      </c>
      <c r="G178" s="191">
        <v>0.61569939970944498</v>
      </c>
    </row>
    <row r="179" spans="1:7" x14ac:dyDescent="0.25">
      <c r="A179" s="6" t="s">
        <v>1096</v>
      </c>
      <c r="B179" s="6" t="s">
        <v>1151</v>
      </c>
      <c r="C179" s="184">
        <v>4332</v>
      </c>
      <c r="D179" s="184">
        <v>2049448.2131518601</v>
      </c>
      <c r="E179" s="185">
        <v>56919.798081739202</v>
      </c>
      <c r="F179" s="186">
        <v>18.0400508843918</v>
      </c>
      <c r="G179" s="187">
        <v>0.50170565785449805</v>
      </c>
    </row>
    <row r="180" spans="1:7" x14ac:dyDescent="0.25">
      <c r="A180" s="11" t="s">
        <v>1094</v>
      </c>
      <c r="B180" s="11" t="s">
        <v>1150</v>
      </c>
      <c r="C180" s="188">
        <v>2071</v>
      </c>
      <c r="D180" s="188">
        <v>983690.67986211495</v>
      </c>
      <c r="E180" s="189">
        <v>25687.653812837401</v>
      </c>
      <c r="F180" s="190">
        <v>8.6588330484931397</v>
      </c>
      <c r="G180" s="191">
        <v>0.21580564754697201</v>
      </c>
    </row>
    <row r="181" spans="1:7" x14ac:dyDescent="0.25">
      <c r="A181" s="6" t="s">
        <v>1092</v>
      </c>
      <c r="B181" s="6" t="s">
        <v>1149</v>
      </c>
      <c r="C181" s="184">
        <v>1460</v>
      </c>
      <c r="D181" s="184">
        <v>655755.51963945501</v>
      </c>
      <c r="E181" s="185">
        <v>27927.530146357502</v>
      </c>
      <c r="F181" s="186">
        <v>5.7722185250162203</v>
      </c>
      <c r="G181" s="187">
        <v>0.24730234522546099</v>
      </c>
    </row>
    <row r="182" spans="1:7" x14ac:dyDescent="0.25">
      <c r="A182" s="11" t="s">
        <v>1090</v>
      </c>
      <c r="B182" s="11" t="s">
        <v>1148</v>
      </c>
      <c r="C182" s="188">
        <v>643</v>
      </c>
      <c r="D182" s="188">
        <v>340216.76632669498</v>
      </c>
      <c r="E182" s="189">
        <v>31688.573163655899</v>
      </c>
      <c r="F182" s="190">
        <v>2.9947220607335501</v>
      </c>
      <c r="G182" s="191">
        <v>0.27372868183785598</v>
      </c>
    </row>
    <row r="183" spans="1:7" x14ac:dyDescent="0.25">
      <c r="A183" s="6" t="s">
        <v>1088</v>
      </c>
      <c r="B183" s="6" t="s">
        <v>1089</v>
      </c>
      <c r="C183" s="184">
        <v>2879</v>
      </c>
      <c r="D183" s="184">
        <v>1534713.59502406</v>
      </c>
      <c r="E183" s="185">
        <v>35257.1022582273</v>
      </c>
      <c r="F183" s="186">
        <v>99.928521769436102</v>
      </c>
      <c r="G183" s="187">
        <v>6.4013154211516099E-2</v>
      </c>
    </row>
    <row r="184" spans="1:7" x14ac:dyDescent="0.25">
      <c r="A184" s="11" t="s">
        <v>1084</v>
      </c>
      <c r="B184" s="11" t="s">
        <v>1085</v>
      </c>
      <c r="C184" s="188">
        <v>3</v>
      </c>
      <c r="D184" s="188">
        <v>980.64528780377998</v>
      </c>
      <c r="E184" s="189">
        <v>988.61583963697899</v>
      </c>
      <c r="F184" s="190">
        <v>6.3851935832274095E-2</v>
      </c>
      <c r="G184" s="191">
        <v>6.4422799685653107E-2</v>
      </c>
    </row>
    <row r="185" spans="1:7" x14ac:dyDescent="0.25">
      <c r="A185" s="6" t="s">
        <v>1086</v>
      </c>
      <c r="B185" s="6" t="s">
        <v>1147</v>
      </c>
      <c r="C185" s="184">
        <v>2</v>
      </c>
      <c r="D185" s="184">
        <v>117.12550127853299</v>
      </c>
      <c r="E185" s="185">
        <v>118.29706896744</v>
      </c>
      <c r="F185" s="186">
        <v>7.6262947316137596E-3</v>
      </c>
      <c r="G185" s="187">
        <v>7.6988728819447497E-3</v>
      </c>
    </row>
    <row r="186" spans="1:7" x14ac:dyDescent="0.25">
      <c r="A186" s="11" t="s">
        <v>6417</v>
      </c>
      <c r="B186" s="11" t="s">
        <v>6418</v>
      </c>
      <c r="C186" s="188">
        <v>23228</v>
      </c>
      <c r="D186" s="188">
        <v>11360545.634186801</v>
      </c>
      <c r="E186" s="189">
        <v>35502.1323902964</v>
      </c>
      <c r="F186" s="190">
        <v>88.091122432380402</v>
      </c>
      <c r="G186" s="191">
        <v>0.27528807081167</v>
      </c>
    </row>
    <row r="187" spans="1:7" x14ac:dyDescent="0.25">
      <c r="A187" s="6" t="s">
        <v>6417</v>
      </c>
      <c r="B187" s="6" t="s">
        <v>6419</v>
      </c>
      <c r="C187" s="184">
        <v>26112</v>
      </c>
      <c r="D187" s="184">
        <v>12896357</v>
      </c>
      <c r="E187" s="185">
        <v>0</v>
      </c>
      <c r="F187" s="186">
        <v>100</v>
      </c>
      <c r="G187" s="187">
        <v>0</v>
      </c>
    </row>
    <row r="188" spans="1:7" x14ac:dyDescent="0.25">
      <c r="A188" s="3729" t="s">
        <v>122</v>
      </c>
      <c r="B188" s="3730"/>
      <c r="C188" s="3730"/>
      <c r="D188" s="3730"/>
      <c r="E188" s="3730"/>
      <c r="F188" s="3730"/>
      <c r="G188" s="3730"/>
    </row>
    <row r="189" spans="1:7" x14ac:dyDescent="0.25">
      <c r="A189" s="11" t="s">
        <v>1090</v>
      </c>
      <c r="B189" s="11" t="s">
        <v>1148</v>
      </c>
      <c r="C189" s="196">
        <v>18980</v>
      </c>
      <c r="D189" s="196">
        <v>9647499.7629837692</v>
      </c>
      <c r="E189" s="197">
        <v>78515.448946537697</v>
      </c>
      <c r="F189" s="198">
        <v>77.010207544669498</v>
      </c>
      <c r="G189" s="199">
        <v>0.63363323354552603</v>
      </c>
    </row>
    <row r="190" spans="1:7" x14ac:dyDescent="0.25">
      <c r="A190" s="6" t="s">
        <v>1092</v>
      </c>
      <c r="B190" s="6" t="s">
        <v>1182</v>
      </c>
      <c r="C190" s="192">
        <v>5044</v>
      </c>
      <c r="D190" s="192">
        <v>1822090.83683202</v>
      </c>
      <c r="E190" s="193">
        <v>76812.085601425206</v>
      </c>
      <c r="F190" s="194">
        <v>14.5446589227255</v>
      </c>
      <c r="G190" s="195">
        <v>0.61140434863250404</v>
      </c>
    </row>
    <row r="191" spans="1:7" x14ac:dyDescent="0.25">
      <c r="A191" s="11" t="s">
        <v>1098</v>
      </c>
      <c r="B191" s="11" t="s">
        <v>1152</v>
      </c>
      <c r="C191" s="196">
        <v>677</v>
      </c>
      <c r="D191" s="196">
        <v>523247.52483353799</v>
      </c>
      <c r="E191" s="197">
        <v>32810.203915700302</v>
      </c>
      <c r="F191" s="198">
        <v>4.1767713370954098</v>
      </c>
      <c r="G191" s="199">
        <v>0.26384752744812401</v>
      </c>
    </row>
    <row r="192" spans="1:7" x14ac:dyDescent="0.25">
      <c r="A192" s="6" t="s">
        <v>1094</v>
      </c>
      <c r="B192" s="6" t="s">
        <v>1150</v>
      </c>
      <c r="C192" s="192">
        <v>736</v>
      </c>
      <c r="D192" s="192">
        <v>405733.39205682901</v>
      </c>
      <c r="E192" s="193">
        <v>26046.4496524397</v>
      </c>
      <c r="F192" s="194">
        <v>3.23872645739621</v>
      </c>
      <c r="G192" s="195">
        <v>0.20600428131869</v>
      </c>
    </row>
    <row r="193" spans="1:7" x14ac:dyDescent="0.25">
      <c r="A193" s="11" t="s">
        <v>1096</v>
      </c>
      <c r="B193" s="11" t="s">
        <v>1151</v>
      </c>
      <c r="C193" s="196">
        <v>166</v>
      </c>
      <c r="D193" s="196">
        <v>128988.23228915301</v>
      </c>
      <c r="E193" s="197">
        <v>20865.911784813099</v>
      </c>
      <c r="F193" s="198">
        <v>1.0296357381132999</v>
      </c>
      <c r="G193" s="199">
        <v>0.16604514042756399</v>
      </c>
    </row>
    <row r="194" spans="1:7" x14ac:dyDescent="0.25">
      <c r="A194" s="6" t="s">
        <v>1088</v>
      </c>
      <c r="B194" s="6" t="s">
        <v>1089</v>
      </c>
      <c r="C194" s="192">
        <v>507</v>
      </c>
      <c r="D194" s="192">
        <v>368328.567437961</v>
      </c>
      <c r="E194" s="193">
        <v>18162.239298071599</v>
      </c>
      <c r="F194" s="194">
        <v>99.872915656105206</v>
      </c>
      <c r="G194" s="195">
        <v>0.12788859002616401</v>
      </c>
    </row>
    <row r="195" spans="1:7" x14ac:dyDescent="0.25">
      <c r="A195" s="11" t="s">
        <v>1084</v>
      </c>
      <c r="B195" s="11" t="s">
        <v>1153</v>
      </c>
      <c r="C195" s="196">
        <v>1</v>
      </c>
      <c r="D195" s="196">
        <v>468.68356674122401</v>
      </c>
      <c r="E195" s="197">
        <v>470.03630430692601</v>
      </c>
      <c r="F195" s="198">
        <v>0.12708434389475601</v>
      </c>
      <c r="G195" s="199">
        <v>0.12788859002616401</v>
      </c>
    </row>
    <row r="196" spans="1:7" x14ac:dyDescent="0.25">
      <c r="A196" s="6" t="s">
        <v>6417</v>
      </c>
      <c r="B196" s="6" t="s">
        <v>6418</v>
      </c>
      <c r="C196" s="192">
        <v>25603</v>
      </c>
      <c r="D196" s="192">
        <v>12527559.7489953</v>
      </c>
      <c r="E196" s="193">
        <v>17991.377897364498</v>
      </c>
      <c r="F196" s="194">
        <v>97.1402989929272</v>
      </c>
      <c r="G196" s="195">
        <v>0.139507443050538</v>
      </c>
    </row>
    <row r="197" spans="1:7" x14ac:dyDescent="0.25">
      <c r="A197" s="11" t="s">
        <v>6417</v>
      </c>
      <c r="B197" s="11" t="s">
        <v>6419</v>
      </c>
      <c r="C197" s="196">
        <v>26111</v>
      </c>
      <c r="D197" s="196">
        <v>12896357</v>
      </c>
      <c r="E197" s="197">
        <v>0</v>
      </c>
      <c r="F197" s="198">
        <v>100</v>
      </c>
      <c r="G197" s="199">
        <v>0</v>
      </c>
    </row>
    <row r="198" spans="1:7" x14ac:dyDescent="0.25">
      <c r="A198" s="3729" t="s">
        <v>716</v>
      </c>
      <c r="B198" s="3730"/>
      <c r="C198" s="3730"/>
      <c r="D198" s="3730"/>
      <c r="E198" s="3730"/>
      <c r="F198" s="3730"/>
      <c r="G198" s="3730"/>
    </row>
    <row r="199" spans="1:7" x14ac:dyDescent="0.25">
      <c r="A199" s="11" t="s">
        <v>1098</v>
      </c>
      <c r="B199" s="11" t="s">
        <v>6113</v>
      </c>
      <c r="C199" s="204">
        <v>13741</v>
      </c>
      <c r="D199" s="204">
        <v>6059394.7835655101</v>
      </c>
      <c r="E199" s="205">
        <v>66680.068109311105</v>
      </c>
      <c r="F199" s="206">
        <v>52.329425522284701</v>
      </c>
      <c r="G199" s="207">
        <v>0.65581889755819101</v>
      </c>
    </row>
    <row r="200" spans="1:7" x14ac:dyDescent="0.25">
      <c r="A200" s="6" t="s">
        <v>1096</v>
      </c>
      <c r="B200" s="6" t="s">
        <v>1151</v>
      </c>
      <c r="C200" s="200">
        <v>7307</v>
      </c>
      <c r="D200" s="200">
        <v>3729610.6591182901</v>
      </c>
      <c r="E200" s="201">
        <v>62880.632918649499</v>
      </c>
      <c r="F200" s="202">
        <v>32.2092205879689</v>
      </c>
      <c r="G200" s="203">
        <v>0.48942561848120503</v>
      </c>
    </row>
    <row r="201" spans="1:7" x14ac:dyDescent="0.25">
      <c r="A201" s="11" t="s">
        <v>1094</v>
      </c>
      <c r="B201" s="11" t="s">
        <v>1150</v>
      </c>
      <c r="C201" s="204">
        <v>1916</v>
      </c>
      <c r="D201" s="204">
        <v>1381959.4598077899</v>
      </c>
      <c r="E201" s="205">
        <v>41056.069363792099</v>
      </c>
      <c r="F201" s="206">
        <v>11.9347141438893</v>
      </c>
      <c r="G201" s="207">
        <v>0.353921765308921</v>
      </c>
    </row>
    <row r="202" spans="1:7" x14ac:dyDescent="0.25">
      <c r="A202" s="6" t="s">
        <v>1092</v>
      </c>
      <c r="B202" s="6" t="s">
        <v>1149</v>
      </c>
      <c r="C202" s="200">
        <v>450</v>
      </c>
      <c r="D202" s="200">
        <v>351133.18811913399</v>
      </c>
      <c r="E202" s="201">
        <v>42430.347917987798</v>
      </c>
      <c r="F202" s="202">
        <v>3.0324147332203499</v>
      </c>
      <c r="G202" s="203">
        <v>0.363572374387231</v>
      </c>
    </row>
    <row r="203" spans="1:7" x14ac:dyDescent="0.25">
      <c r="A203" s="11" t="s">
        <v>1090</v>
      </c>
      <c r="B203" s="11" t="s">
        <v>1148</v>
      </c>
      <c r="C203" s="204">
        <v>71</v>
      </c>
      <c r="D203" s="204">
        <v>57227.925466201297</v>
      </c>
      <c r="E203" s="205">
        <v>7383.5063194036902</v>
      </c>
      <c r="F203" s="206">
        <v>0.49422501263670299</v>
      </c>
      <c r="G203" s="207">
        <v>6.3463857046409805E-2</v>
      </c>
    </row>
    <row r="204" spans="1:7" x14ac:dyDescent="0.25">
      <c r="A204" s="6" t="s">
        <v>1088</v>
      </c>
      <c r="B204" s="6" t="s">
        <v>1089</v>
      </c>
      <c r="C204" s="200">
        <v>2625</v>
      </c>
      <c r="D204" s="200">
        <v>1317030.9839230599</v>
      </c>
      <c r="E204" s="201">
        <v>29448.1600463869</v>
      </c>
      <c r="F204" s="202">
        <v>100</v>
      </c>
      <c r="G204" s="203">
        <v>0</v>
      </c>
    </row>
    <row r="205" spans="1:7" x14ac:dyDescent="0.25">
      <c r="A205" s="11" t="s">
        <v>6417</v>
      </c>
      <c r="B205" s="11" t="s">
        <v>6418</v>
      </c>
      <c r="C205" s="204">
        <v>23485</v>
      </c>
      <c r="D205" s="204">
        <v>11579326.0160769</v>
      </c>
      <c r="E205" s="205">
        <v>29448.160046410299</v>
      </c>
      <c r="F205" s="206">
        <v>89.787573468049501</v>
      </c>
      <c r="G205" s="207">
        <v>0.22834479571548599</v>
      </c>
    </row>
    <row r="206" spans="1:7" x14ac:dyDescent="0.25">
      <c r="A206" s="6" t="s">
        <v>6417</v>
      </c>
      <c r="B206" s="6" t="s">
        <v>6419</v>
      </c>
      <c r="C206" s="200">
        <v>26110</v>
      </c>
      <c r="D206" s="200">
        <v>12896357</v>
      </c>
      <c r="E206" s="201">
        <v>0</v>
      </c>
      <c r="F206" s="202">
        <v>100</v>
      </c>
      <c r="G206" s="203">
        <v>0</v>
      </c>
    </row>
    <row r="207" spans="1:7" x14ac:dyDescent="0.25">
      <c r="A207" s="3729" t="s">
        <v>119</v>
      </c>
      <c r="B207" s="3730"/>
      <c r="C207" s="3730"/>
      <c r="D207" s="3730"/>
      <c r="E207" s="3730"/>
      <c r="F207" s="3730"/>
      <c r="G207" s="3730"/>
    </row>
    <row r="208" spans="1:7" x14ac:dyDescent="0.25">
      <c r="A208" s="11" t="s">
        <v>1098</v>
      </c>
      <c r="B208" s="11" t="s">
        <v>1152</v>
      </c>
      <c r="C208" s="212">
        <v>17259</v>
      </c>
      <c r="D208" s="212">
        <v>7456435.11999992</v>
      </c>
      <c r="E208" s="213">
        <v>68634.336215874806</v>
      </c>
      <c r="F208" s="214">
        <v>63.7599117457506</v>
      </c>
      <c r="G208" s="215">
        <v>0.63076743684478298</v>
      </c>
    </row>
    <row r="209" spans="1:7" x14ac:dyDescent="0.25">
      <c r="A209" s="6" t="s">
        <v>1096</v>
      </c>
      <c r="B209" s="6" t="s">
        <v>1151</v>
      </c>
      <c r="C209" s="208">
        <v>4177</v>
      </c>
      <c r="D209" s="208">
        <v>2312096.3171413098</v>
      </c>
      <c r="E209" s="209">
        <v>50310.391220815698</v>
      </c>
      <c r="F209" s="210">
        <v>19.770715463371001</v>
      </c>
      <c r="G209" s="211">
        <v>0.41205553529658001</v>
      </c>
    </row>
    <row r="210" spans="1:7" x14ac:dyDescent="0.25">
      <c r="A210" s="11" t="s">
        <v>1094</v>
      </c>
      <c r="B210" s="11" t="s">
        <v>1150</v>
      </c>
      <c r="C210" s="212">
        <v>866</v>
      </c>
      <c r="D210" s="212">
        <v>688252.92547962605</v>
      </c>
      <c r="E210" s="213">
        <v>30500.9565209719</v>
      </c>
      <c r="F210" s="214">
        <v>5.8852447692639602</v>
      </c>
      <c r="G210" s="215">
        <v>0.25985151495272901</v>
      </c>
    </row>
    <row r="211" spans="1:7" x14ac:dyDescent="0.25">
      <c r="A211" s="6" t="s">
        <v>1092</v>
      </c>
      <c r="B211" s="6" t="s">
        <v>1149</v>
      </c>
      <c r="C211" s="208">
        <v>744</v>
      </c>
      <c r="D211" s="208">
        <v>684860.44474211102</v>
      </c>
      <c r="E211" s="209">
        <v>21592.172506856699</v>
      </c>
      <c r="F211" s="210">
        <v>5.8562356960349904</v>
      </c>
      <c r="G211" s="211">
        <v>0.18096202559702301</v>
      </c>
    </row>
    <row r="212" spans="1:7" x14ac:dyDescent="0.25">
      <c r="A212" s="11" t="s">
        <v>1090</v>
      </c>
      <c r="B212" s="11" t="s">
        <v>1181</v>
      </c>
      <c r="C212" s="212">
        <v>557</v>
      </c>
      <c r="D212" s="212">
        <v>552905.75872509496</v>
      </c>
      <c r="E212" s="213">
        <v>19685.3471831688</v>
      </c>
      <c r="F212" s="214">
        <v>4.7278923255795302</v>
      </c>
      <c r="G212" s="215">
        <v>0.16679176126470199</v>
      </c>
    </row>
    <row r="213" spans="1:7" x14ac:dyDescent="0.25">
      <c r="A213" s="6" t="s">
        <v>1088</v>
      </c>
      <c r="B213" s="6" t="s">
        <v>1089</v>
      </c>
      <c r="C213" s="208">
        <v>2508</v>
      </c>
      <c r="D213" s="208">
        <v>1201806.4339119501</v>
      </c>
      <c r="E213" s="209">
        <v>21960.075179887699</v>
      </c>
      <c r="F213" s="210">
        <v>100</v>
      </c>
      <c r="G213" s="211">
        <v>0</v>
      </c>
    </row>
    <row r="214" spans="1:7" x14ac:dyDescent="0.25">
      <c r="A214" s="11" t="s">
        <v>6417</v>
      </c>
      <c r="B214" s="11" t="s">
        <v>6418</v>
      </c>
      <c r="C214" s="212">
        <v>23603</v>
      </c>
      <c r="D214" s="212">
        <v>11694550.566088101</v>
      </c>
      <c r="E214" s="213">
        <v>21960.0751798907</v>
      </c>
      <c r="F214" s="214">
        <v>90.681039351563001</v>
      </c>
      <c r="G214" s="215">
        <v>0.17028122887639299</v>
      </c>
    </row>
    <row r="215" spans="1:7" x14ac:dyDescent="0.25">
      <c r="A215" s="6" t="s">
        <v>6417</v>
      </c>
      <c r="B215" s="6" t="s">
        <v>6419</v>
      </c>
      <c r="C215" s="208">
        <v>26111</v>
      </c>
      <c r="D215" s="208">
        <v>12896357</v>
      </c>
      <c r="E215" s="209">
        <v>0</v>
      </c>
      <c r="F215" s="210">
        <v>100</v>
      </c>
      <c r="G215" s="211">
        <v>0</v>
      </c>
    </row>
    <row r="216" spans="1:7" x14ac:dyDescent="0.25">
      <c r="A216" s="3729" t="s">
        <v>788</v>
      </c>
      <c r="B216" s="3730"/>
      <c r="C216" s="3730"/>
      <c r="D216" s="3730"/>
      <c r="E216" s="3730"/>
      <c r="F216" s="3730"/>
      <c r="G216" s="3730"/>
    </row>
    <row r="217" spans="1:7" x14ac:dyDescent="0.25">
      <c r="A217" s="11" t="s">
        <v>1098</v>
      </c>
      <c r="B217" s="11" t="s">
        <v>6113</v>
      </c>
      <c r="C217" s="220">
        <v>15942</v>
      </c>
      <c r="D217" s="220">
        <v>6947219.5000730297</v>
      </c>
      <c r="E217" s="221">
        <v>38524.399099993301</v>
      </c>
      <c r="F217" s="222">
        <v>59.739379902003499</v>
      </c>
      <c r="G217" s="223">
        <v>0.41159654539742002</v>
      </c>
    </row>
    <row r="218" spans="1:7" x14ac:dyDescent="0.25">
      <c r="A218" s="6" t="s">
        <v>1096</v>
      </c>
      <c r="B218" s="6" t="s">
        <v>1151</v>
      </c>
      <c r="C218" s="216">
        <v>5855</v>
      </c>
      <c r="D218" s="216">
        <v>3149366.8334960402</v>
      </c>
      <c r="E218" s="217">
        <v>39199.422405719997</v>
      </c>
      <c r="F218" s="218">
        <v>27.081513937340201</v>
      </c>
      <c r="G218" s="219">
        <v>0.33384293364856399</v>
      </c>
    </row>
    <row r="219" spans="1:7" x14ac:dyDescent="0.25">
      <c r="A219" s="11" t="s">
        <v>1094</v>
      </c>
      <c r="B219" s="11" t="s">
        <v>1150</v>
      </c>
      <c r="C219" s="220">
        <v>900</v>
      </c>
      <c r="D219" s="220">
        <v>744869.04321873502</v>
      </c>
      <c r="E219" s="221">
        <v>46588.051470803701</v>
      </c>
      <c r="F219" s="222">
        <v>6.4051545729364197</v>
      </c>
      <c r="G219" s="223">
        <v>0.39605967850545698</v>
      </c>
    </row>
    <row r="220" spans="1:7" x14ac:dyDescent="0.25">
      <c r="A220" s="6" t="s">
        <v>1092</v>
      </c>
      <c r="B220" s="6" t="s">
        <v>1182</v>
      </c>
      <c r="C220" s="216">
        <v>455</v>
      </c>
      <c r="D220" s="216">
        <v>438351.54589309503</v>
      </c>
      <c r="E220" s="217">
        <v>28493.405683362402</v>
      </c>
      <c r="F220" s="218">
        <v>3.7694000499714799</v>
      </c>
      <c r="G220" s="219">
        <v>0.23930247804205201</v>
      </c>
    </row>
    <row r="221" spans="1:7" x14ac:dyDescent="0.25">
      <c r="A221" s="11" t="s">
        <v>1090</v>
      </c>
      <c r="B221" s="11" t="s">
        <v>1148</v>
      </c>
      <c r="C221" s="220">
        <v>386</v>
      </c>
      <c r="D221" s="220">
        <v>349405.68627026898</v>
      </c>
      <c r="E221" s="221">
        <v>21424.3904361485</v>
      </c>
      <c r="F221" s="222">
        <v>3.00455153774837</v>
      </c>
      <c r="G221" s="223">
        <v>0.18249418436748799</v>
      </c>
    </row>
    <row r="222" spans="1:7" x14ac:dyDescent="0.25">
      <c r="A222" s="6" t="s">
        <v>1088</v>
      </c>
      <c r="B222" s="6" t="s">
        <v>1089</v>
      </c>
      <c r="C222" s="216">
        <v>2572</v>
      </c>
      <c r="D222" s="216">
        <v>1264302.7970922501</v>
      </c>
      <c r="E222" s="217">
        <v>26704.943709964198</v>
      </c>
      <c r="F222" s="218">
        <v>99.775748211753395</v>
      </c>
      <c r="G222" s="219">
        <v>0.22713338642214501</v>
      </c>
    </row>
    <row r="223" spans="1:7" x14ac:dyDescent="0.25">
      <c r="A223" s="11" t="s">
        <v>1086</v>
      </c>
      <c r="B223" s="11" t="s">
        <v>1087</v>
      </c>
      <c r="C223" s="220">
        <v>1</v>
      </c>
      <c r="D223" s="220">
        <v>2841.5939565933199</v>
      </c>
      <c r="E223" s="221">
        <v>2879.7504116979999</v>
      </c>
      <c r="F223" s="222">
        <v>0.22425178824658401</v>
      </c>
      <c r="G223" s="223">
        <v>0.22713338642214201</v>
      </c>
    </row>
    <row r="224" spans="1:7" x14ac:dyDescent="0.25">
      <c r="A224" s="6" t="s">
        <v>6417</v>
      </c>
      <c r="B224" s="6" t="s">
        <v>6418</v>
      </c>
      <c r="C224" s="216">
        <v>23538</v>
      </c>
      <c r="D224" s="216">
        <v>11629212.6089512</v>
      </c>
      <c r="E224" s="217">
        <v>28325.762260457399</v>
      </c>
      <c r="F224" s="218">
        <v>90.174400483416804</v>
      </c>
      <c r="G224" s="219">
        <v>0.21964157986983501</v>
      </c>
    </row>
    <row r="225" spans="1:7" x14ac:dyDescent="0.25">
      <c r="A225" s="11" t="s">
        <v>6417</v>
      </c>
      <c r="B225" s="11" t="s">
        <v>6419</v>
      </c>
      <c r="C225" s="220">
        <v>26111</v>
      </c>
      <c r="D225" s="220">
        <v>12896357</v>
      </c>
      <c r="E225" s="221">
        <v>0</v>
      </c>
      <c r="F225" s="222">
        <v>100</v>
      </c>
      <c r="G225" s="223">
        <v>0</v>
      </c>
    </row>
    <row r="226" spans="1:7" x14ac:dyDescent="0.25">
      <c r="A226" s="3729" t="s">
        <v>512</v>
      </c>
      <c r="B226" s="3730"/>
      <c r="C226" s="3730"/>
      <c r="D226" s="3730"/>
      <c r="E226" s="3730"/>
      <c r="F226" s="3730"/>
      <c r="G226" s="3730"/>
    </row>
    <row r="227" spans="1:7" x14ac:dyDescent="0.25">
      <c r="A227" s="11" t="s">
        <v>1098</v>
      </c>
      <c r="B227" s="11" t="s">
        <v>6113</v>
      </c>
      <c r="C227" s="228">
        <v>22301</v>
      </c>
      <c r="D227" s="228">
        <v>10830470.2762946</v>
      </c>
      <c r="E227" s="229">
        <v>35050.9149751941</v>
      </c>
      <c r="F227" s="230">
        <v>95.847434987122895</v>
      </c>
      <c r="G227" s="231">
        <v>0.30887352784809202</v>
      </c>
    </row>
    <row r="228" spans="1:7" x14ac:dyDescent="0.25">
      <c r="A228" s="6" t="s">
        <v>1096</v>
      </c>
      <c r="B228" s="6" t="s">
        <v>1151</v>
      </c>
      <c r="C228" s="224">
        <v>467</v>
      </c>
      <c r="D228" s="224">
        <v>294611.11488313298</v>
      </c>
      <c r="E228" s="225">
        <v>28195.8710064917</v>
      </c>
      <c r="F228" s="226">
        <v>2.6072477888657102</v>
      </c>
      <c r="G228" s="227">
        <v>0.24600706470574399</v>
      </c>
    </row>
    <row r="229" spans="1:7" x14ac:dyDescent="0.25">
      <c r="A229" s="11" t="s">
        <v>1094</v>
      </c>
      <c r="B229" s="11" t="s">
        <v>1150</v>
      </c>
      <c r="C229" s="228">
        <v>116</v>
      </c>
      <c r="D229" s="228">
        <v>91548.646578900007</v>
      </c>
      <c r="E229" s="229">
        <v>10673.1247214103</v>
      </c>
      <c r="F229" s="230">
        <v>0.81018669801772003</v>
      </c>
      <c r="G229" s="231">
        <v>9.4331634717876298E-2</v>
      </c>
    </row>
    <row r="230" spans="1:7" x14ac:dyDescent="0.25">
      <c r="A230" s="6" t="s">
        <v>1092</v>
      </c>
      <c r="B230" s="6" t="s">
        <v>1182</v>
      </c>
      <c r="C230" s="224">
        <v>79</v>
      </c>
      <c r="D230" s="224">
        <v>62854.356190400002</v>
      </c>
      <c r="E230" s="225">
        <v>11508.0792575537</v>
      </c>
      <c r="F230" s="226">
        <v>0.55624812819097003</v>
      </c>
      <c r="G230" s="227">
        <v>0.10194167668777999</v>
      </c>
    </row>
    <row r="231" spans="1:7" x14ac:dyDescent="0.25">
      <c r="A231" s="11" t="s">
        <v>1090</v>
      </c>
      <c r="B231" s="11" t="s">
        <v>1148</v>
      </c>
      <c r="C231" s="228">
        <v>34</v>
      </c>
      <c r="D231" s="228">
        <v>20213.169946752099</v>
      </c>
      <c r="E231" s="229">
        <v>6926.60948546695</v>
      </c>
      <c r="F231" s="230">
        <v>0.178882397802749</v>
      </c>
      <c r="G231" s="231">
        <v>6.1360119374002299E-2</v>
      </c>
    </row>
    <row r="232" spans="1:7" x14ac:dyDescent="0.25">
      <c r="A232" s="6" t="s">
        <v>1088</v>
      </c>
      <c r="B232" s="6" t="s">
        <v>1089</v>
      </c>
      <c r="C232" s="224">
        <v>3107</v>
      </c>
      <c r="D232" s="224">
        <v>1590872.6071895</v>
      </c>
      <c r="E232" s="225">
        <v>28615.7281043578</v>
      </c>
      <c r="F232" s="226">
        <v>99.637566485011007</v>
      </c>
      <c r="G232" s="227">
        <v>0.19515867831347999</v>
      </c>
    </row>
    <row r="233" spans="1:7" x14ac:dyDescent="0.25">
      <c r="A233" s="11" t="s">
        <v>1084</v>
      </c>
      <c r="B233" s="11" t="s">
        <v>1153</v>
      </c>
      <c r="C233" s="228">
        <v>7</v>
      </c>
      <c r="D233" s="228">
        <v>5786.8289166834902</v>
      </c>
      <c r="E233" s="229">
        <v>3091.7444657627002</v>
      </c>
      <c r="F233" s="230">
        <v>0.36243351498901799</v>
      </c>
      <c r="G233" s="231">
        <v>0.195158678313472</v>
      </c>
    </row>
    <row r="234" spans="1:7" x14ac:dyDescent="0.25">
      <c r="A234" s="6" t="s">
        <v>6417</v>
      </c>
      <c r="B234" s="6" t="s">
        <v>6418</v>
      </c>
      <c r="C234" s="224">
        <v>22997</v>
      </c>
      <c r="D234" s="224">
        <v>11299697.563893801</v>
      </c>
      <c r="E234" s="225">
        <v>27793.319221359299</v>
      </c>
      <c r="F234" s="226">
        <v>87.6192987205132</v>
      </c>
      <c r="G234" s="227">
        <v>0.21551294851246999</v>
      </c>
    </row>
    <row r="235" spans="1:7" x14ac:dyDescent="0.25">
      <c r="A235" s="11" t="s">
        <v>6417</v>
      </c>
      <c r="B235" s="11" t="s">
        <v>6419</v>
      </c>
      <c r="C235" s="228">
        <v>26111</v>
      </c>
      <c r="D235" s="228">
        <v>12896357</v>
      </c>
      <c r="E235" s="229">
        <v>0</v>
      </c>
      <c r="F235" s="230">
        <v>100</v>
      </c>
      <c r="G235" s="231">
        <v>0</v>
      </c>
    </row>
    <row r="236" spans="1:7" x14ac:dyDescent="0.25">
      <c r="A236" s="3729" t="s">
        <v>531</v>
      </c>
      <c r="B236" s="3730"/>
      <c r="C236" s="3730"/>
      <c r="D236" s="3730"/>
      <c r="E236" s="3730"/>
      <c r="F236" s="3730"/>
      <c r="G236" s="3730"/>
    </row>
    <row r="237" spans="1:7" x14ac:dyDescent="0.25">
      <c r="A237" s="11" t="s">
        <v>1092</v>
      </c>
      <c r="B237" s="11" t="s">
        <v>1155</v>
      </c>
      <c r="C237" s="236">
        <v>7160</v>
      </c>
      <c r="D237" s="236">
        <v>3517734.0574686299</v>
      </c>
      <c r="E237" s="237">
        <v>52171.383721239697</v>
      </c>
      <c r="F237" s="238">
        <v>27.651285993157099</v>
      </c>
      <c r="G237" s="239">
        <v>0.42134141425524002</v>
      </c>
    </row>
    <row r="238" spans="1:7" x14ac:dyDescent="0.25">
      <c r="A238" s="6" t="s">
        <v>1090</v>
      </c>
      <c r="B238" s="6" t="s">
        <v>1154</v>
      </c>
      <c r="C238" s="232">
        <v>4201</v>
      </c>
      <c r="D238" s="232">
        <v>2652671.0609336798</v>
      </c>
      <c r="E238" s="233">
        <v>59907.3897103126</v>
      </c>
      <c r="F238" s="234">
        <v>20.851424511729999</v>
      </c>
      <c r="G238" s="235">
        <v>0.47106859598741602</v>
      </c>
    </row>
    <row r="239" spans="1:7" x14ac:dyDescent="0.25">
      <c r="A239" s="11" t="s">
        <v>1094</v>
      </c>
      <c r="B239" s="11" t="s">
        <v>1156</v>
      </c>
      <c r="C239" s="236">
        <v>5524</v>
      </c>
      <c r="D239" s="236">
        <v>2640504.2124321498</v>
      </c>
      <c r="E239" s="237">
        <v>77414.602658204501</v>
      </c>
      <c r="F239" s="238">
        <v>20.755786523736798</v>
      </c>
      <c r="G239" s="239">
        <v>0.61138203075958997</v>
      </c>
    </row>
    <row r="240" spans="1:7" x14ac:dyDescent="0.25">
      <c r="A240" s="6" t="s">
        <v>1096</v>
      </c>
      <c r="B240" s="6" t="s">
        <v>1157</v>
      </c>
      <c r="C240" s="232">
        <v>5713</v>
      </c>
      <c r="D240" s="232">
        <v>2405917.5156969801</v>
      </c>
      <c r="E240" s="233">
        <v>50899.739762953599</v>
      </c>
      <c r="F240" s="234">
        <v>18.9118086289775</v>
      </c>
      <c r="G240" s="235">
        <v>0.39130731349623699</v>
      </c>
    </row>
    <row r="241" spans="1:7" x14ac:dyDescent="0.25">
      <c r="A241" s="11" t="s">
        <v>1098</v>
      </c>
      <c r="B241" s="11" t="s">
        <v>1158</v>
      </c>
      <c r="C241" s="236">
        <v>3307</v>
      </c>
      <c r="D241" s="236">
        <v>1504946.95574007</v>
      </c>
      <c r="E241" s="237">
        <v>38543.458381462697</v>
      </c>
      <c r="F241" s="238">
        <v>11.8296943423986</v>
      </c>
      <c r="G241" s="239">
        <v>0.298403437174803</v>
      </c>
    </row>
    <row r="242" spans="1:7" x14ac:dyDescent="0.25">
      <c r="A242" s="6" t="s">
        <v>1088</v>
      </c>
      <c r="B242" s="6" t="s">
        <v>1089</v>
      </c>
      <c r="C242" s="232">
        <v>206</v>
      </c>
      <c r="D242" s="232">
        <v>173140.510149001</v>
      </c>
      <c r="E242" s="233">
        <v>12150.978221715</v>
      </c>
      <c r="F242" s="234">
        <v>99.173638930737397</v>
      </c>
      <c r="G242" s="235">
        <v>0.84260456528835403</v>
      </c>
    </row>
    <row r="243" spans="1:7" x14ac:dyDescent="0.25">
      <c r="A243" s="11" t="s">
        <v>1084</v>
      </c>
      <c r="B243" s="11" t="s">
        <v>1085</v>
      </c>
      <c r="C243" s="236">
        <v>1</v>
      </c>
      <c r="D243" s="236">
        <v>1442.6875795021299</v>
      </c>
      <c r="E243" s="237">
        <v>1467.9840066204699</v>
      </c>
      <c r="F243" s="238">
        <v>0.82636106926261998</v>
      </c>
      <c r="G243" s="239">
        <v>0.84260456528835603</v>
      </c>
    </row>
    <row r="244" spans="1:7" x14ac:dyDescent="0.25">
      <c r="A244" s="6" t="s">
        <v>6417</v>
      </c>
      <c r="B244" s="6" t="s">
        <v>6418</v>
      </c>
      <c r="C244" s="232">
        <v>25905</v>
      </c>
      <c r="D244" s="232">
        <v>12721773.8022715</v>
      </c>
      <c r="E244" s="233">
        <v>11986.576237999299</v>
      </c>
      <c r="F244" s="234">
        <v>98.646259577580693</v>
      </c>
      <c r="G244" s="235">
        <v>9.2945443724819596E-2</v>
      </c>
    </row>
    <row r="245" spans="1:7" x14ac:dyDescent="0.25">
      <c r="A245" s="11" t="s">
        <v>6417</v>
      </c>
      <c r="B245" s="11" t="s">
        <v>6419</v>
      </c>
      <c r="C245" s="236">
        <v>26112</v>
      </c>
      <c r="D245" s="236">
        <v>12896357</v>
      </c>
      <c r="E245" s="237">
        <v>0</v>
      </c>
      <c r="F245" s="238">
        <v>100</v>
      </c>
      <c r="G245" s="239">
        <v>0</v>
      </c>
    </row>
    <row r="246" spans="1:7" x14ac:dyDescent="0.25">
      <c r="A246" s="3729" t="s">
        <v>528</v>
      </c>
      <c r="B246" s="3730"/>
      <c r="C246" s="3730"/>
      <c r="D246" s="3730"/>
      <c r="E246" s="3730"/>
      <c r="F246" s="3730"/>
      <c r="G246" s="3730"/>
    </row>
    <row r="247" spans="1:7" x14ac:dyDescent="0.25">
      <c r="A247" s="11" t="s">
        <v>1092</v>
      </c>
      <c r="B247" s="11" t="s">
        <v>1155</v>
      </c>
      <c r="C247" s="244">
        <v>7426</v>
      </c>
      <c r="D247" s="244">
        <v>4107929.16204665</v>
      </c>
      <c r="E247" s="245">
        <v>53170.989881249698</v>
      </c>
      <c r="F247" s="246">
        <v>32.721364871288998</v>
      </c>
      <c r="G247" s="247">
        <v>0.40845127271294301</v>
      </c>
    </row>
    <row r="248" spans="1:7" x14ac:dyDescent="0.25">
      <c r="A248" s="6" t="s">
        <v>1094</v>
      </c>
      <c r="B248" s="6" t="s">
        <v>1156</v>
      </c>
      <c r="C248" s="240">
        <v>8668</v>
      </c>
      <c r="D248" s="240">
        <v>3920152.9553970601</v>
      </c>
      <c r="E248" s="241">
        <v>54017.051280161599</v>
      </c>
      <c r="F248" s="242">
        <v>31.225649261415398</v>
      </c>
      <c r="G248" s="243">
        <v>0.46275596312887501</v>
      </c>
    </row>
    <row r="249" spans="1:7" x14ac:dyDescent="0.25">
      <c r="A249" s="11" t="s">
        <v>1096</v>
      </c>
      <c r="B249" s="11" t="s">
        <v>1157</v>
      </c>
      <c r="C249" s="244">
        <v>4934</v>
      </c>
      <c r="D249" s="244">
        <v>2069659.3504425399</v>
      </c>
      <c r="E249" s="245">
        <v>66456.348899453893</v>
      </c>
      <c r="F249" s="246">
        <v>16.4856978038455</v>
      </c>
      <c r="G249" s="247">
        <v>0.53794126843219903</v>
      </c>
    </row>
    <row r="250" spans="1:7" x14ac:dyDescent="0.25">
      <c r="A250" s="6" t="s">
        <v>1090</v>
      </c>
      <c r="B250" s="6" t="s">
        <v>1154</v>
      </c>
      <c r="C250" s="240">
        <v>2707</v>
      </c>
      <c r="D250" s="240">
        <v>1725889.64184562</v>
      </c>
      <c r="E250" s="241">
        <v>63150.869518875399</v>
      </c>
      <c r="F250" s="242">
        <v>13.747429050181699</v>
      </c>
      <c r="G250" s="243">
        <v>0.49017862131700701</v>
      </c>
    </row>
    <row r="251" spans="1:7" x14ac:dyDescent="0.25">
      <c r="A251" s="11" t="s">
        <v>1098</v>
      </c>
      <c r="B251" s="11" t="s">
        <v>1158</v>
      </c>
      <c r="C251" s="244">
        <v>1774</v>
      </c>
      <c r="D251" s="244">
        <v>730640.93303095805</v>
      </c>
      <c r="E251" s="245">
        <v>35441.660323071301</v>
      </c>
      <c r="F251" s="246">
        <v>5.8198590132683199</v>
      </c>
      <c r="G251" s="247">
        <v>0.27732436398535398</v>
      </c>
    </row>
    <row r="252" spans="1:7" x14ac:dyDescent="0.25">
      <c r="A252" s="6" t="s">
        <v>1088</v>
      </c>
      <c r="B252" s="6" t="s">
        <v>1089</v>
      </c>
      <c r="C252" s="240">
        <v>603</v>
      </c>
      <c r="D252" s="240">
        <v>342084.95723717898</v>
      </c>
      <c r="E252" s="241">
        <v>20697.582021317099</v>
      </c>
      <c r="F252" s="242">
        <v>100</v>
      </c>
      <c r="G252" s="243">
        <v>0</v>
      </c>
    </row>
    <row r="253" spans="1:7" x14ac:dyDescent="0.25">
      <c r="A253" s="11" t="s">
        <v>6417</v>
      </c>
      <c r="B253" s="11" t="s">
        <v>6418</v>
      </c>
      <c r="C253" s="244">
        <v>25509</v>
      </c>
      <c r="D253" s="244">
        <v>12554272.042762799</v>
      </c>
      <c r="E253" s="245">
        <v>20697.582021320701</v>
      </c>
      <c r="F253" s="246">
        <v>97.347429531943206</v>
      </c>
      <c r="G253" s="247">
        <v>0.16049169561076199</v>
      </c>
    </row>
    <row r="254" spans="1:7" x14ac:dyDescent="0.25">
      <c r="A254" s="6" t="s">
        <v>6417</v>
      </c>
      <c r="B254" s="6" t="s">
        <v>6419</v>
      </c>
      <c r="C254" s="240">
        <v>26112</v>
      </c>
      <c r="D254" s="240">
        <v>12896357</v>
      </c>
      <c r="E254" s="241">
        <v>0</v>
      </c>
      <c r="F254" s="242">
        <v>100</v>
      </c>
      <c r="G254" s="243">
        <v>0</v>
      </c>
    </row>
    <row r="255" spans="1:7" x14ac:dyDescent="0.25">
      <c r="A255" s="3729" t="s">
        <v>928</v>
      </c>
      <c r="B255" s="3730"/>
      <c r="C255" s="3730"/>
      <c r="D255" s="3730"/>
      <c r="E255" s="3730"/>
      <c r="F255" s="3730"/>
      <c r="G255" s="3730"/>
    </row>
    <row r="256" spans="1:7" x14ac:dyDescent="0.25">
      <c r="A256" s="11" t="s">
        <v>1096</v>
      </c>
      <c r="B256" s="11" t="s">
        <v>1157</v>
      </c>
      <c r="C256" s="252">
        <v>8169</v>
      </c>
      <c r="D256" s="252">
        <v>3693705.0667685098</v>
      </c>
      <c r="E256" s="253">
        <v>73829.862868021402</v>
      </c>
      <c r="F256" s="254">
        <v>29.647777657949199</v>
      </c>
      <c r="G256" s="255">
        <v>0.54563579072088797</v>
      </c>
    </row>
    <row r="257" spans="1:7" x14ac:dyDescent="0.25">
      <c r="A257" s="6" t="s">
        <v>1098</v>
      </c>
      <c r="B257" s="6" t="s">
        <v>1158</v>
      </c>
      <c r="C257" s="248">
        <v>6816</v>
      </c>
      <c r="D257" s="248">
        <v>2859778.6393288798</v>
      </c>
      <c r="E257" s="249">
        <v>68764.063726535402</v>
      </c>
      <c r="F257" s="250">
        <v>22.954209856270801</v>
      </c>
      <c r="G257" s="251">
        <v>0.54783591118439101</v>
      </c>
    </row>
    <row r="258" spans="1:7" x14ac:dyDescent="0.25">
      <c r="A258" s="11" t="s">
        <v>1094</v>
      </c>
      <c r="B258" s="11" t="s">
        <v>6267</v>
      </c>
      <c r="C258" s="252">
        <v>5291</v>
      </c>
      <c r="D258" s="252">
        <v>2665811.1888516201</v>
      </c>
      <c r="E258" s="253">
        <v>52216.821181699699</v>
      </c>
      <c r="F258" s="254">
        <v>21.397316779894201</v>
      </c>
      <c r="G258" s="255">
        <v>0.43295357912494198</v>
      </c>
    </row>
    <row r="259" spans="1:7" x14ac:dyDescent="0.25">
      <c r="A259" s="6" t="s">
        <v>1092</v>
      </c>
      <c r="B259" s="6" t="s">
        <v>1155</v>
      </c>
      <c r="C259" s="248">
        <v>3547</v>
      </c>
      <c r="D259" s="248">
        <v>2136943.00811768</v>
      </c>
      <c r="E259" s="249">
        <v>34182.083703771699</v>
      </c>
      <c r="F259" s="250">
        <v>17.152319967931099</v>
      </c>
      <c r="G259" s="251">
        <v>0.294527407319506</v>
      </c>
    </row>
    <row r="260" spans="1:7" x14ac:dyDescent="0.25">
      <c r="A260" s="11" t="s">
        <v>1090</v>
      </c>
      <c r="B260" s="11" t="s">
        <v>1154</v>
      </c>
      <c r="C260" s="252">
        <v>1469</v>
      </c>
      <c r="D260" s="252">
        <v>1102385.8406193899</v>
      </c>
      <c r="E260" s="253">
        <v>32663.2712186436</v>
      </c>
      <c r="F260" s="254">
        <v>8.8483757379547203</v>
      </c>
      <c r="G260" s="255">
        <v>0.26663891004097601</v>
      </c>
    </row>
    <row r="261" spans="1:7" x14ac:dyDescent="0.25">
      <c r="A261" s="6" t="s">
        <v>1088</v>
      </c>
      <c r="B261" s="6" t="s">
        <v>1089</v>
      </c>
      <c r="C261" s="248">
        <v>820</v>
      </c>
      <c r="D261" s="248">
        <v>437733.256313933</v>
      </c>
      <c r="E261" s="249">
        <v>28292.199659448801</v>
      </c>
      <c r="F261" s="250">
        <v>100</v>
      </c>
      <c r="G261" s="251">
        <v>0</v>
      </c>
    </row>
    <row r="262" spans="1:7" x14ac:dyDescent="0.25">
      <c r="A262" s="11" t="s">
        <v>6417</v>
      </c>
      <c r="B262" s="11" t="s">
        <v>6418</v>
      </c>
      <c r="C262" s="252">
        <v>25292</v>
      </c>
      <c r="D262" s="252">
        <v>12458623.7436861</v>
      </c>
      <c r="E262" s="253">
        <v>28292.199659450602</v>
      </c>
      <c r="F262" s="254">
        <v>96.605760399514907</v>
      </c>
      <c r="G262" s="255">
        <v>0.21938133117320699</v>
      </c>
    </row>
    <row r="263" spans="1:7" x14ac:dyDescent="0.25">
      <c r="A263" s="6" t="s">
        <v>6417</v>
      </c>
      <c r="B263" s="6" t="s">
        <v>6419</v>
      </c>
      <c r="C263" s="248">
        <v>26112</v>
      </c>
      <c r="D263" s="248">
        <v>12896357</v>
      </c>
      <c r="E263" s="249">
        <v>0</v>
      </c>
      <c r="F263" s="250">
        <v>100</v>
      </c>
      <c r="G263" s="251">
        <v>0</v>
      </c>
    </row>
    <row r="264" spans="1:7" x14ac:dyDescent="0.25">
      <c r="A264" s="3729" t="s">
        <v>49</v>
      </c>
      <c r="B264" s="3730"/>
      <c r="C264" s="3730"/>
      <c r="D264" s="3730"/>
      <c r="E264" s="3730"/>
      <c r="F264" s="3730"/>
      <c r="G264" s="3730"/>
    </row>
    <row r="265" spans="1:7" x14ac:dyDescent="0.25">
      <c r="A265" s="11" t="s">
        <v>1098</v>
      </c>
      <c r="B265" s="11" t="s">
        <v>1158</v>
      </c>
      <c r="C265" s="260">
        <v>9837</v>
      </c>
      <c r="D265" s="260">
        <v>4372976.0644666404</v>
      </c>
      <c r="E265" s="261">
        <v>125245.980709739</v>
      </c>
      <c r="F265" s="262">
        <v>35.751157840151897</v>
      </c>
      <c r="G265" s="263">
        <v>1.0125469014358599</v>
      </c>
    </row>
    <row r="266" spans="1:7" x14ac:dyDescent="0.25">
      <c r="A266" s="6" t="s">
        <v>1096</v>
      </c>
      <c r="B266" s="6" t="s">
        <v>1157</v>
      </c>
      <c r="C266" s="256">
        <v>7220</v>
      </c>
      <c r="D266" s="256">
        <v>3472664.0055195699</v>
      </c>
      <c r="E266" s="257">
        <v>48423.028876614997</v>
      </c>
      <c r="F266" s="258">
        <v>28.390678832193998</v>
      </c>
      <c r="G266" s="259">
        <v>0.36663928615328301</v>
      </c>
    </row>
    <row r="267" spans="1:7" x14ac:dyDescent="0.25">
      <c r="A267" s="11" t="s">
        <v>1094</v>
      </c>
      <c r="B267" s="11" t="s">
        <v>1156</v>
      </c>
      <c r="C267" s="260">
        <v>5431</v>
      </c>
      <c r="D267" s="260">
        <v>2872154.0478849099</v>
      </c>
      <c r="E267" s="261">
        <v>93804.740351726199</v>
      </c>
      <c r="F267" s="262">
        <v>23.481224500982599</v>
      </c>
      <c r="G267" s="263">
        <v>0.78736107399240096</v>
      </c>
    </row>
    <row r="268" spans="1:7" x14ac:dyDescent="0.25">
      <c r="A268" s="6" t="s">
        <v>1092</v>
      </c>
      <c r="B268" s="6" t="s">
        <v>1155</v>
      </c>
      <c r="C268" s="256">
        <v>1692</v>
      </c>
      <c r="D268" s="256">
        <v>986057.77453586203</v>
      </c>
      <c r="E268" s="257">
        <v>43365.1961307483</v>
      </c>
      <c r="F268" s="258">
        <v>8.0614909885723698</v>
      </c>
      <c r="G268" s="259">
        <v>0.34526716918126499</v>
      </c>
    </row>
    <row r="269" spans="1:7" x14ac:dyDescent="0.25">
      <c r="A269" s="11" t="s">
        <v>1090</v>
      </c>
      <c r="B269" s="11" t="s">
        <v>1154</v>
      </c>
      <c r="C269" s="260">
        <v>789</v>
      </c>
      <c r="D269" s="260">
        <v>527852.83732175</v>
      </c>
      <c r="E269" s="261">
        <v>34455.674530072902</v>
      </c>
      <c r="F269" s="262">
        <v>4.3154478380991499</v>
      </c>
      <c r="G269" s="263">
        <v>0.28379341357258298</v>
      </c>
    </row>
    <row r="270" spans="1:7" x14ac:dyDescent="0.25">
      <c r="A270" s="6" t="s">
        <v>1088</v>
      </c>
      <c r="B270" s="6" t="s">
        <v>1089</v>
      </c>
      <c r="C270" s="256">
        <v>1139</v>
      </c>
      <c r="D270" s="256">
        <v>659034.04781580996</v>
      </c>
      <c r="E270" s="257">
        <v>27486.374748279799</v>
      </c>
      <c r="F270" s="258">
        <v>99.154712515587207</v>
      </c>
      <c r="G270" s="259">
        <v>0.63053709608297503</v>
      </c>
    </row>
    <row r="271" spans="1:7" x14ac:dyDescent="0.25">
      <c r="A271" s="11" t="s">
        <v>1084</v>
      </c>
      <c r="B271" s="11" t="s">
        <v>1153</v>
      </c>
      <c r="C271" s="260">
        <v>3</v>
      </c>
      <c r="D271" s="260">
        <v>5495.1480568011602</v>
      </c>
      <c r="E271" s="261">
        <v>4239.7795483586397</v>
      </c>
      <c r="F271" s="262">
        <v>0.82677037341019</v>
      </c>
      <c r="G271" s="263">
        <v>0.635588040038369</v>
      </c>
    </row>
    <row r="272" spans="1:7" x14ac:dyDescent="0.25">
      <c r="A272" s="6" t="s">
        <v>1086</v>
      </c>
      <c r="B272" s="6" t="s">
        <v>1087</v>
      </c>
      <c r="C272" s="256">
        <v>1</v>
      </c>
      <c r="D272" s="256">
        <v>123.07439866749201</v>
      </c>
      <c r="E272" s="257">
        <v>122.514580791451</v>
      </c>
      <c r="F272" s="258">
        <v>1.8517111002608801E-2</v>
      </c>
      <c r="G272" s="259">
        <v>1.8558602237148801E-2</v>
      </c>
    </row>
    <row r="273" spans="1:7" x14ac:dyDescent="0.25">
      <c r="A273" s="11" t="s">
        <v>6417</v>
      </c>
      <c r="B273" s="11" t="s">
        <v>6418</v>
      </c>
      <c r="C273" s="260">
        <v>24969</v>
      </c>
      <c r="D273" s="260">
        <v>12231704.729728701</v>
      </c>
      <c r="E273" s="261">
        <v>28664.3736320383</v>
      </c>
      <c r="F273" s="262">
        <v>94.846201370888807</v>
      </c>
      <c r="G273" s="263">
        <v>0.22226721571083299</v>
      </c>
    </row>
    <row r="274" spans="1:7" x14ac:dyDescent="0.25">
      <c r="A274" s="6" t="s">
        <v>6417</v>
      </c>
      <c r="B274" s="6" t="s">
        <v>6419</v>
      </c>
      <c r="C274" s="256">
        <v>26112</v>
      </c>
      <c r="D274" s="256">
        <v>12896357</v>
      </c>
      <c r="E274" s="257">
        <v>0</v>
      </c>
      <c r="F274" s="258">
        <v>100</v>
      </c>
      <c r="G274" s="259">
        <v>0</v>
      </c>
    </row>
    <row r="275" spans="1:7" x14ac:dyDescent="0.25">
      <c r="A275" s="3729" t="s">
        <v>573</v>
      </c>
      <c r="B275" s="3730"/>
      <c r="C275" s="3730"/>
      <c r="D275" s="3730"/>
      <c r="E275" s="3730"/>
      <c r="F275" s="3730"/>
      <c r="G275" s="3730"/>
    </row>
    <row r="276" spans="1:7" x14ac:dyDescent="0.25">
      <c r="A276" s="11" t="s">
        <v>1098</v>
      </c>
      <c r="B276" s="11" t="s">
        <v>1158</v>
      </c>
      <c r="C276" s="268">
        <v>9301</v>
      </c>
      <c r="D276" s="268">
        <v>3882078.0824153898</v>
      </c>
      <c r="E276" s="269">
        <v>79759.373978153206</v>
      </c>
      <c r="F276" s="270">
        <v>31.2349606227591</v>
      </c>
      <c r="G276" s="271">
        <v>0.63087960460290904</v>
      </c>
    </row>
    <row r="277" spans="1:7" x14ac:dyDescent="0.25">
      <c r="A277" s="6" t="s">
        <v>1096</v>
      </c>
      <c r="B277" s="6" t="s">
        <v>1157</v>
      </c>
      <c r="C277" s="264">
        <v>6860</v>
      </c>
      <c r="D277" s="264">
        <v>3153117.2845529299</v>
      </c>
      <c r="E277" s="265">
        <v>60861.384375173402</v>
      </c>
      <c r="F277" s="266">
        <v>25.369787039593501</v>
      </c>
      <c r="G277" s="267">
        <v>0.46950853439267798</v>
      </c>
    </row>
    <row r="278" spans="1:7" x14ac:dyDescent="0.25">
      <c r="A278" s="11" t="s">
        <v>1094</v>
      </c>
      <c r="B278" s="11" t="s">
        <v>1156</v>
      </c>
      <c r="C278" s="268">
        <v>5251</v>
      </c>
      <c r="D278" s="268">
        <v>2541654.4348325999</v>
      </c>
      <c r="E278" s="269">
        <v>57056.204942068201</v>
      </c>
      <c r="F278" s="270">
        <v>20.4499946944042</v>
      </c>
      <c r="G278" s="271">
        <v>0.46117705262145198</v>
      </c>
    </row>
    <row r="279" spans="1:7" x14ac:dyDescent="0.25">
      <c r="A279" s="6" t="s">
        <v>1092</v>
      </c>
      <c r="B279" s="6" t="s">
        <v>1155</v>
      </c>
      <c r="C279" s="264">
        <v>2549</v>
      </c>
      <c r="D279" s="264">
        <v>1824033.3289242501</v>
      </c>
      <c r="E279" s="265">
        <v>53140.283451345204</v>
      </c>
      <c r="F279" s="266">
        <v>14.676059572738099</v>
      </c>
      <c r="G279" s="267">
        <v>0.43604311852298899</v>
      </c>
    </row>
    <row r="280" spans="1:7" x14ac:dyDescent="0.25">
      <c r="A280" s="11" t="s">
        <v>1090</v>
      </c>
      <c r="B280" s="11" t="s">
        <v>1154</v>
      </c>
      <c r="C280" s="268">
        <v>1224</v>
      </c>
      <c r="D280" s="268">
        <v>1027748.1369791999</v>
      </c>
      <c r="E280" s="269">
        <v>30188.7051086793</v>
      </c>
      <c r="F280" s="270">
        <v>8.2691980705050696</v>
      </c>
      <c r="G280" s="271">
        <v>0.24262409505263499</v>
      </c>
    </row>
    <row r="281" spans="1:7" x14ac:dyDescent="0.25">
      <c r="A281" s="6" t="s">
        <v>1088</v>
      </c>
      <c r="B281" s="6" t="s">
        <v>1089</v>
      </c>
      <c r="C281" s="264">
        <v>924</v>
      </c>
      <c r="D281" s="264">
        <v>465592.95073487097</v>
      </c>
      <c r="E281" s="265">
        <v>31017.1422834441</v>
      </c>
      <c r="F281" s="266">
        <v>99.544010215070898</v>
      </c>
      <c r="G281" s="267">
        <v>0.31774996468082101</v>
      </c>
    </row>
    <row r="282" spans="1:7" x14ac:dyDescent="0.25">
      <c r="A282" s="11" t="s">
        <v>1084</v>
      </c>
      <c r="B282" s="11" t="s">
        <v>1153</v>
      </c>
      <c r="C282" s="268">
        <v>2</v>
      </c>
      <c r="D282" s="268">
        <v>2009.7071620854799</v>
      </c>
      <c r="E282" s="269">
        <v>1478.3406064650201</v>
      </c>
      <c r="F282" s="270">
        <v>0.42967641575367799</v>
      </c>
      <c r="G282" s="271">
        <v>0.32040086668696799</v>
      </c>
    </row>
    <row r="283" spans="1:7" x14ac:dyDescent="0.25">
      <c r="A283" s="6" t="s">
        <v>1086</v>
      </c>
      <c r="B283" s="6" t="s">
        <v>1087</v>
      </c>
      <c r="C283" s="264">
        <v>1</v>
      </c>
      <c r="D283" s="264">
        <v>123.07439866749201</v>
      </c>
      <c r="E283" s="265">
        <v>122.514580791451</v>
      </c>
      <c r="F283" s="266">
        <v>2.6313369175443101E-2</v>
      </c>
      <c r="G283" s="267">
        <v>2.6469234524783201E-2</v>
      </c>
    </row>
    <row r="284" spans="1:7" x14ac:dyDescent="0.25">
      <c r="A284" s="11" t="s">
        <v>6417</v>
      </c>
      <c r="B284" s="11" t="s">
        <v>6418</v>
      </c>
      <c r="C284" s="268">
        <v>25185</v>
      </c>
      <c r="D284" s="268">
        <v>12428631.267704399</v>
      </c>
      <c r="E284" s="269">
        <v>30907.974369845298</v>
      </c>
      <c r="F284" s="270">
        <v>96.373194908487505</v>
      </c>
      <c r="G284" s="271">
        <v>0.23966438250611199</v>
      </c>
    </row>
    <row r="285" spans="1:7" x14ac:dyDescent="0.25">
      <c r="A285" s="6" t="s">
        <v>6417</v>
      </c>
      <c r="B285" s="6" t="s">
        <v>6419</v>
      </c>
      <c r="C285" s="264">
        <v>26112</v>
      </c>
      <c r="D285" s="264">
        <v>12896357</v>
      </c>
      <c r="E285" s="265">
        <v>0</v>
      </c>
      <c r="F285" s="266">
        <v>100</v>
      </c>
      <c r="G285" s="267">
        <v>0</v>
      </c>
    </row>
    <row r="286" spans="1:7" x14ac:dyDescent="0.25">
      <c r="A286" s="3729" t="s">
        <v>843</v>
      </c>
      <c r="B286" s="3730"/>
      <c r="C286" s="3730"/>
      <c r="D286" s="3730"/>
      <c r="E286" s="3730"/>
      <c r="F286" s="3730"/>
      <c r="G286" s="3730"/>
    </row>
    <row r="287" spans="1:7" x14ac:dyDescent="0.25">
      <c r="A287" s="11" t="s">
        <v>1092</v>
      </c>
      <c r="B287" s="11" t="s">
        <v>1180</v>
      </c>
      <c r="C287" s="276">
        <v>22644</v>
      </c>
      <c r="D287" s="276">
        <v>10475669.199860901</v>
      </c>
      <c r="E287" s="277">
        <v>63588.7121571073</v>
      </c>
      <c r="F287" s="278">
        <v>81.229677496217604</v>
      </c>
      <c r="G287" s="279">
        <v>0.49307499906470198</v>
      </c>
    </row>
    <row r="288" spans="1:7" x14ac:dyDescent="0.25">
      <c r="A288" s="6" t="s">
        <v>1090</v>
      </c>
      <c r="B288" s="6" t="s">
        <v>1179</v>
      </c>
      <c r="C288" s="272">
        <v>3468</v>
      </c>
      <c r="D288" s="272">
        <v>2420687.8001391301</v>
      </c>
      <c r="E288" s="273">
        <v>63588.712157136899</v>
      </c>
      <c r="F288" s="274">
        <v>18.770322503782399</v>
      </c>
      <c r="G288" s="275">
        <v>0.49307499906470897</v>
      </c>
    </row>
    <row r="289" spans="1:7" x14ac:dyDescent="0.25">
      <c r="A289" s="11" t="s">
        <v>6417</v>
      </c>
      <c r="B289" s="11" t="s">
        <v>6418</v>
      </c>
      <c r="C289" s="276">
        <v>26112</v>
      </c>
      <c r="D289" s="276">
        <v>12896357</v>
      </c>
      <c r="E289" s="277">
        <v>1.3051935389309399E-6</v>
      </c>
      <c r="F289" s="278">
        <v>100</v>
      </c>
      <c r="G289" s="279">
        <v>1.02786679142825E-14</v>
      </c>
    </row>
    <row r="290" spans="1:7" x14ac:dyDescent="0.25">
      <c r="A290" s="6" t="s">
        <v>6417</v>
      </c>
      <c r="B290" s="6" t="s">
        <v>6419</v>
      </c>
      <c r="C290" s="272">
        <v>26112</v>
      </c>
      <c r="D290" s="272">
        <v>12896357</v>
      </c>
      <c r="E290" s="273">
        <v>0</v>
      </c>
      <c r="F290" s="274">
        <v>100</v>
      </c>
      <c r="G290" s="275">
        <v>0</v>
      </c>
    </row>
    <row r="291" spans="1:7" x14ac:dyDescent="0.25">
      <c r="A291" s="3729" t="s">
        <v>298</v>
      </c>
      <c r="B291" s="3730"/>
      <c r="C291" s="3730"/>
      <c r="D291" s="3730"/>
      <c r="E291" s="3730"/>
      <c r="F291" s="3730"/>
      <c r="G291" s="3730"/>
    </row>
    <row r="292" spans="1:7" x14ac:dyDescent="0.25">
      <c r="A292" s="11" t="s">
        <v>1090</v>
      </c>
      <c r="B292" s="11" t="s">
        <v>3219</v>
      </c>
      <c r="C292" s="284">
        <v>13112</v>
      </c>
      <c r="D292" s="284">
        <v>6710719.6333113797</v>
      </c>
      <c r="E292" s="285">
        <v>68258.323358680893</v>
      </c>
      <c r="F292" s="286">
        <v>100</v>
      </c>
      <c r="G292" s="287">
        <v>0</v>
      </c>
    </row>
    <row r="293" spans="1:7" x14ac:dyDescent="0.25">
      <c r="A293" s="6" t="s">
        <v>1088</v>
      </c>
      <c r="B293" s="6" t="s">
        <v>1089</v>
      </c>
      <c r="C293" s="280">
        <v>13000</v>
      </c>
      <c r="D293" s="280">
        <v>6185637.3666886296</v>
      </c>
      <c r="E293" s="281">
        <v>68258.323358666501</v>
      </c>
      <c r="F293" s="282">
        <v>100</v>
      </c>
      <c r="G293" s="283">
        <v>0</v>
      </c>
    </row>
    <row r="294" spans="1:7" x14ac:dyDescent="0.25">
      <c r="A294" s="11" t="s">
        <v>6417</v>
      </c>
      <c r="B294" s="11" t="s">
        <v>6418</v>
      </c>
      <c r="C294" s="284">
        <v>13112</v>
      </c>
      <c r="D294" s="284">
        <v>6710719.6333113797</v>
      </c>
      <c r="E294" s="285">
        <v>68258.323358680893</v>
      </c>
      <c r="F294" s="286">
        <v>52.035777493685799</v>
      </c>
      <c r="G294" s="287">
        <v>0.52928376097741003</v>
      </c>
    </row>
    <row r="295" spans="1:7" x14ac:dyDescent="0.25">
      <c r="A295" s="6" t="s">
        <v>6417</v>
      </c>
      <c r="B295" s="6" t="s">
        <v>6419</v>
      </c>
      <c r="C295" s="280">
        <v>26112</v>
      </c>
      <c r="D295" s="280">
        <v>12896357</v>
      </c>
      <c r="E295" s="281">
        <v>0</v>
      </c>
      <c r="F295" s="282">
        <v>100</v>
      </c>
      <c r="G295" s="283">
        <v>0</v>
      </c>
    </row>
    <row r="296" spans="1:7" x14ac:dyDescent="0.25">
      <c r="A296" s="3729" t="s">
        <v>308</v>
      </c>
      <c r="B296" s="3730"/>
      <c r="C296" s="3730"/>
      <c r="D296" s="3730"/>
      <c r="E296" s="3730"/>
      <c r="F296" s="3730"/>
      <c r="G296" s="3730"/>
    </row>
    <row r="297" spans="1:7" x14ac:dyDescent="0.25">
      <c r="A297" s="11" t="s">
        <v>1092</v>
      </c>
      <c r="B297" s="11" t="s">
        <v>3220</v>
      </c>
      <c r="C297" s="292">
        <v>10872</v>
      </c>
      <c r="D297" s="292">
        <v>4774722.4806931298</v>
      </c>
      <c r="E297" s="293">
        <v>62283.209108228701</v>
      </c>
      <c r="F297" s="294">
        <v>100</v>
      </c>
      <c r="G297" s="295">
        <v>0</v>
      </c>
    </row>
    <row r="298" spans="1:7" x14ac:dyDescent="0.25">
      <c r="A298" s="6" t="s">
        <v>1088</v>
      </c>
      <c r="B298" s="6" t="s">
        <v>1089</v>
      </c>
      <c r="C298" s="288">
        <v>15240</v>
      </c>
      <c r="D298" s="288">
        <v>8121634.5193068804</v>
      </c>
      <c r="E298" s="289">
        <v>62283.209108263</v>
      </c>
      <c r="F298" s="290">
        <v>100</v>
      </c>
      <c r="G298" s="291">
        <v>0</v>
      </c>
    </row>
    <row r="299" spans="1:7" x14ac:dyDescent="0.25">
      <c r="A299" s="11" t="s">
        <v>6417</v>
      </c>
      <c r="B299" s="11" t="s">
        <v>6418</v>
      </c>
      <c r="C299" s="292">
        <v>10872</v>
      </c>
      <c r="D299" s="292">
        <v>4774722.4806931298</v>
      </c>
      <c r="E299" s="293">
        <v>62283.209108228701</v>
      </c>
      <c r="F299" s="294">
        <v>37.023808201751301</v>
      </c>
      <c r="G299" s="295">
        <v>0.48295196161397802</v>
      </c>
    </row>
    <row r="300" spans="1:7" x14ac:dyDescent="0.25">
      <c r="A300" s="6" t="s">
        <v>6417</v>
      </c>
      <c r="B300" s="6" t="s">
        <v>6419</v>
      </c>
      <c r="C300" s="288">
        <v>26112</v>
      </c>
      <c r="D300" s="288">
        <v>12896357</v>
      </c>
      <c r="E300" s="289">
        <v>0</v>
      </c>
      <c r="F300" s="290">
        <v>100</v>
      </c>
      <c r="G300" s="291">
        <v>0</v>
      </c>
    </row>
    <row r="301" spans="1:7" x14ac:dyDescent="0.25">
      <c r="A301" s="3729" t="s">
        <v>311</v>
      </c>
      <c r="B301" s="3730"/>
      <c r="C301" s="3730"/>
      <c r="D301" s="3730"/>
      <c r="E301" s="3730"/>
      <c r="F301" s="3730"/>
      <c r="G301" s="3730"/>
    </row>
    <row r="302" spans="1:7" x14ac:dyDescent="0.25">
      <c r="A302" s="11" t="s">
        <v>1094</v>
      </c>
      <c r="B302" s="11" t="s">
        <v>3221</v>
      </c>
      <c r="C302" s="300">
        <v>12006</v>
      </c>
      <c r="D302" s="300">
        <v>5299615.7553253602</v>
      </c>
      <c r="E302" s="301">
        <v>86036.841073347896</v>
      </c>
      <c r="F302" s="302">
        <v>100</v>
      </c>
      <c r="G302" s="303">
        <v>0</v>
      </c>
    </row>
    <row r="303" spans="1:7" x14ac:dyDescent="0.25">
      <c r="A303" s="6" t="s">
        <v>1088</v>
      </c>
      <c r="B303" s="6" t="s">
        <v>1089</v>
      </c>
      <c r="C303" s="296">
        <v>14106</v>
      </c>
      <c r="D303" s="296">
        <v>7596741.2446746696</v>
      </c>
      <c r="E303" s="297">
        <v>86036.8410733255</v>
      </c>
      <c r="F303" s="298">
        <v>100</v>
      </c>
      <c r="G303" s="299">
        <v>0</v>
      </c>
    </row>
    <row r="304" spans="1:7" x14ac:dyDescent="0.25">
      <c r="A304" s="11" t="s">
        <v>6417</v>
      </c>
      <c r="B304" s="11" t="s">
        <v>6418</v>
      </c>
      <c r="C304" s="300">
        <v>12006</v>
      </c>
      <c r="D304" s="300">
        <v>5299615.7553253602</v>
      </c>
      <c r="E304" s="301">
        <v>86036.841073347896</v>
      </c>
      <c r="F304" s="302">
        <v>41.093897721080097</v>
      </c>
      <c r="G304" s="303">
        <v>0.66714065897321295</v>
      </c>
    </row>
    <row r="305" spans="1:7" x14ac:dyDescent="0.25">
      <c r="A305" s="6" t="s">
        <v>6417</v>
      </c>
      <c r="B305" s="6" t="s">
        <v>6419</v>
      </c>
      <c r="C305" s="296">
        <v>26112</v>
      </c>
      <c r="D305" s="296">
        <v>12896357</v>
      </c>
      <c r="E305" s="297">
        <v>0</v>
      </c>
      <c r="F305" s="298">
        <v>100</v>
      </c>
      <c r="G305" s="299">
        <v>0</v>
      </c>
    </row>
    <row r="306" spans="1:7" x14ac:dyDescent="0.25">
      <c r="A306" s="3729" t="s">
        <v>314</v>
      </c>
      <c r="B306" s="3730"/>
      <c r="C306" s="3730"/>
      <c r="D306" s="3730"/>
      <c r="E306" s="3730"/>
      <c r="F306" s="3730"/>
      <c r="G306" s="3730"/>
    </row>
    <row r="307" spans="1:7" x14ac:dyDescent="0.25">
      <c r="A307" s="11" t="s">
        <v>1088</v>
      </c>
      <c r="B307" s="11" t="s">
        <v>1089</v>
      </c>
      <c r="C307" s="308">
        <v>26112</v>
      </c>
      <c r="D307" s="308">
        <v>12896357</v>
      </c>
      <c r="E307" s="309">
        <v>4.63364035059229E-7</v>
      </c>
      <c r="F307" s="310">
        <v>100</v>
      </c>
      <c r="G307" s="311">
        <v>0</v>
      </c>
    </row>
    <row r="308" spans="1:7" x14ac:dyDescent="0.25">
      <c r="A308" s="6" t="s">
        <v>6417</v>
      </c>
      <c r="B308" s="6" t="s">
        <v>6418</v>
      </c>
      <c r="C308" s="304">
        <v>0</v>
      </c>
      <c r="D308" s="304">
        <v>0</v>
      </c>
      <c r="E308" s="305">
        <v>0</v>
      </c>
      <c r="F308" s="306">
        <v>0</v>
      </c>
      <c r="G308" s="307">
        <v>0</v>
      </c>
    </row>
    <row r="309" spans="1:7" x14ac:dyDescent="0.25">
      <c r="A309" s="11" t="s">
        <v>6417</v>
      </c>
      <c r="B309" s="11" t="s">
        <v>6419</v>
      </c>
      <c r="C309" s="308">
        <v>26112</v>
      </c>
      <c r="D309" s="308">
        <v>12896357</v>
      </c>
      <c r="E309" s="309">
        <v>0</v>
      </c>
      <c r="F309" s="310">
        <v>100</v>
      </c>
      <c r="G309" s="311">
        <v>0</v>
      </c>
    </row>
    <row r="310" spans="1:7" x14ac:dyDescent="0.25">
      <c r="A310" s="3729" t="s">
        <v>317</v>
      </c>
      <c r="B310" s="3730"/>
      <c r="C310" s="3730"/>
      <c r="D310" s="3730"/>
      <c r="E310" s="3730"/>
      <c r="F310" s="3730"/>
      <c r="G310" s="3730"/>
    </row>
    <row r="311" spans="1:7" x14ac:dyDescent="0.25">
      <c r="A311" s="11" t="s">
        <v>1098</v>
      </c>
      <c r="B311" s="11" t="s">
        <v>3223</v>
      </c>
      <c r="C311" s="316">
        <v>3177</v>
      </c>
      <c r="D311" s="316">
        <v>1960363.7878545199</v>
      </c>
      <c r="E311" s="317">
        <v>38479.198237807701</v>
      </c>
      <c r="F311" s="318">
        <v>100</v>
      </c>
      <c r="G311" s="319">
        <v>0</v>
      </c>
    </row>
    <row r="312" spans="1:7" x14ac:dyDescent="0.25">
      <c r="A312" s="6" t="s">
        <v>1088</v>
      </c>
      <c r="B312" s="6" t="s">
        <v>1089</v>
      </c>
      <c r="C312" s="312">
        <v>22935</v>
      </c>
      <c r="D312" s="312">
        <v>10935993.2121455</v>
      </c>
      <c r="E312" s="313">
        <v>38479.198237854202</v>
      </c>
      <c r="F312" s="314">
        <v>100</v>
      </c>
      <c r="G312" s="315">
        <v>0</v>
      </c>
    </row>
    <row r="313" spans="1:7" x14ac:dyDescent="0.25">
      <c r="A313" s="11" t="s">
        <v>6417</v>
      </c>
      <c r="B313" s="11" t="s">
        <v>6418</v>
      </c>
      <c r="C313" s="316">
        <v>3177</v>
      </c>
      <c r="D313" s="316">
        <v>1960363.7878545199</v>
      </c>
      <c r="E313" s="317">
        <v>38479.198237807701</v>
      </c>
      <c r="F313" s="318">
        <v>15.200911294984399</v>
      </c>
      <c r="G313" s="319">
        <v>0.29837261978568702</v>
      </c>
    </row>
    <row r="314" spans="1:7" x14ac:dyDescent="0.25">
      <c r="A314" s="6" t="s">
        <v>6417</v>
      </c>
      <c r="B314" s="6" t="s">
        <v>6419</v>
      </c>
      <c r="C314" s="312">
        <v>26112</v>
      </c>
      <c r="D314" s="312">
        <v>12896357</v>
      </c>
      <c r="E314" s="313">
        <v>0</v>
      </c>
      <c r="F314" s="314">
        <v>100</v>
      </c>
      <c r="G314" s="315">
        <v>0</v>
      </c>
    </row>
    <row r="315" spans="1:7" x14ac:dyDescent="0.25">
      <c r="A315" s="3729" t="s">
        <v>320</v>
      </c>
      <c r="B315" s="3730"/>
      <c r="C315" s="3730"/>
      <c r="D315" s="3730"/>
      <c r="E315" s="3730"/>
      <c r="F315" s="3730"/>
      <c r="G315" s="3730"/>
    </row>
    <row r="316" spans="1:7" x14ac:dyDescent="0.25">
      <c r="A316" s="11" t="s">
        <v>1100</v>
      </c>
      <c r="B316" s="11" t="s">
        <v>3224</v>
      </c>
      <c r="C316" s="324">
        <v>7633</v>
      </c>
      <c r="D316" s="324">
        <v>4029318.1506900801</v>
      </c>
      <c r="E316" s="325">
        <v>61020.939202239999</v>
      </c>
      <c r="F316" s="326">
        <v>100</v>
      </c>
      <c r="G316" s="327">
        <v>0</v>
      </c>
    </row>
    <row r="317" spans="1:7" x14ac:dyDescent="0.25">
      <c r="A317" s="6" t="s">
        <v>1088</v>
      </c>
      <c r="B317" s="6" t="s">
        <v>1089</v>
      </c>
      <c r="C317" s="320">
        <v>18479</v>
      </c>
      <c r="D317" s="320">
        <v>8867038.8493099101</v>
      </c>
      <c r="E317" s="321">
        <v>61020.939202192902</v>
      </c>
      <c r="F317" s="322">
        <v>100</v>
      </c>
      <c r="G317" s="323">
        <v>0</v>
      </c>
    </row>
    <row r="318" spans="1:7" x14ac:dyDescent="0.25">
      <c r="A318" s="11" t="s">
        <v>6417</v>
      </c>
      <c r="B318" s="11" t="s">
        <v>6418</v>
      </c>
      <c r="C318" s="324">
        <v>7633</v>
      </c>
      <c r="D318" s="324">
        <v>4029318.1506900801</v>
      </c>
      <c r="E318" s="325">
        <v>61020.939202239999</v>
      </c>
      <c r="F318" s="326">
        <v>31.243847783448299</v>
      </c>
      <c r="G318" s="327">
        <v>0.473164159477172</v>
      </c>
    </row>
    <row r="319" spans="1:7" x14ac:dyDescent="0.25">
      <c r="A319" s="6" t="s">
        <v>6417</v>
      </c>
      <c r="B319" s="6" t="s">
        <v>6419</v>
      </c>
      <c r="C319" s="320">
        <v>26112</v>
      </c>
      <c r="D319" s="320">
        <v>12896357</v>
      </c>
      <c r="E319" s="321">
        <v>0</v>
      </c>
      <c r="F319" s="322">
        <v>100</v>
      </c>
      <c r="G319" s="323">
        <v>0</v>
      </c>
    </row>
    <row r="320" spans="1:7" x14ac:dyDescent="0.25">
      <c r="A320" s="3729" t="s">
        <v>323</v>
      </c>
      <c r="B320" s="3730"/>
      <c r="C320" s="3730"/>
      <c r="D320" s="3730"/>
      <c r="E320" s="3730"/>
      <c r="F320" s="3730"/>
      <c r="G320" s="3730"/>
    </row>
    <row r="321" spans="1:7" x14ac:dyDescent="0.25">
      <c r="A321" s="11" t="s">
        <v>1109</v>
      </c>
      <c r="B321" s="11" t="s">
        <v>3225</v>
      </c>
      <c r="C321" s="332">
        <v>2085</v>
      </c>
      <c r="D321" s="332">
        <v>1598180.3328336801</v>
      </c>
      <c r="E321" s="333">
        <v>44292.655098594099</v>
      </c>
      <c r="F321" s="334">
        <v>100</v>
      </c>
      <c r="G321" s="335">
        <v>0</v>
      </c>
    </row>
    <row r="322" spans="1:7" x14ac:dyDescent="0.25">
      <c r="A322" s="6" t="s">
        <v>1088</v>
      </c>
      <c r="B322" s="6" t="s">
        <v>1089</v>
      </c>
      <c r="C322" s="328">
        <v>24027</v>
      </c>
      <c r="D322" s="328">
        <v>11298176.667166401</v>
      </c>
      <c r="E322" s="329">
        <v>44292.655098577598</v>
      </c>
      <c r="F322" s="330">
        <v>100</v>
      </c>
      <c r="G322" s="331">
        <v>0</v>
      </c>
    </row>
    <row r="323" spans="1:7" x14ac:dyDescent="0.25">
      <c r="A323" s="11" t="s">
        <v>6417</v>
      </c>
      <c r="B323" s="11" t="s">
        <v>6418</v>
      </c>
      <c r="C323" s="332">
        <v>2085</v>
      </c>
      <c r="D323" s="332">
        <v>1598180.3328336801</v>
      </c>
      <c r="E323" s="333">
        <v>44292.655098594099</v>
      </c>
      <c r="F323" s="334">
        <v>12.3924945070432</v>
      </c>
      <c r="G323" s="335">
        <v>0.34345090709408899</v>
      </c>
    </row>
    <row r="324" spans="1:7" x14ac:dyDescent="0.25">
      <c r="A324" s="6" t="s">
        <v>6417</v>
      </c>
      <c r="B324" s="6" t="s">
        <v>6419</v>
      </c>
      <c r="C324" s="328">
        <v>26112</v>
      </c>
      <c r="D324" s="328">
        <v>12896357</v>
      </c>
      <c r="E324" s="329">
        <v>0</v>
      </c>
      <c r="F324" s="330">
        <v>100</v>
      </c>
      <c r="G324" s="331">
        <v>0</v>
      </c>
    </row>
    <row r="325" spans="1:7" x14ac:dyDescent="0.25">
      <c r="A325" s="3729" t="s">
        <v>326</v>
      </c>
      <c r="B325" s="3730"/>
      <c r="C325" s="3730"/>
      <c r="D325" s="3730"/>
      <c r="E325" s="3730"/>
      <c r="F325" s="3730"/>
      <c r="G325" s="3730"/>
    </row>
    <row r="326" spans="1:7" x14ac:dyDescent="0.25">
      <c r="A326" s="11" t="s">
        <v>1119</v>
      </c>
      <c r="B326" s="11" t="s">
        <v>3226</v>
      </c>
      <c r="C326" s="340">
        <v>4502</v>
      </c>
      <c r="D326" s="340">
        <v>2470124.7169834399</v>
      </c>
      <c r="E326" s="341">
        <v>115743.770655171</v>
      </c>
      <c r="F326" s="342">
        <v>100</v>
      </c>
      <c r="G326" s="343">
        <v>0</v>
      </c>
    </row>
    <row r="327" spans="1:7" x14ac:dyDescent="0.25">
      <c r="A327" s="6" t="s">
        <v>1088</v>
      </c>
      <c r="B327" s="6" t="s">
        <v>1089</v>
      </c>
      <c r="C327" s="336">
        <v>21610</v>
      </c>
      <c r="D327" s="336">
        <v>10426232.2830166</v>
      </c>
      <c r="E327" s="337">
        <v>115743.770655168</v>
      </c>
      <c r="F327" s="338">
        <v>100</v>
      </c>
      <c r="G327" s="339">
        <v>0</v>
      </c>
    </row>
    <row r="328" spans="1:7" x14ac:dyDescent="0.25">
      <c r="A328" s="11" t="s">
        <v>6417</v>
      </c>
      <c r="B328" s="11" t="s">
        <v>6418</v>
      </c>
      <c r="C328" s="340">
        <v>4502</v>
      </c>
      <c r="D328" s="340">
        <v>2470124.7169834399</v>
      </c>
      <c r="E328" s="341">
        <v>115743.770655171</v>
      </c>
      <c r="F328" s="342">
        <v>19.153662673757001</v>
      </c>
      <c r="G328" s="343">
        <v>0.89749198673059905</v>
      </c>
    </row>
    <row r="329" spans="1:7" x14ac:dyDescent="0.25">
      <c r="A329" s="6" t="s">
        <v>6417</v>
      </c>
      <c r="B329" s="6" t="s">
        <v>6419</v>
      </c>
      <c r="C329" s="336">
        <v>26112</v>
      </c>
      <c r="D329" s="336">
        <v>12896357</v>
      </c>
      <c r="E329" s="337">
        <v>0</v>
      </c>
      <c r="F329" s="338">
        <v>100</v>
      </c>
      <c r="G329" s="339">
        <v>0</v>
      </c>
    </row>
    <row r="330" spans="1:7" x14ac:dyDescent="0.25">
      <c r="A330" s="3729" t="s">
        <v>329</v>
      </c>
      <c r="B330" s="3730"/>
      <c r="C330" s="3730"/>
      <c r="D330" s="3730"/>
      <c r="E330" s="3730"/>
      <c r="F330" s="3730"/>
      <c r="G330" s="3730"/>
    </row>
    <row r="331" spans="1:7" x14ac:dyDescent="0.25">
      <c r="A331" s="11" t="s">
        <v>1121</v>
      </c>
      <c r="B331" s="11" t="s">
        <v>3227</v>
      </c>
      <c r="C331" s="348">
        <v>6594</v>
      </c>
      <c r="D331" s="348">
        <v>3336521.7478698599</v>
      </c>
      <c r="E331" s="349">
        <v>69377.485400438105</v>
      </c>
      <c r="F331" s="350">
        <v>100</v>
      </c>
      <c r="G331" s="351">
        <v>0</v>
      </c>
    </row>
    <row r="332" spans="1:7" x14ac:dyDescent="0.25">
      <c r="A332" s="6" t="s">
        <v>1088</v>
      </c>
      <c r="B332" s="6" t="s">
        <v>1089</v>
      </c>
      <c r="C332" s="344">
        <v>19518</v>
      </c>
      <c r="D332" s="344">
        <v>9559835.2521301098</v>
      </c>
      <c r="E332" s="345">
        <v>69377.4854004347</v>
      </c>
      <c r="F332" s="346">
        <v>100</v>
      </c>
      <c r="G332" s="347">
        <v>0</v>
      </c>
    </row>
    <row r="333" spans="1:7" x14ac:dyDescent="0.25">
      <c r="A333" s="11" t="s">
        <v>6417</v>
      </c>
      <c r="B333" s="11" t="s">
        <v>6418</v>
      </c>
      <c r="C333" s="348">
        <v>6594</v>
      </c>
      <c r="D333" s="348">
        <v>3336521.7478698599</v>
      </c>
      <c r="E333" s="349">
        <v>69377.485400438105</v>
      </c>
      <c r="F333" s="350">
        <v>25.8718159544581</v>
      </c>
      <c r="G333" s="351">
        <v>0.53796188644930898</v>
      </c>
    </row>
    <row r="334" spans="1:7" x14ac:dyDescent="0.25">
      <c r="A334" s="6" t="s">
        <v>6417</v>
      </c>
      <c r="B334" s="6" t="s">
        <v>6419</v>
      </c>
      <c r="C334" s="344">
        <v>26112</v>
      </c>
      <c r="D334" s="344">
        <v>12896357</v>
      </c>
      <c r="E334" s="345">
        <v>0</v>
      </c>
      <c r="F334" s="346">
        <v>100</v>
      </c>
      <c r="G334" s="347">
        <v>0</v>
      </c>
    </row>
    <row r="335" spans="1:7" x14ac:dyDescent="0.25">
      <c r="A335" s="3729" t="s">
        <v>302</v>
      </c>
      <c r="B335" s="3730"/>
      <c r="C335" s="3730"/>
      <c r="D335" s="3730"/>
      <c r="E335" s="3730"/>
      <c r="F335" s="3730"/>
      <c r="G335" s="3730"/>
    </row>
    <row r="336" spans="1:7" x14ac:dyDescent="0.25">
      <c r="A336" s="11" t="s">
        <v>1123</v>
      </c>
      <c r="B336" s="11" t="s">
        <v>3228</v>
      </c>
      <c r="C336" s="356">
        <v>1506</v>
      </c>
      <c r="D336" s="356">
        <v>1224102.09889059</v>
      </c>
      <c r="E336" s="357">
        <v>41691.627488907397</v>
      </c>
      <c r="F336" s="358">
        <v>100</v>
      </c>
      <c r="G336" s="359">
        <v>0</v>
      </c>
    </row>
    <row r="337" spans="1:7" x14ac:dyDescent="0.25">
      <c r="A337" s="6" t="s">
        <v>1088</v>
      </c>
      <c r="B337" s="6" t="s">
        <v>1089</v>
      </c>
      <c r="C337" s="352">
        <v>24606</v>
      </c>
      <c r="D337" s="352">
        <v>11672254.901109399</v>
      </c>
      <c r="E337" s="353">
        <v>41691.627488874699</v>
      </c>
      <c r="F337" s="354">
        <v>100</v>
      </c>
      <c r="G337" s="355">
        <v>0</v>
      </c>
    </row>
    <row r="338" spans="1:7" x14ac:dyDescent="0.25">
      <c r="A338" s="11" t="s">
        <v>6417</v>
      </c>
      <c r="B338" s="11" t="s">
        <v>6418</v>
      </c>
      <c r="C338" s="356">
        <v>1506</v>
      </c>
      <c r="D338" s="356">
        <v>1224102.09889059</v>
      </c>
      <c r="E338" s="357">
        <v>41691.627488907397</v>
      </c>
      <c r="F338" s="358">
        <v>9.4918440834926106</v>
      </c>
      <c r="G338" s="359">
        <v>0.32328220666428797</v>
      </c>
    </row>
    <row r="339" spans="1:7" x14ac:dyDescent="0.25">
      <c r="A339" s="6" t="s">
        <v>6417</v>
      </c>
      <c r="B339" s="6" t="s">
        <v>6419</v>
      </c>
      <c r="C339" s="352">
        <v>26112</v>
      </c>
      <c r="D339" s="352">
        <v>12896357</v>
      </c>
      <c r="E339" s="353">
        <v>0</v>
      </c>
      <c r="F339" s="354">
        <v>100</v>
      </c>
      <c r="G339" s="355">
        <v>0</v>
      </c>
    </row>
    <row r="340" spans="1:7" x14ac:dyDescent="0.25">
      <c r="A340" s="3729" t="s">
        <v>305</v>
      </c>
      <c r="B340" s="3730"/>
      <c r="C340" s="3730"/>
      <c r="D340" s="3730"/>
      <c r="E340" s="3730"/>
      <c r="F340" s="3730"/>
      <c r="G340" s="3730"/>
    </row>
    <row r="341" spans="1:7" x14ac:dyDescent="0.25">
      <c r="A341" s="11" t="s">
        <v>1125</v>
      </c>
      <c r="B341" s="11" t="s">
        <v>3229</v>
      </c>
      <c r="C341" s="364">
        <v>4817</v>
      </c>
      <c r="D341" s="364">
        <v>1496459.6768511101</v>
      </c>
      <c r="E341" s="365">
        <v>64643.796059726301</v>
      </c>
      <c r="F341" s="366">
        <v>100</v>
      </c>
      <c r="G341" s="367">
        <v>0</v>
      </c>
    </row>
    <row r="342" spans="1:7" x14ac:dyDescent="0.25">
      <c r="A342" s="6" t="s">
        <v>1088</v>
      </c>
      <c r="B342" s="6" t="s">
        <v>1089</v>
      </c>
      <c r="C342" s="360">
        <v>21295</v>
      </c>
      <c r="D342" s="360">
        <v>11399897.323148901</v>
      </c>
      <c r="E342" s="361">
        <v>64643.7960597852</v>
      </c>
      <c r="F342" s="362">
        <v>100</v>
      </c>
      <c r="G342" s="363">
        <v>0</v>
      </c>
    </row>
    <row r="343" spans="1:7" x14ac:dyDescent="0.25">
      <c r="A343" s="11" t="s">
        <v>6417</v>
      </c>
      <c r="B343" s="11" t="s">
        <v>6418</v>
      </c>
      <c r="C343" s="364">
        <v>4817</v>
      </c>
      <c r="D343" s="364">
        <v>1496459.6768511101</v>
      </c>
      <c r="E343" s="365">
        <v>64643.796059726301</v>
      </c>
      <c r="F343" s="366">
        <v>11.6037395432765</v>
      </c>
      <c r="G343" s="367">
        <v>0.50125625445800703</v>
      </c>
    </row>
    <row r="344" spans="1:7" x14ac:dyDescent="0.25">
      <c r="A344" s="6" t="s">
        <v>6417</v>
      </c>
      <c r="B344" s="6" t="s">
        <v>6419</v>
      </c>
      <c r="C344" s="360">
        <v>26112</v>
      </c>
      <c r="D344" s="360">
        <v>12896357</v>
      </c>
      <c r="E344" s="361">
        <v>0</v>
      </c>
      <c r="F344" s="362">
        <v>100</v>
      </c>
      <c r="G344" s="363">
        <v>0</v>
      </c>
    </row>
    <row r="345" spans="1:7" x14ac:dyDescent="0.25">
      <c r="A345" s="3729" t="s">
        <v>335</v>
      </c>
      <c r="B345" s="3730"/>
      <c r="C345" s="3730"/>
      <c r="D345" s="3730"/>
      <c r="E345" s="3730"/>
      <c r="F345" s="3730"/>
      <c r="G345" s="3730"/>
    </row>
    <row r="346" spans="1:7" x14ac:dyDescent="0.25">
      <c r="A346" s="11" t="s">
        <v>1127</v>
      </c>
      <c r="B346" s="11" t="s">
        <v>1177</v>
      </c>
      <c r="C346" s="372">
        <v>7516</v>
      </c>
      <c r="D346" s="372">
        <v>3609911.8400685899</v>
      </c>
      <c r="E346" s="373">
        <v>70451.710745728298</v>
      </c>
      <c r="F346" s="374">
        <v>100</v>
      </c>
      <c r="G346" s="375">
        <v>0</v>
      </c>
    </row>
    <row r="347" spans="1:7" x14ac:dyDescent="0.25">
      <c r="A347" s="6" t="s">
        <v>1088</v>
      </c>
      <c r="B347" s="6" t="s">
        <v>1089</v>
      </c>
      <c r="C347" s="368">
        <v>18596</v>
      </c>
      <c r="D347" s="368">
        <v>9286445.1599314194</v>
      </c>
      <c r="E347" s="369">
        <v>70451.7107457042</v>
      </c>
      <c r="F347" s="370">
        <v>100</v>
      </c>
      <c r="G347" s="371">
        <v>0</v>
      </c>
    </row>
    <row r="348" spans="1:7" x14ac:dyDescent="0.25">
      <c r="A348" s="11" t="s">
        <v>6417</v>
      </c>
      <c r="B348" s="11" t="s">
        <v>6418</v>
      </c>
      <c r="C348" s="372">
        <v>7516</v>
      </c>
      <c r="D348" s="372">
        <v>3609911.8400685899</v>
      </c>
      <c r="E348" s="373">
        <v>70451.710745728298</v>
      </c>
      <c r="F348" s="374">
        <v>27.991717661573599</v>
      </c>
      <c r="G348" s="375">
        <v>0.54629156703494697</v>
      </c>
    </row>
    <row r="349" spans="1:7" x14ac:dyDescent="0.25">
      <c r="A349" s="6" t="s">
        <v>6417</v>
      </c>
      <c r="B349" s="6" t="s">
        <v>6419</v>
      </c>
      <c r="C349" s="368">
        <v>26112</v>
      </c>
      <c r="D349" s="368">
        <v>12896357</v>
      </c>
      <c r="E349" s="369">
        <v>0</v>
      </c>
      <c r="F349" s="370">
        <v>100</v>
      </c>
      <c r="G349" s="371">
        <v>0</v>
      </c>
    </row>
    <row r="350" spans="1:7" x14ac:dyDescent="0.25">
      <c r="A350" s="3729" t="s">
        <v>332</v>
      </c>
      <c r="B350" s="3730"/>
      <c r="C350" s="3730"/>
      <c r="D350" s="3730"/>
      <c r="E350" s="3730"/>
      <c r="F350" s="3730"/>
      <c r="G350" s="3730"/>
    </row>
    <row r="351" spans="1:7" x14ac:dyDescent="0.25">
      <c r="A351" s="11" t="s">
        <v>1088</v>
      </c>
      <c r="B351" s="11" t="s">
        <v>1089</v>
      </c>
      <c r="C351" s="380">
        <v>26103</v>
      </c>
      <c r="D351" s="380">
        <v>12887810.456153899</v>
      </c>
      <c r="E351" s="381">
        <v>4620.8307180388601</v>
      </c>
      <c r="F351" s="382">
        <v>99.933729006989395</v>
      </c>
      <c r="G351" s="383">
        <v>3.5830511810829302E-2</v>
      </c>
    </row>
    <row r="352" spans="1:7" x14ac:dyDescent="0.25">
      <c r="A352" s="6" t="s">
        <v>1084</v>
      </c>
      <c r="B352" s="6" t="s">
        <v>1085</v>
      </c>
      <c r="C352" s="376">
        <v>9</v>
      </c>
      <c r="D352" s="376">
        <v>8546.5438460954301</v>
      </c>
      <c r="E352" s="377">
        <v>4620.8307180518204</v>
      </c>
      <c r="F352" s="378">
        <v>6.6270993010626306E-2</v>
      </c>
      <c r="G352" s="379">
        <v>3.58305118108301E-2</v>
      </c>
    </row>
    <row r="353" spans="1:7" x14ac:dyDescent="0.25">
      <c r="A353" s="11" t="s">
        <v>6417</v>
      </c>
      <c r="B353" s="11" t="s">
        <v>6418</v>
      </c>
      <c r="C353" s="380">
        <v>0</v>
      </c>
      <c r="D353" s="380">
        <v>0</v>
      </c>
      <c r="E353" s="381">
        <v>0</v>
      </c>
      <c r="F353" s="382">
        <v>0</v>
      </c>
      <c r="G353" s="383">
        <v>0</v>
      </c>
    </row>
    <row r="354" spans="1:7" x14ac:dyDescent="0.25">
      <c r="A354" s="6" t="s">
        <v>6417</v>
      </c>
      <c r="B354" s="6" t="s">
        <v>6419</v>
      </c>
      <c r="C354" s="376">
        <v>26112</v>
      </c>
      <c r="D354" s="376">
        <v>12896357</v>
      </c>
      <c r="E354" s="377">
        <v>0</v>
      </c>
      <c r="F354" s="378">
        <v>100</v>
      </c>
      <c r="G354" s="379">
        <v>0</v>
      </c>
    </row>
    <row r="355" spans="1:7" x14ac:dyDescent="0.25">
      <c r="A355" s="3729" t="s">
        <v>338</v>
      </c>
      <c r="B355" s="3730"/>
      <c r="C355" s="3730"/>
      <c r="D355" s="3730"/>
      <c r="E355" s="3730"/>
      <c r="F355" s="3730"/>
      <c r="G355" s="3730"/>
    </row>
    <row r="356" spans="1:7" x14ac:dyDescent="0.25">
      <c r="A356" s="11" t="s">
        <v>1088</v>
      </c>
      <c r="B356" s="11" t="s">
        <v>1089</v>
      </c>
      <c r="C356" s="388">
        <v>26105</v>
      </c>
      <c r="D356" s="388">
        <v>12891730.621478001</v>
      </c>
      <c r="E356" s="389">
        <v>4050.9066494837198</v>
      </c>
      <c r="F356" s="390">
        <v>99.964126469808605</v>
      </c>
      <c r="G356" s="391">
        <v>3.14112477615709E-2</v>
      </c>
    </row>
    <row r="357" spans="1:7" x14ac:dyDescent="0.25">
      <c r="A357" s="6" t="s">
        <v>1086</v>
      </c>
      <c r="B357" s="6" t="s">
        <v>1087</v>
      </c>
      <c r="C357" s="384">
        <v>7</v>
      </c>
      <c r="D357" s="384">
        <v>4626.3785219834599</v>
      </c>
      <c r="E357" s="385">
        <v>4050.9066494876101</v>
      </c>
      <c r="F357" s="386">
        <v>3.58735301913823E-2</v>
      </c>
      <c r="G357" s="387">
        <v>3.1411247761577998E-2</v>
      </c>
    </row>
    <row r="358" spans="1:7" x14ac:dyDescent="0.25">
      <c r="A358" s="11" t="s">
        <v>6417</v>
      </c>
      <c r="B358" s="11" t="s">
        <v>6418</v>
      </c>
      <c r="C358" s="388">
        <v>0</v>
      </c>
      <c r="D358" s="388">
        <v>0</v>
      </c>
      <c r="E358" s="389">
        <v>0</v>
      </c>
      <c r="F358" s="390">
        <v>0</v>
      </c>
      <c r="G358" s="391">
        <v>0</v>
      </c>
    </row>
    <row r="359" spans="1:7" x14ac:dyDescent="0.25">
      <c r="A359" s="6" t="s">
        <v>6417</v>
      </c>
      <c r="B359" s="6" t="s">
        <v>6419</v>
      </c>
      <c r="C359" s="384">
        <v>26112</v>
      </c>
      <c r="D359" s="384">
        <v>12896357</v>
      </c>
      <c r="E359" s="385">
        <v>0</v>
      </c>
      <c r="F359" s="386">
        <v>100</v>
      </c>
      <c r="G359" s="387">
        <v>0</v>
      </c>
    </row>
    <row r="360" spans="1:7" x14ac:dyDescent="0.25">
      <c r="A360" s="3729" t="s">
        <v>283</v>
      </c>
      <c r="B360" s="3730"/>
      <c r="C360" s="3730"/>
      <c r="D360" s="3730"/>
      <c r="E360" s="3730"/>
      <c r="F360" s="3730"/>
      <c r="G360" s="3730"/>
    </row>
    <row r="361" spans="1:7" x14ac:dyDescent="0.25">
      <c r="A361" s="11" t="s">
        <v>1090</v>
      </c>
      <c r="B361" s="11"/>
      <c r="C361" s="396">
        <v>17142</v>
      </c>
      <c r="D361" s="396">
        <v>9453791.7634548806</v>
      </c>
      <c r="E361" s="397">
        <v>20610.3954370061</v>
      </c>
      <c r="F361" s="398">
        <v>73.305909284729594</v>
      </c>
      <c r="G361" s="399">
        <v>0.15981563969578699</v>
      </c>
    </row>
    <row r="362" spans="1:7" x14ac:dyDescent="0.25">
      <c r="A362" s="6" t="s">
        <v>1092</v>
      </c>
      <c r="B362" s="6"/>
      <c r="C362" s="392">
        <v>8970</v>
      </c>
      <c r="D362" s="392">
        <v>3442565.2365451301</v>
      </c>
      <c r="E362" s="393">
        <v>20610.3954370012</v>
      </c>
      <c r="F362" s="394">
        <v>26.694090715270399</v>
      </c>
      <c r="G362" s="395">
        <v>0.15981563969578499</v>
      </c>
    </row>
    <row r="363" spans="1:7" x14ac:dyDescent="0.25">
      <c r="A363" s="11" t="s">
        <v>6417</v>
      </c>
      <c r="B363" s="11" t="s">
        <v>6418</v>
      </c>
      <c r="C363" s="396">
        <v>26112</v>
      </c>
      <c r="D363" s="396">
        <v>12896357</v>
      </c>
      <c r="E363" s="397">
        <v>4.2481611927272102E-7</v>
      </c>
      <c r="F363" s="398">
        <v>100</v>
      </c>
      <c r="G363" s="399">
        <v>1.02786679142825E-14</v>
      </c>
    </row>
    <row r="364" spans="1:7" x14ac:dyDescent="0.25">
      <c r="A364" s="6" t="s">
        <v>6417</v>
      </c>
      <c r="B364" s="6" t="s">
        <v>6419</v>
      </c>
      <c r="C364" s="392">
        <v>26112</v>
      </c>
      <c r="D364" s="392">
        <v>12896357</v>
      </c>
      <c r="E364" s="393">
        <v>0</v>
      </c>
      <c r="F364" s="394">
        <v>100</v>
      </c>
      <c r="G364" s="395">
        <v>0</v>
      </c>
    </row>
    <row r="365" spans="1:7" x14ac:dyDescent="0.25">
      <c r="A365" s="3729" t="s">
        <v>197</v>
      </c>
      <c r="B365" s="3730"/>
      <c r="C365" s="3730"/>
      <c r="D365" s="3730"/>
      <c r="E365" s="3730"/>
      <c r="F365" s="3730"/>
      <c r="G365" s="3730"/>
    </row>
    <row r="366" spans="1:7" x14ac:dyDescent="0.25">
      <c r="A366" s="11" t="s">
        <v>6426</v>
      </c>
      <c r="B366" s="11"/>
      <c r="C366" s="404">
        <v>12971</v>
      </c>
      <c r="D366" s="404">
        <v>6004786.7207140801</v>
      </c>
      <c r="E366" s="405">
        <v>68706.331824999201</v>
      </c>
      <c r="F366" s="406">
        <v>46.561883489376697</v>
      </c>
      <c r="G366" s="407">
        <v>0.53275767586920597</v>
      </c>
    </row>
    <row r="367" spans="1:7" x14ac:dyDescent="0.25">
      <c r="A367" s="6" t="s">
        <v>6427</v>
      </c>
      <c r="B367" s="6"/>
      <c r="C367" s="400">
        <v>9755</v>
      </c>
      <c r="D367" s="400">
        <v>4063487.6936167199</v>
      </c>
      <c r="E367" s="401">
        <v>48183.8230901114</v>
      </c>
      <c r="F367" s="402">
        <v>31.508802785288299</v>
      </c>
      <c r="G367" s="403">
        <v>0.37362352089128398</v>
      </c>
    </row>
    <row r="368" spans="1:7" x14ac:dyDescent="0.25">
      <c r="A368" s="11" t="s">
        <v>6429</v>
      </c>
      <c r="B368" s="11"/>
      <c r="C368" s="404">
        <v>1855</v>
      </c>
      <c r="D368" s="404">
        <v>1436692.97180004</v>
      </c>
      <c r="E368" s="405">
        <v>47585.261213648999</v>
      </c>
      <c r="F368" s="406">
        <v>11.140300875666201</v>
      </c>
      <c r="G368" s="407">
        <v>0.36898219562044998</v>
      </c>
    </row>
    <row r="369" spans="1:7" x14ac:dyDescent="0.25">
      <c r="A369" s="6" t="s">
        <v>1292</v>
      </c>
      <c r="B369" s="6"/>
      <c r="C369" s="400">
        <v>935</v>
      </c>
      <c r="D369" s="400">
        <v>701118.950798003</v>
      </c>
      <c r="E369" s="401">
        <v>14900.407482668799</v>
      </c>
      <c r="F369" s="402">
        <v>5.4365659294171396</v>
      </c>
      <c r="G369" s="403">
        <v>0.115539663508607</v>
      </c>
    </row>
    <row r="370" spans="1:7" x14ac:dyDescent="0.25">
      <c r="A370" s="11" t="s">
        <v>6428</v>
      </c>
      <c r="B370" s="11"/>
      <c r="C370" s="404">
        <v>480</v>
      </c>
      <c r="D370" s="404">
        <v>543095.49850092898</v>
      </c>
      <c r="E370" s="405">
        <v>37552.738931113199</v>
      </c>
      <c r="F370" s="406">
        <v>4.2112318889817404</v>
      </c>
      <c r="G370" s="407">
        <v>0.29118873594389899</v>
      </c>
    </row>
    <row r="371" spans="1:7" x14ac:dyDescent="0.25">
      <c r="A371" s="6" t="s">
        <v>6430</v>
      </c>
      <c r="B371" s="6"/>
      <c r="C371" s="400">
        <v>88</v>
      </c>
      <c r="D371" s="400">
        <v>113056.62070901001</v>
      </c>
      <c r="E371" s="401">
        <v>19072.224904803501</v>
      </c>
      <c r="F371" s="402">
        <v>0.87665548269956906</v>
      </c>
      <c r="G371" s="403">
        <v>0.147888468850573</v>
      </c>
    </row>
    <row r="372" spans="1:7" x14ac:dyDescent="0.25">
      <c r="A372" s="11" t="s">
        <v>6431</v>
      </c>
      <c r="B372" s="11"/>
      <c r="C372" s="404">
        <v>25</v>
      </c>
      <c r="D372" s="404">
        <v>34118.543861218102</v>
      </c>
      <c r="E372" s="405">
        <v>8671.8434733164195</v>
      </c>
      <c r="F372" s="406">
        <v>0.26455954857032898</v>
      </c>
      <c r="G372" s="407">
        <v>6.72425823301607E-2</v>
      </c>
    </row>
    <row r="373" spans="1:7" x14ac:dyDescent="0.25">
      <c r="A373" s="6" t="s">
        <v>6417</v>
      </c>
      <c r="B373" s="6" t="s">
        <v>6418</v>
      </c>
      <c r="C373" s="400">
        <v>26109</v>
      </c>
      <c r="D373" s="400">
        <v>12896357</v>
      </c>
      <c r="E373" s="401">
        <v>1.07181315970636E-7</v>
      </c>
      <c r="F373" s="402">
        <v>100</v>
      </c>
      <c r="G373" s="403">
        <v>2.0557335828564899E-14</v>
      </c>
    </row>
    <row r="374" spans="1:7" x14ac:dyDescent="0.25">
      <c r="A374" s="11" t="s">
        <v>6417</v>
      </c>
      <c r="B374" s="11" t="s">
        <v>6419</v>
      </c>
      <c r="C374" s="404">
        <v>26109</v>
      </c>
      <c r="D374" s="404">
        <v>12896357</v>
      </c>
      <c r="E374" s="405">
        <v>0</v>
      </c>
      <c r="F374" s="406">
        <v>100</v>
      </c>
      <c r="G374" s="407">
        <v>0</v>
      </c>
    </row>
    <row r="375" spans="1:7" x14ac:dyDescent="0.25">
      <c r="A375" s="3729" t="s">
        <v>141</v>
      </c>
      <c r="B375" s="3730"/>
      <c r="C375" s="3730"/>
      <c r="D375" s="3730"/>
      <c r="E375" s="3730"/>
      <c r="F375" s="3730"/>
      <c r="G375" s="3730"/>
    </row>
    <row r="376" spans="1:7" x14ac:dyDescent="0.25">
      <c r="A376" s="11" t="s">
        <v>6428</v>
      </c>
      <c r="B376" s="11"/>
      <c r="C376" s="412">
        <v>2899</v>
      </c>
      <c r="D376" s="412">
        <v>1226468.7468705301</v>
      </c>
      <c r="E376" s="413">
        <v>44828.821785368396</v>
      </c>
      <c r="F376" s="414">
        <v>9.5101953743257308</v>
      </c>
      <c r="G376" s="415">
        <v>0.34760841209163101</v>
      </c>
    </row>
    <row r="377" spans="1:7" x14ac:dyDescent="0.25">
      <c r="A377" s="6" t="s">
        <v>6431</v>
      </c>
      <c r="B377" s="6"/>
      <c r="C377" s="408">
        <v>2566</v>
      </c>
      <c r="D377" s="408">
        <v>1149277.51684838</v>
      </c>
      <c r="E377" s="409">
        <v>33389.6783311568</v>
      </c>
      <c r="F377" s="410">
        <v>8.9116447136844599</v>
      </c>
      <c r="G377" s="411">
        <v>0.25890783212000901</v>
      </c>
    </row>
    <row r="378" spans="1:7" x14ac:dyDescent="0.25">
      <c r="A378" s="11" t="s">
        <v>6426</v>
      </c>
      <c r="B378" s="11"/>
      <c r="C378" s="412">
        <v>2690</v>
      </c>
      <c r="D378" s="412">
        <v>1143410.8998135999</v>
      </c>
      <c r="E378" s="413">
        <v>55102.988759068903</v>
      </c>
      <c r="F378" s="414">
        <v>8.8661542155943405</v>
      </c>
      <c r="G378" s="415">
        <v>0.42727561557942001</v>
      </c>
    </row>
    <row r="379" spans="1:7" x14ac:dyDescent="0.25">
      <c r="A379" s="6" t="s">
        <v>6433</v>
      </c>
      <c r="B379" s="6"/>
      <c r="C379" s="408">
        <v>1989</v>
      </c>
      <c r="D379" s="408">
        <v>1011298.95117196</v>
      </c>
      <c r="E379" s="409">
        <v>52962.594557544602</v>
      </c>
      <c r="F379" s="410">
        <v>7.84174128532546</v>
      </c>
      <c r="G379" s="411">
        <v>0.41067872545358902</v>
      </c>
    </row>
    <row r="380" spans="1:7" x14ac:dyDescent="0.25">
      <c r="A380" s="11" t="s">
        <v>1292</v>
      </c>
      <c r="B380" s="11"/>
      <c r="C380" s="412">
        <v>2707</v>
      </c>
      <c r="D380" s="412">
        <v>848651.55023439601</v>
      </c>
      <c r="E380" s="413">
        <v>46426.089292669298</v>
      </c>
      <c r="F380" s="414">
        <v>6.5805525563102503</v>
      </c>
      <c r="G380" s="415">
        <v>0.35999382843285699</v>
      </c>
    </row>
    <row r="381" spans="1:7" x14ac:dyDescent="0.25">
      <c r="A381" s="6" t="s">
        <v>6432</v>
      </c>
      <c r="B381" s="6"/>
      <c r="C381" s="408">
        <v>1459</v>
      </c>
      <c r="D381" s="408">
        <v>744868.09218720498</v>
      </c>
      <c r="E381" s="409">
        <v>39275.152751215399</v>
      </c>
      <c r="F381" s="410">
        <v>5.7758023617615804</v>
      </c>
      <c r="G381" s="411">
        <v>0.30454455278506398</v>
      </c>
    </row>
    <row r="382" spans="1:7" x14ac:dyDescent="0.25">
      <c r="A382" s="11" t="s">
        <v>6430</v>
      </c>
      <c r="B382" s="11"/>
      <c r="C382" s="412">
        <v>1806</v>
      </c>
      <c r="D382" s="412">
        <v>730444.90204848198</v>
      </c>
      <c r="E382" s="413">
        <v>42710.716838865301</v>
      </c>
      <c r="F382" s="414">
        <v>5.6639631025140096</v>
      </c>
      <c r="G382" s="415">
        <v>0.33118435569723598</v>
      </c>
    </row>
    <row r="383" spans="1:7" x14ac:dyDescent="0.25">
      <c r="A383" s="6" t="s">
        <v>1123</v>
      </c>
      <c r="B383" s="6"/>
      <c r="C383" s="408">
        <v>1342</v>
      </c>
      <c r="D383" s="408">
        <v>703988.37178300705</v>
      </c>
      <c r="E383" s="409">
        <v>47510.072421802302</v>
      </c>
      <c r="F383" s="410">
        <v>5.4588157863728997</v>
      </c>
      <c r="G383" s="411">
        <v>0.368399172121263</v>
      </c>
    </row>
    <row r="384" spans="1:7" x14ac:dyDescent="0.25">
      <c r="A384" s="11" t="s">
        <v>6429</v>
      </c>
      <c r="B384" s="11"/>
      <c r="C384" s="412">
        <v>1607</v>
      </c>
      <c r="D384" s="412">
        <v>656167.51033502398</v>
      </c>
      <c r="E384" s="413">
        <v>31926.230794823299</v>
      </c>
      <c r="F384" s="414">
        <v>5.0880067164318099</v>
      </c>
      <c r="G384" s="415">
        <v>0.247560072932407</v>
      </c>
    </row>
    <row r="385" spans="1:7" x14ac:dyDescent="0.25">
      <c r="A385" s="6" t="s">
        <v>6434</v>
      </c>
      <c r="B385" s="6"/>
      <c r="C385" s="408">
        <v>1161</v>
      </c>
      <c r="D385" s="408">
        <v>627063.791398403</v>
      </c>
      <c r="E385" s="409">
        <v>33398.2126905572</v>
      </c>
      <c r="F385" s="410">
        <v>4.8623327610921701</v>
      </c>
      <c r="G385" s="411">
        <v>0.25897400863327003</v>
      </c>
    </row>
    <row r="386" spans="1:7" x14ac:dyDescent="0.25">
      <c r="A386" s="11" t="s">
        <v>1127</v>
      </c>
      <c r="B386" s="11"/>
      <c r="C386" s="412">
        <v>1017</v>
      </c>
      <c r="D386" s="412">
        <v>549719.926880921</v>
      </c>
      <c r="E386" s="413">
        <v>43507.5175852908</v>
      </c>
      <c r="F386" s="414">
        <v>4.2625985530713901</v>
      </c>
      <c r="G386" s="415">
        <v>0.33736285049561299</v>
      </c>
    </row>
    <row r="387" spans="1:7" x14ac:dyDescent="0.25">
      <c r="A387" s="6" t="s">
        <v>1125</v>
      </c>
      <c r="B387" s="6"/>
      <c r="C387" s="408">
        <v>746</v>
      </c>
      <c r="D387" s="408">
        <v>455060.35364107502</v>
      </c>
      <c r="E387" s="409">
        <v>27038.973200877899</v>
      </c>
      <c r="F387" s="410">
        <v>3.5285961271161699</v>
      </c>
      <c r="G387" s="411">
        <v>0.20966365308341001</v>
      </c>
    </row>
    <row r="388" spans="1:7" x14ac:dyDescent="0.25">
      <c r="A388" s="11" t="s">
        <v>1131</v>
      </c>
      <c r="B388" s="11"/>
      <c r="C388" s="412">
        <v>638</v>
      </c>
      <c r="D388" s="412">
        <v>449912.72305233101</v>
      </c>
      <c r="E388" s="413">
        <v>31306.626254907002</v>
      </c>
      <c r="F388" s="414">
        <v>3.48868074179655</v>
      </c>
      <c r="G388" s="415">
        <v>0.24275558016040499</v>
      </c>
    </row>
    <row r="389" spans="1:7" x14ac:dyDescent="0.25">
      <c r="A389" s="6" t="s">
        <v>1129</v>
      </c>
      <c r="B389" s="6"/>
      <c r="C389" s="408">
        <v>550</v>
      </c>
      <c r="D389" s="408">
        <v>400368.890273211</v>
      </c>
      <c r="E389" s="409">
        <v>27498.091178525301</v>
      </c>
      <c r="F389" s="410">
        <v>3.1045115320024999</v>
      </c>
      <c r="G389" s="411">
        <v>0.21322371254553199</v>
      </c>
    </row>
    <row r="390" spans="1:7" x14ac:dyDescent="0.25">
      <c r="A390" s="11" t="s">
        <v>1133</v>
      </c>
      <c r="B390" s="11"/>
      <c r="C390" s="412">
        <v>395</v>
      </c>
      <c r="D390" s="412">
        <v>282043.07698981598</v>
      </c>
      <c r="E390" s="413">
        <v>28056.763537031798</v>
      </c>
      <c r="F390" s="414">
        <v>2.1869980568141498</v>
      </c>
      <c r="G390" s="415">
        <v>0.21755572939731599</v>
      </c>
    </row>
    <row r="391" spans="1:7" x14ac:dyDescent="0.25">
      <c r="A391" s="6" t="s">
        <v>1135</v>
      </c>
      <c r="B391" s="6"/>
      <c r="C391" s="408">
        <v>444</v>
      </c>
      <c r="D391" s="408">
        <v>264753.45502364699</v>
      </c>
      <c r="E391" s="409">
        <v>21728.5802097507</v>
      </c>
      <c r="F391" s="410">
        <v>2.0529321189204599</v>
      </c>
      <c r="G391" s="411">
        <v>0.168486187298867</v>
      </c>
    </row>
    <row r="392" spans="1:7" x14ac:dyDescent="0.25">
      <c r="A392" s="11" t="s">
        <v>1139</v>
      </c>
      <c r="B392" s="11"/>
      <c r="C392" s="412">
        <v>288</v>
      </c>
      <c r="D392" s="412">
        <v>204998.56705826201</v>
      </c>
      <c r="E392" s="413">
        <v>25795.4053829185</v>
      </c>
      <c r="F392" s="414">
        <v>1.58958508250246</v>
      </c>
      <c r="G392" s="415">
        <v>0.20002086932704</v>
      </c>
    </row>
    <row r="393" spans="1:7" x14ac:dyDescent="0.25">
      <c r="A393" s="6" t="s">
        <v>1137</v>
      </c>
      <c r="B393" s="6"/>
      <c r="C393" s="408">
        <v>239</v>
      </c>
      <c r="D393" s="408">
        <v>198580.66788591599</v>
      </c>
      <c r="E393" s="409">
        <v>19113.291562288901</v>
      </c>
      <c r="F393" s="410">
        <v>1.5398198722780101</v>
      </c>
      <c r="G393" s="411">
        <v>0.14820690495997299</v>
      </c>
    </row>
    <row r="394" spans="1:7" x14ac:dyDescent="0.25">
      <c r="A394" s="11" t="s">
        <v>1295</v>
      </c>
      <c r="B394" s="11"/>
      <c r="C394" s="412">
        <v>200</v>
      </c>
      <c r="D394" s="412">
        <v>186368.78564162701</v>
      </c>
      <c r="E394" s="413">
        <v>24807.102590817001</v>
      </c>
      <c r="F394" s="414">
        <v>1.4451273769920301</v>
      </c>
      <c r="G394" s="415">
        <v>0.19235744319746201</v>
      </c>
    </row>
    <row r="395" spans="1:7" x14ac:dyDescent="0.25">
      <c r="A395" s="6" t="s">
        <v>1141</v>
      </c>
      <c r="B395" s="6"/>
      <c r="C395" s="408">
        <v>172</v>
      </c>
      <c r="D395" s="408">
        <v>160451.80117305499</v>
      </c>
      <c r="E395" s="409">
        <v>20479.492303951902</v>
      </c>
      <c r="F395" s="410">
        <v>1.24416376790015</v>
      </c>
      <c r="G395" s="411">
        <v>0.158800600076067</v>
      </c>
    </row>
    <row r="396" spans="1:7" x14ac:dyDescent="0.25">
      <c r="A396" s="11" t="s">
        <v>1187</v>
      </c>
      <c r="B396" s="11"/>
      <c r="C396" s="412">
        <v>135</v>
      </c>
      <c r="D396" s="412">
        <v>124957.48566608</v>
      </c>
      <c r="E396" s="413">
        <v>19715.189615447602</v>
      </c>
      <c r="F396" s="414">
        <v>0.96893631020047299</v>
      </c>
      <c r="G396" s="415">
        <v>0.15287409937122201</v>
      </c>
    </row>
    <row r="397" spans="1:7" x14ac:dyDescent="0.25">
      <c r="A397" s="6" t="s">
        <v>6427</v>
      </c>
      <c r="B397" s="6"/>
      <c r="C397" s="408">
        <v>321</v>
      </c>
      <c r="D397" s="408">
        <v>117867.075491936</v>
      </c>
      <c r="E397" s="409">
        <v>18327.159514094099</v>
      </c>
      <c r="F397" s="410">
        <v>0.91395636373850397</v>
      </c>
      <c r="G397" s="411">
        <v>0.142111136610859</v>
      </c>
    </row>
    <row r="398" spans="1:7" x14ac:dyDescent="0.25">
      <c r="A398" s="11" t="s">
        <v>1189</v>
      </c>
      <c r="B398" s="11"/>
      <c r="C398" s="412">
        <v>117</v>
      </c>
      <c r="D398" s="412">
        <v>109040.350515609</v>
      </c>
      <c r="E398" s="413">
        <v>15007.1599161796</v>
      </c>
      <c r="F398" s="414">
        <v>0.84551281044413196</v>
      </c>
      <c r="G398" s="415">
        <v>0.11636743551826</v>
      </c>
    </row>
    <row r="399" spans="1:7" x14ac:dyDescent="0.25">
      <c r="A399" s="6" t="s">
        <v>1193</v>
      </c>
      <c r="B399" s="6"/>
      <c r="C399" s="408">
        <v>93</v>
      </c>
      <c r="D399" s="408">
        <v>87828.942451434894</v>
      </c>
      <c r="E399" s="409">
        <v>15172.597764390001</v>
      </c>
      <c r="F399" s="410">
        <v>0.68103684204333703</v>
      </c>
      <c r="G399" s="411">
        <v>0.117650261731976</v>
      </c>
    </row>
    <row r="400" spans="1:7" x14ac:dyDescent="0.25">
      <c r="A400" s="11" t="s">
        <v>1191</v>
      </c>
      <c r="B400" s="11"/>
      <c r="C400" s="412">
        <v>104</v>
      </c>
      <c r="D400" s="412">
        <v>81616.629591555102</v>
      </c>
      <c r="E400" s="413">
        <v>15563.511918741</v>
      </c>
      <c r="F400" s="414">
        <v>0.63286577435437796</v>
      </c>
      <c r="G400" s="415">
        <v>0.120681460033566</v>
      </c>
    </row>
    <row r="401" spans="1:7" x14ac:dyDescent="0.25">
      <c r="A401" s="6" t="s">
        <v>3176</v>
      </c>
      <c r="B401" s="6"/>
      <c r="C401" s="408">
        <v>56</v>
      </c>
      <c r="D401" s="408">
        <v>48888.008535840199</v>
      </c>
      <c r="E401" s="409">
        <v>16584.174603818301</v>
      </c>
      <c r="F401" s="410">
        <v>0.37908386481422801</v>
      </c>
      <c r="G401" s="411">
        <v>0.12859580890803801</v>
      </c>
    </row>
    <row r="402" spans="1:7" x14ac:dyDescent="0.25">
      <c r="A402" s="11" t="s">
        <v>1297</v>
      </c>
      <c r="B402" s="11"/>
      <c r="C402" s="412">
        <v>39</v>
      </c>
      <c r="D402" s="412">
        <v>48406.5912330274</v>
      </c>
      <c r="E402" s="413">
        <v>16887.905477042899</v>
      </c>
      <c r="F402" s="414">
        <v>0.375350893535495</v>
      </c>
      <c r="G402" s="415">
        <v>0.13095097690799701</v>
      </c>
    </row>
    <row r="403" spans="1:7" x14ac:dyDescent="0.25">
      <c r="A403" s="6" t="s">
        <v>3172</v>
      </c>
      <c r="B403" s="6"/>
      <c r="C403" s="408">
        <v>53</v>
      </c>
      <c r="D403" s="408">
        <v>47353.400719311503</v>
      </c>
      <c r="E403" s="409">
        <v>10747.9532346672</v>
      </c>
      <c r="F403" s="410">
        <v>0.36718431972154197</v>
      </c>
      <c r="G403" s="411">
        <v>8.3341002692986596E-2</v>
      </c>
    </row>
    <row r="404" spans="1:7" x14ac:dyDescent="0.25">
      <c r="A404" s="11" t="s">
        <v>3178</v>
      </c>
      <c r="B404" s="11"/>
      <c r="C404" s="412">
        <v>46</v>
      </c>
      <c r="D404" s="412">
        <v>34549.424763925002</v>
      </c>
      <c r="E404" s="413">
        <v>9976.3810632160894</v>
      </c>
      <c r="F404" s="414">
        <v>0.26790065414539099</v>
      </c>
      <c r="G404" s="415">
        <v>7.7358133488519804E-2</v>
      </c>
    </row>
    <row r="405" spans="1:7" x14ac:dyDescent="0.25">
      <c r="A405" s="6" t="s">
        <v>3180</v>
      </c>
      <c r="B405" s="6"/>
      <c r="C405" s="408">
        <v>33</v>
      </c>
      <c r="D405" s="408">
        <v>32635.626903248402</v>
      </c>
      <c r="E405" s="409">
        <v>11125.436711643601</v>
      </c>
      <c r="F405" s="410">
        <v>0.25306082099966998</v>
      </c>
      <c r="G405" s="411">
        <v>8.6268057806119694E-2</v>
      </c>
    </row>
    <row r="406" spans="1:7" x14ac:dyDescent="0.25">
      <c r="A406" s="11" t="s">
        <v>3174</v>
      </c>
      <c r="B406" s="11"/>
      <c r="C406" s="412">
        <v>49</v>
      </c>
      <c r="D406" s="412">
        <v>29746.526840070299</v>
      </c>
      <c r="E406" s="413">
        <v>6452.49104886243</v>
      </c>
      <c r="F406" s="414">
        <v>0.23065836995726999</v>
      </c>
      <c r="G406" s="415">
        <v>5.0033440054911699E-2</v>
      </c>
    </row>
    <row r="407" spans="1:7" x14ac:dyDescent="0.25">
      <c r="A407" s="6" t="s">
        <v>1195</v>
      </c>
      <c r="B407" s="6"/>
      <c r="C407" s="408">
        <v>20</v>
      </c>
      <c r="D407" s="408">
        <v>23949.1599705349</v>
      </c>
      <c r="E407" s="409">
        <v>7625.65734726555</v>
      </c>
      <c r="F407" s="410">
        <v>0.18570484649684299</v>
      </c>
      <c r="G407" s="411">
        <v>5.9130321433142299E-2</v>
      </c>
    </row>
    <row r="408" spans="1:7" x14ac:dyDescent="0.25">
      <c r="A408" s="11" t="s">
        <v>1201</v>
      </c>
      <c r="B408" s="11"/>
      <c r="C408" s="412">
        <v>20</v>
      </c>
      <c r="D408" s="412">
        <v>18629.135453698</v>
      </c>
      <c r="E408" s="413">
        <v>5822.2120802912104</v>
      </c>
      <c r="F408" s="414">
        <v>0.14445269663128901</v>
      </c>
      <c r="G408" s="415">
        <v>4.5146176399204999E-2</v>
      </c>
    </row>
    <row r="409" spans="1:7" x14ac:dyDescent="0.25">
      <c r="A409" s="6" t="s">
        <v>1199</v>
      </c>
      <c r="B409" s="6"/>
      <c r="C409" s="408">
        <v>16</v>
      </c>
      <c r="D409" s="408">
        <v>18333.9663978836</v>
      </c>
      <c r="E409" s="409">
        <v>8549.5367213720092</v>
      </c>
      <c r="F409" s="410">
        <v>0.142163918057507</v>
      </c>
      <c r="G409" s="411">
        <v>6.6294200147933302E-2</v>
      </c>
    </row>
    <row r="410" spans="1:7" x14ac:dyDescent="0.25">
      <c r="A410" s="11" t="s">
        <v>1197</v>
      </c>
      <c r="B410" s="11"/>
      <c r="C410" s="412">
        <v>23</v>
      </c>
      <c r="D410" s="412">
        <v>15900.119585095999</v>
      </c>
      <c r="E410" s="413">
        <v>7217.9259623193502</v>
      </c>
      <c r="F410" s="414">
        <v>0.123291558888266</v>
      </c>
      <c r="G410" s="415">
        <v>5.5968720176708502E-2</v>
      </c>
    </row>
    <row r="411" spans="1:7" x14ac:dyDescent="0.25">
      <c r="A411" s="6" t="s">
        <v>3191</v>
      </c>
      <c r="B411" s="6"/>
      <c r="C411" s="408">
        <v>9</v>
      </c>
      <c r="D411" s="408">
        <v>13875.3423340975</v>
      </c>
      <c r="E411" s="409">
        <v>5156.9665575172903</v>
      </c>
      <c r="F411" s="410">
        <v>0.107591177369682</v>
      </c>
      <c r="G411" s="411">
        <v>3.9987777614385898E-2</v>
      </c>
    </row>
    <row r="412" spans="1:7" x14ac:dyDescent="0.25">
      <c r="A412" s="11" t="s">
        <v>3193</v>
      </c>
      <c r="B412" s="11"/>
      <c r="C412" s="412">
        <v>8</v>
      </c>
      <c r="D412" s="412">
        <v>7431.2431500038201</v>
      </c>
      <c r="E412" s="413">
        <v>5317.0618963630004</v>
      </c>
      <c r="F412" s="414">
        <v>5.76228089064518E-2</v>
      </c>
      <c r="G412" s="415">
        <v>4.1229177327853098E-2</v>
      </c>
    </row>
    <row r="413" spans="1:7" x14ac:dyDescent="0.25">
      <c r="A413" s="6" t="s">
        <v>3189</v>
      </c>
      <c r="B413" s="6"/>
      <c r="C413" s="408">
        <v>6</v>
      </c>
      <c r="D413" s="408">
        <v>5712.1994446570097</v>
      </c>
      <c r="E413" s="409">
        <v>2548.1768798195499</v>
      </c>
      <c r="F413" s="410">
        <v>4.4293124365718202E-2</v>
      </c>
      <c r="G413" s="411">
        <v>1.97588891174427E-2</v>
      </c>
    </row>
    <row r="414" spans="1:7" x14ac:dyDescent="0.25">
      <c r="A414" s="11" t="s">
        <v>1207</v>
      </c>
      <c r="B414" s="11"/>
      <c r="C414" s="412">
        <v>5</v>
      </c>
      <c r="D414" s="412">
        <v>5690.7296820954198</v>
      </c>
      <c r="E414" s="413">
        <v>4420.3157100419603</v>
      </c>
      <c r="F414" s="414">
        <v>4.4126645083533401E-2</v>
      </c>
      <c r="G414" s="415">
        <v>3.4275692818072197E-2</v>
      </c>
    </row>
    <row r="415" spans="1:7" x14ac:dyDescent="0.25">
      <c r="A415" s="6" t="s">
        <v>1299</v>
      </c>
      <c r="B415" s="6"/>
      <c r="C415" s="408">
        <v>7</v>
      </c>
      <c r="D415" s="408">
        <v>4341.6916262077002</v>
      </c>
      <c r="E415" s="409">
        <v>2421.6484554962599</v>
      </c>
      <c r="F415" s="410">
        <v>3.3666031625890103E-2</v>
      </c>
      <c r="G415" s="411">
        <v>1.87777715481687E-2</v>
      </c>
    </row>
    <row r="416" spans="1:7" x14ac:dyDescent="0.25">
      <c r="A416" s="11" t="s">
        <v>3325</v>
      </c>
      <c r="B416" s="11"/>
      <c r="C416" s="412">
        <v>1</v>
      </c>
      <c r="D416" s="412">
        <v>4305.9305728778099</v>
      </c>
      <c r="E416" s="413">
        <v>4361.9512968561803</v>
      </c>
      <c r="F416" s="414">
        <v>3.3388735849029398E-2</v>
      </c>
      <c r="G416" s="415">
        <v>3.3823127700762103E-2</v>
      </c>
    </row>
    <row r="417" spans="1:7" x14ac:dyDescent="0.25">
      <c r="A417" s="6" t="s">
        <v>3187</v>
      </c>
      <c r="B417" s="6"/>
      <c r="C417" s="408">
        <v>9</v>
      </c>
      <c r="D417" s="408">
        <v>3847.4508475627599</v>
      </c>
      <c r="E417" s="409">
        <v>1576.89432436876</v>
      </c>
      <c r="F417" s="410">
        <v>2.98336254770456E-2</v>
      </c>
      <c r="G417" s="411">
        <v>1.2227440077603E-2</v>
      </c>
    </row>
    <row r="418" spans="1:7" x14ac:dyDescent="0.25">
      <c r="A418" s="11" t="s">
        <v>1211</v>
      </c>
      <c r="B418" s="11"/>
      <c r="C418" s="412">
        <v>2</v>
      </c>
      <c r="D418" s="412">
        <v>3729.1207635580599</v>
      </c>
      <c r="E418" s="413">
        <v>3810.6320270768601</v>
      </c>
      <c r="F418" s="414">
        <v>2.8916078886138601E-2</v>
      </c>
      <c r="G418" s="415">
        <v>2.95481276385018E-2</v>
      </c>
    </row>
    <row r="419" spans="1:7" x14ac:dyDescent="0.25">
      <c r="A419" s="6" t="s">
        <v>1203</v>
      </c>
      <c r="B419" s="6"/>
      <c r="C419" s="408">
        <v>3</v>
      </c>
      <c r="D419" s="408">
        <v>2931.2347924556402</v>
      </c>
      <c r="E419" s="409">
        <v>3000.0271937153502</v>
      </c>
      <c r="F419" s="410">
        <v>2.27291691169502E-2</v>
      </c>
      <c r="G419" s="411">
        <v>2.3262594186213601E-2</v>
      </c>
    </row>
    <row r="420" spans="1:7" x14ac:dyDescent="0.25">
      <c r="A420" s="11" t="s">
        <v>1215</v>
      </c>
      <c r="B420" s="11"/>
      <c r="C420" s="412">
        <v>1</v>
      </c>
      <c r="D420" s="412">
        <v>2122.80837309145</v>
      </c>
      <c r="E420" s="413">
        <v>2146.5302744728801</v>
      </c>
      <c r="F420" s="414">
        <v>1.6460527365142301E-2</v>
      </c>
      <c r="G420" s="415">
        <v>1.6644470019501499E-2</v>
      </c>
    </row>
    <row r="421" spans="1:7" x14ac:dyDescent="0.25">
      <c r="A421" s="6" t="s">
        <v>3201</v>
      </c>
      <c r="B421" s="6"/>
      <c r="C421" s="408">
        <v>2</v>
      </c>
      <c r="D421" s="408">
        <v>1871.96027136311</v>
      </c>
      <c r="E421" s="409">
        <v>1639.41228431693</v>
      </c>
      <c r="F421" s="410">
        <v>1.45154191324194E-2</v>
      </c>
      <c r="G421" s="411">
        <v>1.27122123272249E-2</v>
      </c>
    </row>
    <row r="422" spans="1:7" x14ac:dyDescent="0.25">
      <c r="A422" s="11" t="s">
        <v>1205</v>
      </c>
      <c r="B422" s="11"/>
      <c r="C422" s="412">
        <v>4</v>
      </c>
      <c r="D422" s="412">
        <v>1285.9837321996899</v>
      </c>
      <c r="E422" s="413">
        <v>1295.7252230085801</v>
      </c>
      <c r="F422" s="414">
        <v>9.9716821750490507E-3</v>
      </c>
      <c r="G422" s="415">
        <v>1.00472189394926E-2</v>
      </c>
    </row>
    <row r="423" spans="1:7" x14ac:dyDescent="0.25">
      <c r="A423" s="6" t="s">
        <v>3205</v>
      </c>
      <c r="B423" s="6"/>
      <c r="C423" s="408">
        <v>3</v>
      </c>
      <c r="D423" s="408">
        <v>1274.2375929365601</v>
      </c>
      <c r="E423" s="409">
        <v>1060.28145078476</v>
      </c>
      <c r="F423" s="410">
        <v>9.8806011103489393E-3</v>
      </c>
      <c r="G423" s="411">
        <v>8.2215578460239306E-3</v>
      </c>
    </row>
    <row r="424" spans="1:7" x14ac:dyDescent="0.25">
      <c r="A424" s="11" t="s">
        <v>1301</v>
      </c>
      <c r="B424" s="11"/>
      <c r="C424" s="412">
        <v>2</v>
      </c>
      <c r="D424" s="412">
        <v>1200.5987360045101</v>
      </c>
      <c r="E424" s="413">
        <v>1226.82014141287</v>
      </c>
      <c r="F424" s="414">
        <v>9.3095960045500407E-3</v>
      </c>
      <c r="G424" s="415">
        <v>9.5129201325061495E-3</v>
      </c>
    </row>
    <row r="425" spans="1:7" x14ac:dyDescent="0.25">
      <c r="A425" s="6" t="s">
        <v>1217</v>
      </c>
      <c r="B425" s="6"/>
      <c r="C425" s="408">
        <v>1</v>
      </c>
      <c r="D425" s="408">
        <v>978.39234580545894</v>
      </c>
      <c r="E425" s="409">
        <v>976.12264432335201</v>
      </c>
      <c r="F425" s="410">
        <v>7.5865792626976696E-3</v>
      </c>
      <c r="G425" s="411">
        <v>7.5689797073960601E-3</v>
      </c>
    </row>
    <row r="426" spans="1:7" x14ac:dyDescent="0.25">
      <c r="A426" s="11" t="s">
        <v>3203</v>
      </c>
      <c r="B426" s="11"/>
      <c r="C426" s="412">
        <v>1</v>
      </c>
      <c r="D426" s="412">
        <v>790.92623554350496</v>
      </c>
      <c r="E426" s="413">
        <v>789.14519434252395</v>
      </c>
      <c r="F426" s="414">
        <v>6.1329430903898302E-3</v>
      </c>
      <c r="G426" s="415">
        <v>6.1191326693462601E-3</v>
      </c>
    </row>
    <row r="427" spans="1:7" x14ac:dyDescent="0.25">
      <c r="A427" s="6" t="s">
        <v>3209</v>
      </c>
      <c r="B427" s="6"/>
      <c r="C427" s="408">
        <v>1</v>
      </c>
      <c r="D427" s="408">
        <v>451.73705855172801</v>
      </c>
      <c r="E427" s="409">
        <v>457.03634352518498</v>
      </c>
      <c r="F427" s="410">
        <v>3.5028268723619198E-3</v>
      </c>
      <c r="G427" s="411">
        <v>3.5439182051581301E-3</v>
      </c>
    </row>
    <row r="428" spans="1:7" x14ac:dyDescent="0.25">
      <c r="A428" s="11" t="s">
        <v>3195</v>
      </c>
      <c r="B428" s="11"/>
      <c r="C428" s="412">
        <v>4</v>
      </c>
      <c r="D428" s="412">
        <v>368.93721768785701</v>
      </c>
      <c r="E428" s="413">
        <v>302.69091464676097</v>
      </c>
      <c r="F428" s="414">
        <v>2.8607863266181099E-3</v>
      </c>
      <c r="G428" s="415">
        <v>2.3471040282675199E-3</v>
      </c>
    </row>
    <row r="429" spans="1:7" x14ac:dyDescent="0.25">
      <c r="A429" s="6" t="s">
        <v>3316</v>
      </c>
      <c r="B429" s="6"/>
      <c r="C429" s="408">
        <v>1</v>
      </c>
      <c r="D429" s="408">
        <v>298.78627867872802</v>
      </c>
      <c r="E429" s="409">
        <v>301.01385566219602</v>
      </c>
      <c r="F429" s="410">
        <v>2.3168269820595701E-3</v>
      </c>
      <c r="G429" s="411">
        <v>2.3340998986162999E-3</v>
      </c>
    </row>
    <row r="430" spans="1:7" x14ac:dyDescent="0.25">
      <c r="A430" s="11" t="s">
        <v>1311</v>
      </c>
      <c r="B430" s="11"/>
      <c r="C430" s="412">
        <v>1</v>
      </c>
      <c r="D430" s="412">
        <v>246.66451452901299</v>
      </c>
      <c r="E430" s="413">
        <v>245.37054128245899</v>
      </c>
      <c r="F430" s="414">
        <v>1.9126681630247399E-3</v>
      </c>
      <c r="G430" s="415">
        <v>1.9026345291345401E-3</v>
      </c>
    </row>
    <row r="431" spans="1:7" x14ac:dyDescent="0.25">
      <c r="A431" s="6" t="s">
        <v>6417</v>
      </c>
      <c r="B431" s="6" t="s">
        <v>6418</v>
      </c>
      <c r="C431" s="408">
        <v>26111</v>
      </c>
      <c r="D431" s="408">
        <v>12896357</v>
      </c>
      <c r="E431" s="409">
        <v>6.7497255375266497E-8</v>
      </c>
      <c r="F431" s="410">
        <v>100</v>
      </c>
      <c r="G431" s="411">
        <v>0</v>
      </c>
    </row>
    <row r="432" spans="1:7" x14ac:dyDescent="0.25">
      <c r="A432" s="11" t="s">
        <v>6417</v>
      </c>
      <c r="B432" s="11" t="s">
        <v>6419</v>
      </c>
      <c r="C432" s="412">
        <v>26111</v>
      </c>
      <c r="D432" s="412">
        <v>12896357</v>
      </c>
      <c r="E432" s="413">
        <v>0</v>
      </c>
      <c r="F432" s="414">
        <v>100</v>
      </c>
      <c r="G432" s="415">
        <v>0</v>
      </c>
    </row>
    <row r="433" spans="1:7" x14ac:dyDescent="0.25">
      <c r="A433" s="3729" t="s">
        <v>291</v>
      </c>
      <c r="B433" s="3730"/>
      <c r="C433" s="3730"/>
      <c r="D433" s="3730"/>
      <c r="E433" s="3730"/>
      <c r="F433" s="3730"/>
      <c r="G433" s="3730"/>
    </row>
    <row r="434" spans="1:7" x14ac:dyDescent="0.25">
      <c r="A434" s="11" t="s">
        <v>6435</v>
      </c>
      <c r="B434" s="11"/>
      <c r="C434" s="420">
        <v>26095</v>
      </c>
      <c r="D434" s="420">
        <v>12892801.1238473</v>
      </c>
      <c r="E434" s="421">
        <v>1638.1054981827699</v>
      </c>
      <c r="F434" s="422">
        <v>99.972427281962297</v>
      </c>
      <c r="G434" s="423">
        <v>1.27020793406365E-2</v>
      </c>
    </row>
    <row r="435" spans="1:7" x14ac:dyDescent="0.25">
      <c r="A435" s="6" t="s">
        <v>6436</v>
      </c>
      <c r="B435" s="6"/>
      <c r="C435" s="416">
        <v>1</v>
      </c>
      <c r="D435" s="416">
        <v>1565.5408049218399</v>
      </c>
      <c r="E435" s="417">
        <v>1573.03501918296</v>
      </c>
      <c r="F435" s="418">
        <v>1.2139403437124399E-2</v>
      </c>
      <c r="G435" s="419">
        <v>1.2197514532072601E-2</v>
      </c>
    </row>
    <row r="436" spans="1:7" x14ac:dyDescent="0.25">
      <c r="A436" s="11" t="s">
        <v>6437</v>
      </c>
      <c r="B436" s="11"/>
      <c r="C436" s="420">
        <v>1</v>
      </c>
      <c r="D436" s="420">
        <v>988.93978225953697</v>
      </c>
      <c r="E436" s="421">
        <v>994.92928838267801</v>
      </c>
      <c r="F436" s="422">
        <v>7.6683654326530799E-3</v>
      </c>
      <c r="G436" s="423">
        <v>7.7148088284364202E-3</v>
      </c>
    </row>
    <row r="437" spans="1:7" x14ac:dyDescent="0.25">
      <c r="A437" s="6" t="s">
        <v>6438</v>
      </c>
      <c r="B437" s="6"/>
      <c r="C437" s="416">
        <v>1</v>
      </c>
      <c r="D437" s="416">
        <v>243.39051193337099</v>
      </c>
      <c r="E437" s="417">
        <v>243.25532563453601</v>
      </c>
      <c r="F437" s="418">
        <v>1.88728112856499E-3</v>
      </c>
      <c r="G437" s="419">
        <v>1.8862328767305101E-3</v>
      </c>
    </row>
    <row r="438" spans="1:7" x14ac:dyDescent="0.25">
      <c r="A438" s="11" t="s">
        <v>6439</v>
      </c>
      <c r="B438" s="11"/>
      <c r="C438" s="420">
        <v>1</v>
      </c>
      <c r="D438" s="420">
        <v>217.211760117746</v>
      </c>
      <c r="E438" s="421">
        <v>218.70788309799701</v>
      </c>
      <c r="F438" s="422">
        <v>1.6842877420169601E-3</v>
      </c>
      <c r="G438" s="423">
        <v>1.69588887077178E-3</v>
      </c>
    </row>
    <row r="439" spans="1:7" x14ac:dyDescent="0.25">
      <c r="A439" s="6" t="s">
        <v>6440</v>
      </c>
      <c r="B439" s="6"/>
      <c r="C439" s="416">
        <v>2</v>
      </c>
      <c r="D439" s="416">
        <v>207.47201842621001</v>
      </c>
      <c r="E439" s="417">
        <v>168.74559287026</v>
      </c>
      <c r="F439" s="418">
        <v>1.6087645404528599E-3</v>
      </c>
      <c r="G439" s="419">
        <v>1.30847488845307E-3</v>
      </c>
    </row>
    <row r="440" spans="1:7" x14ac:dyDescent="0.25">
      <c r="A440" s="11" t="s">
        <v>6441</v>
      </c>
      <c r="B440" s="11"/>
      <c r="C440" s="420">
        <v>2</v>
      </c>
      <c r="D440" s="420">
        <v>156.066764988394</v>
      </c>
      <c r="E440" s="421">
        <v>157.11555367367399</v>
      </c>
      <c r="F440" s="422">
        <v>1.2101616370297E-3</v>
      </c>
      <c r="G440" s="423">
        <v>1.2182940785035201E-3</v>
      </c>
    </row>
    <row r="441" spans="1:7" x14ac:dyDescent="0.25">
      <c r="A441" s="6" t="s">
        <v>6442</v>
      </c>
      <c r="B441" s="6"/>
      <c r="C441" s="416">
        <v>2</v>
      </c>
      <c r="D441" s="416">
        <v>129.506274836758</v>
      </c>
      <c r="E441" s="417">
        <v>129.123019194623</v>
      </c>
      <c r="F441" s="418">
        <v>1.0042082026479101E-3</v>
      </c>
      <c r="G441" s="419">
        <v>1.0012363894286E-3</v>
      </c>
    </row>
    <row r="442" spans="1:7" x14ac:dyDescent="0.25">
      <c r="A442" s="11" t="s">
        <v>6443</v>
      </c>
      <c r="B442" s="11"/>
      <c r="C442" s="420">
        <v>1</v>
      </c>
      <c r="D442" s="420">
        <v>47.748235268158197</v>
      </c>
      <c r="E442" s="421">
        <v>48.355074431106502</v>
      </c>
      <c r="F442" s="422">
        <v>3.70245917262977E-4</v>
      </c>
      <c r="G442" s="423">
        <v>3.7495142567088103E-4</v>
      </c>
    </row>
    <row r="443" spans="1:7" x14ac:dyDescent="0.25">
      <c r="A443" s="6" t="s">
        <v>6417</v>
      </c>
      <c r="B443" s="6" t="s">
        <v>6418</v>
      </c>
      <c r="C443" s="416">
        <v>26106</v>
      </c>
      <c r="D443" s="416">
        <v>12896357</v>
      </c>
      <c r="E443" s="417">
        <v>4.634827505078E-7</v>
      </c>
      <c r="F443" s="418">
        <v>100</v>
      </c>
      <c r="G443" s="419">
        <v>9.7512005764874805E-14</v>
      </c>
    </row>
    <row r="444" spans="1:7" x14ac:dyDescent="0.25">
      <c r="A444" s="11" t="s">
        <v>6417</v>
      </c>
      <c r="B444" s="11" t="s">
        <v>6419</v>
      </c>
      <c r="C444" s="420">
        <v>26106</v>
      </c>
      <c r="D444" s="420">
        <v>12896357</v>
      </c>
      <c r="E444" s="421">
        <v>0</v>
      </c>
      <c r="F444" s="422">
        <v>100</v>
      </c>
      <c r="G444" s="423">
        <v>0</v>
      </c>
    </row>
    <row r="445" spans="1:7" x14ac:dyDescent="0.25">
      <c r="A445" s="3729" t="s">
        <v>293</v>
      </c>
      <c r="B445" s="3730"/>
      <c r="C445" s="3730"/>
      <c r="D445" s="3730"/>
      <c r="E445" s="3730"/>
      <c r="F445" s="3730"/>
      <c r="G445" s="3730"/>
    </row>
    <row r="446" spans="1:7" x14ac:dyDescent="0.25">
      <c r="A446" s="11" t="s">
        <v>1100</v>
      </c>
      <c r="B446" s="11" t="s">
        <v>3155</v>
      </c>
      <c r="C446" s="428">
        <v>26095</v>
      </c>
      <c r="D446" s="428">
        <v>12892801.1238473</v>
      </c>
      <c r="E446" s="429">
        <v>1638.1054981827699</v>
      </c>
      <c r="F446" s="430">
        <v>99.972427281962297</v>
      </c>
      <c r="G446" s="431">
        <v>1.27020793406365E-2</v>
      </c>
    </row>
    <row r="447" spans="1:7" x14ac:dyDescent="0.25">
      <c r="A447" s="6" t="s">
        <v>1295</v>
      </c>
      <c r="B447" s="6" t="s">
        <v>3167</v>
      </c>
      <c r="C447" s="424">
        <v>1</v>
      </c>
      <c r="D447" s="424">
        <v>1565.5408049218399</v>
      </c>
      <c r="E447" s="425">
        <v>1573.03501918296</v>
      </c>
      <c r="F447" s="426">
        <v>1.2139403437124399E-2</v>
      </c>
      <c r="G447" s="427">
        <v>1.2197514532072601E-2</v>
      </c>
    </row>
    <row r="448" spans="1:7" x14ac:dyDescent="0.25">
      <c r="A448" s="11" t="s">
        <v>1119</v>
      </c>
      <c r="B448" s="11" t="s">
        <v>3156</v>
      </c>
      <c r="C448" s="428">
        <v>1</v>
      </c>
      <c r="D448" s="428">
        <v>988.93978225953697</v>
      </c>
      <c r="E448" s="429">
        <v>994.92928838267801</v>
      </c>
      <c r="F448" s="430">
        <v>7.6683654326530799E-3</v>
      </c>
      <c r="G448" s="431">
        <v>7.7148088284364202E-3</v>
      </c>
    </row>
    <row r="449" spans="1:7" x14ac:dyDescent="0.25">
      <c r="A449" s="6" t="s">
        <v>1193</v>
      </c>
      <c r="B449" s="6" t="s">
        <v>3171</v>
      </c>
      <c r="C449" s="424">
        <v>1</v>
      </c>
      <c r="D449" s="424">
        <v>243.39051193337099</v>
      </c>
      <c r="E449" s="425">
        <v>243.25532563453601</v>
      </c>
      <c r="F449" s="426">
        <v>1.88728112856499E-3</v>
      </c>
      <c r="G449" s="427">
        <v>1.8862328767305101E-3</v>
      </c>
    </row>
    <row r="450" spans="1:7" x14ac:dyDescent="0.25">
      <c r="A450" s="11" t="s">
        <v>1201</v>
      </c>
      <c r="B450" s="11" t="s">
        <v>3186</v>
      </c>
      <c r="C450" s="428">
        <v>1</v>
      </c>
      <c r="D450" s="428">
        <v>217.211760117746</v>
      </c>
      <c r="E450" s="429">
        <v>218.70788309799701</v>
      </c>
      <c r="F450" s="430">
        <v>1.6842877420169601E-3</v>
      </c>
      <c r="G450" s="431">
        <v>1.69588887077178E-3</v>
      </c>
    </row>
    <row r="451" spans="1:7" x14ac:dyDescent="0.25">
      <c r="A451" s="6" t="s">
        <v>1197</v>
      </c>
      <c r="B451" s="6" t="s">
        <v>3184</v>
      </c>
      <c r="C451" s="424">
        <v>2</v>
      </c>
      <c r="D451" s="424">
        <v>207.47201842621001</v>
      </c>
      <c r="E451" s="425">
        <v>168.74559287026</v>
      </c>
      <c r="F451" s="426">
        <v>1.6087645404528599E-3</v>
      </c>
      <c r="G451" s="427">
        <v>1.30847488845307E-3</v>
      </c>
    </row>
    <row r="452" spans="1:7" x14ac:dyDescent="0.25">
      <c r="A452" s="11" t="s">
        <v>1215</v>
      </c>
      <c r="B452" s="11" t="s">
        <v>3213</v>
      </c>
      <c r="C452" s="428">
        <v>2</v>
      </c>
      <c r="D452" s="428">
        <v>156.066764988394</v>
      </c>
      <c r="E452" s="429">
        <v>157.11555367367399</v>
      </c>
      <c r="F452" s="430">
        <v>1.2101616370297E-3</v>
      </c>
      <c r="G452" s="431">
        <v>1.2182940785035201E-3</v>
      </c>
    </row>
    <row r="453" spans="1:7" x14ac:dyDescent="0.25">
      <c r="A453" s="6" t="s">
        <v>1096</v>
      </c>
      <c r="B453" s="6" t="s">
        <v>3153</v>
      </c>
      <c r="C453" s="424">
        <v>2</v>
      </c>
      <c r="D453" s="424">
        <v>129.506274836758</v>
      </c>
      <c r="E453" s="425">
        <v>129.123019194623</v>
      </c>
      <c r="F453" s="426">
        <v>1.0042082026479101E-3</v>
      </c>
      <c r="G453" s="427">
        <v>1.0012363894286E-3</v>
      </c>
    </row>
    <row r="454" spans="1:7" x14ac:dyDescent="0.25">
      <c r="A454" s="11" t="s">
        <v>1137</v>
      </c>
      <c r="B454" s="11" t="s">
        <v>3164</v>
      </c>
      <c r="C454" s="428">
        <v>1</v>
      </c>
      <c r="D454" s="428">
        <v>47.748235268158197</v>
      </c>
      <c r="E454" s="429">
        <v>48.355074431106502</v>
      </c>
      <c r="F454" s="430">
        <v>3.70245917262977E-4</v>
      </c>
      <c r="G454" s="431">
        <v>3.7495142567088103E-4</v>
      </c>
    </row>
    <row r="455" spans="1:7" x14ac:dyDescent="0.25">
      <c r="A455" s="6" t="s">
        <v>6417</v>
      </c>
      <c r="B455" s="6" t="s">
        <v>6418</v>
      </c>
      <c r="C455" s="424">
        <v>26106</v>
      </c>
      <c r="D455" s="424">
        <v>12896357</v>
      </c>
      <c r="E455" s="425">
        <v>4.634827505078E-7</v>
      </c>
      <c r="F455" s="426">
        <v>100</v>
      </c>
      <c r="G455" s="427">
        <v>9.7512005764874805E-14</v>
      </c>
    </row>
    <row r="456" spans="1:7" x14ac:dyDescent="0.25">
      <c r="A456" s="11" t="s">
        <v>6417</v>
      </c>
      <c r="B456" s="11" t="s">
        <v>6419</v>
      </c>
      <c r="C456" s="428">
        <v>26106</v>
      </c>
      <c r="D456" s="428">
        <v>12896357</v>
      </c>
      <c r="E456" s="429">
        <v>0</v>
      </c>
      <c r="F456" s="430">
        <v>100</v>
      </c>
      <c r="G456" s="431">
        <v>0</v>
      </c>
    </row>
    <row r="457" spans="1:7" x14ac:dyDescent="0.25">
      <c r="A457" s="3729" t="s">
        <v>446</v>
      </c>
      <c r="B457" s="3730"/>
      <c r="C457" s="3730"/>
      <c r="D457" s="3730"/>
      <c r="E457" s="3730"/>
      <c r="F457" s="3730"/>
      <c r="G457" s="3730"/>
    </row>
    <row r="458" spans="1:7" x14ac:dyDescent="0.25">
      <c r="A458" s="11" t="s">
        <v>6426</v>
      </c>
      <c r="B458" s="11"/>
      <c r="C458" s="436">
        <v>14055</v>
      </c>
      <c r="D458" s="436">
        <v>6563040.4954312397</v>
      </c>
      <c r="E458" s="437">
        <v>70829.053073605799</v>
      </c>
      <c r="F458" s="438">
        <v>50.890654588975998</v>
      </c>
      <c r="G458" s="439">
        <v>0.54921752765999798</v>
      </c>
    </row>
    <row r="459" spans="1:7" x14ac:dyDescent="0.25">
      <c r="A459" s="6" t="s">
        <v>6427</v>
      </c>
      <c r="B459" s="6"/>
      <c r="C459" s="432">
        <v>9081</v>
      </c>
      <c r="D459" s="432">
        <v>3557227.7076898599</v>
      </c>
      <c r="E459" s="433">
        <v>36301.438046141899</v>
      </c>
      <c r="F459" s="434">
        <v>27.583198167434801</v>
      </c>
      <c r="G459" s="435">
        <v>0.28148598899780403</v>
      </c>
    </row>
    <row r="460" spans="1:7" x14ac:dyDescent="0.25">
      <c r="A460" s="11" t="s">
        <v>6429</v>
      </c>
      <c r="B460" s="11"/>
      <c r="C460" s="436">
        <v>2172</v>
      </c>
      <c r="D460" s="436">
        <v>1754664.58048891</v>
      </c>
      <c r="E460" s="437">
        <v>69787.940028573605</v>
      </c>
      <c r="F460" s="438">
        <v>13.605893358015001</v>
      </c>
      <c r="G460" s="439">
        <v>0.54114460408141396</v>
      </c>
    </row>
    <row r="461" spans="1:7" x14ac:dyDescent="0.25">
      <c r="A461" s="6" t="s">
        <v>6428</v>
      </c>
      <c r="B461" s="6"/>
      <c r="C461" s="432">
        <v>614</v>
      </c>
      <c r="D461" s="432">
        <v>771442.85572045599</v>
      </c>
      <c r="E461" s="433">
        <v>30977.9656548067</v>
      </c>
      <c r="F461" s="434">
        <v>5.9818664737681804</v>
      </c>
      <c r="G461" s="435">
        <v>0.24020710387286201</v>
      </c>
    </row>
    <row r="462" spans="1:7" x14ac:dyDescent="0.25">
      <c r="A462" s="11" t="s">
        <v>6430</v>
      </c>
      <c r="B462" s="11"/>
      <c r="C462" s="436">
        <v>134</v>
      </c>
      <c r="D462" s="436">
        <v>177736.363346317</v>
      </c>
      <c r="E462" s="437">
        <v>23587.138625827702</v>
      </c>
      <c r="F462" s="438">
        <v>1.3781904715131299</v>
      </c>
      <c r="G462" s="439">
        <v>0.18289768673298601</v>
      </c>
    </row>
    <row r="463" spans="1:7" x14ac:dyDescent="0.25">
      <c r="A463" s="6" t="s">
        <v>6431</v>
      </c>
      <c r="B463" s="6"/>
      <c r="C463" s="432">
        <v>42</v>
      </c>
      <c r="D463" s="432">
        <v>54816.834822955701</v>
      </c>
      <c r="E463" s="433">
        <v>14625.149519075199</v>
      </c>
      <c r="F463" s="434">
        <v>0.42505674139569499</v>
      </c>
      <c r="G463" s="435">
        <v>0.113405278088031</v>
      </c>
    </row>
    <row r="464" spans="1:7" x14ac:dyDescent="0.25">
      <c r="A464" s="11" t="s">
        <v>6432</v>
      </c>
      <c r="B464" s="11"/>
      <c r="C464" s="436">
        <v>11</v>
      </c>
      <c r="D464" s="436">
        <v>17428.162500279399</v>
      </c>
      <c r="E464" s="437">
        <v>6896.9030055842404</v>
      </c>
      <c r="F464" s="438">
        <v>0.135140198897095</v>
      </c>
      <c r="G464" s="439">
        <v>5.34794671517256E-2</v>
      </c>
    </row>
    <row r="465" spans="1:7" x14ac:dyDescent="0.25">
      <c r="A465" s="6" t="s">
        <v>6417</v>
      </c>
      <c r="B465" s="6" t="s">
        <v>6418</v>
      </c>
      <c r="C465" s="432">
        <v>26109</v>
      </c>
      <c r="D465" s="432">
        <v>12896357</v>
      </c>
      <c r="E465" s="433">
        <v>1.87547979113248E-7</v>
      </c>
      <c r="F465" s="434">
        <v>100</v>
      </c>
      <c r="G465" s="435">
        <v>2.9072463135014902E-14</v>
      </c>
    </row>
    <row r="466" spans="1:7" x14ac:dyDescent="0.25">
      <c r="A466" s="11" t="s">
        <v>6417</v>
      </c>
      <c r="B466" s="11" t="s">
        <v>6419</v>
      </c>
      <c r="C466" s="436">
        <v>26109</v>
      </c>
      <c r="D466" s="436">
        <v>12896357</v>
      </c>
      <c r="E466" s="437">
        <v>0</v>
      </c>
      <c r="F466" s="438">
        <v>100</v>
      </c>
      <c r="G466" s="439">
        <v>0</v>
      </c>
    </row>
    <row r="467" spans="1:7" x14ac:dyDescent="0.25">
      <c r="A467" s="3729" t="s">
        <v>1071</v>
      </c>
      <c r="B467" s="3730"/>
      <c r="C467" s="3730"/>
      <c r="D467" s="3730"/>
      <c r="E467" s="3730"/>
      <c r="F467" s="3730"/>
      <c r="G467" s="3730"/>
    </row>
    <row r="468" spans="1:7" x14ac:dyDescent="0.25">
      <c r="A468" s="11" t="s">
        <v>1292</v>
      </c>
      <c r="B468" s="11"/>
      <c r="C468" s="444">
        <v>24382</v>
      </c>
      <c r="D468" s="444">
        <v>11278290.7025456</v>
      </c>
      <c r="E468" s="445">
        <v>67068.871145381403</v>
      </c>
      <c r="F468" s="446">
        <v>87.453307182374104</v>
      </c>
      <c r="G468" s="447">
        <v>0.520060596533783</v>
      </c>
    </row>
    <row r="469" spans="1:7" x14ac:dyDescent="0.25">
      <c r="A469" s="6" t="s">
        <v>6427</v>
      </c>
      <c r="B469" s="6"/>
      <c r="C469" s="440">
        <v>1294</v>
      </c>
      <c r="D469" s="440">
        <v>1158814.07095627</v>
      </c>
      <c r="E469" s="441">
        <v>56619.917755577597</v>
      </c>
      <c r="F469" s="442">
        <v>8.9855923727628202</v>
      </c>
      <c r="G469" s="443">
        <v>0.43903807684282098</v>
      </c>
    </row>
    <row r="470" spans="1:7" x14ac:dyDescent="0.25">
      <c r="A470" s="11" t="s">
        <v>6426</v>
      </c>
      <c r="B470" s="11"/>
      <c r="C470" s="444">
        <v>404</v>
      </c>
      <c r="D470" s="444">
        <v>422245.58156708098</v>
      </c>
      <c r="E470" s="445">
        <v>34388.688174838397</v>
      </c>
      <c r="F470" s="446">
        <v>3.27414619157239</v>
      </c>
      <c r="G470" s="447">
        <v>0.26665428209561798</v>
      </c>
    </row>
    <row r="471" spans="1:7" x14ac:dyDescent="0.25">
      <c r="A471" s="6" t="s">
        <v>6429</v>
      </c>
      <c r="B471" s="6"/>
      <c r="C471" s="440">
        <v>32</v>
      </c>
      <c r="D471" s="440">
        <v>37006.644931054303</v>
      </c>
      <c r="E471" s="441">
        <v>12148.2148406667</v>
      </c>
      <c r="F471" s="442">
        <v>0.28695425329071</v>
      </c>
      <c r="G471" s="443">
        <v>9.41988101032466E-2</v>
      </c>
    </row>
    <row r="472" spans="1:7" x14ac:dyDescent="0.25">
      <c r="A472" s="11" t="s">
        <v>6417</v>
      </c>
      <c r="B472" s="11" t="s">
        <v>6418</v>
      </c>
      <c r="C472" s="444">
        <v>26112</v>
      </c>
      <c r="D472" s="444">
        <v>12896357</v>
      </c>
      <c r="E472" s="445">
        <v>9.4750566214918604E-7</v>
      </c>
      <c r="F472" s="446">
        <v>100</v>
      </c>
      <c r="G472" s="447">
        <v>2.0557335828564899E-14</v>
      </c>
    </row>
    <row r="473" spans="1:7" x14ac:dyDescent="0.25">
      <c r="A473" s="6" t="s">
        <v>6417</v>
      </c>
      <c r="B473" s="6" t="s">
        <v>6419</v>
      </c>
      <c r="C473" s="440">
        <v>26112</v>
      </c>
      <c r="D473" s="440">
        <v>12896357</v>
      </c>
      <c r="E473" s="441">
        <v>0</v>
      </c>
      <c r="F473" s="442">
        <v>100</v>
      </c>
      <c r="G473" s="443">
        <v>0</v>
      </c>
    </row>
    <row r="474" spans="1:7" x14ac:dyDescent="0.25">
      <c r="A474" s="3729" t="s">
        <v>1042</v>
      </c>
      <c r="B474" s="3730"/>
      <c r="C474" s="3730"/>
      <c r="D474" s="3730"/>
      <c r="E474" s="3730"/>
      <c r="F474" s="3730"/>
      <c r="G474" s="3730"/>
    </row>
    <row r="475" spans="1:7" x14ac:dyDescent="0.25">
      <c r="A475" s="11" t="s">
        <v>6427</v>
      </c>
      <c r="B475" s="11"/>
      <c r="C475" s="452">
        <v>9336</v>
      </c>
      <c r="D475" s="452">
        <v>4928299.9745990997</v>
      </c>
      <c r="E475" s="453">
        <v>64731.886375718102</v>
      </c>
      <c r="F475" s="454">
        <v>38.2146677127432</v>
      </c>
      <c r="G475" s="455">
        <v>0.50193931802382097</v>
      </c>
    </row>
    <row r="476" spans="1:7" x14ac:dyDescent="0.25">
      <c r="A476" s="6" t="s">
        <v>6426</v>
      </c>
      <c r="B476" s="6"/>
      <c r="C476" s="448">
        <v>6474</v>
      </c>
      <c r="D476" s="448">
        <v>3829889.5676671099</v>
      </c>
      <c r="E476" s="449">
        <v>70393.839214720399</v>
      </c>
      <c r="F476" s="450">
        <v>29.6974530688558</v>
      </c>
      <c r="G476" s="451">
        <v>0.54584282378911997</v>
      </c>
    </row>
    <row r="477" spans="1:7" x14ac:dyDescent="0.25">
      <c r="A477" s="11" t="s">
        <v>1292</v>
      </c>
      <c r="B477" s="11"/>
      <c r="C477" s="452">
        <v>9295</v>
      </c>
      <c r="D477" s="452">
        <v>3106204.1585507798</v>
      </c>
      <c r="E477" s="453">
        <v>92.041547798225096</v>
      </c>
      <c r="F477" s="454">
        <v>24.0859039382267</v>
      </c>
      <c r="G477" s="455">
        <v>7.1370192220269199E-4</v>
      </c>
    </row>
    <row r="478" spans="1:7" x14ac:dyDescent="0.25">
      <c r="A478" s="6" t="s">
        <v>6429</v>
      </c>
      <c r="B478" s="6"/>
      <c r="C478" s="448">
        <v>811</v>
      </c>
      <c r="D478" s="448">
        <v>781668.86830894195</v>
      </c>
      <c r="E478" s="449">
        <v>50262.766967935</v>
      </c>
      <c r="F478" s="450">
        <v>6.0611602820000998</v>
      </c>
      <c r="G478" s="451">
        <v>0.38974391735536501</v>
      </c>
    </row>
    <row r="479" spans="1:7" x14ac:dyDescent="0.25">
      <c r="A479" s="11" t="s">
        <v>6428</v>
      </c>
      <c r="B479" s="11"/>
      <c r="C479" s="452">
        <v>152</v>
      </c>
      <c r="D479" s="452">
        <v>195974.383289155</v>
      </c>
      <c r="E479" s="453">
        <v>26978.623287853599</v>
      </c>
      <c r="F479" s="454">
        <v>1.5196104084987301</v>
      </c>
      <c r="G479" s="455">
        <v>0.20919569214665801</v>
      </c>
    </row>
    <row r="480" spans="1:7" x14ac:dyDescent="0.25">
      <c r="A480" s="6" t="s">
        <v>6430</v>
      </c>
      <c r="B480" s="6"/>
      <c r="C480" s="448">
        <v>39</v>
      </c>
      <c r="D480" s="448">
        <v>48279.347947812799</v>
      </c>
      <c r="E480" s="449">
        <v>14586.9111961084</v>
      </c>
      <c r="F480" s="450">
        <v>0.37436423284352899</v>
      </c>
      <c r="G480" s="451">
        <v>0.113108773245874</v>
      </c>
    </row>
    <row r="481" spans="1:7" x14ac:dyDescent="0.25">
      <c r="A481" s="11" t="s">
        <v>6431</v>
      </c>
      <c r="B481" s="11"/>
      <c r="C481" s="452">
        <v>4</v>
      </c>
      <c r="D481" s="452">
        <v>6040.6996371182304</v>
      </c>
      <c r="E481" s="453">
        <v>4222.5011384072895</v>
      </c>
      <c r="F481" s="454">
        <v>4.6840356831919401E-2</v>
      </c>
      <c r="G481" s="455">
        <v>3.2741813354013799E-2</v>
      </c>
    </row>
    <row r="482" spans="1:7" x14ac:dyDescent="0.25">
      <c r="A482" s="6" t="s">
        <v>6417</v>
      </c>
      <c r="B482" s="6" t="s">
        <v>6418</v>
      </c>
      <c r="C482" s="448">
        <v>26111</v>
      </c>
      <c r="D482" s="448">
        <v>12896357</v>
      </c>
      <c r="E482" s="449">
        <v>1.80337473801358E-7</v>
      </c>
      <c r="F482" s="450">
        <v>100</v>
      </c>
      <c r="G482" s="451">
        <v>3.70602642084119E-14</v>
      </c>
    </row>
    <row r="483" spans="1:7" x14ac:dyDescent="0.25">
      <c r="A483" s="11" t="s">
        <v>6417</v>
      </c>
      <c r="B483" s="11" t="s">
        <v>6419</v>
      </c>
      <c r="C483" s="452">
        <v>26111</v>
      </c>
      <c r="D483" s="452">
        <v>12896357</v>
      </c>
      <c r="E483" s="453">
        <v>0</v>
      </c>
      <c r="F483" s="454">
        <v>100</v>
      </c>
      <c r="G483" s="455">
        <v>0</v>
      </c>
    </row>
    <row r="484" spans="1:7" x14ac:dyDescent="0.25">
      <c r="A484" s="3729" t="s">
        <v>721</v>
      </c>
      <c r="B484" s="3730"/>
      <c r="C484" s="3730"/>
      <c r="D484" s="3730"/>
      <c r="E484" s="3730"/>
      <c r="F484" s="3730"/>
      <c r="G484" s="3730"/>
    </row>
    <row r="485" spans="1:7" x14ac:dyDescent="0.25">
      <c r="A485" s="11" t="s">
        <v>6444</v>
      </c>
      <c r="B485" s="11"/>
      <c r="C485" s="460">
        <v>2954</v>
      </c>
      <c r="D485" s="460">
        <v>1095307.02129429</v>
      </c>
      <c r="E485" s="461">
        <v>0.12180839910369901</v>
      </c>
      <c r="F485" s="462">
        <v>8.4931505951199497</v>
      </c>
      <c r="G485" s="463">
        <v>9.4451783601212096E-7</v>
      </c>
    </row>
    <row r="486" spans="1:7" x14ac:dyDescent="0.25">
      <c r="A486" s="6" t="s">
        <v>6445</v>
      </c>
      <c r="B486" s="6"/>
      <c r="C486" s="456">
        <v>1917</v>
      </c>
      <c r="D486" s="456">
        <v>1095307.01324892</v>
      </c>
      <c r="E486" s="457">
        <v>7.5777990457145103E-2</v>
      </c>
      <c r="F486" s="458">
        <v>8.4931505327351093</v>
      </c>
      <c r="G486" s="459">
        <v>5.8759216350821198E-7</v>
      </c>
    </row>
    <row r="487" spans="1:7" x14ac:dyDescent="0.25">
      <c r="A487" s="11" t="s">
        <v>6446</v>
      </c>
      <c r="B487" s="11"/>
      <c r="C487" s="460">
        <v>2716</v>
      </c>
      <c r="D487" s="460">
        <v>1095307.0096913199</v>
      </c>
      <c r="E487" s="461">
        <v>5.5593379713608101E-2</v>
      </c>
      <c r="F487" s="462">
        <v>8.4931505051489893</v>
      </c>
      <c r="G487" s="463">
        <v>4.3107810835404001E-7</v>
      </c>
    </row>
    <row r="488" spans="1:7" x14ac:dyDescent="0.25">
      <c r="A488" s="6" t="s">
        <v>6447</v>
      </c>
      <c r="B488" s="6"/>
      <c r="C488" s="456">
        <v>2163</v>
      </c>
      <c r="D488" s="456">
        <v>1095306.99548391</v>
      </c>
      <c r="E488" s="457">
        <v>2.6085556329665902E-2</v>
      </c>
      <c r="F488" s="458">
        <v>8.4931503949828997</v>
      </c>
      <c r="G488" s="459">
        <v>2.0227079331835899E-7</v>
      </c>
    </row>
    <row r="489" spans="1:7" x14ac:dyDescent="0.25">
      <c r="A489" s="11" t="s">
        <v>6448</v>
      </c>
      <c r="B489" s="11"/>
      <c r="C489" s="460">
        <v>2533</v>
      </c>
      <c r="D489" s="460">
        <v>1095306.9911400401</v>
      </c>
      <c r="E489" s="461">
        <v>5.0632849483653403E-2</v>
      </c>
      <c r="F489" s="462">
        <v>8.4931503613000494</v>
      </c>
      <c r="G489" s="463">
        <v>3.9261364371585401E-7</v>
      </c>
    </row>
    <row r="490" spans="1:7" x14ac:dyDescent="0.25">
      <c r="A490" s="6" t="s">
        <v>6449</v>
      </c>
      <c r="B490" s="6"/>
      <c r="C490" s="456">
        <v>1205</v>
      </c>
      <c r="D490" s="456">
        <v>1095306.98875379</v>
      </c>
      <c r="E490" s="457">
        <v>6.4468749502383002E-2</v>
      </c>
      <c r="F490" s="458">
        <v>8.4931503427967403</v>
      </c>
      <c r="G490" s="459">
        <v>4.9989897508565595E-7</v>
      </c>
    </row>
    <row r="491" spans="1:7" x14ac:dyDescent="0.25">
      <c r="A491" s="11" t="s">
        <v>6450</v>
      </c>
      <c r="B491" s="11"/>
      <c r="C491" s="460">
        <v>2660</v>
      </c>
      <c r="D491" s="460">
        <v>1095306.9870500099</v>
      </c>
      <c r="E491" s="461">
        <v>7.4048088547183699E-2</v>
      </c>
      <c r="F491" s="462">
        <v>8.4931503295853794</v>
      </c>
      <c r="G491" s="463">
        <v>5.7417839517793105E-7</v>
      </c>
    </row>
    <row r="492" spans="1:7" x14ac:dyDescent="0.25">
      <c r="A492" s="6" t="s">
        <v>6451</v>
      </c>
      <c r="B492" s="6"/>
      <c r="C492" s="456">
        <v>2252</v>
      </c>
      <c r="D492" s="456">
        <v>1059975.0079318699</v>
      </c>
      <c r="E492" s="457">
        <v>4.5265163120899898E-2</v>
      </c>
      <c r="F492" s="458">
        <v>8.2191816489871705</v>
      </c>
      <c r="G492" s="459">
        <v>3.5099180521054902E-7</v>
      </c>
    </row>
    <row r="493" spans="1:7" x14ac:dyDescent="0.25">
      <c r="A493" s="11" t="s">
        <v>6452</v>
      </c>
      <c r="B493" s="11"/>
      <c r="C493" s="460">
        <v>1169</v>
      </c>
      <c r="D493" s="460">
        <v>1059974.9699617899</v>
      </c>
      <c r="E493" s="461">
        <v>0.171726719579474</v>
      </c>
      <c r="F493" s="462">
        <v>8.2191813545622807</v>
      </c>
      <c r="G493" s="463">
        <v>1.3315909876817299E-6</v>
      </c>
    </row>
    <row r="494" spans="1:7" x14ac:dyDescent="0.25">
      <c r="A494" s="6" t="s">
        <v>6453</v>
      </c>
      <c r="B494" s="6"/>
      <c r="C494" s="456">
        <v>2800</v>
      </c>
      <c r="D494" s="456">
        <v>1059974.0104274701</v>
      </c>
      <c r="E494" s="457">
        <v>5.9763138855734199E-2</v>
      </c>
      <c r="F494" s="458">
        <v>8.2191739142105504</v>
      </c>
      <c r="G494" s="459">
        <v>4.6341095676182802E-7</v>
      </c>
    </row>
    <row r="495" spans="1:7" x14ac:dyDescent="0.25">
      <c r="A495" s="11" t="s">
        <v>6454</v>
      </c>
      <c r="B495" s="11"/>
      <c r="C495" s="460">
        <v>2340</v>
      </c>
      <c r="D495" s="460">
        <v>989310.00830464996</v>
      </c>
      <c r="E495" s="461">
        <v>4.7635893401239401E-2</v>
      </c>
      <c r="F495" s="462">
        <v>7.6712362127122402</v>
      </c>
      <c r="G495" s="463">
        <v>3.6937475137543402E-7</v>
      </c>
    </row>
    <row r="496" spans="1:7" x14ac:dyDescent="0.25">
      <c r="A496" s="6" t="s">
        <v>6455</v>
      </c>
      <c r="B496" s="6"/>
      <c r="C496" s="456">
        <v>1225</v>
      </c>
      <c r="D496" s="456">
        <v>949390.45529402699</v>
      </c>
      <c r="E496" s="457">
        <v>13414.0399186706</v>
      </c>
      <c r="F496" s="458">
        <v>7.3616948979779897</v>
      </c>
      <c r="G496" s="459">
        <v>0.104014179497901</v>
      </c>
    </row>
    <row r="497" spans="1:7" x14ac:dyDescent="0.25">
      <c r="A497" s="11" t="s">
        <v>6456</v>
      </c>
      <c r="B497" s="11"/>
      <c r="C497" s="460">
        <v>178</v>
      </c>
      <c r="D497" s="460">
        <v>110583.541417919</v>
      </c>
      <c r="E497" s="461">
        <v>13414.0403698134</v>
      </c>
      <c r="F497" s="462">
        <v>0.85747890988066899</v>
      </c>
      <c r="G497" s="463">
        <v>0.104014182996124</v>
      </c>
    </row>
    <row r="498" spans="1:7" x14ac:dyDescent="0.25">
      <c r="A498" s="6" t="s">
        <v>6417</v>
      </c>
      <c r="B498" s="6" t="s">
        <v>6418</v>
      </c>
      <c r="C498" s="456">
        <v>26112</v>
      </c>
      <c r="D498" s="456">
        <v>12896357</v>
      </c>
      <c r="E498" s="457">
        <v>9.7215088834612694E-8</v>
      </c>
      <c r="F498" s="458">
        <v>100</v>
      </c>
      <c r="G498" s="459">
        <v>1.02786679142825E-14</v>
      </c>
    </row>
    <row r="499" spans="1:7" x14ac:dyDescent="0.25">
      <c r="A499" s="11" t="s">
        <v>6417</v>
      </c>
      <c r="B499" s="11" t="s">
        <v>6419</v>
      </c>
      <c r="C499" s="460">
        <v>26112</v>
      </c>
      <c r="D499" s="460">
        <v>12896357</v>
      </c>
      <c r="E499" s="461">
        <v>0</v>
      </c>
      <c r="F499" s="462">
        <v>100</v>
      </c>
      <c r="G499" s="463">
        <v>0</v>
      </c>
    </row>
    <row r="500" spans="1:7" x14ac:dyDescent="0.25">
      <c r="A500" s="3729" t="s">
        <v>285</v>
      </c>
      <c r="B500" s="3730"/>
      <c r="C500" s="3730"/>
      <c r="D500" s="3730"/>
      <c r="E500" s="3730"/>
      <c r="F500" s="3730"/>
      <c r="G500" s="3730"/>
    </row>
    <row r="501" spans="1:7" x14ac:dyDescent="0.25">
      <c r="A501" s="11" t="s">
        <v>1090</v>
      </c>
      <c r="B501" s="11" t="s">
        <v>3136</v>
      </c>
      <c r="C501" s="468">
        <v>25013</v>
      </c>
      <c r="D501" s="468">
        <v>12348219.349927001</v>
      </c>
      <c r="E501" s="469">
        <v>42642.245201862199</v>
      </c>
      <c r="F501" s="470">
        <v>95.749670623471303</v>
      </c>
      <c r="G501" s="471">
        <v>0.33065341787540797</v>
      </c>
    </row>
    <row r="502" spans="1:7" x14ac:dyDescent="0.25">
      <c r="A502" s="6" t="s">
        <v>1092</v>
      </c>
      <c r="B502" s="6" t="s">
        <v>3137</v>
      </c>
      <c r="C502" s="464">
        <v>1007</v>
      </c>
      <c r="D502" s="464">
        <v>450279.952791769</v>
      </c>
      <c r="E502" s="465">
        <v>30710.512499587101</v>
      </c>
      <c r="F502" s="466">
        <v>3.49152828811863</v>
      </c>
      <c r="G502" s="467">
        <v>0.23813323793367</v>
      </c>
    </row>
    <row r="503" spans="1:7" x14ac:dyDescent="0.25">
      <c r="A503" s="11" t="s">
        <v>1094</v>
      </c>
      <c r="B503" s="11" t="s">
        <v>3138</v>
      </c>
      <c r="C503" s="468">
        <v>68</v>
      </c>
      <c r="D503" s="468">
        <v>71856.749192784395</v>
      </c>
      <c r="E503" s="469">
        <v>20955.551891711901</v>
      </c>
      <c r="F503" s="470">
        <v>0.55718641468117103</v>
      </c>
      <c r="G503" s="471">
        <v>0.16249202694770001</v>
      </c>
    </row>
    <row r="504" spans="1:7" x14ac:dyDescent="0.25">
      <c r="A504" s="6" t="s">
        <v>1096</v>
      </c>
      <c r="B504" s="6" t="s">
        <v>3139</v>
      </c>
      <c r="C504" s="464">
        <v>15</v>
      </c>
      <c r="D504" s="464">
        <v>20520.420498341999</v>
      </c>
      <c r="E504" s="465">
        <v>6245.9093737979902</v>
      </c>
      <c r="F504" s="466">
        <v>0.15911796252493601</v>
      </c>
      <c r="G504" s="467">
        <v>4.8431579350648998E-2</v>
      </c>
    </row>
    <row r="505" spans="1:7" x14ac:dyDescent="0.25">
      <c r="A505" s="11" t="s">
        <v>1098</v>
      </c>
      <c r="B505" s="11" t="s">
        <v>3140</v>
      </c>
      <c r="C505" s="468">
        <v>7</v>
      </c>
      <c r="D505" s="468">
        <v>5480.5275901165496</v>
      </c>
      <c r="E505" s="469">
        <v>4408.12160765726</v>
      </c>
      <c r="F505" s="470">
        <v>4.2496711203920103E-2</v>
      </c>
      <c r="G505" s="471">
        <v>3.4181138190089298E-2</v>
      </c>
    </row>
    <row r="506" spans="1:7" x14ac:dyDescent="0.25">
      <c r="A506" s="6" t="s">
        <v>6417</v>
      </c>
      <c r="B506" s="6" t="s">
        <v>6418</v>
      </c>
      <c r="C506" s="464">
        <v>26110</v>
      </c>
      <c r="D506" s="464">
        <v>12896357</v>
      </c>
      <c r="E506" s="465">
        <v>5.8786871692835005E-7</v>
      </c>
      <c r="F506" s="466">
        <v>100</v>
      </c>
      <c r="G506" s="467">
        <v>1.45362315675074E-14</v>
      </c>
    </row>
    <row r="507" spans="1:7" x14ac:dyDescent="0.25">
      <c r="A507" s="11" t="s">
        <v>6417</v>
      </c>
      <c r="B507" s="11" t="s">
        <v>6419</v>
      </c>
      <c r="C507" s="468">
        <v>26110</v>
      </c>
      <c r="D507" s="468">
        <v>12896357</v>
      </c>
      <c r="E507" s="469">
        <v>0</v>
      </c>
      <c r="F507" s="470">
        <v>100</v>
      </c>
      <c r="G507" s="471">
        <v>0</v>
      </c>
    </row>
    <row r="508" spans="1:7" x14ac:dyDescent="0.25">
      <c r="A508" s="3729" t="s">
        <v>388</v>
      </c>
      <c r="B508" s="3730"/>
      <c r="C508" s="3730"/>
      <c r="D508" s="3730"/>
      <c r="E508" s="3730"/>
      <c r="F508" s="3730"/>
      <c r="G508" s="3730"/>
    </row>
    <row r="509" spans="1:7" x14ac:dyDescent="0.25">
      <c r="A509" s="11" t="s">
        <v>1092</v>
      </c>
      <c r="B509" s="11" t="s">
        <v>3246</v>
      </c>
      <c r="C509" s="476">
        <v>5480</v>
      </c>
      <c r="D509" s="476">
        <v>2777225.5014734599</v>
      </c>
      <c r="E509" s="477">
        <v>58354.011491598001</v>
      </c>
      <c r="F509" s="478">
        <v>21.534961396256801</v>
      </c>
      <c r="G509" s="479">
        <v>0.45248446124436897</v>
      </c>
    </row>
    <row r="510" spans="1:7" x14ac:dyDescent="0.25">
      <c r="A510" s="6" t="s">
        <v>1123</v>
      </c>
      <c r="B510" s="6" t="s">
        <v>3254</v>
      </c>
      <c r="C510" s="472">
        <v>6585</v>
      </c>
      <c r="D510" s="472">
        <v>2157231.9085231302</v>
      </c>
      <c r="E510" s="473">
        <v>58628.508876795</v>
      </c>
      <c r="F510" s="474">
        <v>16.727451857320101</v>
      </c>
      <c r="G510" s="475">
        <v>0.45461294904284399</v>
      </c>
    </row>
    <row r="511" spans="1:7" x14ac:dyDescent="0.25">
      <c r="A511" s="11" t="s">
        <v>1090</v>
      </c>
      <c r="B511" s="11" t="s">
        <v>3245</v>
      </c>
      <c r="C511" s="476">
        <v>4490</v>
      </c>
      <c r="D511" s="476">
        <v>1940326.5965881499</v>
      </c>
      <c r="E511" s="477">
        <v>33776.141461347499</v>
      </c>
      <c r="F511" s="478">
        <v>15.0455403536685</v>
      </c>
      <c r="G511" s="479">
        <v>0.26190451661153902</v>
      </c>
    </row>
    <row r="512" spans="1:7" x14ac:dyDescent="0.25">
      <c r="A512" s="6" t="s">
        <v>1096</v>
      </c>
      <c r="B512" s="6" t="s">
        <v>3248</v>
      </c>
      <c r="C512" s="472">
        <v>1864</v>
      </c>
      <c r="D512" s="472">
        <v>1755302.7061167201</v>
      </c>
      <c r="E512" s="473">
        <v>67707.5717156842</v>
      </c>
      <c r="F512" s="474">
        <v>13.6108414656691</v>
      </c>
      <c r="G512" s="475">
        <v>0.52501316236581497</v>
      </c>
    </row>
    <row r="513" spans="1:7" x14ac:dyDescent="0.25">
      <c r="A513" s="11" t="s">
        <v>1100</v>
      </c>
      <c r="B513" s="11" t="s">
        <v>3250</v>
      </c>
      <c r="C513" s="476">
        <v>2011</v>
      </c>
      <c r="D513" s="476">
        <v>1749407.9440181099</v>
      </c>
      <c r="E513" s="477">
        <v>31208.2378159236</v>
      </c>
      <c r="F513" s="478">
        <v>13.5651327271579</v>
      </c>
      <c r="G513" s="479">
        <v>0.241992663633017</v>
      </c>
    </row>
    <row r="514" spans="1:7" x14ac:dyDescent="0.25">
      <c r="A514" s="6" t="s">
        <v>1121</v>
      </c>
      <c r="B514" s="6" t="s">
        <v>3253</v>
      </c>
      <c r="C514" s="472">
        <v>3968</v>
      </c>
      <c r="D514" s="472">
        <v>1159531.5619626199</v>
      </c>
      <c r="E514" s="473">
        <v>33749.268120511697</v>
      </c>
      <c r="F514" s="474">
        <v>8.9911558897030108</v>
      </c>
      <c r="G514" s="475">
        <v>0.26169613729296698</v>
      </c>
    </row>
    <row r="515" spans="1:7" x14ac:dyDescent="0.25">
      <c r="A515" s="11" t="s">
        <v>1119</v>
      </c>
      <c r="B515" s="11" t="s">
        <v>3252</v>
      </c>
      <c r="C515" s="476">
        <v>892</v>
      </c>
      <c r="D515" s="476">
        <v>717794.26010555902</v>
      </c>
      <c r="E515" s="477">
        <v>44054.007051107801</v>
      </c>
      <c r="F515" s="478">
        <v>5.56586840846263</v>
      </c>
      <c r="G515" s="479">
        <v>0.341600399640825</v>
      </c>
    </row>
    <row r="516" spans="1:7" x14ac:dyDescent="0.25">
      <c r="A516" s="6" t="s">
        <v>1098</v>
      </c>
      <c r="B516" s="6" t="s">
        <v>3249</v>
      </c>
      <c r="C516" s="472">
        <v>440</v>
      </c>
      <c r="D516" s="472">
        <v>373851.304090399</v>
      </c>
      <c r="E516" s="473">
        <v>24056.260432832602</v>
      </c>
      <c r="F516" s="474">
        <v>2.8988907804770001</v>
      </c>
      <c r="G516" s="475">
        <v>0.186535317166175</v>
      </c>
    </row>
    <row r="517" spans="1:7" x14ac:dyDescent="0.25">
      <c r="A517" s="11" t="s">
        <v>1109</v>
      </c>
      <c r="B517" s="11" t="s">
        <v>3251</v>
      </c>
      <c r="C517" s="476">
        <v>236</v>
      </c>
      <c r="D517" s="476">
        <v>158333.461104716</v>
      </c>
      <c r="E517" s="477">
        <v>25289.362246972501</v>
      </c>
      <c r="F517" s="478">
        <v>1.22773788834099</v>
      </c>
      <c r="G517" s="479">
        <v>0.196096946191645</v>
      </c>
    </row>
    <row r="518" spans="1:7" x14ac:dyDescent="0.25">
      <c r="A518" s="6" t="s">
        <v>1094</v>
      </c>
      <c r="B518" s="6" t="s">
        <v>3247</v>
      </c>
      <c r="C518" s="472">
        <v>145</v>
      </c>
      <c r="D518" s="472">
        <v>107351.75601711401</v>
      </c>
      <c r="E518" s="473">
        <v>17768.780577500998</v>
      </c>
      <c r="F518" s="474">
        <v>0.83241923294395403</v>
      </c>
      <c r="G518" s="475">
        <v>0.13778139499008199</v>
      </c>
    </row>
    <row r="519" spans="1:7" x14ac:dyDescent="0.25">
      <c r="A519" s="11" t="s">
        <v>6417</v>
      </c>
      <c r="B519" s="11" t="s">
        <v>6418</v>
      </c>
      <c r="C519" s="476">
        <v>26111</v>
      </c>
      <c r="D519" s="476">
        <v>12896357</v>
      </c>
      <c r="E519" s="477">
        <v>6.5869501524282196E-8</v>
      </c>
      <c r="F519" s="478">
        <v>100</v>
      </c>
      <c r="G519" s="479">
        <v>1.78031750616652E-14</v>
      </c>
    </row>
    <row r="520" spans="1:7" x14ac:dyDescent="0.25">
      <c r="A520" s="6" t="s">
        <v>6417</v>
      </c>
      <c r="B520" s="6" t="s">
        <v>6419</v>
      </c>
      <c r="C520" s="472">
        <v>26111</v>
      </c>
      <c r="D520" s="472">
        <v>12896357</v>
      </c>
      <c r="E520" s="473">
        <v>0</v>
      </c>
      <c r="F520" s="474">
        <v>100</v>
      </c>
      <c r="G520" s="475">
        <v>0</v>
      </c>
    </row>
    <row r="521" spans="1:7" x14ac:dyDescent="0.25">
      <c r="A521" s="3729" t="s">
        <v>434</v>
      </c>
      <c r="B521" s="3730"/>
      <c r="C521" s="3730"/>
      <c r="D521" s="3730"/>
      <c r="E521" s="3730"/>
      <c r="F521" s="3730"/>
      <c r="G521" s="3730"/>
    </row>
    <row r="522" spans="1:7" x14ac:dyDescent="0.25">
      <c r="A522" s="11" t="s">
        <v>1090</v>
      </c>
      <c r="B522" s="11" t="s">
        <v>6099</v>
      </c>
      <c r="C522" s="484">
        <v>7393</v>
      </c>
      <c r="D522" s="484">
        <v>7802319.8425826598</v>
      </c>
      <c r="E522" s="485">
        <v>54820.317385787901</v>
      </c>
      <c r="F522" s="486">
        <v>60.500184994744302</v>
      </c>
      <c r="G522" s="487">
        <v>0.42508374563281398</v>
      </c>
    </row>
    <row r="523" spans="1:7" x14ac:dyDescent="0.25">
      <c r="A523" s="6" t="s">
        <v>1094</v>
      </c>
      <c r="B523" s="6" t="s">
        <v>6101</v>
      </c>
      <c r="C523" s="480">
        <v>8378</v>
      </c>
      <c r="D523" s="480">
        <v>2645512.5433785398</v>
      </c>
      <c r="E523" s="481">
        <v>5303.2251840655799</v>
      </c>
      <c r="F523" s="482">
        <v>20.5136422896678</v>
      </c>
      <c r="G523" s="483">
        <v>4.1121885692712801E-2</v>
      </c>
    </row>
    <row r="524" spans="1:7" x14ac:dyDescent="0.25">
      <c r="A524" s="11" t="s">
        <v>1092</v>
      </c>
      <c r="B524" s="11" t="s">
        <v>6100</v>
      </c>
      <c r="C524" s="484">
        <v>6766</v>
      </c>
      <c r="D524" s="484">
        <v>2122663.2299079201</v>
      </c>
      <c r="E524" s="485">
        <v>56293.420526425703</v>
      </c>
      <c r="F524" s="486">
        <v>16.459401906351701</v>
      </c>
      <c r="G524" s="487">
        <v>0.43650637561000899</v>
      </c>
    </row>
    <row r="525" spans="1:7" x14ac:dyDescent="0.25">
      <c r="A525" s="6" t="s">
        <v>1096</v>
      </c>
      <c r="B525" s="6" t="s">
        <v>6102</v>
      </c>
      <c r="C525" s="480">
        <v>3575</v>
      </c>
      <c r="D525" s="480">
        <v>325861.38413088699</v>
      </c>
      <c r="E525" s="481">
        <v>859.53165678896505</v>
      </c>
      <c r="F525" s="482">
        <v>2.5267708092361798</v>
      </c>
      <c r="G525" s="483">
        <v>6.6649182927339097E-3</v>
      </c>
    </row>
    <row r="526" spans="1:7" x14ac:dyDescent="0.25">
      <c r="A526" s="11" t="s">
        <v>6417</v>
      </c>
      <c r="B526" s="11" t="s">
        <v>6418</v>
      </c>
      <c r="C526" s="484">
        <v>26112</v>
      </c>
      <c r="D526" s="484">
        <v>12896357</v>
      </c>
      <c r="E526" s="485">
        <v>3.4280623664982403E-7</v>
      </c>
      <c r="F526" s="486">
        <v>100</v>
      </c>
      <c r="G526" s="487">
        <v>2.0557335828564899E-14</v>
      </c>
    </row>
    <row r="527" spans="1:7" x14ac:dyDescent="0.25">
      <c r="A527" s="6" t="s">
        <v>6417</v>
      </c>
      <c r="B527" s="6" t="s">
        <v>6419</v>
      </c>
      <c r="C527" s="480">
        <v>26112</v>
      </c>
      <c r="D527" s="480">
        <v>12896357</v>
      </c>
      <c r="E527" s="481">
        <v>0</v>
      </c>
      <c r="F527" s="482">
        <v>100</v>
      </c>
      <c r="G527" s="483">
        <v>0</v>
      </c>
    </row>
    <row r="528" spans="1:7" x14ac:dyDescent="0.25">
      <c r="A528" s="3729" t="s">
        <v>436</v>
      </c>
      <c r="B528" s="3730"/>
      <c r="C528" s="3730"/>
      <c r="D528" s="3730"/>
      <c r="E528" s="3730"/>
      <c r="F528" s="3730"/>
      <c r="G528" s="3730"/>
    </row>
    <row r="529" spans="1:7" x14ac:dyDescent="0.25">
      <c r="A529" s="11" t="s">
        <v>1098</v>
      </c>
      <c r="B529" s="11" t="s">
        <v>6107</v>
      </c>
      <c r="C529" s="492">
        <v>9231</v>
      </c>
      <c r="D529" s="492">
        <v>8383195.2143305102</v>
      </c>
      <c r="E529" s="493">
        <v>24647.026879485398</v>
      </c>
      <c r="F529" s="494">
        <v>65.004366848176502</v>
      </c>
      <c r="G529" s="495">
        <v>0.19111619567791999</v>
      </c>
    </row>
    <row r="530" spans="1:7" x14ac:dyDescent="0.25">
      <c r="A530" s="6" t="s">
        <v>1096</v>
      </c>
      <c r="B530" s="6" t="s">
        <v>6106</v>
      </c>
      <c r="C530" s="488">
        <v>4928</v>
      </c>
      <c r="D530" s="488">
        <v>1541787.8581600899</v>
      </c>
      <c r="E530" s="489">
        <v>22114.8399056913</v>
      </c>
      <c r="F530" s="490">
        <v>11.955220052919501</v>
      </c>
      <c r="G530" s="491">
        <v>0.17148129433529599</v>
      </c>
    </row>
    <row r="531" spans="1:7" x14ac:dyDescent="0.25">
      <c r="A531" s="11" t="s">
        <v>1094</v>
      </c>
      <c r="B531" s="11" t="s">
        <v>6105</v>
      </c>
      <c r="C531" s="492">
        <v>2171</v>
      </c>
      <c r="D531" s="492">
        <v>1243162.72854277</v>
      </c>
      <c r="E531" s="493">
        <v>26574.074459932999</v>
      </c>
      <c r="F531" s="494">
        <v>9.6396426412727898</v>
      </c>
      <c r="G531" s="495">
        <v>0.20605876884402699</v>
      </c>
    </row>
    <row r="532" spans="1:7" x14ac:dyDescent="0.25">
      <c r="A532" s="6" t="s">
        <v>1092</v>
      </c>
      <c r="B532" s="6" t="s">
        <v>6104</v>
      </c>
      <c r="C532" s="488">
        <v>3962</v>
      </c>
      <c r="D532" s="488">
        <v>1022915.68274769</v>
      </c>
      <c r="E532" s="489">
        <v>30169.4906145977</v>
      </c>
      <c r="F532" s="490">
        <v>7.93181890628248</v>
      </c>
      <c r="G532" s="491">
        <v>0.23393808510883601</v>
      </c>
    </row>
    <row r="533" spans="1:7" x14ac:dyDescent="0.25">
      <c r="A533" s="11" t="s">
        <v>1090</v>
      </c>
      <c r="B533" s="11" t="s">
        <v>6103</v>
      </c>
      <c r="C533" s="492">
        <v>2245</v>
      </c>
      <c r="D533" s="492">
        <v>379434.13208808401</v>
      </c>
      <c r="E533" s="493">
        <v>18649.4814987426</v>
      </c>
      <c r="F533" s="494">
        <v>2.9421807421125399</v>
      </c>
      <c r="G533" s="495">
        <v>0.14461046246426501</v>
      </c>
    </row>
    <row r="534" spans="1:7" x14ac:dyDescent="0.25">
      <c r="A534" s="6" t="s">
        <v>1100</v>
      </c>
      <c r="B534" s="6" t="s">
        <v>6108</v>
      </c>
      <c r="C534" s="488">
        <v>3575</v>
      </c>
      <c r="D534" s="488">
        <v>325861.38413088699</v>
      </c>
      <c r="E534" s="489">
        <v>859.53165678896505</v>
      </c>
      <c r="F534" s="490">
        <v>2.5267708092361798</v>
      </c>
      <c r="G534" s="491">
        <v>6.6649182927304403E-3</v>
      </c>
    </row>
    <row r="535" spans="1:7" x14ac:dyDescent="0.25">
      <c r="A535" s="11" t="s">
        <v>6417</v>
      </c>
      <c r="B535" s="11" t="s">
        <v>6418</v>
      </c>
      <c r="C535" s="492">
        <v>26112</v>
      </c>
      <c r="D535" s="492">
        <v>12896357</v>
      </c>
      <c r="E535" s="493">
        <v>5.3486788720598204E-7</v>
      </c>
      <c r="F535" s="494">
        <v>100</v>
      </c>
      <c r="G535" s="495">
        <v>2.0557335828564899E-14</v>
      </c>
    </row>
    <row r="536" spans="1:7" x14ac:dyDescent="0.25">
      <c r="A536" s="6" t="s">
        <v>6417</v>
      </c>
      <c r="B536" s="6" t="s">
        <v>6419</v>
      </c>
      <c r="C536" s="488">
        <v>26112</v>
      </c>
      <c r="D536" s="488">
        <v>12896357</v>
      </c>
      <c r="E536" s="489">
        <v>0</v>
      </c>
      <c r="F536" s="490">
        <v>100</v>
      </c>
      <c r="G536" s="491">
        <v>0</v>
      </c>
    </row>
    <row r="537" spans="1:7" x14ac:dyDescent="0.25">
      <c r="A537" s="3729" t="s">
        <v>619</v>
      </c>
      <c r="B537" s="3730"/>
      <c r="C537" s="3730"/>
      <c r="D537" s="3730"/>
      <c r="E537" s="3730"/>
      <c r="F537" s="3730"/>
      <c r="G537" s="3730"/>
    </row>
    <row r="538" spans="1:7" x14ac:dyDescent="0.25">
      <c r="A538" s="11" t="s">
        <v>1090</v>
      </c>
      <c r="B538" s="11" t="s">
        <v>6134</v>
      </c>
      <c r="C538" s="500">
        <v>7669</v>
      </c>
      <c r="D538" s="500">
        <v>8030440.7909882003</v>
      </c>
      <c r="E538" s="501">
        <v>54349.4771304116</v>
      </c>
      <c r="F538" s="502">
        <v>62.269063976657797</v>
      </c>
      <c r="G538" s="503">
        <v>0.42143279013134399</v>
      </c>
    </row>
    <row r="539" spans="1:7" x14ac:dyDescent="0.25">
      <c r="A539" s="6" t="s">
        <v>1092</v>
      </c>
      <c r="B539" s="6" t="s">
        <v>6135</v>
      </c>
      <c r="C539" s="496">
        <v>18443</v>
      </c>
      <c r="D539" s="496">
        <v>4865916.2090118304</v>
      </c>
      <c r="E539" s="497">
        <v>54349.477130392697</v>
      </c>
      <c r="F539" s="498">
        <v>37.730936023342203</v>
      </c>
      <c r="G539" s="499">
        <v>0.42143279013135598</v>
      </c>
    </row>
    <row r="540" spans="1:7" x14ac:dyDescent="0.25">
      <c r="A540" s="11" t="s">
        <v>6417</v>
      </c>
      <c r="B540" s="11" t="s">
        <v>6418</v>
      </c>
      <c r="C540" s="500">
        <v>26112</v>
      </c>
      <c r="D540" s="500">
        <v>12896357</v>
      </c>
      <c r="E540" s="501">
        <v>4.3058366058132398E-7</v>
      </c>
      <c r="F540" s="502">
        <v>100</v>
      </c>
      <c r="G540" s="503">
        <v>1.01753620972552E-13</v>
      </c>
    </row>
    <row r="541" spans="1:7" x14ac:dyDescent="0.25">
      <c r="A541" s="6" t="s">
        <v>6417</v>
      </c>
      <c r="B541" s="6" t="s">
        <v>6419</v>
      </c>
      <c r="C541" s="496">
        <v>26112</v>
      </c>
      <c r="D541" s="496">
        <v>12896357</v>
      </c>
      <c r="E541" s="497">
        <v>0</v>
      </c>
      <c r="F541" s="498">
        <v>100</v>
      </c>
      <c r="G541" s="499">
        <v>0</v>
      </c>
    </row>
    <row r="542" spans="1:7" x14ac:dyDescent="0.25">
      <c r="A542" s="3729" t="s">
        <v>873</v>
      </c>
      <c r="B542" s="3730"/>
      <c r="C542" s="3730"/>
      <c r="D542" s="3730"/>
      <c r="E542" s="3730"/>
      <c r="F542" s="3730"/>
      <c r="G542" s="3730"/>
    </row>
    <row r="543" spans="1:7" x14ac:dyDescent="0.25">
      <c r="A543" s="11" t="s">
        <v>1090</v>
      </c>
      <c r="B543" s="11" t="s">
        <v>6234</v>
      </c>
      <c r="C543" s="508">
        <v>19479</v>
      </c>
      <c r="D543" s="508">
        <v>11717547.6143387</v>
      </c>
      <c r="E543" s="509">
        <v>31529.054186161498</v>
      </c>
      <c r="F543" s="510">
        <v>90.8593614021284</v>
      </c>
      <c r="G543" s="511">
        <v>0.244480314759951</v>
      </c>
    </row>
    <row r="544" spans="1:7" x14ac:dyDescent="0.25">
      <c r="A544" s="6" t="s">
        <v>1092</v>
      </c>
      <c r="B544" s="6" t="s">
        <v>6235</v>
      </c>
      <c r="C544" s="504">
        <v>3417</v>
      </c>
      <c r="D544" s="504">
        <v>673453.45318999095</v>
      </c>
      <c r="E544" s="505">
        <v>21134.379015205501</v>
      </c>
      <c r="F544" s="506">
        <v>5.2220441260271402</v>
      </c>
      <c r="G544" s="507">
        <v>0.16387867531275599</v>
      </c>
    </row>
    <row r="545" spans="1:7" x14ac:dyDescent="0.25">
      <c r="A545" s="11" t="s">
        <v>1096</v>
      </c>
      <c r="B545" s="11" t="s">
        <v>6237</v>
      </c>
      <c r="C545" s="508">
        <v>3207</v>
      </c>
      <c r="D545" s="508">
        <v>500910.61829489202</v>
      </c>
      <c r="E545" s="509">
        <v>26548.343771486801</v>
      </c>
      <c r="F545" s="510">
        <v>3.8841249377238198</v>
      </c>
      <c r="G545" s="511">
        <v>0.20585924979812201</v>
      </c>
    </row>
    <row r="546" spans="1:7" x14ac:dyDescent="0.25">
      <c r="A546" s="6" t="s">
        <v>1094</v>
      </c>
      <c r="B546" s="6" t="s">
        <v>6236</v>
      </c>
      <c r="C546" s="504">
        <v>9</v>
      </c>
      <c r="D546" s="504">
        <v>4445.31417643639</v>
      </c>
      <c r="E546" s="505">
        <v>4005.6923392726799</v>
      </c>
      <c r="F546" s="506">
        <v>3.4469534120654302E-2</v>
      </c>
      <c r="G546" s="507">
        <v>3.1060650222947999E-2</v>
      </c>
    </row>
    <row r="547" spans="1:7" x14ac:dyDescent="0.25">
      <c r="A547" s="11" t="s">
        <v>6417</v>
      </c>
      <c r="B547" s="11" t="s">
        <v>6418</v>
      </c>
      <c r="C547" s="508">
        <v>26112</v>
      </c>
      <c r="D547" s="508">
        <v>12896357</v>
      </c>
      <c r="E547" s="509">
        <v>4.7059194795949801E-7</v>
      </c>
      <c r="F547" s="510">
        <v>100</v>
      </c>
      <c r="G547" s="511">
        <v>1.45362315675074E-14</v>
      </c>
    </row>
    <row r="548" spans="1:7" x14ac:dyDescent="0.25">
      <c r="A548" s="6" t="s">
        <v>6417</v>
      </c>
      <c r="B548" s="6" t="s">
        <v>6419</v>
      </c>
      <c r="C548" s="504">
        <v>26112</v>
      </c>
      <c r="D548" s="504">
        <v>12896357</v>
      </c>
      <c r="E548" s="505">
        <v>0</v>
      </c>
      <c r="F548" s="506">
        <v>100</v>
      </c>
      <c r="G548" s="507">
        <v>0</v>
      </c>
    </row>
    <row r="549" spans="1:7" x14ac:dyDescent="0.25">
      <c r="A549" s="3729" t="s">
        <v>875</v>
      </c>
      <c r="B549" s="3730"/>
      <c r="C549" s="3730"/>
      <c r="D549" s="3730"/>
      <c r="E549" s="3730"/>
      <c r="F549" s="3730"/>
      <c r="G549" s="3730"/>
    </row>
    <row r="550" spans="1:7" x14ac:dyDescent="0.25">
      <c r="A550" s="11" t="s">
        <v>1098</v>
      </c>
      <c r="B550" s="11" t="s">
        <v>6242</v>
      </c>
      <c r="C550" s="516">
        <v>5785</v>
      </c>
      <c r="D550" s="516">
        <v>6317516.5403210204</v>
      </c>
      <c r="E550" s="517">
        <v>57155.330043057496</v>
      </c>
      <c r="F550" s="518">
        <v>48.986830469418699</v>
      </c>
      <c r="G550" s="519">
        <v>0.44318973213170298</v>
      </c>
    </row>
    <row r="551" spans="1:7" x14ac:dyDescent="0.25">
      <c r="A551" s="6" t="s">
        <v>1096</v>
      </c>
      <c r="B551" s="6" t="s">
        <v>6241</v>
      </c>
      <c r="C551" s="512">
        <v>5881</v>
      </c>
      <c r="D551" s="512">
        <v>1953139.3540008799</v>
      </c>
      <c r="E551" s="513">
        <v>54857.548964037502</v>
      </c>
      <c r="F551" s="514">
        <v>15.1448921117869</v>
      </c>
      <c r="G551" s="515">
        <v>0.42537244404788199</v>
      </c>
    </row>
    <row r="552" spans="1:7" x14ac:dyDescent="0.25">
      <c r="A552" s="11" t="s">
        <v>1092</v>
      </c>
      <c r="B552" s="11" t="s">
        <v>6239</v>
      </c>
      <c r="C552" s="516">
        <v>2095</v>
      </c>
      <c r="D552" s="516">
        <v>1369025.58586975</v>
      </c>
      <c r="E552" s="517">
        <v>33718.974632950303</v>
      </c>
      <c r="F552" s="518">
        <v>10.615599319015001</v>
      </c>
      <c r="G552" s="519">
        <v>0.26146123771969798</v>
      </c>
    </row>
    <row r="553" spans="1:7" x14ac:dyDescent="0.25">
      <c r="A553" s="6" t="s">
        <v>1100</v>
      </c>
      <c r="B553" s="6" t="s">
        <v>6243</v>
      </c>
      <c r="C553" s="512">
        <v>6633</v>
      </c>
      <c r="D553" s="512">
        <v>1178809.3856613201</v>
      </c>
      <c r="E553" s="513">
        <v>31529.0541861702</v>
      </c>
      <c r="F553" s="514">
        <v>9.1406385978716393</v>
      </c>
      <c r="G553" s="515">
        <v>0.24448031475996099</v>
      </c>
    </row>
    <row r="554" spans="1:7" x14ac:dyDescent="0.25">
      <c r="A554" s="11" t="s">
        <v>1090</v>
      </c>
      <c r="B554" s="11" t="s">
        <v>6238</v>
      </c>
      <c r="C554" s="516">
        <v>4320</v>
      </c>
      <c r="D554" s="516">
        <v>1158731.5547913599</v>
      </c>
      <c r="E554" s="517">
        <v>33677.1548842255</v>
      </c>
      <c r="F554" s="518">
        <v>8.9849525318767203</v>
      </c>
      <c r="G554" s="519">
        <v>0.26113696204460402</v>
      </c>
    </row>
    <row r="555" spans="1:7" x14ac:dyDescent="0.25">
      <c r="A555" s="6" t="s">
        <v>1094</v>
      </c>
      <c r="B555" s="6" t="s">
        <v>6240</v>
      </c>
      <c r="C555" s="512">
        <v>1398</v>
      </c>
      <c r="D555" s="512">
        <v>919134.57935567899</v>
      </c>
      <c r="E555" s="513">
        <v>27230.435696408302</v>
      </c>
      <c r="F555" s="514">
        <v>7.1270869700309802</v>
      </c>
      <c r="G555" s="515">
        <v>0.21114827773772901</v>
      </c>
    </row>
    <row r="556" spans="1:7" x14ac:dyDescent="0.25">
      <c r="A556" s="11" t="s">
        <v>6417</v>
      </c>
      <c r="B556" s="11" t="s">
        <v>6418</v>
      </c>
      <c r="C556" s="516">
        <v>26112</v>
      </c>
      <c r="D556" s="516">
        <v>12896357</v>
      </c>
      <c r="E556" s="517">
        <v>3.2254124350254098E-7</v>
      </c>
      <c r="F556" s="518">
        <v>100</v>
      </c>
      <c r="G556" s="519">
        <v>0</v>
      </c>
    </row>
    <row r="557" spans="1:7" x14ac:dyDescent="0.25">
      <c r="A557" s="6" t="s">
        <v>6417</v>
      </c>
      <c r="B557" s="6" t="s">
        <v>6419</v>
      </c>
      <c r="C557" s="512">
        <v>26112</v>
      </c>
      <c r="D557" s="512">
        <v>12896357</v>
      </c>
      <c r="E557" s="513">
        <v>0</v>
      </c>
      <c r="F557" s="514">
        <v>100</v>
      </c>
      <c r="G557" s="515">
        <v>0</v>
      </c>
    </row>
    <row r="558" spans="1:7" x14ac:dyDescent="0.25">
      <c r="A558" s="3729" t="s">
        <v>877</v>
      </c>
      <c r="B558" s="3730"/>
      <c r="C558" s="3730"/>
      <c r="D558" s="3730"/>
      <c r="E558" s="3730"/>
      <c r="F558" s="3730"/>
      <c r="G558" s="3730"/>
    </row>
    <row r="559" spans="1:7" x14ac:dyDescent="0.25">
      <c r="A559" s="11" t="s">
        <v>1090</v>
      </c>
      <c r="B559" s="11" t="s">
        <v>6244</v>
      </c>
      <c r="C559" s="524">
        <v>22896</v>
      </c>
      <c r="D559" s="524">
        <v>12391001.0675287</v>
      </c>
      <c r="E559" s="525">
        <v>27593.6323901582</v>
      </c>
      <c r="F559" s="526">
        <v>96.0814055281555</v>
      </c>
      <c r="G559" s="527">
        <v>0.21396455130813</v>
      </c>
    </row>
    <row r="560" spans="1:7" x14ac:dyDescent="0.25">
      <c r="A560" s="6" t="s">
        <v>1092</v>
      </c>
      <c r="B560" s="6" t="s">
        <v>6245</v>
      </c>
      <c r="C560" s="520">
        <v>3216</v>
      </c>
      <c r="D560" s="520">
        <v>505355.932471329</v>
      </c>
      <c r="E560" s="521">
        <v>27593.632390143899</v>
      </c>
      <c r="F560" s="522">
        <v>3.9185944718444699</v>
      </c>
      <c r="G560" s="523">
        <v>0.213964551308129</v>
      </c>
    </row>
    <row r="561" spans="1:7" x14ac:dyDescent="0.25">
      <c r="A561" s="11" t="s">
        <v>6417</v>
      </c>
      <c r="B561" s="11" t="s">
        <v>6418</v>
      </c>
      <c r="C561" s="524">
        <v>26112</v>
      </c>
      <c r="D561" s="524">
        <v>12896357</v>
      </c>
      <c r="E561" s="525">
        <v>8.0620419293652396E-7</v>
      </c>
      <c r="F561" s="526">
        <v>100</v>
      </c>
      <c r="G561" s="527">
        <v>2.71947991102104E-14</v>
      </c>
    </row>
    <row r="562" spans="1:7" x14ac:dyDescent="0.25">
      <c r="A562" s="6" t="s">
        <v>6417</v>
      </c>
      <c r="B562" s="6" t="s">
        <v>6419</v>
      </c>
      <c r="C562" s="520">
        <v>26112</v>
      </c>
      <c r="D562" s="520">
        <v>12896357</v>
      </c>
      <c r="E562" s="521">
        <v>0</v>
      </c>
      <c r="F562" s="522">
        <v>100</v>
      </c>
      <c r="G562" s="523">
        <v>0</v>
      </c>
    </row>
    <row r="563" spans="1:7" x14ac:dyDescent="0.25">
      <c r="A563" s="3729" t="s">
        <v>242</v>
      </c>
      <c r="B563" s="3730"/>
      <c r="C563" s="3730"/>
      <c r="D563" s="3730"/>
      <c r="E563" s="3730"/>
      <c r="F563" s="3730"/>
      <c r="G563" s="3730"/>
    </row>
    <row r="564" spans="1:7" x14ac:dyDescent="0.25">
      <c r="A564" s="11" t="s">
        <v>6457</v>
      </c>
      <c r="B564" s="11"/>
      <c r="C564" s="532">
        <v>1310</v>
      </c>
      <c r="D564" s="532">
        <v>684763.26023510005</v>
      </c>
      <c r="E564" s="533">
        <v>32932.352077554096</v>
      </c>
      <c r="F564" s="534">
        <v>5.3097418149567304</v>
      </c>
      <c r="G564" s="535">
        <v>0.25536166591506299</v>
      </c>
    </row>
    <row r="565" spans="1:7" x14ac:dyDescent="0.25">
      <c r="A565" s="6" t="s">
        <v>6458</v>
      </c>
      <c r="B565" s="6"/>
      <c r="C565" s="528">
        <v>654</v>
      </c>
      <c r="D565" s="528">
        <v>567168.09384370502</v>
      </c>
      <c r="E565" s="529">
        <v>24428.377935815701</v>
      </c>
      <c r="F565" s="530">
        <v>4.3978938691267997</v>
      </c>
      <c r="G565" s="531">
        <v>0.189420763831332</v>
      </c>
    </row>
    <row r="566" spans="1:7" x14ac:dyDescent="0.25">
      <c r="A566" s="11" t="s">
        <v>6459</v>
      </c>
      <c r="B566" s="11"/>
      <c r="C566" s="532">
        <v>1278</v>
      </c>
      <c r="D566" s="532">
        <v>510768.94539825403</v>
      </c>
      <c r="E566" s="533">
        <v>25150.616672816399</v>
      </c>
      <c r="F566" s="534">
        <v>3.9605676657233801</v>
      </c>
      <c r="G566" s="535">
        <v>0.195021095281531</v>
      </c>
    </row>
    <row r="567" spans="1:7" x14ac:dyDescent="0.25">
      <c r="A567" s="6" t="s">
        <v>6460</v>
      </c>
      <c r="B567" s="6"/>
      <c r="C567" s="528">
        <v>639</v>
      </c>
      <c r="D567" s="528">
        <v>470720.87000372901</v>
      </c>
      <c r="E567" s="529">
        <v>21871.379557661101</v>
      </c>
      <c r="F567" s="530">
        <v>3.6500297720025001</v>
      </c>
      <c r="G567" s="531">
        <v>0.169593471688638</v>
      </c>
    </row>
    <row r="568" spans="1:7" x14ac:dyDescent="0.25">
      <c r="A568" s="11" t="s">
        <v>6461</v>
      </c>
      <c r="B568" s="11"/>
      <c r="C568" s="532">
        <v>962</v>
      </c>
      <c r="D568" s="532">
        <v>394096.48450135399</v>
      </c>
      <c r="E568" s="533">
        <v>12546.085348796199</v>
      </c>
      <c r="F568" s="534">
        <v>3.0558744961957398</v>
      </c>
      <c r="G568" s="535">
        <v>9.7283948860875893E-2</v>
      </c>
    </row>
    <row r="569" spans="1:7" x14ac:dyDescent="0.25">
      <c r="A569" s="6" t="s">
        <v>6462</v>
      </c>
      <c r="B569" s="6"/>
      <c r="C569" s="528">
        <v>613</v>
      </c>
      <c r="D569" s="528">
        <v>362316.984492624</v>
      </c>
      <c r="E569" s="529">
        <v>22724.379281818499</v>
      </c>
      <c r="F569" s="530">
        <v>2.8094521925271101</v>
      </c>
      <c r="G569" s="531">
        <v>0.176207740541136</v>
      </c>
    </row>
    <row r="570" spans="1:7" x14ac:dyDescent="0.25">
      <c r="A570" s="11" t="s">
        <v>6463</v>
      </c>
      <c r="B570" s="11"/>
      <c r="C570" s="532">
        <v>895</v>
      </c>
      <c r="D570" s="532">
        <v>351558.95596782101</v>
      </c>
      <c r="E570" s="533">
        <v>21151.970158673601</v>
      </c>
      <c r="F570" s="534">
        <v>2.7260330647470599</v>
      </c>
      <c r="G570" s="535">
        <v>0.164015079286915</v>
      </c>
    </row>
    <row r="571" spans="1:7" x14ac:dyDescent="0.25">
      <c r="A571" s="6" t="s">
        <v>6464</v>
      </c>
      <c r="B571" s="6"/>
      <c r="C571" s="528">
        <v>581</v>
      </c>
      <c r="D571" s="528">
        <v>350847.79811930901</v>
      </c>
      <c r="E571" s="529">
        <v>41870.238994757397</v>
      </c>
      <c r="F571" s="530">
        <v>2.7205186559220502</v>
      </c>
      <c r="G571" s="531">
        <v>0.324667183102617</v>
      </c>
    </row>
    <row r="572" spans="1:7" x14ac:dyDescent="0.25">
      <c r="A572" s="11" t="s">
        <v>6465</v>
      </c>
      <c r="B572" s="11"/>
      <c r="C572" s="532">
        <v>755</v>
      </c>
      <c r="D572" s="532">
        <v>350839.340565202</v>
      </c>
      <c r="E572" s="533">
        <v>24200.162515923199</v>
      </c>
      <c r="F572" s="534">
        <v>2.7204530749668501</v>
      </c>
      <c r="G572" s="535">
        <v>0.18765115230543999</v>
      </c>
    </row>
    <row r="573" spans="1:7" x14ac:dyDescent="0.25">
      <c r="A573" s="6" t="s">
        <v>6466</v>
      </c>
      <c r="B573" s="6"/>
      <c r="C573" s="528">
        <v>308</v>
      </c>
      <c r="D573" s="528">
        <v>331199.60049825499</v>
      </c>
      <c r="E573" s="529">
        <v>20966.990972438201</v>
      </c>
      <c r="F573" s="530">
        <v>2.5681640210352099</v>
      </c>
      <c r="G573" s="531">
        <v>0.16258072704127299</v>
      </c>
    </row>
    <row r="574" spans="1:7" x14ac:dyDescent="0.25">
      <c r="A574" s="11" t="s">
        <v>6467</v>
      </c>
      <c r="B574" s="11"/>
      <c r="C574" s="532">
        <v>616</v>
      </c>
      <c r="D574" s="532">
        <v>309518.27505297499</v>
      </c>
      <c r="E574" s="533">
        <v>17018.76336877</v>
      </c>
      <c r="F574" s="534">
        <v>2.4000442532179802</v>
      </c>
      <c r="G574" s="535">
        <v>0.131965665720717</v>
      </c>
    </row>
    <row r="575" spans="1:7" x14ac:dyDescent="0.25">
      <c r="A575" s="6" t="s">
        <v>6468</v>
      </c>
      <c r="B575" s="6"/>
      <c r="C575" s="528">
        <v>690</v>
      </c>
      <c r="D575" s="528">
        <v>300136.223311954</v>
      </c>
      <c r="E575" s="529">
        <v>18384.648776624599</v>
      </c>
      <c r="F575" s="530">
        <v>2.3272946252337299</v>
      </c>
      <c r="G575" s="531">
        <v>0.14255691569816401</v>
      </c>
    </row>
    <row r="576" spans="1:7" x14ac:dyDescent="0.25">
      <c r="A576" s="11" t="s">
        <v>6469</v>
      </c>
      <c r="B576" s="11"/>
      <c r="C576" s="532">
        <v>646</v>
      </c>
      <c r="D576" s="532">
        <v>298006.26906230499</v>
      </c>
      <c r="E576" s="533">
        <v>15223.7918152074</v>
      </c>
      <c r="F576" s="534">
        <v>2.3107786878287002</v>
      </c>
      <c r="G576" s="535">
        <v>0.118047226943295</v>
      </c>
    </row>
    <row r="577" spans="1:7" x14ac:dyDescent="0.25">
      <c r="A577" s="6" t="s">
        <v>6470</v>
      </c>
      <c r="B577" s="6"/>
      <c r="C577" s="528">
        <v>258</v>
      </c>
      <c r="D577" s="528">
        <v>279791.69815941498</v>
      </c>
      <c r="E577" s="529">
        <v>22880.3153300675</v>
      </c>
      <c r="F577" s="530">
        <v>2.1695405776950398</v>
      </c>
      <c r="G577" s="531">
        <v>0.17741688858386501</v>
      </c>
    </row>
    <row r="578" spans="1:7" x14ac:dyDescent="0.25">
      <c r="A578" s="11" t="s">
        <v>6471</v>
      </c>
      <c r="B578" s="11"/>
      <c r="C578" s="532">
        <v>640</v>
      </c>
      <c r="D578" s="532">
        <v>277249.44075611501</v>
      </c>
      <c r="E578" s="533">
        <v>15734.9314130495</v>
      </c>
      <c r="F578" s="534">
        <v>2.1498275889548899</v>
      </c>
      <c r="G578" s="535">
        <v>0.122010668695427</v>
      </c>
    </row>
    <row r="579" spans="1:7" x14ac:dyDescent="0.25">
      <c r="A579" s="6" t="s">
        <v>6472</v>
      </c>
      <c r="B579" s="6"/>
      <c r="C579" s="528">
        <v>625</v>
      </c>
      <c r="D579" s="528">
        <v>273132.50714404997</v>
      </c>
      <c r="E579" s="529">
        <v>22863.639967463099</v>
      </c>
      <c r="F579" s="530">
        <v>2.1179043596889402</v>
      </c>
      <c r="G579" s="531">
        <v>0.17728758569155101</v>
      </c>
    </row>
    <row r="580" spans="1:7" x14ac:dyDescent="0.25">
      <c r="A580" s="11" t="s">
        <v>6473</v>
      </c>
      <c r="B580" s="11"/>
      <c r="C580" s="532">
        <v>718</v>
      </c>
      <c r="D580" s="532">
        <v>271829.907501843</v>
      </c>
      <c r="E580" s="533">
        <v>20543.271337738399</v>
      </c>
      <c r="F580" s="534">
        <v>2.10780383562461</v>
      </c>
      <c r="G580" s="535">
        <v>0.15929515085336299</v>
      </c>
    </row>
    <row r="581" spans="1:7" x14ac:dyDescent="0.25">
      <c r="A581" s="6" t="s">
        <v>6474</v>
      </c>
      <c r="B581" s="6"/>
      <c r="C581" s="528">
        <v>449</v>
      </c>
      <c r="D581" s="528">
        <v>267881.32513149199</v>
      </c>
      <c r="E581" s="529">
        <v>13231.4170513762</v>
      </c>
      <c r="F581" s="530">
        <v>2.0771860233978598</v>
      </c>
      <c r="G581" s="531">
        <v>0.102598098450407</v>
      </c>
    </row>
    <row r="582" spans="1:7" x14ac:dyDescent="0.25">
      <c r="A582" s="11" t="s">
        <v>6475</v>
      </c>
      <c r="B582" s="11"/>
      <c r="C582" s="532">
        <v>607</v>
      </c>
      <c r="D582" s="532">
        <v>267590.52616729197</v>
      </c>
      <c r="E582" s="533">
        <v>24163.329195279301</v>
      </c>
      <c r="F582" s="534">
        <v>2.0749311310728502</v>
      </c>
      <c r="G582" s="535">
        <v>0.18736554203081801</v>
      </c>
    </row>
    <row r="583" spans="1:7" x14ac:dyDescent="0.25">
      <c r="A583" s="6" t="s">
        <v>6476</v>
      </c>
      <c r="B583" s="6"/>
      <c r="C583" s="528">
        <v>359</v>
      </c>
      <c r="D583" s="528">
        <v>264539.61346747499</v>
      </c>
      <c r="E583" s="529">
        <v>27829.218282934798</v>
      </c>
      <c r="F583" s="530">
        <v>2.0512739641704698</v>
      </c>
      <c r="G583" s="531">
        <v>0.215791314422631</v>
      </c>
    </row>
    <row r="584" spans="1:7" x14ac:dyDescent="0.25">
      <c r="A584" s="11" t="s">
        <v>6477</v>
      </c>
      <c r="B584" s="11"/>
      <c r="C584" s="532">
        <v>277</v>
      </c>
      <c r="D584" s="532">
        <v>261881.17428530799</v>
      </c>
      <c r="E584" s="533">
        <v>18257.630656721401</v>
      </c>
      <c r="F584" s="534">
        <v>2.03066008707194</v>
      </c>
      <c r="G584" s="535">
        <v>0.14157200096679501</v>
      </c>
    </row>
    <row r="585" spans="1:7" x14ac:dyDescent="0.25">
      <c r="A585" s="6" t="s">
        <v>6478</v>
      </c>
      <c r="B585" s="6"/>
      <c r="C585" s="528">
        <v>645</v>
      </c>
      <c r="D585" s="528">
        <v>247348.49122308701</v>
      </c>
      <c r="E585" s="529">
        <v>17117.447991912799</v>
      </c>
      <c r="F585" s="530">
        <v>1.91797180570519</v>
      </c>
      <c r="G585" s="531">
        <v>0.13273087889791499</v>
      </c>
    </row>
    <row r="586" spans="1:7" x14ac:dyDescent="0.25">
      <c r="A586" s="11" t="s">
        <v>6479</v>
      </c>
      <c r="B586" s="11"/>
      <c r="C586" s="532">
        <v>537</v>
      </c>
      <c r="D586" s="532">
        <v>246685.01818583699</v>
      </c>
      <c r="E586" s="533">
        <v>18954.973657225801</v>
      </c>
      <c r="F586" s="534">
        <v>1.9128271509996</v>
      </c>
      <c r="G586" s="535">
        <v>0.14697928769516699</v>
      </c>
    </row>
    <row r="587" spans="1:7" x14ac:dyDescent="0.25">
      <c r="A587" s="6" t="s">
        <v>6480</v>
      </c>
      <c r="B587" s="6"/>
      <c r="C587" s="528">
        <v>595</v>
      </c>
      <c r="D587" s="528">
        <v>246596.26419233301</v>
      </c>
      <c r="E587" s="529">
        <v>18916.8629294401</v>
      </c>
      <c r="F587" s="530">
        <v>1.9121389411934899</v>
      </c>
      <c r="G587" s="531">
        <v>0.14668377224234799</v>
      </c>
    </row>
    <row r="588" spans="1:7" x14ac:dyDescent="0.25">
      <c r="A588" s="11" t="s">
        <v>6481</v>
      </c>
      <c r="B588" s="11"/>
      <c r="C588" s="532">
        <v>763</v>
      </c>
      <c r="D588" s="532">
        <v>242005.69839490601</v>
      </c>
      <c r="E588" s="533">
        <v>9809.8618126088404</v>
      </c>
      <c r="F588" s="534">
        <v>1.87654310744426</v>
      </c>
      <c r="G588" s="535">
        <v>7.6066921942443896E-2</v>
      </c>
    </row>
    <row r="589" spans="1:7" x14ac:dyDescent="0.25">
      <c r="A589" s="6" t="s">
        <v>6482</v>
      </c>
      <c r="B589" s="6"/>
      <c r="C589" s="528">
        <v>630</v>
      </c>
      <c r="D589" s="528">
        <v>239225.27515745201</v>
      </c>
      <c r="E589" s="529">
        <v>15656.3182048003</v>
      </c>
      <c r="F589" s="530">
        <v>1.85498335039463</v>
      </c>
      <c r="G589" s="531">
        <v>0.121401091833922</v>
      </c>
    </row>
    <row r="590" spans="1:7" x14ac:dyDescent="0.25">
      <c r="A590" s="11" t="s">
        <v>6483</v>
      </c>
      <c r="B590" s="11"/>
      <c r="C590" s="532">
        <v>664</v>
      </c>
      <c r="D590" s="532">
        <v>230882.91935792199</v>
      </c>
      <c r="E590" s="533">
        <v>12338.3579947618</v>
      </c>
      <c r="F590" s="534">
        <v>1.7902956575870399</v>
      </c>
      <c r="G590" s="535">
        <v>9.5673204415493596E-2</v>
      </c>
    </row>
    <row r="591" spans="1:7" x14ac:dyDescent="0.25">
      <c r="A591" s="6" t="s">
        <v>6484</v>
      </c>
      <c r="B591" s="6"/>
      <c r="C591" s="528">
        <v>285</v>
      </c>
      <c r="D591" s="528">
        <v>229383.74340404</v>
      </c>
      <c r="E591" s="529">
        <v>26815.9321745118</v>
      </c>
      <c r="F591" s="530">
        <v>1.77867085568459</v>
      </c>
      <c r="G591" s="531">
        <v>0.20793416446607199</v>
      </c>
    </row>
    <row r="592" spans="1:7" x14ac:dyDescent="0.25">
      <c r="A592" s="11" t="s">
        <v>6485</v>
      </c>
      <c r="B592" s="11"/>
      <c r="C592" s="532">
        <v>270</v>
      </c>
      <c r="D592" s="532">
        <v>223091.594817587</v>
      </c>
      <c r="E592" s="533">
        <v>26825.791139753801</v>
      </c>
      <c r="F592" s="534">
        <v>1.72988073157084</v>
      </c>
      <c r="G592" s="535">
        <v>0.20801061214228</v>
      </c>
    </row>
    <row r="593" spans="1:7" x14ac:dyDescent="0.25">
      <c r="A593" s="6" t="s">
        <v>6486</v>
      </c>
      <c r="B593" s="6"/>
      <c r="C593" s="528">
        <v>611</v>
      </c>
      <c r="D593" s="528">
        <v>218386.003750353</v>
      </c>
      <c r="E593" s="529">
        <v>9188.5864672237094</v>
      </c>
      <c r="F593" s="530">
        <v>1.69339297718227</v>
      </c>
      <c r="G593" s="531">
        <v>7.1249473531352497E-2</v>
      </c>
    </row>
    <row r="594" spans="1:7" x14ac:dyDescent="0.25">
      <c r="A594" s="11" t="s">
        <v>6487</v>
      </c>
      <c r="B594" s="11"/>
      <c r="C594" s="532">
        <v>598</v>
      </c>
      <c r="D594" s="532">
        <v>211800.54970539399</v>
      </c>
      <c r="E594" s="533">
        <v>18903.974682370201</v>
      </c>
      <c r="F594" s="534">
        <v>1.6423285250663699</v>
      </c>
      <c r="G594" s="535">
        <v>0.146583835127783</v>
      </c>
    </row>
    <row r="595" spans="1:7" x14ac:dyDescent="0.25">
      <c r="A595" s="6" t="s">
        <v>6488</v>
      </c>
      <c r="B595" s="6"/>
      <c r="C595" s="528">
        <v>304</v>
      </c>
      <c r="D595" s="528">
        <v>209901.13698444201</v>
      </c>
      <c r="E595" s="529">
        <v>16970.289064037501</v>
      </c>
      <c r="F595" s="530">
        <v>1.62760023613212</v>
      </c>
      <c r="G595" s="531">
        <v>0.131589789768051</v>
      </c>
    </row>
    <row r="596" spans="1:7" x14ac:dyDescent="0.25">
      <c r="A596" s="11" t="s">
        <v>6489</v>
      </c>
      <c r="B596" s="11"/>
      <c r="C596" s="532">
        <v>519</v>
      </c>
      <c r="D596" s="532">
        <v>209141.761747993</v>
      </c>
      <c r="E596" s="533">
        <v>16123.0116418135</v>
      </c>
      <c r="F596" s="534">
        <v>1.6217119435201199</v>
      </c>
      <c r="G596" s="535">
        <v>0.12501989237591199</v>
      </c>
    </row>
    <row r="597" spans="1:7" x14ac:dyDescent="0.25">
      <c r="A597" s="6" t="s">
        <v>6490</v>
      </c>
      <c r="B597" s="6"/>
      <c r="C597" s="528">
        <v>586</v>
      </c>
      <c r="D597" s="528">
        <v>209006.49446841999</v>
      </c>
      <c r="E597" s="529">
        <v>16395.940453002098</v>
      </c>
      <c r="F597" s="530">
        <v>1.6206630637506401</v>
      </c>
      <c r="G597" s="531">
        <v>0.127136217251135</v>
      </c>
    </row>
    <row r="598" spans="1:7" x14ac:dyDescent="0.25">
      <c r="A598" s="11" t="s">
        <v>6491</v>
      </c>
      <c r="B598" s="11"/>
      <c r="C598" s="532">
        <v>271</v>
      </c>
      <c r="D598" s="532">
        <v>206823.65492624501</v>
      </c>
      <c r="E598" s="533">
        <v>23855.274503906101</v>
      </c>
      <c r="F598" s="534">
        <v>1.6037370470299901</v>
      </c>
      <c r="G598" s="535">
        <v>0.184976846592461</v>
      </c>
    </row>
    <row r="599" spans="1:7" x14ac:dyDescent="0.25">
      <c r="A599" s="6" t="s">
        <v>6492</v>
      </c>
      <c r="B599" s="6"/>
      <c r="C599" s="528">
        <v>600</v>
      </c>
      <c r="D599" s="528">
        <v>206219.343025198</v>
      </c>
      <c r="E599" s="529">
        <v>14214.132231953599</v>
      </c>
      <c r="F599" s="530">
        <v>1.59905113533378</v>
      </c>
      <c r="G599" s="531">
        <v>0.110218197526275</v>
      </c>
    </row>
    <row r="600" spans="1:7" x14ac:dyDescent="0.25">
      <c r="A600" s="11" t="s">
        <v>6493</v>
      </c>
      <c r="B600" s="11"/>
      <c r="C600" s="532">
        <v>552</v>
      </c>
      <c r="D600" s="532">
        <v>203122.00813882399</v>
      </c>
      <c r="E600" s="533">
        <v>15541.3336976968</v>
      </c>
      <c r="F600" s="534">
        <v>1.57503400486528</v>
      </c>
      <c r="G600" s="535">
        <v>0.12050948727378399</v>
      </c>
    </row>
    <row r="601" spans="1:7" x14ac:dyDescent="0.25">
      <c r="A601" s="6" t="s">
        <v>6494</v>
      </c>
      <c r="B601" s="6"/>
      <c r="C601" s="528">
        <v>453</v>
      </c>
      <c r="D601" s="528">
        <v>201349.243227639</v>
      </c>
      <c r="E601" s="529">
        <v>18120.583738996302</v>
      </c>
      <c r="F601" s="530">
        <v>1.5612877592302901</v>
      </c>
      <c r="G601" s="531">
        <v>0.14050932165569199</v>
      </c>
    </row>
    <row r="602" spans="1:7" x14ac:dyDescent="0.25">
      <c r="A602" s="11" t="s">
        <v>6495</v>
      </c>
      <c r="B602" s="11"/>
      <c r="C602" s="532">
        <v>248</v>
      </c>
      <c r="D602" s="532">
        <v>199133.513072695</v>
      </c>
      <c r="E602" s="533">
        <v>30926.064347397401</v>
      </c>
      <c r="F602" s="534">
        <v>1.54410670449566</v>
      </c>
      <c r="G602" s="535">
        <v>0.23980465450357399</v>
      </c>
    </row>
    <row r="603" spans="1:7" x14ac:dyDescent="0.25">
      <c r="A603" s="6" t="s">
        <v>6496</v>
      </c>
      <c r="B603" s="6"/>
      <c r="C603" s="528">
        <v>206</v>
      </c>
      <c r="D603" s="528">
        <v>198719.571404886</v>
      </c>
      <c r="E603" s="529">
        <v>18168.7793282723</v>
      </c>
      <c r="F603" s="530">
        <v>1.54089694791239</v>
      </c>
      <c r="G603" s="531">
        <v>0.14088303641309199</v>
      </c>
    </row>
    <row r="604" spans="1:7" x14ac:dyDescent="0.25">
      <c r="A604" s="11" t="s">
        <v>6497</v>
      </c>
      <c r="B604" s="11"/>
      <c r="C604" s="532">
        <v>539</v>
      </c>
      <c r="D604" s="532">
        <v>197697.68943240601</v>
      </c>
      <c r="E604" s="533">
        <v>15114.6619344229</v>
      </c>
      <c r="F604" s="534">
        <v>1.53297314452761</v>
      </c>
      <c r="G604" s="535">
        <v>0.117201019903705</v>
      </c>
    </row>
    <row r="605" spans="1:7" x14ac:dyDescent="0.25">
      <c r="A605" s="6" t="s">
        <v>6498</v>
      </c>
      <c r="B605" s="6"/>
      <c r="C605" s="528">
        <v>528</v>
      </c>
      <c r="D605" s="528">
        <v>192585.13242221801</v>
      </c>
      <c r="E605" s="529">
        <v>13575.889374954</v>
      </c>
      <c r="F605" s="530">
        <v>1.4933297242176</v>
      </c>
      <c r="G605" s="531">
        <v>0.105269180862114</v>
      </c>
    </row>
    <row r="606" spans="1:7" x14ac:dyDescent="0.25">
      <c r="A606" s="11" t="s">
        <v>6499</v>
      </c>
      <c r="B606" s="11"/>
      <c r="C606" s="532">
        <v>411</v>
      </c>
      <c r="D606" s="532">
        <v>186500.014421812</v>
      </c>
      <c r="E606" s="533">
        <v>18108.1183490078</v>
      </c>
      <c r="F606" s="534">
        <v>1.44614494172123</v>
      </c>
      <c r="G606" s="535">
        <v>0.140412663428965</v>
      </c>
    </row>
    <row r="607" spans="1:7" x14ac:dyDescent="0.25">
      <c r="A607" s="6" t="s">
        <v>6500</v>
      </c>
      <c r="B607" s="6"/>
      <c r="C607" s="528">
        <v>430</v>
      </c>
      <c r="D607" s="528">
        <v>183035.47422027</v>
      </c>
      <c r="E607" s="529">
        <v>14405.9811624675</v>
      </c>
      <c r="F607" s="530">
        <v>1.4192804543195401</v>
      </c>
      <c r="G607" s="531">
        <v>0.11170581864682801</v>
      </c>
    </row>
    <row r="608" spans="1:7" x14ac:dyDescent="0.25">
      <c r="A608" s="11" t="s">
        <v>6501</v>
      </c>
      <c r="B608" s="11"/>
      <c r="C608" s="532">
        <v>430</v>
      </c>
      <c r="D608" s="532">
        <v>170133.30033148301</v>
      </c>
      <c r="E608" s="533">
        <v>23128.1585490457</v>
      </c>
      <c r="F608" s="534">
        <v>1.3192353494206399</v>
      </c>
      <c r="G608" s="535">
        <v>0.17933869657179699</v>
      </c>
    </row>
    <row r="609" spans="1:7" x14ac:dyDescent="0.25">
      <c r="A609" s="6" t="s">
        <v>6502</v>
      </c>
      <c r="B609" s="6"/>
      <c r="C609" s="528">
        <v>114</v>
      </c>
      <c r="D609" s="528">
        <v>118168.197323933</v>
      </c>
      <c r="E609" s="529">
        <v>10937.2798370408</v>
      </c>
      <c r="F609" s="530">
        <v>0.91629130089941302</v>
      </c>
      <c r="G609" s="531">
        <v>8.4809065358851493E-2</v>
      </c>
    </row>
    <row r="610" spans="1:7" x14ac:dyDescent="0.25">
      <c r="A610" s="11" t="s">
        <v>6503</v>
      </c>
      <c r="B610" s="11"/>
      <c r="C610" s="532">
        <v>191</v>
      </c>
      <c r="D610" s="532">
        <v>110583.541417919</v>
      </c>
      <c r="E610" s="533">
        <v>13414.0403698134</v>
      </c>
      <c r="F610" s="534">
        <v>0.85747890988066899</v>
      </c>
      <c r="G610" s="535">
        <v>0.104014182996124</v>
      </c>
    </row>
    <row r="611" spans="1:7" x14ac:dyDescent="0.25">
      <c r="A611" s="6" t="s">
        <v>6504</v>
      </c>
      <c r="B611" s="6"/>
      <c r="C611" s="528">
        <v>224</v>
      </c>
      <c r="D611" s="528">
        <v>107758.25064354599</v>
      </c>
      <c r="E611" s="529">
        <v>15658.0942621002</v>
      </c>
      <c r="F611" s="530">
        <v>0.83557124421684603</v>
      </c>
      <c r="G611" s="531">
        <v>0.121414863609159</v>
      </c>
    </row>
    <row r="612" spans="1:7" x14ac:dyDescent="0.25">
      <c r="A612" s="11" t="s">
        <v>6505</v>
      </c>
      <c r="B612" s="11"/>
      <c r="C612" s="532">
        <v>1</v>
      </c>
      <c r="D612" s="532">
        <v>2172.9898410819301</v>
      </c>
      <c r="E612" s="533">
        <v>2169.7887671959702</v>
      </c>
      <c r="F612" s="534">
        <v>1.68496408798386E-2</v>
      </c>
      <c r="G612" s="535">
        <v>1.6824819343912199E-2</v>
      </c>
    </row>
    <row r="613" spans="1:7" x14ac:dyDescent="0.25">
      <c r="A613" s="6" t="s">
        <v>6506</v>
      </c>
      <c r="B613" s="6"/>
      <c r="C613" s="528">
        <v>2</v>
      </c>
      <c r="D613" s="528">
        <v>1565.5408049218399</v>
      </c>
      <c r="E613" s="529">
        <v>1573.03501918296</v>
      </c>
      <c r="F613" s="530">
        <v>1.21394034371245E-2</v>
      </c>
      <c r="G613" s="531">
        <v>1.2197514532072601E-2</v>
      </c>
    </row>
    <row r="614" spans="1:7" x14ac:dyDescent="0.25">
      <c r="A614" s="11" t="s">
        <v>6507</v>
      </c>
      <c r="B614" s="11"/>
      <c r="C614" s="532">
        <v>1</v>
      </c>
      <c r="D614" s="532">
        <v>988.93978225953697</v>
      </c>
      <c r="E614" s="533">
        <v>994.92928838267801</v>
      </c>
      <c r="F614" s="534">
        <v>7.6683654326530903E-3</v>
      </c>
      <c r="G614" s="535">
        <v>7.7148088284364202E-3</v>
      </c>
    </row>
    <row r="615" spans="1:7" x14ac:dyDescent="0.25">
      <c r="A615" s="6" t="s">
        <v>6508</v>
      </c>
      <c r="B615" s="6"/>
      <c r="C615" s="528">
        <v>1</v>
      </c>
      <c r="D615" s="528">
        <v>243.39051193337099</v>
      </c>
      <c r="E615" s="529">
        <v>243.25532563453601</v>
      </c>
      <c r="F615" s="530">
        <v>1.887281128565E-3</v>
      </c>
      <c r="G615" s="531">
        <v>1.8862328767305101E-3</v>
      </c>
    </row>
    <row r="616" spans="1:7" x14ac:dyDescent="0.25">
      <c r="A616" s="11" t="s">
        <v>6509</v>
      </c>
      <c r="B616" s="11"/>
      <c r="C616" s="532">
        <v>1</v>
      </c>
      <c r="D616" s="532">
        <v>217.211760117746</v>
      </c>
      <c r="E616" s="533">
        <v>218.70788309799701</v>
      </c>
      <c r="F616" s="534">
        <v>1.6842877420169601E-3</v>
      </c>
      <c r="G616" s="535">
        <v>1.69588887077178E-3</v>
      </c>
    </row>
    <row r="617" spans="1:7" x14ac:dyDescent="0.25">
      <c r="A617" s="6" t="s">
        <v>6510</v>
      </c>
      <c r="B617" s="6"/>
      <c r="C617" s="528">
        <v>1</v>
      </c>
      <c r="D617" s="528">
        <v>47.748235268158197</v>
      </c>
      <c r="E617" s="529">
        <v>48.355074431106502</v>
      </c>
      <c r="F617" s="530">
        <v>3.70245917262977E-4</v>
      </c>
      <c r="G617" s="531">
        <v>3.7495142567088103E-4</v>
      </c>
    </row>
    <row r="618" spans="1:7" x14ac:dyDescent="0.25">
      <c r="A618" s="11" t="s">
        <v>6417</v>
      </c>
      <c r="B618" s="11" t="s">
        <v>6418</v>
      </c>
      <c r="C618" s="532">
        <v>26091</v>
      </c>
      <c r="D618" s="532">
        <v>12896357</v>
      </c>
      <c r="E618" s="533">
        <v>8.1835346200942899E-8</v>
      </c>
      <c r="F618" s="534">
        <v>100</v>
      </c>
      <c r="G618" s="535">
        <v>1.02786679142825E-14</v>
      </c>
    </row>
    <row r="619" spans="1:7" x14ac:dyDescent="0.25">
      <c r="A619" s="6" t="s">
        <v>6417</v>
      </c>
      <c r="B619" s="6" t="s">
        <v>6419</v>
      </c>
      <c r="C619" s="528">
        <v>26091</v>
      </c>
      <c r="D619" s="528">
        <v>12896357</v>
      </c>
      <c r="E619" s="529">
        <v>0</v>
      </c>
      <c r="F619" s="530">
        <v>100</v>
      </c>
      <c r="G619" s="531">
        <v>0</v>
      </c>
    </row>
    <row r="620" spans="1:7" x14ac:dyDescent="0.25">
      <c r="A620" s="3729" t="s">
        <v>386</v>
      </c>
      <c r="B620" s="3730"/>
      <c r="C620" s="3730"/>
      <c r="D620" s="3730"/>
      <c r="E620" s="3730"/>
      <c r="F620" s="3730"/>
      <c r="G620" s="3730"/>
    </row>
    <row r="621" spans="1:7" x14ac:dyDescent="0.25">
      <c r="A621" s="11" t="s">
        <v>1088</v>
      </c>
      <c r="B621" s="11" t="s">
        <v>1089</v>
      </c>
      <c r="C621" s="540">
        <v>26112</v>
      </c>
      <c r="D621" s="540">
        <v>12896357</v>
      </c>
      <c r="E621" s="541">
        <v>4.63364035059229E-7</v>
      </c>
      <c r="F621" s="542">
        <v>100</v>
      </c>
      <c r="G621" s="543">
        <v>0</v>
      </c>
    </row>
    <row r="622" spans="1:7" x14ac:dyDescent="0.25">
      <c r="A622" s="6" t="s">
        <v>6417</v>
      </c>
      <c r="B622" s="6" t="s">
        <v>6418</v>
      </c>
      <c r="C622" s="536">
        <v>0</v>
      </c>
      <c r="D622" s="536">
        <v>0</v>
      </c>
      <c r="E622" s="537">
        <v>0</v>
      </c>
      <c r="F622" s="538">
        <v>0</v>
      </c>
      <c r="G622" s="539">
        <v>0</v>
      </c>
    </row>
    <row r="623" spans="1:7" x14ac:dyDescent="0.25">
      <c r="A623" s="11" t="s">
        <v>6417</v>
      </c>
      <c r="B623" s="11" t="s">
        <v>6419</v>
      </c>
      <c r="C623" s="540">
        <v>26112</v>
      </c>
      <c r="D623" s="540">
        <v>12896357</v>
      </c>
      <c r="E623" s="541">
        <v>0</v>
      </c>
      <c r="F623" s="542">
        <v>100</v>
      </c>
      <c r="G623" s="543">
        <v>0</v>
      </c>
    </row>
    <row r="624" spans="1:7" x14ac:dyDescent="0.25">
      <c r="A624" s="3729" t="s">
        <v>687</v>
      </c>
      <c r="B624" s="3730"/>
      <c r="C624" s="3730"/>
      <c r="D624" s="3730"/>
      <c r="E624" s="3730"/>
      <c r="F624" s="3730"/>
      <c r="G624" s="3730"/>
    </row>
    <row r="625" spans="1:7" x14ac:dyDescent="0.25">
      <c r="A625" s="11" t="s">
        <v>1090</v>
      </c>
      <c r="B625" s="11"/>
      <c r="C625" s="548">
        <v>26112</v>
      </c>
      <c r="D625" s="548">
        <v>12896357</v>
      </c>
      <c r="E625" s="549">
        <v>4.63364035059229E-7</v>
      </c>
      <c r="F625" s="550">
        <v>100</v>
      </c>
      <c r="G625" s="551">
        <v>0</v>
      </c>
    </row>
    <row r="626" spans="1:7" x14ac:dyDescent="0.25">
      <c r="A626" s="6" t="s">
        <v>6417</v>
      </c>
      <c r="B626" s="6" t="s">
        <v>6418</v>
      </c>
      <c r="C626" s="544">
        <v>26112</v>
      </c>
      <c r="D626" s="544">
        <v>12896357</v>
      </c>
      <c r="E626" s="545">
        <v>4.63364035059229E-7</v>
      </c>
      <c r="F626" s="546">
        <v>100</v>
      </c>
      <c r="G626" s="547">
        <v>0</v>
      </c>
    </row>
    <row r="627" spans="1:7" x14ac:dyDescent="0.25">
      <c r="A627" s="11" t="s">
        <v>6417</v>
      </c>
      <c r="B627" s="11" t="s">
        <v>6419</v>
      </c>
      <c r="C627" s="548">
        <v>26112</v>
      </c>
      <c r="D627" s="548">
        <v>12896357</v>
      </c>
      <c r="E627" s="549">
        <v>0</v>
      </c>
      <c r="F627" s="550">
        <v>100</v>
      </c>
      <c r="G627" s="551">
        <v>0</v>
      </c>
    </row>
    <row r="628" spans="1:7" x14ac:dyDescent="0.25">
      <c r="A628" s="3729" t="s">
        <v>135</v>
      </c>
      <c r="B628" s="3730"/>
      <c r="C628" s="3730"/>
      <c r="D628" s="3730"/>
      <c r="E628" s="3730"/>
      <c r="F628" s="3730"/>
      <c r="G628" s="3730"/>
    </row>
    <row r="629" spans="1:7" x14ac:dyDescent="0.25">
      <c r="A629" s="11" t="s">
        <v>1121</v>
      </c>
      <c r="B629" s="11" t="s">
        <v>1259</v>
      </c>
      <c r="C629" s="556">
        <v>26112</v>
      </c>
      <c r="D629" s="556">
        <v>12896357</v>
      </c>
      <c r="E629" s="557">
        <v>4.63364035059229E-7</v>
      </c>
      <c r="F629" s="558">
        <v>100</v>
      </c>
      <c r="G629" s="559">
        <v>0</v>
      </c>
    </row>
    <row r="630" spans="1:7" x14ac:dyDescent="0.25">
      <c r="A630" s="6" t="s">
        <v>6417</v>
      </c>
      <c r="B630" s="6" t="s">
        <v>6418</v>
      </c>
      <c r="C630" s="552">
        <v>26112</v>
      </c>
      <c r="D630" s="552">
        <v>12896357</v>
      </c>
      <c r="E630" s="553">
        <v>4.63364035059229E-7</v>
      </c>
      <c r="F630" s="554">
        <v>100</v>
      </c>
      <c r="G630" s="555">
        <v>0</v>
      </c>
    </row>
    <row r="631" spans="1:7" x14ac:dyDescent="0.25">
      <c r="A631" s="11" t="s">
        <v>6417</v>
      </c>
      <c r="B631" s="11" t="s">
        <v>6419</v>
      </c>
      <c r="C631" s="556">
        <v>26112</v>
      </c>
      <c r="D631" s="556">
        <v>12896357</v>
      </c>
      <c r="E631" s="557">
        <v>0</v>
      </c>
      <c r="F631" s="558">
        <v>100</v>
      </c>
      <c r="G631" s="559">
        <v>0</v>
      </c>
    </row>
    <row r="632" spans="1:7" x14ac:dyDescent="0.25">
      <c r="A632" s="3729" t="s">
        <v>137</v>
      </c>
      <c r="B632" s="3730"/>
      <c r="C632" s="3730"/>
      <c r="D632" s="3730"/>
      <c r="E632" s="3730"/>
      <c r="F632" s="3730"/>
      <c r="G632" s="3730"/>
    </row>
    <row r="633" spans="1:7" x14ac:dyDescent="0.25">
      <c r="A633" s="11" t="s">
        <v>1096</v>
      </c>
      <c r="B633" s="11" t="s">
        <v>1263</v>
      </c>
      <c r="C633" s="564">
        <v>26112</v>
      </c>
      <c r="D633" s="564">
        <v>12896357</v>
      </c>
      <c r="E633" s="565">
        <v>4.63364035059229E-7</v>
      </c>
      <c r="F633" s="566">
        <v>100</v>
      </c>
      <c r="G633" s="567">
        <v>0</v>
      </c>
    </row>
    <row r="634" spans="1:7" x14ac:dyDescent="0.25">
      <c r="A634" s="6" t="s">
        <v>6417</v>
      </c>
      <c r="B634" s="6" t="s">
        <v>6418</v>
      </c>
      <c r="C634" s="560">
        <v>26112</v>
      </c>
      <c r="D634" s="560">
        <v>12896357</v>
      </c>
      <c r="E634" s="561">
        <v>4.63364035059229E-7</v>
      </c>
      <c r="F634" s="562">
        <v>100</v>
      </c>
      <c r="G634" s="563">
        <v>0</v>
      </c>
    </row>
    <row r="635" spans="1:7" x14ac:dyDescent="0.25">
      <c r="A635" s="11" t="s">
        <v>6417</v>
      </c>
      <c r="B635" s="11" t="s">
        <v>6419</v>
      </c>
      <c r="C635" s="564">
        <v>26112</v>
      </c>
      <c r="D635" s="564">
        <v>12896357</v>
      </c>
      <c r="E635" s="565">
        <v>0</v>
      </c>
      <c r="F635" s="566">
        <v>100</v>
      </c>
      <c r="G635" s="567">
        <v>0</v>
      </c>
    </row>
    <row r="636" spans="1:7" x14ac:dyDescent="0.25">
      <c r="A636" s="3729" t="s">
        <v>133</v>
      </c>
      <c r="B636" s="3730"/>
      <c r="C636" s="3730"/>
      <c r="D636" s="3730"/>
      <c r="E636" s="3730"/>
      <c r="F636" s="3730"/>
      <c r="G636" s="3730"/>
    </row>
    <row r="637" spans="1:7" x14ac:dyDescent="0.25">
      <c r="A637" s="11" t="s">
        <v>1243</v>
      </c>
      <c r="B637" s="11" t="s">
        <v>1244</v>
      </c>
      <c r="C637" s="572">
        <v>7393</v>
      </c>
      <c r="D637" s="572">
        <v>7802319.8425826598</v>
      </c>
      <c r="E637" s="573">
        <v>54820.317385787901</v>
      </c>
      <c r="F637" s="574">
        <v>60.500184994744302</v>
      </c>
      <c r="G637" s="575">
        <v>0.42508374563281398</v>
      </c>
    </row>
    <row r="638" spans="1:7" x14ac:dyDescent="0.25">
      <c r="A638" s="6" t="s">
        <v>1247</v>
      </c>
      <c r="B638" s="6" t="s">
        <v>1248</v>
      </c>
      <c r="C638" s="568">
        <v>8378</v>
      </c>
      <c r="D638" s="568">
        <v>2645512.5433785398</v>
      </c>
      <c r="E638" s="569">
        <v>5303.2251840655799</v>
      </c>
      <c r="F638" s="570">
        <v>20.5136422896678</v>
      </c>
      <c r="G638" s="571">
        <v>4.1121885692712801E-2</v>
      </c>
    </row>
    <row r="639" spans="1:7" x14ac:dyDescent="0.25">
      <c r="A639" s="11" t="s">
        <v>1245</v>
      </c>
      <c r="B639" s="11" t="s">
        <v>1246</v>
      </c>
      <c r="C639" s="572">
        <v>6766</v>
      </c>
      <c r="D639" s="572">
        <v>2122663.2299079201</v>
      </c>
      <c r="E639" s="573">
        <v>56293.420526425703</v>
      </c>
      <c r="F639" s="574">
        <v>16.459401906351701</v>
      </c>
      <c r="G639" s="575">
        <v>0.43650637561000899</v>
      </c>
    </row>
    <row r="640" spans="1:7" x14ac:dyDescent="0.25">
      <c r="A640" s="6" t="s">
        <v>1249</v>
      </c>
      <c r="B640" s="6" t="s">
        <v>1250</v>
      </c>
      <c r="C640" s="568">
        <v>3575</v>
      </c>
      <c r="D640" s="568">
        <v>325861.38413088699</v>
      </c>
      <c r="E640" s="569">
        <v>859.53165678896505</v>
      </c>
      <c r="F640" s="570">
        <v>2.5267708092361798</v>
      </c>
      <c r="G640" s="571">
        <v>6.6649182927339097E-3</v>
      </c>
    </row>
    <row r="641" spans="1:7" x14ac:dyDescent="0.25">
      <c r="A641" s="11" t="s">
        <v>6417</v>
      </c>
      <c r="B641" s="11" t="s">
        <v>6418</v>
      </c>
      <c r="C641" s="572">
        <v>26112</v>
      </c>
      <c r="D641" s="572">
        <v>12896357</v>
      </c>
      <c r="E641" s="573">
        <v>3.4280623664982403E-7</v>
      </c>
      <c r="F641" s="574">
        <v>100</v>
      </c>
      <c r="G641" s="575">
        <v>2.0557335828564899E-14</v>
      </c>
    </row>
    <row r="642" spans="1:7" x14ac:dyDescent="0.25">
      <c r="A642" s="6" t="s">
        <v>6417</v>
      </c>
      <c r="B642" s="6" t="s">
        <v>6419</v>
      </c>
      <c r="C642" s="568">
        <v>26112</v>
      </c>
      <c r="D642" s="568">
        <v>12896357</v>
      </c>
      <c r="E642" s="569">
        <v>0</v>
      </c>
      <c r="F642" s="570">
        <v>100</v>
      </c>
      <c r="G642" s="571">
        <v>0</v>
      </c>
    </row>
    <row r="643" spans="1:7" x14ac:dyDescent="0.25">
      <c r="A643" s="3729" t="s">
        <v>281</v>
      </c>
      <c r="B643" s="3730"/>
      <c r="C643" s="3730"/>
      <c r="D643" s="3730"/>
      <c r="E643" s="3730"/>
      <c r="F643" s="3730"/>
      <c r="G643" s="3730"/>
    </row>
    <row r="644" spans="1:7" x14ac:dyDescent="0.25">
      <c r="A644" s="11" t="s">
        <v>1090</v>
      </c>
      <c r="B644" s="11" t="s">
        <v>3129</v>
      </c>
      <c r="C644" s="580">
        <v>20585</v>
      </c>
      <c r="D644" s="580">
        <v>8282816.3987829601</v>
      </c>
      <c r="E644" s="581">
        <v>52007.044049168799</v>
      </c>
      <c r="F644" s="582">
        <v>65.210394559994398</v>
      </c>
      <c r="G644" s="583">
        <v>0.47935367072011398</v>
      </c>
    </row>
    <row r="645" spans="1:7" x14ac:dyDescent="0.25">
      <c r="A645" s="6" t="s">
        <v>1094</v>
      </c>
      <c r="B645" s="6" t="s">
        <v>3131</v>
      </c>
      <c r="C645" s="576">
        <v>2159</v>
      </c>
      <c r="D645" s="576">
        <v>1666244.00212311</v>
      </c>
      <c r="E645" s="577">
        <v>33806.2022432468</v>
      </c>
      <c r="F645" s="578">
        <v>13.118294983290699</v>
      </c>
      <c r="G645" s="579">
        <v>0.25701403596438399</v>
      </c>
    </row>
    <row r="646" spans="1:7" x14ac:dyDescent="0.25">
      <c r="A646" s="11" t="s">
        <v>1111</v>
      </c>
      <c r="B646" s="11" t="s">
        <v>3135</v>
      </c>
      <c r="C646" s="580">
        <v>843</v>
      </c>
      <c r="D646" s="580">
        <v>1024066.6424877</v>
      </c>
      <c r="E646" s="581">
        <v>43633.5521780747</v>
      </c>
      <c r="F646" s="582">
        <v>8.0624496061706292</v>
      </c>
      <c r="G646" s="583">
        <v>0.32766603750753298</v>
      </c>
    </row>
    <row r="647" spans="1:7" x14ac:dyDescent="0.25">
      <c r="A647" s="6" t="s">
        <v>1092</v>
      </c>
      <c r="B647" s="6" t="s">
        <v>3130</v>
      </c>
      <c r="C647" s="576">
        <v>807</v>
      </c>
      <c r="D647" s="576">
        <v>820914.07977783505</v>
      </c>
      <c r="E647" s="577">
        <v>3018.7867184971201</v>
      </c>
      <c r="F647" s="578">
        <v>6.4630348500822903</v>
      </c>
      <c r="G647" s="579">
        <v>2.2097244693565801E-2</v>
      </c>
    </row>
    <row r="648" spans="1:7" x14ac:dyDescent="0.25">
      <c r="A648" s="11" t="s">
        <v>1100</v>
      </c>
      <c r="B648" s="11" t="s">
        <v>3134</v>
      </c>
      <c r="C648" s="580">
        <v>1175</v>
      </c>
      <c r="D648" s="580">
        <v>703322.88700334297</v>
      </c>
      <c r="E648" s="581">
        <v>27130.685124255699</v>
      </c>
      <c r="F648" s="582">
        <v>5.5372424977693999</v>
      </c>
      <c r="G648" s="583">
        <v>0.212581067557535</v>
      </c>
    </row>
    <row r="649" spans="1:7" x14ac:dyDescent="0.25">
      <c r="A649" s="6" t="s">
        <v>1096</v>
      </c>
      <c r="B649" s="6" t="s">
        <v>3132</v>
      </c>
      <c r="C649" s="576">
        <v>186</v>
      </c>
      <c r="D649" s="576">
        <v>130114.600094375</v>
      </c>
      <c r="E649" s="577">
        <v>15038.805436133</v>
      </c>
      <c r="F649" s="578">
        <v>1.0243888070991001</v>
      </c>
      <c r="G649" s="579">
        <v>0.119016258378159</v>
      </c>
    </row>
    <row r="650" spans="1:7" x14ac:dyDescent="0.25">
      <c r="A650" s="11" t="s">
        <v>1098</v>
      </c>
      <c r="B650" s="11" t="s">
        <v>3133</v>
      </c>
      <c r="C650" s="580">
        <v>113</v>
      </c>
      <c r="D650" s="580">
        <v>74202.547575327801</v>
      </c>
      <c r="E650" s="581">
        <v>8758.3218491714997</v>
      </c>
      <c r="F650" s="582">
        <v>0.58419469559350201</v>
      </c>
      <c r="G650" s="583">
        <v>6.9208546236367602E-2</v>
      </c>
    </row>
    <row r="651" spans="1:7" x14ac:dyDescent="0.25">
      <c r="A651" s="6" t="s">
        <v>1086</v>
      </c>
      <c r="B651" s="6" t="s">
        <v>3127</v>
      </c>
      <c r="C651" s="576">
        <v>212</v>
      </c>
      <c r="D651" s="576">
        <v>149616.19987725001</v>
      </c>
      <c r="E651" s="577">
        <v>22954.182403884999</v>
      </c>
      <c r="F651" s="578">
        <v>76.854014458474197</v>
      </c>
      <c r="G651" s="579">
        <v>8.1544172486056397</v>
      </c>
    </row>
    <row r="652" spans="1:7" x14ac:dyDescent="0.25">
      <c r="A652" s="11" t="s">
        <v>1084</v>
      </c>
      <c r="B652" s="11" t="s">
        <v>3128</v>
      </c>
      <c r="C652" s="580">
        <v>32</v>
      </c>
      <c r="D652" s="580">
        <v>45059.642278127198</v>
      </c>
      <c r="E652" s="581">
        <v>19054.7735193517</v>
      </c>
      <c r="F652" s="582">
        <v>23.1459855415258</v>
      </c>
      <c r="G652" s="583">
        <v>8.1544172486056503</v>
      </c>
    </row>
    <row r="653" spans="1:7" x14ac:dyDescent="0.25">
      <c r="A653" s="6" t="s">
        <v>6417</v>
      </c>
      <c r="B653" s="6" t="s">
        <v>6418</v>
      </c>
      <c r="C653" s="576">
        <v>25868</v>
      </c>
      <c r="D653" s="576">
        <v>12701681.157844599</v>
      </c>
      <c r="E653" s="577">
        <v>31838.921306104901</v>
      </c>
      <c r="F653" s="578">
        <v>98.490458645372698</v>
      </c>
      <c r="G653" s="579">
        <v>0.246883064000883</v>
      </c>
    </row>
    <row r="654" spans="1:7" x14ac:dyDescent="0.25">
      <c r="A654" s="11" t="s">
        <v>6417</v>
      </c>
      <c r="B654" s="11" t="s">
        <v>6419</v>
      </c>
      <c r="C654" s="580">
        <v>26112</v>
      </c>
      <c r="D654" s="580">
        <v>12896357</v>
      </c>
      <c r="E654" s="581">
        <v>0</v>
      </c>
      <c r="F654" s="582">
        <v>100</v>
      </c>
      <c r="G654" s="583">
        <v>0</v>
      </c>
    </row>
    <row r="655" spans="1:7" x14ac:dyDescent="0.25">
      <c r="A655" s="3729" t="s">
        <v>275</v>
      </c>
      <c r="B655" s="3730"/>
      <c r="C655" s="3730"/>
      <c r="D655" s="3730"/>
      <c r="E655" s="3730"/>
      <c r="F655" s="3730"/>
      <c r="G655" s="3730"/>
    </row>
    <row r="656" spans="1:7" x14ac:dyDescent="0.25">
      <c r="A656" s="11" t="s">
        <v>1092</v>
      </c>
      <c r="B656" s="11" t="s">
        <v>1180</v>
      </c>
      <c r="C656" s="588">
        <v>23220</v>
      </c>
      <c r="D656" s="588">
        <v>9164662.0304668192</v>
      </c>
      <c r="E656" s="589">
        <v>5221.20525585827</v>
      </c>
      <c r="F656" s="590">
        <v>71.197415218011301</v>
      </c>
      <c r="G656" s="591">
        <v>1.9102991348158401E-2</v>
      </c>
    </row>
    <row r="657" spans="1:7" x14ac:dyDescent="0.25">
      <c r="A657" s="6" t="s">
        <v>1090</v>
      </c>
      <c r="B657" s="6" t="s">
        <v>1179</v>
      </c>
      <c r="C657" s="584">
        <v>2842</v>
      </c>
      <c r="D657" s="584">
        <v>3707521.60485759</v>
      </c>
      <c r="E657" s="585">
        <v>3989.9684966653199</v>
      </c>
      <c r="F657" s="586">
        <v>28.802584781988699</v>
      </c>
      <c r="G657" s="587">
        <v>1.9102991348158599E-2</v>
      </c>
    </row>
    <row r="658" spans="1:7" x14ac:dyDescent="0.25">
      <c r="A658" s="11" t="s">
        <v>1086</v>
      </c>
      <c r="B658" s="11" t="s">
        <v>3127</v>
      </c>
      <c r="C658" s="588">
        <v>49</v>
      </c>
      <c r="D658" s="588">
        <v>24173.3646755728</v>
      </c>
      <c r="E658" s="589">
        <v>8004.0272825921302</v>
      </c>
      <c r="F658" s="590">
        <v>100</v>
      </c>
      <c r="G658" s="591">
        <v>0</v>
      </c>
    </row>
    <row r="659" spans="1:7" x14ac:dyDescent="0.25">
      <c r="A659" s="6" t="s">
        <v>6417</v>
      </c>
      <c r="B659" s="6" t="s">
        <v>6418</v>
      </c>
      <c r="C659" s="584">
        <v>26062</v>
      </c>
      <c r="D659" s="584">
        <v>12872183.6353244</v>
      </c>
      <c r="E659" s="585">
        <v>8004.0272825638904</v>
      </c>
      <c r="F659" s="586">
        <v>99.812556641572698</v>
      </c>
      <c r="G659" s="587">
        <v>6.2064250257588702E-2</v>
      </c>
    </row>
    <row r="660" spans="1:7" x14ac:dyDescent="0.25">
      <c r="A660" s="11" t="s">
        <v>6417</v>
      </c>
      <c r="B660" s="11" t="s">
        <v>6419</v>
      </c>
      <c r="C660" s="588">
        <v>26111</v>
      </c>
      <c r="D660" s="588">
        <v>12896357</v>
      </c>
      <c r="E660" s="589">
        <v>0</v>
      </c>
      <c r="F660" s="590">
        <v>100</v>
      </c>
      <c r="G660" s="591">
        <v>0</v>
      </c>
    </row>
    <row r="661" spans="1:7" x14ac:dyDescent="0.25">
      <c r="A661" s="3729" t="s">
        <v>270</v>
      </c>
      <c r="B661" s="3730"/>
      <c r="C661" s="3730"/>
      <c r="D661" s="3730"/>
      <c r="E661" s="3730"/>
      <c r="F661" s="3730"/>
      <c r="G661" s="3730"/>
    </row>
    <row r="662" spans="1:7" x14ac:dyDescent="0.25">
      <c r="A662" s="11" t="s">
        <v>2273</v>
      </c>
      <c r="B662" s="11" t="s">
        <v>2274</v>
      </c>
      <c r="C662" s="596">
        <v>3178</v>
      </c>
      <c r="D662" s="596">
        <v>4132957.8432275001</v>
      </c>
      <c r="E662" s="597">
        <v>52163.113673264597</v>
      </c>
      <c r="F662" s="598">
        <v>32.047483201864701</v>
      </c>
      <c r="G662" s="599">
        <v>0.40447944852385598</v>
      </c>
    </row>
    <row r="663" spans="1:7" x14ac:dyDescent="0.25">
      <c r="A663" s="6" t="s">
        <v>2771</v>
      </c>
      <c r="B663" s="6" t="s">
        <v>2772</v>
      </c>
      <c r="C663" s="592">
        <v>2308</v>
      </c>
      <c r="D663" s="592">
        <v>1867854.32386862</v>
      </c>
      <c r="E663" s="593">
        <v>51016.2650868946</v>
      </c>
      <c r="F663" s="594">
        <v>14.483581090912899</v>
      </c>
      <c r="G663" s="595">
        <v>0.395586638047421</v>
      </c>
    </row>
    <row r="664" spans="1:7" x14ac:dyDescent="0.25">
      <c r="A664" s="11" t="s">
        <v>2763</v>
      </c>
      <c r="B664" s="11" t="s">
        <v>2764</v>
      </c>
      <c r="C664" s="596">
        <v>2775</v>
      </c>
      <c r="D664" s="596">
        <v>1202559.13061506</v>
      </c>
      <c r="E664" s="597">
        <v>33796.521653938202</v>
      </c>
      <c r="F664" s="598">
        <v>9.3247971548481505</v>
      </c>
      <c r="G664" s="599">
        <v>0.26206254722894301</v>
      </c>
    </row>
    <row r="665" spans="1:7" x14ac:dyDescent="0.25">
      <c r="A665" s="6" t="s">
        <v>2695</v>
      </c>
      <c r="B665" s="6" t="s">
        <v>2696</v>
      </c>
      <c r="C665" s="592">
        <v>967</v>
      </c>
      <c r="D665" s="592">
        <v>1179450.63809418</v>
      </c>
      <c r="E665" s="593">
        <v>39974.7664317503</v>
      </c>
      <c r="F665" s="594">
        <v>9.1456109511715695</v>
      </c>
      <c r="G665" s="595">
        <v>0.30996944665652998</v>
      </c>
    </row>
    <row r="666" spans="1:7" x14ac:dyDescent="0.25">
      <c r="A666" s="11" t="s">
        <v>2731</v>
      </c>
      <c r="B666" s="11" t="s">
        <v>2732</v>
      </c>
      <c r="C666" s="596">
        <v>3984</v>
      </c>
      <c r="D666" s="596">
        <v>917230.98736690602</v>
      </c>
      <c r="E666" s="597">
        <v>32900.884538397797</v>
      </c>
      <c r="F666" s="598">
        <v>7.1123262745200604</v>
      </c>
      <c r="G666" s="599">
        <v>0.25511766259570801</v>
      </c>
    </row>
    <row r="667" spans="1:7" x14ac:dyDescent="0.25">
      <c r="A667" s="6" t="s">
        <v>2773</v>
      </c>
      <c r="B667" s="6" t="s">
        <v>2774</v>
      </c>
      <c r="C667" s="592">
        <v>938</v>
      </c>
      <c r="D667" s="592">
        <v>621596.43512027897</v>
      </c>
      <c r="E667" s="593">
        <v>35074.6469639524</v>
      </c>
      <c r="F667" s="594">
        <v>4.8199381819243898</v>
      </c>
      <c r="G667" s="595">
        <v>0.27197329419426097</v>
      </c>
    </row>
    <row r="668" spans="1:7" x14ac:dyDescent="0.25">
      <c r="A668" s="11" t="s">
        <v>1923</v>
      </c>
      <c r="B668" s="11" t="s">
        <v>1924</v>
      </c>
      <c r="C668" s="596">
        <v>609</v>
      </c>
      <c r="D668" s="596">
        <v>327757.94637236203</v>
      </c>
      <c r="E668" s="597">
        <v>25506.8819714643</v>
      </c>
      <c r="F668" s="598">
        <v>2.5414769951883498</v>
      </c>
      <c r="G668" s="599">
        <v>0.197783621928768</v>
      </c>
    </row>
    <row r="669" spans="1:7" x14ac:dyDescent="0.25">
      <c r="A669" s="6" t="s">
        <v>1443</v>
      </c>
      <c r="B669" s="6" t="s">
        <v>1444</v>
      </c>
      <c r="C669" s="592">
        <v>455</v>
      </c>
      <c r="D669" s="592">
        <v>287582.34801762301</v>
      </c>
      <c r="E669" s="593">
        <v>23342.301759189399</v>
      </c>
      <c r="F669" s="594">
        <v>2.2299502721398201</v>
      </c>
      <c r="G669" s="595">
        <v>0.18099919038523299</v>
      </c>
    </row>
    <row r="670" spans="1:7" x14ac:dyDescent="0.25">
      <c r="A670" s="11" t="s">
        <v>2557</v>
      </c>
      <c r="B670" s="11" t="s">
        <v>2558</v>
      </c>
      <c r="C670" s="596">
        <v>276</v>
      </c>
      <c r="D670" s="596">
        <v>228120.948405537</v>
      </c>
      <c r="E670" s="597">
        <v>14220.5715013192</v>
      </c>
      <c r="F670" s="598">
        <v>1.76887898191355</v>
      </c>
      <c r="G670" s="599">
        <v>0.11026812844370899</v>
      </c>
    </row>
    <row r="671" spans="1:7" x14ac:dyDescent="0.25">
      <c r="A671" s="6" t="s">
        <v>2899</v>
      </c>
      <c r="B671" s="6" t="s">
        <v>2900</v>
      </c>
      <c r="C671" s="592">
        <v>436</v>
      </c>
      <c r="D671" s="592">
        <v>208387.94108703599</v>
      </c>
      <c r="E671" s="593">
        <v>9118.9886215481893</v>
      </c>
      <c r="F671" s="594">
        <v>1.6158667217962099</v>
      </c>
      <c r="G671" s="595">
        <v>7.0709802943174596E-2</v>
      </c>
    </row>
    <row r="672" spans="1:7" x14ac:dyDescent="0.25">
      <c r="A672" s="11" t="s">
        <v>2401</v>
      </c>
      <c r="B672" s="11" t="s">
        <v>2402</v>
      </c>
      <c r="C672" s="596">
        <v>393</v>
      </c>
      <c r="D672" s="596">
        <v>191184.038385377</v>
      </c>
      <c r="E672" s="597">
        <v>8266.3893874721307</v>
      </c>
      <c r="F672" s="598">
        <v>1.4824654620322399</v>
      </c>
      <c r="G672" s="599">
        <v>6.4098639541942601E-2</v>
      </c>
    </row>
    <row r="673" spans="1:7" x14ac:dyDescent="0.25">
      <c r="A673" s="6" t="s">
        <v>2781</v>
      </c>
      <c r="B673" s="6" t="s">
        <v>2782</v>
      </c>
      <c r="C673" s="592">
        <v>910</v>
      </c>
      <c r="D673" s="592">
        <v>178961.219432371</v>
      </c>
      <c r="E673" s="593">
        <v>15395.547465468801</v>
      </c>
      <c r="F673" s="594">
        <v>1.3876881621094299</v>
      </c>
      <c r="G673" s="595">
        <v>0.119379042201367</v>
      </c>
    </row>
    <row r="674" spans="1:7" x14ac:dyDescent="0.25">
      <c r="A674" s="11" t="s">
        <v>2783</v>
      </c>
      <c r="B674" s="11" t="s">
        <v>2784</v>
      </c>
      <c r="C674" s="596">
        <v>264</v>
      </c>
      <c r="D674" s="596">
        <v>152538.038301522</v>
      </c>
      <c r="E674" s="597">
        <v>16765.177691684999</v>
      </c>
      <c r="F674" s="598">
        <v>1.1827994394193799</v>
      </c>
      <c r="G674" s="599">
        <v>0.129999329978884</v>
      </c>
    </row>
    <row r="675" spans="1:7" x14ac:dyDescent="0.25">
      <c r="A675" s="6" t="s">
        <v>3017</v>
      </c>
      <c r="B675" s="6" t="s">
        <v>3018</v>
      </c>
      <c r="C675" s="592">
        <v>246</v>
      </c>
      <c r="D675" s="592">
        <v>146055.88417120001</v>
      </c>
      <c r="E675" s="593">
        <v>16945.686087567599</v>
      </c>
      <c r="F675" s="594">
        <v>1.13253598804065</v>
      </c>
      <c r="G675" s="595">
        <v>0.13139901514487801</v>
      </c>
    </row>
    <row r="676" spans="1:7" x14ac:dyDescent="0.25">
      <c r="A676" s="11" t="s">
        <v>2993</v>
      </c>
      <c r="B676" s="11" t="s">
        <v>2994</v>
      </c>
      <c r="C676" s="596">
        <v>179</v>
      </c>
      <c r="D676" s="596">
        <v>130305.06829193499</v>
      </c>
      <c r="E676" s="597">
        <v>19289.1344186887</v>
      </c>
      <c r="F676" s="598">
        <v>1.0104021491645701</v>
      </c>
      <c r="G676" s="599">
        <v>0.149570412936682</v>
      </c>
    </row>
    <row r="677" spans="1:7" x14ac:dyDescent="0.25">
      <c r="A677" s="6" t="s">
        <v>2753</v>
      </c>
      <c r="B677" s="6" t="s">
        <v>2754</v>
      </c>
      <c r="C677" s="592">
        <v>647</v>
      </c>
      <c r="D677" s="592">
        <v>122389.166673548</v>
      </c>
      <c r="E677" s="593">
        <v>12196.0200022136</v>
      </c>
      <c r="F677" s="594">
        <v>0.949021236567409</v>
      </c>
      <c r="G677" s="595">
        <v>9.4569497434148803E-2</v>
      </c>
    </row>
    <row r="678" spans="1:7" x14ac:dyDescent="0.25">
      <c r="A678" s="11" t="s">
        <v>2775</v>
      </c>
      <c r="B678" s="11" t="s">
        <v>2776</v>
      </c>
      <c r="C678" s="596">
        <v>888</v>
      </c>
      <c r="D678" s="596">
        <v>109304.263454252</v>
      </c>
      <c r="E678" s="597">
        <v>9160.9921932908201</v>
      </c>
      <c r="F678" s="598">
        <v>0.84755922509164505</v>
      </c>
      <c r="G678" s="599">
        <v>7.1035504005439301E-2</v>
      </c>
    </row>
    <row r="679" spans="1:7" x14ac:dyDescent="0.25">
      <c r="A679" s="6" t="s">
        <v>2363</v>
      </c>
      <c r="B679" s="6" t="s">
        <v>2364</v>
      </c>
      <c r="C679" s="592">
        <v>125</v>
      </c>
      <c r="D679" s="592">
        <v>95825.681397381602</v>
      </c>
      <c r="E679" s="593">
        <v>17708.682842777798</v>
      </c>
      <c r="F679" s="594">
        <v>0.74304457760731701</v>
      </c>
      <c r="G679" s="595">
        <v>0.13731538947609601</v>
      </c>
    </row>
    <row r="680" spans="1:7" x14ac:dyDescent="0.25">
      <c r="A680" s="11" t="s">
        <v>6511</v>
      </c>
      <c r="B680" s="11"/>
      <c r="C680" s="596">
        <v>1047</v>
      </c>
      <c r="D680" s="596">
        <v>94864.177578494404</v>
      </c>
      <c r="E680" s="597">
        <v>3953.8878460658598</v>
      </c>
      <c r="F680" s="598">
        <v>0.73558895414026204</v>
      </c>
      <c r="G680" s="599">
        <v>3.06589515633434E-2</v>
      </c>
    </row>
    <row r="681" spans="1:7" x14ac:dyDescent="0.25">
      <c r="A681" s="6" t="s">
        <v>2777</v>
      </c>
      <c r="B681" s="6" t="s">
        <v>2778</v>
      </c>
      <c r="C681" s="592">
        <v>700</v>
      </c>
      <c r="D681" s="592">
        <v>87536.361025477905</v>
      </c>
      <c r="E681" s="593">
        <v>4104.8754170105503</v>
      </c>
      <c r="F681" s="594">
        <v>0.67876812828210298</v>
      </c>
      <c r="G681" s="595">
        <v>3.1829728480768198E-2</v>
      </c>
    </row>
    <row r="682" spans="1:7" x14ac:dyDescent="0.25">
      <c r="A682" s="11" t="s">
        <v>1641</v>
      </c>
      <c r="B682" s="11" t="s">
        <v>1642</v>
      </c>
      <c r="C682" s="596">
        <v>959</v>
      </c>
      <c r="D682" s="596">
        <v>80502.980497776705</v>
      </c>
      <c r="E682" s="597">
        <v>4248.6283691713897</v>
      </c>
      <c r="F682" s="598">
        <v>0.62423039698557303</v>
      </c>
      <c r="G682" s="599">
        <v>3.2944407239745198E-2</v>
      </c>
    </row>
    <row r="683" spans="1:7" x14ac:dyDescent="0.25">
      <c r="A683" s="6" t="s">
        <v>2679</v>
      </c>
      <c r="B683" s="6" t="s">
        <v>2680</v>
      </c>
      <c r="C683" s="592">
        <v>853</v>
      </c>
      <c r="D683" s="592">
        <v>64139.5625865693</v>
      </c>
      <c r="E683" s="593">
        <v>2769.07248987516</v>
      </c>
      <c r="F683" s="594">
        <v>0.49734636367905499</v>
      </c>
      <c r="G683" s="595">
        <v>2.1471741902578698E-2</v>
      </c>
    </row>
    <row r="684" spans="1:7" x14ac:dyDescent="0.25">
      <c r="A684" s="11" t="s">
        <v>1853</v>
      </c>
      <c r="B684" s="11" t="s">
        <v>1854</v>
      </c>
      <c r="C684" s="596">
        <v>691</v>
      </c>
      <c r="D684" s="596">
        <v>60959.225158055</v>
      </c>
      <c r="E684" s="597">
        <v>3042.02137601799</v>
      </c>
      <c r="F684" s="598">
        <v>0.47268562089321098</v>
      </c>
      <c r="G684" s="599">
        <v>2.35882224415623E-2</v>
      </c>
    </row>
    <row r="685" spans="1:7" x14ac:dyDescent="0.25">
      <c r="A685" s="6" t="s">
        <v>2009</v>
      </c>
      <c r="B685" s="6" t="s">
        <v>2010</v>
      </c>
      <c r="C685" s="592">
        <v>71</v>
      </c>
      <c r="D685" s="592">
        <v>58512.728598528702</v>
      </c>
      <c r="E685" s="593">
        <v>13806.550813233</v>
      </c>
      <c r="F685" s="594">
        <v>0.45371517397144601</v>
      </c>
      <c r="G685" s="595">
        <v>0.107057759127116</v>
      </c>
    </row>
    <row r="686" spans="1:7" x14ac:dyDescent="0.25">
      <c r="A686" s="11" t="s">
        <v>1817</v>
      </c>
      <c r="B686" s="11" t="s">
        <v>1818</v>
      </c>
      <c r="C686" s="596">
        <v>23</v>
      </c>
      <c r="D686" s="596">
        <v>53679.426228168602</v>
      </c>
      <c r="E686" s="597">
        <v>7902.4141864881303</v>
      </c>
      <c r="F686" s="598">
        <v>0.41623712982021699</v>
      </c>
      <c r="G686" s="599">
        <v>6.1276329326864602E-2</v>
      </c>
    </row>
    <row r="687" spans="1:7" x14ac:dyDescent="0.25">
      <c r="A687" s="6" t="s">
        <v>3107</v>
      </c>
      <c r="B687" s="6" t="s">
        <v>3108</v>
      </c>
      <c r="C687" s="592">
        <v>196</v>
      </c>
      <c r="D687" s="592">
        <v>48626.870424768997</v>
      </c>
      <c r="E687" s="593">
        <v>4671.8453535062099</v>
      </c>
      <c r="F687" s="594">
        <v>0.37705896653426202</v>
      </c>
      <c r="G687" s="595">
        <v>3.6226085812498698E-2</v>
      </c>
    </row>
    <row r="688" spans="1:7" x14ac:dyDescent="0.25">
      <c r="A688" s="11" t="s">
        <v>2455</v>
      </c>
      <c r="B688" s="11" t="s">
        <v>2456</v>
      </c>
      <c r="C688" s="596">
        <v>63</v>
      </c>
      <c r="D688" s="596">
        <v>43579.074675919801</v>
      </c>
      <c r="E688" s="597">
        <v>6835.0375672934997</v>
      </c>
      <c r="F688" s="598">
        <v>0.33791771331950399</v>
      </c>
      <c r="G688" s="599">
        <v>5.2999754638410702E-2</v>
      </c>
    </row>
    <row r="689" spans="1:7" x14ac:dyDescent="0.25">
      <c r="A689" s="6" t="s">
        <v>2963</v>
      </c>
      <c r="B689" s="6" t="s">
        <v>2964</v>
      </c>
      <c r="C689" s="592">
        <v>526</v>
      </c>
      <c r="D689" s="592">
        <v>36161.389197624099</v>
      </c>
      <c r="E689" s="593">
        <v>2819.8878279335099</v>
      </c>
      <c r="F689" s="594">
        <v>0.280400032331798</v>
      </c>
      <c r="G689" s="595">
        <v>2.1865770526773801E-2</v>
      </c>
    </row>
    <row r="690" spans="1:7" x14ac:dyDescent="0.25">
      <c r="A690" s="11" t="s">
        <v>2291</v>
      </c>
      <c r="B690" s="11" t="s">
        <v>2292</v>
      </c>
      <c r="C690" s="596">
        <v>79</v>
      </c>
      <c r="D690" s="596">
        <v>30393.489076352798</v>
      </c>
      <c r="E690" s="597">
        <v>8866.2640119281095</v>
      </c>
      <c r="F690" s="598">
        <v>0.23567499780250201</v>
      </c>
      <c r="G690" s="599">
        <v>6.8750144028489099E-2</v>
      </c>
    </row>
    <row r="691" spans="1:7" x14ac:dyDescent="0.25">
      <c r="A691" s="6" t="s">
        <v>2979</v>
      </c>
      <c r="B691" s="6" t="s">
        <v>2980</v>
      </c>
      <c r="C691" s="592">
        <v>333</v>
      </c>
      <c r="D691" s="592">
        <v>28615.508932197201</v>
      </c>
      <c r="E691" s="593">
        <v>3795.87784545253</v>
      </c>
      <c r="F691" s="594">
        <v>0.221888312584687</v>
      </c>
      <c r="G691" s="595">
        <v>2.9433721828982701E-2</v>
      </c>
    </row>
    <row r="692" spans="1:7" x14ac:dyDescent="0.25">
      <c r="A692" s="11" t="s">
        <v>2677</v>
      </c>
      <c r="B692" s="11" t="s">
        <v>2678</v>
      </c>
      <c r="C692" s="596">
        <v>266</v>
      </c>
      <c r="D692" s="596">
        <v>28500.5024001819</v>
      </c>
      <c r="E692" s="597">
        <v>1406.7055055855801</v>
      </c>
      <c r="F692" s="598">
        <v>0.22099653724057</v>
      </c>
      <c r="G692" s="599">
        <v>1.09077742310141E-2</v>
      </c>
    </row>
    <row r="693" spans="1:7" x14ac:dyDescent="0.25">
      <c r="A693" s="6" t="s">
        <v>2857</v>
      </c>
      <c r="B693" s="6" t="s">
        <v>2858</v>
      </c>
      <c r="C693" s="592">
        <v>254</v>
      </c>
      <c r="D693" s="592">
        <v>24341.593486712401</v>
      </c>
      <c r="E693" s="593">
        <v>3620.37819119082</v>
      </c>
      <c r="F693" s="594">
        <v>0.18874782612417099</v>
      </c>
      <c r="G693" s="595">
        <v>2.8072875085505301E-2</v>
      </c>
    </row>
    <row r="694" spans="1:7" x14ac:dyDescent="0.25">
      <c r="A694" s="11" t="s">
        <v>1653</v>
      </c>
      <c r="B694" s="11" t="s">
        <v>1654</v>
      </c>
      <c r="C694" s="596">
        <v>232</v>
      </c>
      <c r="D694" s="596">
        <v>23904.7084139855</v>
      </c>
      <c r="E694" s="597">
        <v>2585.6616837360998</v>
      </c>
      <c r="F694" s="598">
        <v>0.18536016344759601</v>
      </c>
      <c r="G694" s="599">
        <v>2.0049551076603101E-2</v>
      </c>
    </row>
    <row r="695" spans="1:7" x14ac:dyDescent="0.25">
      <c r="A695" s="6" t="s">
        <v>1717</v>
      </c>
      <c r="B695" s="6" t="s">
        <v>1718</v>
      </c>
      <c r="C695" s="592">
        <v>130</v>
      </c>
      <c r="D695" s="592">
        <v>20090.4799358895</v>
      </c>
      <c r="E695" s="593">
        <v>2776.7962173935198</v>
      </c>
      <c r="F695" s="594">
        <v>0.155784148468358</v>
      </c>
      <c r="G695" s="595">
        <v>2.1531632672649501E-2</v>
      </c>
    </row>
    <row r="696" spans="1:7" x14ac:dyDescent="0.25">
      <c r="A696" s="11" t="s">
        <v>2915</v>
      </c>
      <c r="B696" s="11" t="s">
        <v>2916</v>
      </c>
      <c r="C696" s="596">
        <v>94</v>
      </c>
      <c r="D696" s="596">
        <v>8331.1433478491799</v>
      </c>
      <c r="E696" s="597">
        <v>1345.0962235607999</v>
      </c>
      <c r="F696" s="598">
        <v>6.4600750024593603E-2</v>
      </c>
      <c r="G696" s="599">
        <v>1.0430047986115701E-2</v>
      </c>
    </row>
    <row r="697" spans="1:7" x14ac:dyDescent="0.25">
      <c r="A697" s="6" t="s">
        <v>2149</v>
      </c>
      <c r="B697" s="6" t="s">
        <v>2150</v>
      </c>
      <c r="C697" s="592">
        <v>1</v>
      </c>
      <c r="D697" s="592">
        <v>1565.5408049218399</v>
      </c>
      <c r="E697" s="593">
        <v>1573.03501918296</v>
      </c>
      <c r="F697" s="594">
        <v>1.21394034371245E-2</v>
      </c>
      <c r="G697" s="595">
        <v>1.2197514532072601E-2</v>
      </c>
    </row>
    <row r="698" spans="1:7" x14ac:dyDescent="0.25">
      <c r="A698" s="11" t="s">
        <v>1761</v>
      </c>
      <c r="B698" s="11" t="s">
        <v>1762</v>
      </c>
      <c r="C698" s="596">
        <v>1</v>
      </c>
      <c r="D698" s="596">
        <v>988.93978225953697</v>
      </c>
      <c r="E698" s="597">
        <v>994.92928838267801</v>
      </c>
      <c r="F698" s="598">
        <v>7.6683654326530903E-3</v>
      </c>
      <c r="G698" s="599">
        <v>7.7148088284364202E-3</v>
      </c>
    </row>
    <row r="699" spans="1:7" x14ac:dyDescent="0.25">
      <c r="A699" s="6" t="s">
        <v>1445</v>
      </c>
      <c r="B699" s="6" t="s">
        <v>1446</v>
      </c>
      <c r="C699" s="592">
        <v>1</v>
      </c>
      <c r="D699" s="592">
        <v>243.39051193337099</v>
      </c>
      <c r="E699" s="593">
        <v>243.25532563453601</v>
      </c>
      <c r="F699" s="594">
        <v>1.887281128565E-3</v>
      </c>
      <c r="G699" s="595">
        <v>1.8862328767305101E-3</v>
      </c>
    </row>
    <row r="700" spans="1:7" x14ac:dyDescent="0.25">
      <c r="A700" s="11" t="s">
        <v>2595</v>
      </c>
      <c r="B700" s="11" t="s">
        <v>2596</v>
      </c>
      <c r="C700" s="596">
        <v>1</v>
      </c>
      <c r="D700" s="596">
        <v>217.211760117746</v>
      </c>
      <c r="E700" s="597">
        <v>218.70788309799701</v>
      </c>
      <c r="F700" s="598">
        <v>1.6842877420169601E-3</v>
      </c>
      <c r="G700" s="599">
        <v>1.69588887077178E-3</v>
      </c>
    </row>
    <row r="701" spans="1:7" x14ac:dyDescent="0.25">
      <c r="A701" s="6" t="s">
        <v>2221</v>
      </c>
      <c r="B701" s="6" t="s">
        <v>2222</v>
      </c>
      <c r="C701" s="592">
        <v>1</v>
      </c>
      <c r="D701" s="592">
        <v>162.564573796421</v>
      </c>
      <c r="E701" s="593">
        <v>162.58717415203901</v>
      </c>
      <c r="F701" s="594">
        <v>1.2605464767796099E-3</v>
      </c>
      <c r="G701" s="595">
        <v>1.26072172282482E-3</v>
      </c>
    </row>
    <row r="702" spans="1:7" x14ac:dyDescent="0.25">
      <c r="A702" s="11" t="s">
        <v>2799</v>
      </c>
      <c r="B702" s="11" t="s">
        <v>2800</v>
      </c>
      <c r="C702" s="596">
        <v>1</v>
      </c>
      <c r="D702" s="596">
        <v>156.066764988394</v>
      </c>
      <c r="E702" s="597">
        <v>157.11555367367399</v>
      </c>
      <c r="F702" s="598">
        <v>1.2101616370297E-3</v>
      </c>
      <c r="G702" s="599">
        <v>1.2182940785035201E-3</v>
      </c>
    </row>
    <row r="703" spans="1:7" x14ac:dyDescent="0.25">
      <c r="A703" s="6" t="s">
        <v>2965</v>
      </c>
      <c r="B703" s="6" t="s">
        <v>2966</v>
      </c>
      <c r="C703" s="592">
        <v>1</v>
      </c>
      <c r="D703" s="592">
        <v>129.506274836758</v>
      </c>
      <c r="E703" s="593">
        <v>129.123019194623</v>
      </c>
      <c r="F703" s="594">
        <v>1.0042082026479101E-3</v>
      </c>
      <c r="G703" s="595">
        <v>1.0012363894286E-3</v>
      </c>
    </row>
    <row r="704" spans="1:7" x14ac:dyDescent="0.25">
      <c r="A704" s="11" t="s">
        <v>1903</v>
      </c>
      <c r="B704" s="11" t="s">
        <v>1904</v>
      </c>
      <c r="C704" s="596">
        <v>1</v>
      </c>
      <c r="D704" s="596">
        <v>47.748235268158197</v>
      </c>
      <c r="E704" s="597">
        <v>48.355074431106502</v>
      </c>
      <c r="F704" s="598">
        <v>3.7024591726297798E-4</v>
      </c>
      <c r="G704" s="599">
        <v>3.7495142567088103E-4</v>
      </c>
    </row>
    <row r="705" spans="1:7" x14ac:dyDescent="0.25">
      <c r="A705" s="6" t="s">
        <v>1941</v>
      </c>
      <c r="B705" s="6" t="s">
        <v>1942</v>
      </c>
      <c r="C705" s="592">
        <v>1</v>
      </c>
      <c r="D705" s="592">
        <v>44.907444629788998</v>
      </c>
      <c r="E705" s="593">
        <v>45.399515476741399</v>
      </c>
      <c r="F705" s="594">
        <v>3.4821806367324503E-4</v>
      </c>
      <c r="G705" s="595">
        <v>3.5203364389448398E-4</v>
      </c>
    </row>
    <row r="706" spans="1:7" x14ac:dyDescent="0.25">
      <c r="A706" s="11" t="s">
        <v>6417</v>
      </c>
      <c r="B706" s="11" t="s">
        <v>6418</v>
      </c>
      <c r="C706" s="596">
        <v>26104</v>
      </c>
      <c r="D706" s="596">
        <v>12896357</v>
      </c>
      <c r="E706" s="597">
        <v>9.9033483720881104E-8</v>
      </c>
      <c r="F706" s="598">
        <v>100</v>
      </c>
      <c r="G706" s="599">
        <v>1.45362315675074E-14</v>
      </c>
    </row>
    <row r="707" spans="1:7" x14ac:dyDescent="0.25">
      <c r="A707" s="6" t="s">
        <v>6417</v>
      </c>
      <c r="B707" s="6" t="s">
        <v>6419</v>
      </c>
      <c r="C707" s="592">
        <v>26104</v>
      </c>
      <c r="D707" s="592">
        <v>12896357</v>
      </c>
      <c r="E707" s="593">
        <v>0</v>
      </c>
      <c r="F707" s="594">
        <v>100</v>
      </c>
      <c r="G707" s="595">
        <v>0</v>
      </c>
    </row>
    <row r="708" spans="1:7" x14ac:dyDescent="0.25">
      <c r="A708" s="3729" t="s">
        <v>638</v>
      </c>
      <c r="B708" s="3730"/>
      <c r="C708" s="3730"/>
      <c r="D708" s="3730"/>
      <c r="E708" s="3730"/>
      <c r="F708" s="3730"/>
      <c r="G708" s="3730"/>
    </row>
    <row r="709" spans="1:7" x14ac:dyDescent="0.25">
      <c r="A709" s="11" t="s">
        <v>6426</v>
      </c>
      <c r="B709" s="11"/>
      <c r="C709" s="604">
        <v>10928</v>
      </c>
      <c r="D709" s="604">
        <v>3899187.8414492202</v>
      </c>
      <c r="E709" s="605">
        <v>92.041547804571493</v>
      </c>
      <c r="F709" s="606">
        <v>30.234800738295402</v>
      </c>
      <c r="G709" s="607">
        <v>7.1370192218243303E-4</v>
      </c>
    </row>
    <row r="710" spans="1:7" x14ac:dyDescent="0.25">
      <c r="A710" s="6" t="s">
        <v>6427</v>
      </c>
      <c r="B710" s="6"/>
      <c r="C710" s="600">
        <v>8459</v>
      </c>
      <c r="D710" s="600">
        <v>3099858.1585507798</v>
      </c>
      <c r="E710" s="601">
        <v>92.041547792166099</v>
      </c>
      <c r="F710" s="602">
        <v>24.036696243371601</v>
      </c>
      <c r="G710" s="603">
        <v>7.1370192213970505E-4</v>
      </c>
    </row>
    <row r="711" spans="1:7" x14ac:dyDescent="0.25">
      <c r="A711" s="11" t="s">
        <v>6428</v>
      </c>
      <c r="B711" s="11"/>
      <c r="C711" s="604">
        <v>2320</v>
      </c>
      <c r="D711" s="604">
        <v>2367275.40993131</v>
      </c>
      <c r="E711" s="605">
        <v>43829.874130756398</v>
      </c>
      <c r="F711" s="606">
        <v>18.356156005384399</v>
      </c>
      <c r="G711" s="607">
        <v>0.339862444338006</v>
      </c>
    </row>
    <row r="712" spans="1:7" x14ac:dyDescent="0.25">
      <c r="A712" s="6" t="s">
        <v>6429</v>
      </c>
      <c r="B712" s="6"/>
      <c r="C712" s="600">
        <v>3218</v>
      </c>
      <c r="D712" s="600">
        <v>2124943</v>
      </c>
      <c r="E712" s="601">
        <v>1.7639020559498501E-8</v>
      </c>
      <c r="F712" s="602">
        <v>16.477079534941499</v>
      </c>
      <c r="G712" s="603">
        <v>2.8908467988956299E-13</v>
      </c>
    </row>
    <row r="713" spans="1:7" x14ac:dyDescent="0.25">
      <c r="A713" s="11" t="s">
        <v>6430</v>
      </c>
      <c r="B713" s="11"/>
      <c r="C713" s="604">
        <v>781</v>
      </c>
      <c r="D713" s="604">
        <v>903419.41879176605</v>
      </c>
      <c r="E713" s="605">
        <v>49171.022358941198</v>
      </c>
      <c r="F713" s="606">
        <v>7.0052296070259699</v>
      </c>
      <c r="G713" s="607">
        <v>0.38127839016043003</v>
      </c>
    </row>
    <row r="714" spans="1:7" x14ac:dyDescent="0.25">
      <c r="A714" s="6" t="s">
        <v>6431</v>
      </c>
      <c r="B714" s="6"/>
      <c r="C714" s="600">
        <v>255</v>
      </c>
      <c r="D714" s="600">
        <v>276774.37796999799</v>
      </c>
      <c r="E714" s="601">
        <v>23679.9447646267</v>
      </c>
      <c r="F714" s="602">
        <v>2.1461438914105599</v>
      </c>
      <c r="G714" s="603">
        <v>0.183617317391466</v>
      </c>
    </row>
    <row r="715" spans="1:7" x14ac:dyDescent="0.25">
      <c r="A715" s="11" t="s">
        <v>6432</v>
      </c>
      <c r="B715" s="11"/>
      <c r="C715" s="604">
        <v>100</v>
      </c>
      <c r="D715" s="604">
        <v>143148.30714336599</v>
      </c>
      <c r="E715" s="605">
        <v>19313.503100829199</v>
      </c>
      <c r="F715" s="606">
        <v>1.1099902642534301</v>
      </c>
      <c r="G715" s="607">
        <v>0.149759370811688</v>
      </c>
    </row>
    <row r="716" spans="1:7" x14ac:dyDescent="0.25">
      <c r="A716" s="6" t="s">
        <v>6433</v>
      </c>
      <c r="B716" s="6"/>
      <c r="C716" s="600">
        <v>32</v>
      </c>
      <c r="D716" s="600">
        <v>41667.986407722899</v>
      </c>
      <c r="E716" s="601">
        <v>12431.2118776566</v>
      </c>
      <c r="F716" s="602">
        <v>0.32309889070008602</v>
      </c>
      <c r="G716" s="603">
        <v>9.6393205287792605E-2</v>
      </c>
    </row>
    <row r="717" spans="1:7" x14ac:dyDescent="0.25">
      <c r="A717" s="11" t="s">
        <v>6434</v>
      </c>
      <c r="B717" s="11"/>
      <c r="C717" s="604">
        <v>12</v>
      </c>
      <c r="D717" s="604">
        <v>20586.7091946539</v>
      </c>
      <c r="E717" s="605">
        <v>7464.9264369171196</v>
      </c>
      <c r="F717" s="606">
        <v>0.15963197354612599</v>
      </c>
      <c r="G717" s="607">
        <v>5.78839934170335E-2</v>
      </c>
    </row>
    <row r="718" spans="1:7" x14ac:dyDescent="0.25">
      <c r="A718" s="6" t="s">
        <v>1123</v>
      </c>
      <c r="B718" s="6"/>
      <c r="C718" s="600">
        <v>6</v>
      </c>
      <c r="D718" s="600">
        <v>19495.790561181799</v>
      </c>
      <c r="E718" s="601">
        <v>8794.5465086428194</v>
      </c>
      <c r="F718" s="602">
        <v>0.151172851070902</v>
      </c>
      <c r="G718" s="603">
        <v>6.8194037344366507E-2</v>
      </c>
    </row>
    <row r="719" spans="1:7" x14ac:dyDescent="0.25">
      <c r="A719" s="11" t="s">
        <v>6417</v>
      </c>
      <c r="B719" s="11" t="s">
        <v>6418</v>
      </c>
      <c r="C719" s="604">
        <v>26111</v>
      </c>
      <c r="D719" s="604">
        <v>12896357</v>
      </c>
      <c r="E719" s="605">
        <v>1.15282107749198E-7</v>
      </c>
      <c r="F719" s="606">
        <v>100</v>
      </c>
      <c r="G719" s="607">
        <v>1.02786679142825E-14</v>
      </c>
    </row>
    <row r="720" spans="1:7" x14ac:dyDescent="0.25">
      <c r="A720" s="6" t="s">
        <v>6417</v>
      </c>
      <c r="B720" s="6" t="s">
        <v>6419</v>
      </c>
      <c r="C720" s="600">
        <v>26111</v>
      </c>
      <c r="D720" s="600">
        <v>12896357</v>
      </c>
      <c r="E720" s="601">
        <v>0</v>
      </c>
      <c r="F720" s="602">
        <v>100</v>
      </c>
      <c r="G720" s="603">
        <v>0</v>
      </c>
    </row>
    <row r="721" spans="1:7" x14ac:dyDescent="0.25">
      <c r="A721" s="3729" t="s">
        <v>223</v>
      </c>
      <c r="B721" s="3730"/>
      <c r="C721" s="3730"/>
      <c r="D721" s="3730"/>
      <c r="E721" s="3730"/>
      <c r="F721" s="3730"/>
      <c r="G721" s="3730"/>
    </row>
    <row r="722" spans="1:7" x14ac:dyDescent="0.25">
      <c r="A722" s="11" t="s">
        <v>1090</v>
      </c>
      <c r="B722" s="11" t="s">
        <v>1179</v>
      </c>
      <c r="C722" s="612">
        <v>26112</v>
      </c>
      <c r="D722" s="612">
        <v>12896357</v>
      </c>
      <c r="E722" s="613">
        <v>4.63364035059229E-7</v>
      </c>
      <c r="F722" s="614">
        <v>100</v>
      </c>
      <c r="G722" s="615">
        <v>0</v>
      </c>
    </row>
    <row r="723" spans="1:7" x14ac:dyDescent="0.25">
      <c r="A723" s="6" t="s">
        <v>6417</v>
      </c>
      <c r="B723" s="6" t="s">
        <v>6418</v>
      </c>
      <c r="C723" s="608">
        <v>26112</v>
      </c>
      <c r="D723" s="608">
        <v>12896357</v>
      </c>
      <c r="E723" s="609">
        <v>4.63364035059229E-7</v>
      </c>
      <c r="F723" s="610">
        <v>100</v>
      </c>
      <c r="G723" s="611">
        <v>0</v>
      </c>
    </row>
    <row r="724" spans="1:7" x14ac:dyDescent="0.25">
      <c r="A724" s="11" t="s">
        <v>6417</v>
      </c>
      <c r="B724" s="11" t="s">
        <v>6419</v>
      </c>
      <c r="C724" s="612">
        <v>26112</v>
      </c>
      <c r="D724" s="612">
        <v>12896357</v>
      </c>
      <c r="E724" s="613">
        <v>0</v>
      </c>
      <c r="F724" s="614">
        <v>100</v>
      </c>
      <c r="G724" s="615">
        <v>0</v>
      </c>
    </row>
    <row r="725" spans="1:7" x14ac:dyDescent="0.25">
      <c r="A725" s="3729" t="s">
        <v>249</v>
      </c>
      <c r="B725" s="3730"/>
      <c r="C725" s="3730"/>
      <c r="D725" s="3730"/>
      <c r="E725" s="3730"/>
      <c r="F725" s="3730"/>
      <c r="G725" s="3730"/>
    </row>
    <row r="726" spans="1:7" x14ac:dyDescent="0.25">
      <c r="A726" s="11" t="s">
        <v>1295</v>
      </c>
      <c r="B726" s="11" t="s">
        <v>1296</v>
      </c>
      <c r="C726" s="620">
        <v>4606</v>
      </c>
      <c r="D726" s="620">
        <v>1855942.66334836</v>
      </c>
      <c r="E726" s="621">
        <v>52006.945775822001</v>
      </c>
      <c r="F726" s="622">
        <v>14.3912165532356</v>
      </c>
      <c r="G726" s="623">
        <v>0.403268502692819</v>
      </c>
    </row>
    <row r="727" spans="1:7" x14ac:dyDescent="0.25">
      <c r="A727" s="6" t="s">
        <v>1297</v>
      </c>
      <c r="B727" s="6" t="s">
        <v>1298</v>
      </c>
      <c r="C727" s="616">
        <v>4100</v>
      </c>
      <c r="D727" s="616">
        <v>1598391.8792658399</v>
      </c>
      <c r="E727" s="617">
        <v>35822.525122015701</v>
      </c>
      <c r="F727" s="618">
        <v>12.394134865108301</v>
      </c>
      <c r="G727" s="619">
        <v>0.277772436991442</v>
      </c>
    </row>
    <row r="728" spans="1:7" x14ac:dyDescent="0.25">
      <c r="A728" s="11" t="s">
        <v>1098</v>
      </c>
      <c r="B728" s="11" t="s">
        <v>1294</v>
      </c>
      <c r="C728" s="620">
        <v>3700</v>
      </c>
      <c r="D728" s="620">
        <v>1425030.68705374</v>
      </c>
      <c r="E728" s="621">
        <v>32444.505956306399</v>
      </c>
      <c r="F728" s="622">
        <v>11.049870029604</v>
      </c>
      <c r="G728" s="623">
        <v>0.25157884475674402</v>
      </c>
    </row>
    <row r="729" spans="1:7" x14ac:dyDescent="0.25">
      <c r="A729" s="6" t="s">
        <v>1299</v>
      </c>
      <c r="B729" s="6" t="s">
        <v>1300</v>
      </c>
      <c r="C729" s="616">
        <v>3274</v>
      </c>
      <c r="D729" s="616">
        <v>1423197.4580068099</v>
      </c>
      <c r="E729" s="617">
        <v>64729.9850986116</v>
      </c>
      <c r="F729" s="618">
        <v>11.0356549373347</v>
      </c>
      <c r="G729" s="619">
        <v>0.50192457527821099</v>
      </c>
    </row>
    <row r="730" spans="1:7" x14ac:dyDescent="0.25">
      <c r="A730" s="11" t="s">
        <v>1301</v>
      </c>
      <c r="B730" s="11" t="s">
        <v>1302</v>
      </c>
      <c r="C730" s="620">
        <v>2580</v>
      </c>
      <c r="D730" s="620">
        <v>1321951.5636102001</v>
      </c>
      <c r="E730" s="621">
        <v>40337.655593576397</v>
      </c>
      <c r="F730" s="622">
        <v>10.250581335567899</v>
      </c>
      <c r="G730" s="623">
        <v>0.31278333558521498</v>
      </c>
    </row>
    <row r="731" spans="1:7" x14ac:dyDescent="0.25">
      <c r="A731" s="6" t="s">
        <v>1303</v>
      </c>
      <c r="B731" s="6" t="s">
        <v>1304</v>
      </c>
      <c r="C731" s="616">
        <v>2218</v>
      </c>
      <c r="D731" s="616">
        <v>1289788.57231219</v>
      </c>
      <c r="E731" s="617">
        <v>38902.235882496403</v>
      </c>
      <c r="F731" s="618">
        <v>10.001185391441901</v>
      </c>
      <c r="G731" s="619">
        <v>0.30165290773586001</v>
      </c>
    </row>
    <row r="732" spans="1:7" x14ac:dyDescent="0.25">
      <c r="A732" s="11" t="s">
        <v>1305</v>
      </c>
      <c r="B732" s="11" t="s">
        <v>1306</v>
      </c>
      <c r="C732" s="620">
        <v>1789</v>
      </c>
      <c r="D732" s="620">
        <v>1229041.32495751</v>
      </c>
      <c r="E732" s="621">
        <v>38752.077235417499</v>
      </c>
      <c r="F732" s="622">
        <v>9.5301434735213206</v>
      </c>
      <c r="G732" s="623">
        <v>0.30048855840000299</v>
      </c>
    </row>
    <row r="733" spans="1:7" x14ac:dyDescent="0.25">
      <c r="A733" s="6" t="s">
        <v>1307</v>
      </c>
      <c r="B733" s="6" t="s">
        <v>1308</v>
      </c>
      <c r="C733" s="616">
        <v>1459</v>
      </c>
      <c r="D733" s="616">
        <v>1097688.9237686</v>
      </c>
      <c r="E733" s="617">
        <v>43259.735706987201</v>
      </c>
      <c r="F733" s="618">
        <v>8.5116201712514705</v>
      </c>
      <c r="G733" s="619">
        <v>0.33544151815110301</v>
      </c>
    </row>
    <row r="734" spans="1:7" x14ac:dyDescent="0.25">
      <c r="A734" s="11" t="s">
        <v>1309</v>
      </c>
      <c r="B734" s="11" t="s">
        <v>1310</v>
      </c>
      <c r="C734" s="620">
        <v>973</v>
      </c>
      <c r="D734" s="620">
        <v>780868.15054046398</v>
      </c>
      <c r="E734" s="621">
        <v>24239.337882817799</v>
      </c>
      <c r="F734" s="622">
        <v>6.0549514141122502</v>
      </c>
      <c r="G734" s="623">
        <v>0.187954923105943</v>
      </c>
    </row>
    <row r="735" spans="1:7" x14ac:dyDescent="0.25">
      <c r="A735" s="6" t="s">
        <v>1311</v>
      </c>
      <c r="B735" s="6" t="s">
        <v>1312</v>
      </c>
      <c r="C735" s="616">
        <v>551</v>
      </c>
      <c r="D735" s="616">
        <v>513929.57774636702</v>
      </c>
      <c r="E735" s="617">
        <v>24782.4709420908</v>
      </c>
      <c r="F735" s="618">
        <v>3.9850756127979898</v>
      </c>
      <c r="G735" s="619">
        <v>0.192166446245954</v>
      </c>
    </row>
    <row r="736" spans="1:7" x14ac:dyDescent="0.25">
      <c r="A736" s="11" t="s">
        <v>1292</v>
      </c>
      <c r="B736" s="11" t="s">
        <v>1293</v>
      </c>
      <c r="C736" s="620">
        <v>861</v>
      </c>
      <c r="D736" s="620">
        <v>360526.199389908</v>
      </c>
      <c r="E736" s="621">
        <v>26892.0880332302</v>
      </c>
      <c r="F736" s="622">
        <v>2.7955662160244801</v>
      </c>
      <c r="G736" s="623">
        <v>0.20852468672532901</v>
      </c>
    </row>
    <row r="737" spans="1:7" x14ac:dyDescent="0.25">
      <c r="A737" s="6" t="s">
        <v>6417</v>
      </c>
      <c r="B737" s="6" t="s">
        <v>6418</v>
      </c>
      <c r="C737" s="616">
        <v>26111</v>
      </c>
      <c r="D737" s="616">
        <v>12896357</v>
      </c>
      <c r="E737" s="617">
        <v>8.3614778857958997E-8</v>
      </c>
      <c r="F737" s="618">
        <v>100</v>
      </c>
      <c r="G737" s="619">
        <v>0</v>
      </c>
    </row>
    <row r="738" spans="1:7" x14ac:dyDescent="0.25">
      <c r="A738" s="11" t="s">
        <v>6417</v>
      </c>
      <c r="B738" s="11" t="s">
        <v>6419</v>
      </c>
      <c r="C738" s="620">
        <v>26111</v>
      </c>
      <c r="D738" s="620">
        <v>12896357</v>
      </c>
      <c r="E738" s="621">
        <v>0</v>
      </c>
      <c r="F738" s="622">
        <v>100</v>
      </c>
      <c r="G738" s="623">
        <v>0</v>
      </c>
    </row>
    <row r="739" spans="1:7" x14ac:dyDescent="0.25">
      <c r="A739" s="3729" t="s">
        <v>253</v>
      </c>
      <c r="B739" s="3730"/>
      <c r="C739" s="3730"/>
      <c r="D739" s="3730"/>
      <c r="E739" s="3730"/>
      <c r="F739" s="3730"/>
      <c r="G739" s="3730"/>
    </row>
    <row r="740" spans="1:7" x14ac:dyDescent="0.25">
      <c r="A740" s="11" t="s">
        <v>1322</v>
      </c>
      <c r="B740" s="11" t="s">
        <v>1323</v>
      </c>
      <c r="C740" s="628">
        <v>9164</v>
      </c>
      <c r="D740" s="628">
        <v>5051310.5080106501</v>
      </c>
      <c r="E740" s="629">
        <v>82859.384530402793</v>
      </c>
      <c r="F740" s="630">
        <v>39.168507106391701</v>
      </c>
      <c r="G740" s="631">
        <v>0.64250225494220803</v>
      </c>
    </row>
    <row r="741" spans="1:7" x14ac:dyDescent="0.25">
      <c r="A741" s="6" t="s">
        <v>1324</v>
      </c>
      <c r="B741" s="6" t="s">
        <v>1325</v>
      </c>
      <c r="C741" s="624">
        <v>3622</v>
      </c>
      <c r="D741" s="624">
        <v>3229571.8707093201</v>
      </c>
      <c r="E741" s="625">
        <v>50447.262268739803</v>
      </c>
      <c r="F741" s="626">
        <v>25.0425129415177</v>
      </c>
      <c r="G741" s="627">
        <v>0.391174517491577</v>
      </c>
    </row>
    <row r="742" spans="1:7" x14ac:dyDescent="0.25">
      <c r="A742" s="11" t="s">
        <v>1320</v>
      </c>
      <c r="B742" s="11" t="s">
        <v>1321</v>
      </c>
      <c r="C742" s="628">
        <v>4185</v>
      </c>
      <c r="D742" s="628">
        <v>1683944.91724311</v>
      </c>
      <c r="E742" s="629">
        <v>38595.207021187904</v>
      </c>
      <c r="F742" s="630">
        <v>13.057524053057101</v>
      </c>
      <c r="G742" s="631">
        <v>0.29927216671493101</v>
      </c>
    </row>
    <row r="743" spans="1:7" x14ac:dyDescent="0.25">
      <c r="A743" s="6" t="s">
        <v>1326</v>
      </c>
      <c r="B743" s="6" t="s">
        <v>1327</v>
      </c>
      <c r="C743" s="624">
        <v>721</v>
      </c>
      <c r="D743" s="624">
        <v>910739.598445407</v>
      </c>
      <c r="E743" s="625">
        <v>67044.516439959596</v>
      </c>
      <c r="F743" s="626">
        <v>7.0619912153905604</v>
      </c>
      <c r="G743" s="627">
        <v>0.51987174703646699</v>
      </c>
    </row>
    <row r="744" spans="1:7" x14ac:dyDescent="0.25">
      <c r="A744" s="11" t="s">
        <v>1318</v>
      </c>
      <c r="B744" s="11" t="s">
        <v>1319</v>
      </c>
      <c r="C744" s="628">
        <v>2296</v>
      </c>
      <c r="D744" s="628">
        <v>741779.43745939701</v>
      </c>
      <c r="E744" s="629">
        <v>23494.627773050601</v>
      </c>
      <c r="F744" s="630">
        <v>5.7518525383516899</v>
      </c>
      <c r="G744" s="631">
        <v>0.18218034576004599</v>
      </c>
    </row>
    <row r="745" spans="1:7" x14ac:dyDescent="0.25">
      <c r="A745" s="6" t="s">
        <v>1314</v>
      </c>
      <c r="B745" s="6" t="s">
        <v>1315</v>
      </c>
      <c r="C745" s="624">
        <v>2391</v>
      </c>
      <c r="D745" s="624">
        <v>513860.30122029001</v>
      </c>
      <c r="E745" s="625">
        <v>20651.101763148199</v>
      </c>
      <c r="F745" s="626">
        <v>3.9845384337630398</v>
      </c>
      <c r="G745" s="627">
        <v>0.16013128174993099</v>
      </c>
    </row>
    <row r="746" spans="1:7" x14ac:dyDescent="0.25">
      <c r="A746" s="11" t="s">
        <v>1316</v>
      </c>
      <c r="B746" s="11" t="s">
        <v>1317</v>
      </c>
      <c r="C746" s="628">
        <v>1579</v>
      </c>
      <c r="D746" s="628">
        <v>416224.01749599201</v>
      </c>
      <c r="E746" s="629">
        <v>26483.573094564799</v>
      </c>
      <c r="F746" s="630">
        <v>3.2274542143645002</v>
      </c>
      <c r="G746" s="631">
        <v>0.205357009693238</v>
      </c>
    </row>
    <row r="747" spans="1:7" x14ac:dyDescent="0.25">
      <c r="A747" s="6" t="s">
        <v>1301</v>
      </c>
      <c r="B747" s="6" t="s">
        <v>1313</v>
      </c>
      <c r="C747" s="624">
        <v>2154</v>
      </c>
      <c r="D747" s="624">
        <v>348926.34941584099</v>
      </c>
      <c r="E747" s="625">
        <v>20849.275728831399</v>
      </c>
      <c r="F747" s="626">
        <v>2.70561949716374</v>
      </c>
      <c r="G747" s="627">
        <v>0.16166794800137799</v>
      </c>
    </row>
    <row r="748" spans="1:7" x14ac:dyDescent="0.25">
      <c r="A748" s="11" t="s">
        <v>6417</v>
      </c>
      <c r="B748" s="11" t="s">
        <v>6418</v>
      </c>
      <c r="C748" s="628">
        <v>26112</v>
      </c>
      <c r="D748" s="628">
        <v>12896357</v>
      </c>
      <c r="E748" s="629">
        <v>1.5649069981313301E-7</v>
      </c>
      <c r="F748" s="630">
        <v>100</v>
      </c>
      <c r="G748" s="631">
        <v>1.78031750616652E-14</v>
      </c>
    </row>
    <row r="749" spans="1:7" x14ac:dyDescent="0.25">
      <c r="A749" s="6" t="s">
        <v>6417</v>
      </c>
      <c r="B749" s="6" t="s">
        <v>6419</v>
      </c>
      <c r="C749" s="624">
        <v>26112</v>
      </c>
      <c r="D749" s="624">
        <v>12896357</v>
      </c>
      <c r="E749" s="625">
        <v>0</v>
      </c>
      <c r="F749" s="626">
        <v>100</v>
      </c>
      <c r="G749" s="627">
        <v>0</v>
      </c>
    </row>
    <row r="750" spans="1:7" x14ac:dyDescent="0.25">
      <c r="A750" s="3729" t="s">
        <v>257</v>
      </c>
      <c r="B750" s="3730"/>
      <c r="C750" s="3730"/>
      <c r="D750" s="3730"/>
      <c r="E750" s="3730"/>
      <c r="F750" s="3730"/>
      <c r="G750" s="3730"/>
    </row>
    <row r="751" spans="1:7" x14ac:dyDescent="0.25">
      <c r="A751" s="11" t="s">
        <v>1320</v>
      </c>
      <c r="B751" s="11" t="s">
        <v>1321</v>
      </c>
      <c r="C751" s="636">
        <v>7188</v>
      </c>
      <c r="D751" s="636">
        <v>4335576.3077488001</v>
      </c>
      <c r="E751" s="637">
        <v>93180.482260398698</v>
      </c>
      <c r="F751" s="638">
        <v>33.618612665179697</v>
      </c>
      <c r="G751" s="639">
        <v>0.72253336551092795</v>
      </c>
    </row>
    <row r="752" spans="1:7" x14ac:dyDescent="0.25">
      <c r="A752" s="6" t="s">
        <v>1322</v>
      </c>
      <c r="B752" s="6" t="s">
        <v>1323</v>
      </c>
      <c r="C752" s="632">
        <v>3215</v>
      </c>
      <c r="D752" s="632">
        <v>2574686.5755061801</v>
      </c>
      <c r="E752" s="633">
        <v>59198.015305312401</v>
      </c>
      <c r="F752" s="634">
        <v>19.964448685052499</v>
      </c>
      <c r="G752" s="635">
        <v>0.459028974657815</v>
      </c>
    </row>
    <row r="753" spans="1:7" x14ac:dyDescent="0.25">
      <c r="A753" s="11" t="s">
        <v>1318</v>
      </c>
      <c r="B753" s="11" t="s">
        <v>1319</v>
      </c>
      <c r="C753" s="636">
        <v>5238</v>
      </c>
      <c r="D753" s="636">
        <v>2401363.4707794301</v>
      </c>
      <c r="E753" s="637">
        <v>49042.2244968046</v>
      </c>
      <c r="F753" s="638">
        <v>18.620479184776201</v>
      </c>
      <c r="G753" s="639">
        <v>0.38027967508035698</v>
      </c>
    </row>
    <row r="754" spans="1:7" x14ac:dyDescent="0.25">
      <c r="A754" s="6" t="s">
        <v>1316</v>
      </c>
      <c r="B754" s="6" t="s">
        <v>1317</v>
      </c>
      <c r="C754" s="632">
        <v>2855</v>
      </c>
      <c r="D754" s="632">
        <v>1051430.1034599501</v>
      </c>
      <c r="E754" s="633">
        <v>28713.203166834799</v>
      </c>
      <c r="F754" s="634">
        <v>8.1529233678933295</v>
      </c>
      <c r="G754" s="635">
        <v>0.222645846162877</v>
      </c>
    </row>
    <row r="755" spans="1:7" x14ac:dyDescent="0.25">
      <c r="A755" s="11" t="s">
        <v>1314</v>
      </c>
      <c r="B755" s="11" t="s">
        <v>1315</v>
      </c>
      <c r="C755" s="636">
        <v>3276</v>
      </c>
      <c r="D755" s="636">
        <v>896913.74317203695</v>
      </c>
      <c r="E755" s="637">
        <v>31185.382521373202</v>
      </c>
      <c r="F755" s="638">
        <v>6.9547837670129402</v>
      </c>
      <c r="G755" s="639">
        <v>0.241815440758753</v>
      </c>
    </row>
    <row r="756" spans="1:7" x14ac:dyDescent="0.25">
      <c r="A756" s="6" t="s">
        <v>1324</v>
      </c>
      <c r="B756" s="6" t="s">
        <v>1325</v>
      </c>
      <c r="C756" s="632">
        <v>872</v>
      </c>
      <c r="D756" s="632">
        <v>866160.66695252003</v>
      </c>
      <c r="E756" s="633">
        <v>49358.601825542799</v>
      </c>
      <c r="F756" s="634">
        <v>6.7163204845563698</v>
      </c>
      <c r="G756" s="635">
        <v>0.382732905312266</v>
      </c>
    </row>
    <row r="757" spans="1:7" x14ac:dyDescent="0.25">
      <c r="A757" s="11" t="s">
        <v>1301</v>
      </c>
      <c r="B757" s="11" t="s">
        <v>1313</v>
      </c>
      <c r="C757" s="636">
        <v>3339</v>
      </c>
      <c r="D757" s="636">
        <v>619268.36148769397</v>
      </c>
      <c r="E757" s="637">
        <v>21039.895633689001</v>
      </c>
      <c r="F757" s="638">
        <v>4.8018860015095202</v>
      </c>
      <c r="G757" s="639">
        <v>0.16314603909994699</v>
      </c>
    </row>
    <row r="758" spans="1:7" x14ac:dyDescent="0.25">
      <c r="A758" s="6" t="s">
        <v>1326</v>
      </c>
      <c r="B758" s="6" t="s">
        <v>1327</v>
      </c>
      <c r="C758" s="632">
        <v>129</v>
      </c>
      <c r="D758" s="632">
        <v>150957.77089340499</v>
      </c>
      <c r="E758" s="633">
        <v>23294.870185377</v>
      </c>
      <c r="F758" s="634">
        <v>1.1705458440194001</v>
      </c>
      <c r="G758" s="635">
        <v>0.18063139990136101</v>
      </c>
    </row>
    <row r="759" spans="1:7" x14ac:dyDescent="0.25">
      <c r="A759" s="11" t="s">
        <v>6417</v>
      </c>
      <c r="B759" s="11" t="s">
        <v>6418</v>
      </c>
      <c r="C759" s="636">
        <v>26112</v>
      </c>
      <c r="D759" s="636">
        <v>12896357</v>
      </c>
      <c r="E759" s="637">
        <v>1.6160449904996899E-7</v>
      </c>
      <c r="F759" s="638">
        <v>100</v>
      </c>
      <c r="G759" s="639">
        <v>2.0557335828564899E-14</v>
      </c>
    </row>
    <row r="760" spans="1:7" x14ac:dyDescent="0.25">
      <c r="A760" s="6" t="s">
        <v>6417</v>
      </c>
      <c r="B760" s="6" t="s">
        <v>6419</v>
      </c>
      <c r="C760" s="632">
        <v>26112</v>
      </c>
      <c r="D760" s="632">
        <v>12896357</v>
      </c>
      <c r="E760" s="633">
        <v>0</v>
      </c>
      <c r="F760" s="634">
        <v>100</v>
      </c>
      <c r="G760" s="635">
        <v>0</v>
      </c>
    </row>
    <row r="761" spans="1:7" x14ac:dyDescent="0.25">
      <c r="A761" s="3729" t="s">
        <v>357</v>
      </c>
      <c r="B761" s="3730"/>
      <c r="C761" s="3730"/>
      <c r="D761" s="3730"/>
      <c r="E761" s="3730"/>
      <c r="F761" s="3730"/>
      <c r="G761" s="3730"/>
    </row>
    <row r="762" spans="1:7" x14ac:dyDescent="0.25">
      <c r="A762" s="11" t="s">
        <v>3240</v>
      </c>
      <c r="B762" s="11" t="s">
        <v>3241</v>
      </c>
      <c r="C762" s="644">
        <v>4726</v>
      </c>
      <c r="D762" s="644">
        <v>4485729.8615047596</v>
      </c>
      <c r="E762" s="645">
        <v>42954.599549518898</v>
      </c>
      <c r="F762" s="646">
        <v>34.782922506757203</v>
      </c>
      <c r="G762" s="647">
        <v>0.33307545339759698</v>
      </c>
    </row>
    <row r="763" spans="1:7" x14ac:dyDescent="0.25">
      <c r="A763" s="6" t="s">
        <v>1320</v>
      </c>
      <c r="B763" s="6" t="s">
        <v>1321</v>
      </c>
      <c r="C763" s="640">
        <v>6727</v>
      </c>
      <c r="D763" s="640">
        <v>3713830.3218554999</v>
      </c>
      <c r="E763" s="641">
        <v>46278.814413782296</v>
      </c>
      <c r="F763" s="642">
        <v>28.7975148474527</v>
      </c>
      <c r="G763" s="643">
        <v>0.35885184020403899</v>
      </c>
    </row>
    <row r="764" spans="1:7" x14ac:dyDescent="0.25">
      <c r="A764" s="11" t="s">
        <v>1318</v>
      </c>
      <c r="B764" s="11" t="s">
        <v>1319</v>
      </c>
      <c r="C764" s="644">
        <v>4576</v>
      </c>
      <c r="D764" s="644">
        <v>2028785.0241513101</v>
      </c>
      <c r="E764" s="645">
        <v>39063.860998412703</v>
      </c>
      <c r="F764" s="646">
        <v>15.7314583037001</v>
      </c>
      <c r="G764" s="647">
        <v>0.30290616953619098</v>
      </c>
    </row>
    <row r="765" spans="1:7" x14ac:dyDescent="0.25">
      <c r="A765" s="6" t="s">
        <v>1316</v>
      </c>
      <c r="B765" s="6" t="s">
        <v>1317</v>
      </c>
      <c r="C765" s="640">
        <v>2561</v>
      </c>
      <c r="D765" s="640">
        <v>929114.88906559395</v>
      </c>
      <c r="E765" s="641">
        <v>46161.9628602171</v>
      </c>
      <c r="F765" s="642">
        <v>7.2044755667479903</v>
      </c>
      <c r="G765" s="643">
        <v>0.35794575832707698</v>
      </c>
    </row>
    <row r="766" spans="1:7" x14ac:dyDescent="0.25">
      <c r="A766" s="11" t="s">
        <v>3238</v>
      </c>
      <c r="B766" s="11" t="s">
        <v>3239</v>
      </c>
      <c r="C766" s="644">
        <v>1850</v>
      </c>
      <c r="D766" s="644">
        <v>635276.59793292999</v>
      </c>
      <c r="E766" s="645">
        <v>28309.728372215701</v>
      </c>
      <c r="F766" s="646">
        <v>4.9260159123458704</v>
      </c>
      <c r="G766" s="647">
        <v>0.21951725105171199</v>
      </c>
    </row>
    <row r="767" spans="1:7" x14ac:dyDescent="0.25">
      <c r="A767" s="6" t="s">
        <v>3172</v>
      </c>
      <c r="B767" s="6" t="s">
        <v>3233</v>
      </c>
      <c r="C767" s="640">
        <v>3206</v>
      </c>
      <c r="D767" s="640">
        <v>509349.860414255</v>
      </c>
      <c r="E767" s="641">
        <v>16499.1435810892</v>
      </c>
      <c r="F767" s="642">
        <v>3.94956389943497</v>
      </c>
      <c r="G767" s="643">
        <v>0.12793646749302101</v>
      </c>
    </row>
    <row r="768" spans="1:7" x14ac:dyDescent="0.25">
      <c r="A768" s="11" t="s">
        <v>3236</v>
      </c>
      <c r="B768" s="11" t="s">
        <v>3237</v>
      </c>
      <c r="C768" s="644">
        <v>1469</v>
      </c>
      <c r="D768" s="644">
        <v>363096.646169885</v>
      </c>
      <c r="E768" s="645">
        <v>12664.838135894401</v>
      </c>
      <c r="F768" s="646">
        <v>2.81549778879327</v>
      </c>
      <c r="G768" s="647">
        <v>9.8204773145582902E-2</v>
      </c>
    </row>
    <row r="769" spans="1:7" x14ac:dyDescent="0.25">
      <c r="A769" s="6" t="s">
        <v>3234</v>
      </c>
      <c r="B769" s="6" t="s">
        <v>3235</v>
      </c>
      <c r="C769" s="640">
        <v>997</v>
      </c>
      <c r="D769" s="640">
        <v>231173.79890575999</v>
      </c>
      <c r="E769" s="641">
        <v>16182.360804726201</v>
      </c>
      <c r="F769" s="642">
        <v>1.7925511747678899</v>
      </c>
      <c r="G769" s="643">
        <v>0.12548009336843199</v>
      </c>
    </row>
    <row r="770" spans="1:7" x14ac:dyDescent="0.25">
      <c r="A770" s="11" t="s">
        <v>6417</v>
      </c>
      <c r="B770" s="11" t="s">
        <v>6418</v>
      </c>
      <c r="C770" s="644">
        <v>26112</v>
      </c>
      <c r="D770" s="644">
        <v>12896357</v>
      </c>
      <c r="E770" s="645">
        <v>3.7938434993841E-8</v>
      </c>
      <c r="F770" s="646">
        <v>100</v>
      </c>
      <c r="G770" s="647">
        <v>1.02786679142825E-14</v>
      </c>
    </row>
    <row r="771" spans="1:7" x14ac:dyDescent="0.25">
      <c r="A771" s="6" t="s">
        <v>6417</v>
      </c>
      <c r="B771" s="6" t="s">
        <v>6419</v>
      </c>
      <c r="C771" s="640">
        <v>26112</v>
      </c>
      <c r="D771" s="640">
        <v>12896357</v>
      </c>
      <c r="E771" s="641">
        <v>0</v>
      </c>
      <c r="F771" s="642">
        <v>100</v>
      </c>
      <c r="G771" s="643">
        <v>0</v>
      </c>
    </row>
    <row r="772" spans="1:7" x14ac:dyDescent="0.25">
      <c r="A772" s="3729" t="s">
        <v>361</v>
      </c>
      <c r="B772" s="3730"/>
      <c r="C772" s="3730"/>
      <c r="D772" s="3730"/>
      <c r="E772" s="3730"/>
      <c r="F772" s="3730"/>
      <c r="G772" s="3730"/>
    </row>
    <row r="773" spans="1:7" x14ac:dyDescent="0.25">
      <c r="A773" s="11" t="s">
        <v>1297</v>
      </c>
      <c r="B773" s="11" t="s">
        <v>1298</v>
      </c>
      <c r="C773" s="652">
        <v>5296</v>
      </c>
      <c r="D773" s="652">
        <v>1911083.2136053799</v>
      </c>
      <c r="E773" s="653">
        <v>56350.564262287997</v>
      </c>
      <c r="F773" s="654">
        <v>14.818783425469499</v>
      </c>
      <c r="G773" s="655">
        <v>0.43694947543937901</v>
      </c>
    </row>
    <row r="774" spans="1:7" x14ac:dyDescent="0.25">
      <c r="A774" s="6" t="s">
        <v>1299</v>
      </c>
      <c r="B774" s="6" t="s">
        <v>1300</v>
      </c>
      <c r="C774" s="648">
        <v>4203</v>
      </c>
      <c r="D774" s="648">
        <v>1801234.2431095201</v>
      </c>
      <c r="E774" s="649">
        <v>49263.1922725486</v>
      </c>
      <c r="F774" s="650">
        <v>13.9670004723778</v>
      </c>
      <c r="G774" s="651">
        <v>0.381993087447485</v>
      </c>
    </row>
    <row r="775" spans="1:7" x14ac:dyDescent="0.25">
      <c r="A775" s="11" t="s">
        <v>1295</v>
      </c>
      <c r="B775" s="11" t="s">
        <v>1296</v>
      </c>
      <c r="C775" s="652">
        <v>4565</v>
      </c>
      <c r="D775" s="652">
        <v>1791018.5556055601</v>
      </c>
      <c r="E775" s="653">
        <v>84080.714412514601</v>
      </c>
      <c r="F775" s="654">
        <v>13.8877867261705</v>
      </c>
      <c r="G775" s="655">
        <v>0.65197260290261305</v>
      </c>
    </row>
    <row r="776" spans="1:7" x14ac:dyDescent="0.25">
      <c r="A776" s="6" t="s">
        <v>1301</v>
      </c>
      <c r="B776" s="6" t="s">
        <v>1302</v>
      </c>
      <c r="C776" s="648">
        <v>3223</v>
      </c>
      <c r="D776" s="648">
        <v>1784887.16650753</v>
      </c>
      <c r="E776" s="649">
        <v>61642.035017492002</v>
      </c>
      <c r="F776" s="650">
        <v>13.840243151670901</v>
      </c>
      <c r="G776" s="651">
        <v>0.47798021578877797</v>
      </c>
    </row>
    <row r="777" spans="1:7" x14ac:dyDescent="0.25">
      <c r="A777" s="11" t="s">
        <v>1303</v>
      </c>
      <c r="B777" s="11" t="s">
        <v>1304</v>
      </c>
      <c r="C777" s="652">
        <v>2656</v>
      </c>
      <c r="D777" s="652">
        <v>1609076.6369735301</v>
      </c>
      <c r="E777" s="653">
        <v>54098.764646898002</v>
      </c>
      <c r="F777" s="654">
        <v>12.4769858416104</v>
      </c>
      <c r="G777" s="655">
        <v>0.41948873349968402</v>
      </c>
    </row>
    <row r="778" spans="1:7" x14ac:dyDescent="0.25">
      <c r="A778" s="6" t="s">
        <v>1305</v>
      </c>
      <c r="B778" s="6" t="s">
        <v>1306</v>
      </c>
      <c r="C778" s="648">
        <v>1699</v>
      </c>
      <c r="D778" s="648">
        <v>1223884.1044737401</v>
      </c>
      <c r="E778" s="649">
        <v>57739.990126915101</v>
      </c>
      <c r="F778" s="650">
        <v>9.49015372693035</v>
      </c>
      <c r="G778" s="651">
        <v>0.44772326112649702</v>
      </c>
    </row>
    <row r="779" spans="1:7" x14ac:dyDescent="0.25">
      <c r="A779" s="11" t="s">
        <v>1307</v>
      </c>
      <c r="B779" s="11" t="s">
        <v>1308</v>
      </c>
      <c r="C779" s="652">
        <v>1263</v>
      </c>
      <c r="D779" s="652">
        <v>980462.75808257202</v>
      </c>
      <c r="E779" s="653">
        <v>31313.303509308898</v>
      </c>
      <c r="F779" s="654">
        <v>7.6026335040397202</v>
      </c>
      <c r="G779" s="655">
        <v>0.242807356444218</v>
      </c>
    </row>
    <row r="780" spans="1:7" x14ac:dyDescent="0.25">
      <c r="A780" s="6" t="s">
        <v>1098</v>
      </c>
      <c r="B780" s="6" t="s">
        <v>1294</v>
      </c>
      <c r="C780" s="648">
        <v>2208</v>
      </c>
      <c r="D780" s="648">
        <v>934898.27503715095</v>
      </c>
      <c r="E780" s="649">
        <v>35564.229904898901</v>
      </c>
      <c r="F780" s="650">
        <v>7.24932068053909</v>
      </c>
      <c r="G780" s="651">
        <v>0.27576958287444098</v>
      </c>
    </row>
    <row r="781" spans="1:7" x14ac:dyDescent="0.25">
      <c r="A781" s="11" t="s">
        <v>1309</v>
      </c>
      <c r="B781" s="11" t="s">
        <v>1310</v>
      </c>
      <c r="C781" s="652">
        <v>631</v>
      </c>
      <c r="D781" s="652">
        <v>527455.19569500606</v>
      </c>
      <c r="E781" s="653">
        <v>36111.482322336298</v>
      </c>
      <c r="F781" s="654">
        <v>4.08995498259707</v>
      </c>
      <c r="G781" s="655">
        <v>0.28001304804400501</v>
      </c>
    </row>
    <row r="782" spans="1:7" x14ac:dyDescent="0.25">
      <c r="A782" s="6" t="s">
        <v>1311</v>
      </c>
      <c r="B782" s="6" t="s">
        <v>1312</v>
      </c>
      <c r="C782" s="648">
        <v>224</v>
      </c>
      <c r="D782" s="648">
        <v>266512.777693638</v>
      </c>
      <c r="E782" s="649">
        <v>15450.8495967118</v>
      </c>
      <c r="F782" s="650">
        <v>2.0665741316996602</v>
      </c>
      <c r="G782" s="651">
        <v>0.119807861993212</v>
      </c>
    </row>
    <row r="783" spans="1:7" x14ac:dyDescent="0.25">
      <c r="A783" s="11" t="s">
        <v>1292</v>
      </c>
      <c r="B783" s="11" t="s">
        <v>1293</v>
      </c>
      <c r="C783" s="652">
        <v>144</v>
      </c>
      <c r="D783" s="652">
        <v>65844.073216376099</v>
      </c>
      <c r="E783" s="653">
        <v>8198.3039723152797</v>
      </c>
      <c r="F783" s="654">
        <v>0.51056335689509902</v>
      </c>
      <c r="G783" s="655">
        <v>6.3570696533255797E-2</v>
      </c>
    </row>
    <row r="784" spans="1:7" x14ac:dyDescent="0.25">
      <c r="A784" s="6" t="s">
        <v>6417</v>
      </c>
      <c r="B784" s="6" t="s">
        <v>6418</v>
      </c>
      <c r="C784" s="648">
        <v>26112</v>
      </c>
      <c r="D784" s="648">
        <v>12896357</v>
      </c>
      <c r="E784" s="649">
        <v>1.3011498704982399E-7</v>
      </c>
      <c r="F784" s="650">
        <v>100</v>
      </c>
      <c r="G784" s="651">
        <v>9.5873031797334296E-14</v>
      </c>
    </row>
    <row r="785" spans="1:7" x14ac:dyDescent="0.25">
      <c r="A785" s="11" t="s">
        <v>6417</v>
      </c>
      <c r="B785" s="11" t="s">
        <v>6419</v>
      </c>
      <c r="C785" s="652">
        <v>26112</v>
      </c>
      <c r="D785" s="652">
        <v>12896357</v>
      </c>
      <c r="E785" s="653">
        <v>0</v>
      </c>
      <c r="F785" s="654">
        <v>100</v>
      </c>
      <c r="G785" s="655">
        <v>0</v>
      </c>
    </row>
    <row r="786" spans="1:7" x14ac:dyDescent="0.25">
      <c r="A786" s="3729" t="s">
        <v>365</v>
      </c>
      <c r="B786" s="3730"/>
      <c r="C786" s="3730"/>
      <c r="D786" s="3730"/>
      <c r="E786" s="3730"/>
      <c r="F786" s="3730"/>
      <c r="G786" s="3730"/>
    </row>
    <row r="787" spans="1:7" x14ac:dyDescent="0.25">
      <c r="A787" s="11" t="s">
        <v>1322</v>
      </c>
      <c r="B787" s="11" t="s">
        <v>1323</v>
      </c>
      <c r="C787" s="660">
        <v>9017</v>
      </c>
      <c r="D787" s="660">
        <v>5171610.7904001903</v>
      </c>
      <c r="E787" s="661">
        <v>68993.9024864323</v>
      </c>
      <c r="F787" s="662">
        <v>40.101330867315298</v>
      </c>
      <c r="G787" s="663">
        <v>0.53498753552218004</v>
      </c>
    </row>
    <row r="788" spans="1:7" x14ac:dyDescent="0.25">
      <c r="A788" s="6" t="s">
        <v>1324</v>
      </c>
      <c r="B788" s="6" t="s">
        <v>1325</v>
      </c>
      <c r="C788" s="656">
        <v>2852</v>
      </c>
      <c r="D788" s="656">
        <v>2921327.91262969</v>
      </c>
      <c r="E788" s="657">
        <v>42797.335148117898</v>
      </c>
      <c r="F788" s="658">
        <v>22.6523499049359</v>
      </c>
      <c r="G788" s="659">
        <v>0.33185600513473801</v>
      </c>
    </row>
    <row r="789" spans="1:7" x14ac:dyDescent="0.25">
      <c r="A789" s="11" t="s">
        <v>1320</v>
      </c>
      <c r="B789" s="11" t="s">
        <v>1321</v>
      </c>
      <c r="C789" s="660">
        <v>4452</v>
      </c>
      <c r="D789" s="660">
        <v>1792578.9489261</v>
      </c>
      <c r="E789" s="661">
        <v>45389.297665052</v>
      </c>
      <c r="F789" s="662">
        <v>13.899886215356</v>
      </c>
      <c r="G789" s="663">
        <v>0.35195441367706998</v>
      </c>
    </row>
    <row r="790" spans="1:7" x14ac:dyDescent="0.25">
      <c r="A790" s="6" t="s">
        <v>1318</v>
      </c>
      <c r="B790" s="6" t="s">
        <v>1319</v>
      </c>
      <c r="C790" s="656">
        <v>2350</v>
      </c>
      <c r="D790" s="656">
        <v>845366.27494908602</v>
      </c>
      <c r="E790" s="657">
        <v>40572.828349401199</v>
      </c>
      <c r="F790" s="658">
        <v>6.5550781119744501</v>
      </c>
      <c r="G790" s="659">
        <v>0.31460689518287999</v>
      </c>
    </row>
    <row r="791" spans="1:7" x14ac:dyDescent="0.25">
      <c r="A791" s="11" t="s">
        <v>1326</v>
      </c>
      <c r="B791" s="11" t="s">
        <v>1327</v>
      </c>
      <c r="C791" s="660">
        <v>521</v>
      </c>
      <c r="D791" s="660">
        <v>641743.47730438795</v>
      </c>
      <c r="E791" s="661">
        <v>45330.732551692403</v>
      </c>
      <c r="F791" s="662">
        <v>4.9761609212926299</v>
      </c>
      <c r="G791" s="663">
        <v>0.35150029230496599</v>
      </c>
    </row>
    <row r="792" spans="1:7" x14ac:dyDescent="0.25">
      <c r="A792" s="6" t="s">
        <v>1314</v>
      </c>
      <c r="B792" s="6" t="s">
        <v>1315</v>
      </c>
      <c r="C792" s="656">
        <v>2359</v>
      </c>
      <c r="D792" s="656">
        <v>587545.06023164501</v>
      </c>
      <c r="E792" s="657">
        <v>27389.784799419998</v>
      </c>
      <c r="F792" s="658">
        <v>4.5558994701499298</v>
      </c>
      <c r="G792" s="659">
        <v>0.212383891043185</v>
      </c>
    </row>
    <row r="793" spans="1:7" x14ac:dyDescent="0.25">
      <c r="A793" s="11" t="s">
        <v>1316</v>
      </c>
      <c r="B793" s="11" t="s">
        <v>1317</v>
      </c>
      <c r="C793" s="660">
        <v>1597</v>
      </c>
      <c r="D793" s="660">
        <v>493026.24426512403</v>
      </c>
      <c r="E793" s="661">
        <v>25744.7703864902</v>
      </c>
      <c r="F793" s="662">
        <v>3.8229884940772298</v>
      </c>
      <c r="G793" s="663">
        <v>0.199628239094886</v>
      </c>
    </row>
    <row r="794" spans="1:7" x14ac:dyDescent="0.25">
      <c r="A794" s="6" t="s">
        <v>1301</v>
      </c>
      <c r="B794" s="6" t="s">
        <v>1313</v>
      </c>
      <c r="C794" s="656">
        <v>2964</v>
      </c>
      <c r="D794" s="656">
        <v>443158.29129379598</v>
      </c>
      <c r="E794" s="657">
        <v>17010.417177081301</v>
      </c>
      <c r="F794" s="658">
        <v>3.43630601489859</v>
      </c>
      <c r="G794" s="659">
        <v>0.13190094828393301</v>
      </c>
    </row>
    <row r="795" spans="1:7" x14ac:dyDescent="0.25">
      <c r="A795" s="11" t="s">
        <v>6417</v>
      </c>
      <c r="B795" s="11" t="s">
        <v>6418</v>
      </c>
      <c r="C795" s="660">
        <v>26112</v>
      </c>
      <c r="D795" s="660">
        <v>12896357</v>
      </c>
      <c r="E795" s="661">
        <v>7.4731642040621697E-8</v>
      </c>
      <c r="F795" s="662">
        <v>100</v>
      </c>
      <c r="G795" s="663">
        <v>1.78031750616652E-14</v>
      </c>
    </row>
    <row r="796" spans="1:7" x14ac:dyDescent="0.25">
      <c r="A796" s="6" t="s">
        <v>6417</v>
      </c>
      <c r="B796" s="6" t="s">
        <v>6419</v>
      </c>
      <c r="C796" s="656">
        <v>26112</v>
      </c>
      <c r="D796" s="656">
        <v>12896357</v>
      </c>
      <c r="E796" s="657">
        <v>0</v>
      </c>
      <c r="F796" s="658">
        <v>100</v>
      </c>
      <c r="G796" s="659">
        <v>0</v>
      </c>
    </row>
    <row r="797" spans="1:7" x14ac:dyDescent="0.25">
      <c r="A797" s="3729" t="s">
        <v>369</v>
      </c>
      <c r="B797" s="3730"/>
      <c r="C797" s="3730"/>
      <c r="D797" s="3730"/>
      <c r="E797" s="3730"/>
      <c r="F797" s="3730"/>
      <c r="G797" s="3730"/>
    </row>
    <row r="798" spans="1:7" x14ac:dyDescent="0.25">
      <c r="A798" s="11" t="s">
        <v>1320</v>
      </c>
      <c r="B798" s="11" t="s">
        <v>1321</v>
      </c>
      <c r="C798" s="668">
        <v>6875</v>
      </c>
      <c r="D798" s="668">
        <v>4393332.2900381098</v>
      </c>
      <c r="E798" s="669">
        <v>79620.023185889993</v>
      </c>
      <c r="F798" s="670">
        <v>34.066459931576901</v>
      </c>
      <c r="G798" s="671">
        <v>0.61738383317007295</v>
      </c>
    </row>
    <row r="799" spans="1:7" x14ac:dyDescent="0.25">
      <c r="A799" s="6" t="s">
        <v>1318</v>
      </c>
      <c r="B799" s="6" t="s">
        <v>1319</v>
      </c>
      <c r="C799" s="664">
        <v>5698</v>
      </c>
      <c r="D799" s="664">
        <v>2638427.8159485101</v>
      </c>
      <c r="E799" s="665">
        <v>42274.924283624001</v>
      </c>
      <c r="F799" s="666">
        <v>20.4587064079298</v>
      </c>
      <c r="G799" s="667">
        <v>0.32780516454081798</v>
      </c>
    </row>
    <row r="800" spans="1:7" x14ac:dyDescent="0.25">
      <c r="A800" s="11" t="s">
        <v>1322</v>
      </c>
      <c r="B800" s="11" t="s">
        <v>1323</v>
      </c>
      <c r="C800" s="668">
        <v>2460</v>
      </c>
      <c r="D800" s="668">
        <v>2217086.1239575101</v>
      </c>
      <c r="E800" s="669">
        <v>65776.2456444571</v>
      </c>
      <c r="F800" s="670">
        <v>17.191569091624199</v>
      </c>
      <c r="G800" s="671">
        <v>0.51003741323582896</v>
      </c>
    </row>
    <row r="801" spans="1:7" x14ac:dyDescent="0.25">
      <c r="A801" s="6" t="s">
        <v>1314</v>
      </c>
      <c r="B801" s="6" t="s">
        <v>1315</v>
      </c>
      <c r="C801" s="664">
        <v>3385</v>
      </c>
      <c r="D801" s="664">
        <v>1056567.8059350599</v>
      </c>
      <c r="E801" s="665">
        <v>40917.627097270102</v>
      </c>
      <c r="F801" s="666">
        <v>8.1927617693512804</v>
      </c>
      <c r="G801" s="667">
        <v>0.31728050873024999</v>
      </c>
    </row>
    <row r="802" spans="1:7" x14ac:dyDescent="0.25">
      <c r="A802" s="11" t="s">
        <v>1316</v>
      </c>
      <c r="B802" s="11" t="s">
        <v>1317</v>
      </c>
      <c r="C802" s="668">
        <v>2743</v>
      </c>
      <c r="D802" s="668">
        <v>1031313.77254016</v>
      </c>
      <c r="E802" s="669">
        <v>41584.851943406102</v>
      </c>
      <c r="F802" s="670">
        <v>7.9969387675927699</v>
      </c>
      <c r="G802" s="671">
        <v>0.322454255441329</v>
      </c>
    </row>
    <row r="803" spans="1:7" x14ac:dyDescent="0.25">
      <c r="A803" s="6" t="s">
        <v>1301</v>
      </c>
      <c r="B803" s="6" t="s">
        <v>1313</v>
      </c>
      <c r="C803" s="664">
        <v>4164</v>
      </c>
      <c r="D803" s="664">
        <v>773803.07468699606</v>
      </c>
      <c r="E803" s="665">
        <v>22412.3889232697</v>
      </c>
      <c r="F803" s="666">
        <v>6.0001679132098698</v>
      </c>
      <c r="G803" s="667">
        <v>0.17378852743662501</v>
      </c>
    </row>
    <row r="804" spans="1:7" x14ac:dyDescent="0.25">
      <c r="A804" s="11" t="s">
        <v>1324</v>
      </c>
      <c r="B804" s="11" t="s">
        <v>1325</v>
      </c>
      <c r="C804" s="668">
        <v>692</v>
      </c>
      <c r="D804" s="668">
        <v>659253.61846141797</v>
      </c>
      <c r="E804" s="669">
        <v>38712.522271345399</v>
      </c>
      <c r="F804" s="670">
        <v>5.1119367931689403</v>
      </c>
      <c r="G804" s="671">
        <v>0.30018184415447202</v>
      </c>
    </row>
    <row r="805" spans="1:7" x14ac:dyDescent="0.25">
      <c r="A805" s="6" t="s">
        <v>1326</v>
      </c>
      <c r="B805" s="6" t="s">
        <v>1327</v>
      </c>
      <c r="C805" s="664">
        <v>95</v>
      </c>
      <c r="D805" s="664">
        <v>126572.498432234</v>
      </c>
      <c r="E805" s="665">
        <v>25048.8144464418</v>
      </c>
      <c r="F805" s="666">
        <v>0.98145932554622695</v>
      </c>
      <c r="G805" s="667">
        <v>0.19423170781052199</v>
      </c>
    </row>
    <row r="806" spans="1:7" x14ac:dyDescent="0.25">
      <c r="A806" s="11" t="s">
        <v>6417</v>
      </c>
      <c r="B806" s="11" t="s">
        <v>6418</v>
      </c>
      <c r="C806" s="668">
        <v>26112</v>
      </c>
      <c r="D806" s="668">
        <v>12896357</v>
      </c>
      <c r="E806" s="669">
        <v>6.2724419834027905E-8</v>
      </c>
      <c r="F806" s="670">
        <v>100</v>
      </c>
      <c r="G806" s="671">
        <v>1.02786679142825E-14</v>
      </c>
    </row>
    <row r="807" spans="1:7" x14ac:dyDescent="0.25">
      <c r="A807" s="6" t="s">
        <v>6417</v>
      </c>
      <c r="B807" s="6" t="s">
        <v>6419</v>
      </c>
      <c r="C807" s="664">
        <v>26112</v>
      </c>
      <c r="D807" s="664">
        <v>12896357</v>
      </c>
      <c r="E807" s="665">
        <v>0</v>
      </c>
      <c r="F807" s="666">
        <v>100</v>
      </c>
      <c r="G807" s="667">
        <v>0</v>
      </c>
    </row>
    <row r="808" spans="1:7" x14ac:dyDescent="0.25">
      <c r="A808" s="3729" t="s">
        <v>251</v>
      </c>
      <c r="B808" s="3730"/>
      <c r="C808" s="3730"/>
      <c r="D808" s="3730"/>
      <c r="E808" s="3730"/>
      <c r="F808" s="3730"/>
      <c r="G808" s="3730"/>
    </row>
    <row r="809" spans="1:7" x14ac:dyDescent="0.25">
      <c r="A809" s="11" t="s">
        <v>6417</v>
      </c>
      <c r="B809" s="11" t="s">
        <v>6418</v>
      </c>
      <c r="C809" s="676">
        <v>24009</v>
      </c>
      <c r="D809" s="676">
        <v>12896357</v>
      </c>
      <c r="E809" s="677">
        <v>8.1489394807172406E-8</v>
      </c>
      <c r="F809" s="678">
        <v>100</v>
      </c>
      <c r="G809" s="679">
        <v>2.0557335828564899E-14</v>
      </c>
    </row>
    <row r="810" spans="1:7" x14ac:dyDescent="0.25">
      <c r="A810" s="6" t="s">
        <v>6417</v>
      </c>
      <c r="B810" s="6" t="s">
        <v>6419</v>
      </c>
      <c r="C810" s="672">
        <v>24009</v>
      </c>
      <c r="D810" s="672">
        <v>12896357</v>
      </c>
      <c r="E810" s="673">
        <v>0</v>
      </c>
      <c r="F810" s="674">
        <v>100</v>
      </c>
      <c r="G810" s="675">
        <v>0</v>
      </c>
    </row>
    <row r="811" spans="1:7" x14ac:dyDescent="0.25">
      <c r="A811" s="3729" t="s">
        <v>255</v>
      </c>
      <c r="B811" s="3730"/>
      <c r="C811" s="3730"/>
      <c r="D811" s="3730"/>
      <c r="E811" s="3730"/>
      <c r="F811" s="3730"/>
      <c r="G811" s="3730"/>
    </row>
    <row r="812" spans="1:7" x14ac:dyDescent="0.25">
      <c r="A812" s="11" t="s">
        <v>6417</v>
      </c>
      <c r="B812" s="11" t="s">
        <v>6418</v>
      </c>
      <c r="C812" s="684">
        <v>23717</v>
      </c>
      <c r="D812" s="684">
        <v>12896357</v>
      </c>
      <c r="E812" s="685">
        <v>8.1635237241181795E-8</v>
      </c>
      <c r="F812" s="686">
        <v>100</v>
      </c>
      <c r="G812" s="687">
        <v>2.0557335828564899E-14</v>
      </c>
    </row>
    <row r="813" spans="1:7" x14ac:dyDescent="0.25">
      <c r="A813" s="6" t="s">
        <v>6417</v>
      </c>
      <c r="B813" s="6" t="s">
        <v>6419</v>
      </c>
      <c r="C813" s="680">
        <v>23717</v>
      </c>
      <c r="D813" s="680">
        <v>12896357</v>
      </c>
      <c r="E813" s="681">
        <v>0</v>
      </c>
      <c r="F813" s="682">
        <v>100</v>
      </c>
      <c r="G813" s="683">
        <v>0</v>
      </c>
    </row>
    <row r="814" spans="1:7" x14ac:dyDescent="0.25">
      <c r="A814" s="3729" t="s">
        <v>259</v>
      </c>
      <c r="B814" s="3730"/>
      <c r="C814" s="3730"/>
      <c r="D814" s="3730"/>
      <c r="E814" s="3730"/>
      <c r="F814" s="3730"/>
      <c r="G814" s="3730"/>
    </row>
    <row r="815" spans="1:7" x14ac:dyDescent="0.25">
      <c r="A815" s="11" t="s">
        <v>6417</v>
      </c>
      <c r="B815" s="11" t="s">
        <v>6418</v>
      </c>
      <c r="C815" s="692">
        <v>23717</v>
      </c>
      <c r="D815" s="692">
        <v>12896357</v>
      </c>
      <c r="E815" s="693">
        <v>8.1635237241181795E-8</v>
      </c>
      <c r="F815" s="694">
        <v>100</v>
      </c>
      <c r="G815" s="695">
        <v>2.0557335828564899E-14</v>
      </c>
    </row>
    <row r="816" spans="1:7" x14ac:dyDescent="0.25">
      <c r="A816" s="6" t="s">
        <v>6417</v>
      </c>
      <c r="B816" s="6" t="s">
        <v>6419</v>
      </c>
      <c r="C816" s="688">
        <v>23717</v>
      </c>
      <c r="D816" s="688">
        <v>12896357</v>
      </c>
      <c r="E816" s="689">
        <v>0</v>
      </c>
      <c r="F816" s="690">
        <v>100</v>
      </c>
      <c r="G816" s="691">
        <v>0</v>
      </c>
    </row>
    <row r="817" spans="1:7" x14ac:dyDescent="0.25">
      <c r="A817" s="3729" t="s">
        <v>359</v>
      </c>
      <c r="B817" s="3730"/>
      <c r="C817" s="3730"/>
      <c r="D817" s="3730"/>
      <c r="E817" s="3730"/>
      <c r="F817" s="3730"/>
      <c r="G817" s="3730"/>
    </row>
    <row r="818" spans="1:7" x14ac:dyDescent="0.25">
      <c r="A818" s="11" t="s">
        <v>6417</v>
      </c>
      <c r="B818" s="11" t="s">
        <v>6418</v>
      </c>
      <c r="C818" s="700">
        <v>25232</v>
      </c>
      <c r="D818" s="700">
        <v>12896357</v>
      </c>
      <c r="E818" s="701">
        <v>8.1635237241181795E-8</v>
      </c>
      <c r="F818" s="702">
        <v>100</v>
      </c>
      <c r="G818" s="703">
        <v>2.0557335828564899E-14</v>
      </c>
    </row>
    <row r="819" spans="1:7" x14ac:dyDescent="0.25">
      <c r="A819" s="6" t="s">
        <v>6417</v>
      </c>
      <c r="B819" s="6" t="s">
        <v>6419</v>
      </c>
      <c r="C819" s="696">
        <v>25232</v>
      </c>
      <c r="D819" s="696">
        <v>12896357</v>
      </c>
      <c r="E819" s="697">
        <v>0</v>
      </c>
      <c r="F819" s="698">
        <v>100</v>
      </c>
      <c r="G819" s="699">
        <v>0</v>
      </c>
    </row>
    <row r="820" spans="1:7" x14ac:dyDescent="0.25">
      <c r="A820" s="3729" t="s">
        <v>363</v>
      </c>
      <c r="B820" s="3730"/>
      <c r="C820" s="3730"/>
      <c r="D820" s="3730"/>
      <c r="E820" s="3730"/>
      <c r="F820" s="3730"/>
      <c r="G820" s="3730"/>
    </row>
    <row r="821" spans="1:7" x14ac:dyDescent="0.25">
      <c r="A821" s="11" t="s">
        <v>6417</v>
      </c>
      <c r="B821" s="11" t="s">
        <v>6418</v>
      </c>
      <c r="C821" s="708">
        <v>25250</v>
      </c>
      <c r="D821" s="708">
        <v>12896357</v>
      </c>
      <c r="E821" s="709">
        <v>8.16898610259765E-8</v>
      </c>
      <c r="F821" s="710">
        <v>100</v>
      </c>
      <c r="G821" s="711">
        <v>1.78031750616652E-14</v>
      </c>
    </row>
    <row r="822" spans="1:7" x14ac:dyDescent="0.25">
      <c r="A822" s="6" t="s">
        <v>6417</v>
      </c>
      <c r="B822" s="6" t="s">
        <v>6419</v>
      </c>
      <c r="C822" s="704">
        <v>25250</v>
      </c>
      <c r="D822" s="704">
        <v>12896357</v>
      </c>
      <c r="E822" s="705">
        <v>0</v>
      </c>
      <c r="F822" s="706">
        <v>100</v>
      </c>
      <c r="G822" s="707">
        <v>0</v>
      </c>
    </row>
    <row r="823" spans="1:7" x14ac:dyDescent="0.25">
      <c r="A823" s="3729" t="s">
        <v>367</v>
      </c>
      <c r="B823" s="3730"/>
      <c r="C823" s="3730"/>
      <c r="D823" s="3730"/>
      <c r="E823" s="3730"/>
      <c r="F823" s="3730"/>
      <c r="G823" s="3730"/>
    </row>
    <row r="824" spans="1:7" x14ac:dyDescent="0.25">
      <c r="A824" s="11" t="s">
        <v>6417</v>
      </c>
      <c r="B824" s="11" t="s">
        <v>6418</v>
      </c>
      <c r="C824" s="716">
        <v>25232</v>
      </c>
      <c r="D824" s="716">
        <v>12896357</v>
      </c>
      <c r="E824" s="717">
        <v>8.1635237241181795E-8</v>
      </c>
      <c r="F824" s="718">
        <v>100</v>
      </c>
      <c r="G824" s="719">
        <v>2.0557335828564899E-14</v>
      </c>
    </row>
    <row r="825" spans="1:7" x14ac:dyDescent="0.25">
      <c r="A825" s="6" t="s">
        <v>6417</v>
      </c>
      <c r="B825" s="6" t="s">
        <v>6419</v>
      </c>
      <c r="C825" s="712">
        <v>25232</v>
      </c>
      <c r="D825" s="712">
        <v>12896357</v>
      </c>
      <c r="E825" s="713">
        <v>0</v>
      </c>
      <c r="F825" s="714">
        <v>100</v>
      </c>
      <c r="G825" s="715">
        <v>0</v>
      </c>
    </row>
    <row r="826" spans="1:7" x14ac:dyDescent="0.25">
      <c r="A826" s="3729" t="s">
        <v>371</v>
      </c>
      <c r="B826" s="3730"/>
      <c r="C826" s="3730"/>
      <c r="D826" s="3730"/>
      <c r="E826" s="3730"/>
      <c r="F826" s="3730"/>
      <c r="G826" s="3730"/>
    </row>
    <row r="827" spans="1:7" x14ac:dyDescent="0.25">
      <c r="A827" s="11" t="s">
        <v>6417</v>
      </c>
      <c r="B827" s="11" t="s">
        <v>6418</v>
      </c>
      <c r="C827" s="724">
        <v>25232</v>
      </c>
      <c r="D827" s="724">
        <v>12896357</v>
      </c>
      <c r="E827" s="725">
        <v>8.1635237241181795E-8</v>
      </c>
      <c r="F827" s="726">
        <v>100</v>
      </c>
      <c r="G827" s="727">
        <v>2.0557335828564899E-14</v>
      </c>
    </row>
    <row r="828" spans="1:7" x14ac:dyDescent="0.25">
      <c r="A828" s="6" t="s">
        <v>6417</v>
      </c>
      <c r="B828" s="6" t="s">
        <v>6419</v>
      </c>
      <c r="C828" s="720">
        <v>25232</v>
      </c>
      <c r="D828" s="720">
        <v>12896357</v>
      </c>
      <c r="E828" s="721">
        <v>0</v>
      </c>
      <c r="F828" s="722">
        <v>100</v>
      </c>
      <c r="G828" s="723">
        <v>0</v>
      </c>
    </row>
    <row r="829" spans="1:7" x14ac:dyDescent="0.25">
      <c r="A829" s="3729" t="s">
        <v>692</v>
      </c>
      <c r="B829" s="3730"/>
      <c r="C829" s="3730"/>
      <c r="D829" s="3730"/>
      <c r="E829" s="3730"/>
      <c r="F829" s="3730"/>
      <c r="G829" s="3730"/>
    </row>
    <row r="830" spans="1:7" x14ac:dyDescent="0.25">
      <c r="A830" s="11" t="s">
        <v>1092</v>
      </c>
      <c r="B830" s="11" t="s">
        <v>1180</v>
      </c>
      <c r="C830" s="732">
        <v>26095</v>
      </c>
      <c r="D830" s="732">
        <v>12892801.1238473</v>
      </c>
      <c r="E830" s="733">
        <v>1638.1054981827699</v>
      </c>
      <c r="F830" s="734">
        <v>99.972427281962297</v>
      </c>
      <c r="G830" s="735">
        <v>1.27020793406365E-2</v>
      </c>
    </row>
    <row r="831" spans="1:7" x14ac:dyDescent="0.25">
      <c r="A831" s="6" t="s">
        <v>1090</v>
      </c>
      <c r="B831" s="6" t="s">
        <v>1179</v>
      </c>
      <c r="C831" s="728">
        <v>17</v>
      </c>
      <c r="D831" s="728">
        <v>3555.8761527520101</v>
      </c>
      <c r="E831" s="729">
        <v>1638.1054981919899</v>
      </c>
      <c r="F831" s="730">
        <v>2.7572718037752901E-2</v>
      </c>
      <c r="G831" s="731">
        <v>1.27020793406385E-2</v>
      </c>
    </row>
    <row r="832" spans="1:7" x14ac:dyDescent="0.25">
      <c r="A832" s="11" t="s">
        <v>6417</v>
      </c>
      <c r="B832" s="11" t="s">
        <v>6418</v>
      </c>
      <c r="C832" s="732">
        <v>26112</v>
      </c>
      <c r="D832" s="732">
        <v>12896357</v>
      </c>
      <c r="E832" s="733">
        <v>4.634827505078E-7</v>
      </c>
      <c r="F832" s="734">
        <v>100</v>
      </c>
      <c r="G832" s="735">
        <v>9.7512005764874805E-14</v>
      </c>
    </row>
    <row r="833" spans="1:7" x14ac:dyDescent="0.25">
      <c r="A833" s="6" t="s">
        <v>6417</v>
      </c>
      <c r="B833" s="6" t="s">
        <v>6419</v>
      </c>
      <c r="C833" s="728">
        <v>26112</v>
      </c>
      <c r="D833" s="728">
        <v>12896357</v>
      </c>
      <c r="E833" s="729">
        <v>0</v>
      </c>
      <c r="F833" s="730">
        <v>100</v>
      </c>
      <c r="G833" s="731">
        <v>0</v>
      </c>
    </row>
    <row r="834" spans="1:7" x14ac:dyDescent="0.25">
      <c r="A834" s="3729" t="s">
        <v>961</v>
      </c>
      <c r="B834" s="3730"/>
      <c r="C834" s="3730"/>
      <c r="D834" s="3730"/>
      <c r="E834" s="3730"/>
      <c r="F834" s="3730"/>
      <c r="G834" s="3730"/>
    </row>
    <row r="835" spans="1:7" x14ac:dyDescent="0.25">
      <c r="A835" s="11" t="s">
        <v>1090</v>
      </c>
      <c r="B835" s="11" t="s">
        <v>1181</v>
      </c>
      <c r="C835" s="740">
        <v>23244</v>
      </c>
      <c r="D835" s="740">
        <v>11661099.686288301</v>
      </c>
      <c r="E835" s="741">
        <v>37910.429313544199</v>
      </c>
      <c r="F835" s="742">
        <v>90.834950646419898</v>
      </c>
      <c r="G835" s="743">
        <v>0.31334884394323598</v>
      </c>
    </row>
    <row r="836" spans="1:7" x14ac:dyDescent="0.25">
      <c r="A836" s="6" t="s">
        <v>1098</v>
      </c>
      <c r="B836" s="6" t="s">
        <v>1152</v>
      </c>
      <c r="C836" s="736">
        <v>1154</v>
      </c>
      <c r="D836" s="736">
        <v>517816.02279214299</v>
      </c>
      <c r="E836" s="737">
        <v>38398.081210961704</v>
      </c>
      <c r="F836" s="738">
        <v>4.0335640839737197</v>
      </c>
      <c r="G836" s="739">
        <v>0.298359304246824</v>
      </c>
    </row>
    <row r="837" spans="1:7" x14ac:dyDescent="0.25">
      <c r="A837" s="11" t="s">
        <v>1092</v>
      </c>
      <c r="B837" s="11" t="s">
        <v>1182</v>
      </c>
      <c r="C837" s="740">
        <v>1098</v>
      </c>
      <c r="D837" s="740">
        <v>449774.43318467401</v>
      </c>
      <c r="E837" s="741">
        <v>21557.663196093701</v>
      </c>
      <c r="F837" s="742">
        <v>3.5035493683662602</v>
      </c>
      <c r="G837" s="743">
        <v>0.16807717981460499</v>
      </c>
    </row>
    <row r="838" spans="1:7" x14ac:dyDescent="0.25">
      <c r="A838" s="6" t="s">
        <v>1094</v>
      </c>
      <c r="B838" s="6" t="s">
        <v>6268</v>
      </c>
      <c r="C838" s="736">
        <v>362</v>
      </c>
      <c r="D838" s="736">
        <v>138912.338852324</v>
      </c>
      <c r="E838" s="737">
        <v>10778.9813625893</v>
      </c>
      <c r="F838" s="738">
        <v>1.0820673678543899</v>
      </c>
      <c r="G838" s="739">
        <v>8.3542089202274905E-2</v>
      </c>
    </row>
    <row r="839" spans="1:7" x14ac:dyDescent="0.25">
      <c r="A839" s="11" t="s">
        <v>1096</v>
      </c>
      <c r="B839" s="11" t="s">
        <v>6269</v>
      </c>
      <c r="C839" s="740">
        <v>155</v>
      </c>
      <c r="D839" s="740">
        <v>70076.851895882006</v>
      </c>
      <c r="E839" s="741">
        <v>10238.103690395301</v>
      </c>
      <c r="F839" s="742">
        <v>0.54586853338572305</v>
      </c>
      <c r="G839" s="743">
        <v>7.9660628113665796E-2</v>
      </c>
    </row>
    <row r="840" spans="1:7" x14ac:dyDescent="0.25">
      <c r="A840" s="6" t="s">
        <v>1088</v>
      </c>
      <c r="B840" s="6" t="s">
        <v>1089</v>
      </c>
      <c r="C840" s="736">
        <v>99</v>
      </c>
      <c r="D840" s="736">
        <v>58677.666986672899</v>
      </c>
      <c r="E840" s="737">
        <v>10800.9000703525</v>
      </c>
      <c r="F840" s="738">
        <v>100</v>
      </c>
      <c r="G840" s="739">
        <v>0</v>
      </c>
    </row>
    <row r="841" spans="1:7" x14ac:dyDescent="0.25">
      <c r="A841" s="11" t="s">
        <v>6417</v>
      </c>
      <c r="B841" s="11" t="s">
        <v>6418</v>
      </c>
      <c r="C841" s="740">
        <v>26013</v>
      </c>
      <c r="D841" s="740">
        <v>12837679.3330133</v>
      </c>
      <c r="E841" s="741">
        <v>10800.900070309701</v>
      </c>
      <c r="F841" s="742">
        <v>99.545005872692002</v>
      </c>
      <c r="G841" s="743">
        <v>8.3751559222129401E-2</v>
      </c>
    </row>
    <row r="842" spans="1:7" x14ac:dyDescent="0.25">
      <c r="A842" s="6" t="s">
        <v>6417</v>
      </c>
      <c r="B842" s="6" t="s">
        <v>6419</v>
      </c>
      <c r="C842" s="736">
        <v>26112</v>
      </c>
      <c r="D842" s="736">
        <v>12896357</v>
      </c>
      <c r="E842" s="737">
        <v>0</v>
      </c>
      <c r="F842" s="738">
        <v>100</v>
      </c>
      <c r="G842" s="739">
        <v>0</v>
      </c>
    </row>
    <row r="843" spans="1:7" x14ac:dyDescent="0.25">
      <c r="A843" s="3729" t="s">
        <v>694</v>
      </c>
      <c r="B843" s="3730"/>
      <c r="C843" s="3730"/>
      <c r="D843" s="3730"/>
      <c r="E843" s="3730"/>
      <c r="F843" s="3730"/>
      <c r="G843" s="3730"/>
    </row>
    <row r="844" spans="1:7" x14ac:dyDescent="0.25">
      <c r="A844" s="11" t="s">
        <v>1092</v>
      </c>
      <c r="B844" s="11" t="s">
        <v>80</v>
      </c>
      <c r="C844" s="748">
        <v>26112</v>
      </c>
      <c r="D844" s="748">
        <v>12896357</v>
      </c>
      <c r="E844" s="749">
        <v>4.63364035059229E-7</v>
      </c>
      <c r="F844" s="750">
        <v>100</v>
      </c>
      <c r="G844" s="751">
        <v>0</v>
      </c>
    </row>
    <row r="845" spans="1:7" x14ac:dyDescent="0.25">
      <c r="A845" s="6" t="s">
        <v>6417</v>
      </c>
      <c r="B845" s="6" t="s">
        <v>6418</v>
      </c>
      <c r="C845" s="744">
        <v>26112</v>
      </c>
      <c r="D845" s="744">
        <v>12896357</v>
      </c>
      <c r="E845" s="745">
        <v>4.63364035059229E-7</v>
      </c>
      <c r="F845" s="746">
        <v>100</v>
      </c>
      <c r="G845" s="747">
        <v>0</v>
      </c>
    </row>
    <row r="846" spans="1:7" x14ac:dyDescent="0.25">
      <c r="A846" s="11" t="s">
        <v>6417</v>
      </c>
      <c r="B846" s="11" t="s">
        <v>6419</v>
      </c>
      <c r="C846" s="748">
        <v>26112</v>
      </c>
      <c r="D846" s="748">
        <v>12896357</v>
      </c>
      <c r="E846" s="749">
        <v>0</v>
      </c>
      <c r="F846" s="750">
        <v>100</v>
      </c>
      <c r="G846" s="751">
        <v>0</v>
      </c>
    </row>
    <row r="847" spans="1:7" x14ac:dyDescent="0.25">
      <c r="A847" s="3729" t="s">
        <v>344</v>
      </c>
      <c r="B847" s="3730"/>
      <c r="C847" s="3730"/>
      <c r="D847" s="3730"/>
      <c r="E847" s="3730"/>
      <c r="F847" s="3730"/>
      <c r="G847" s="3730"/>
    </row>
    <row r="848" spans="1:7" x14ac:dyDescent="0.25">
      <c r="A848" s="11" t="s">
        <v>1090</v>
      </c>
      <c r="B848" s="11"/>
      <c r="C848" s="756">
        <v>18439</v>
      </c>
      <c r="D848" s="756">
        <v>6910822.0910166502</v>
      </c>
      <c r="E848" s="757">
        <v>5.1947054192723403</v>
      </c>
      <c r="F848" s="758">
        <v>53.587397518668602</v>
      </c>
      <c r="G848" s="759">
        <v>4.0280410657654699E-5</v>
      </c>
    </row>
    <row r="849" spans="1:7" x14ac:dyDescent="0.25">
      <c r="A849" s="6" t="s">
        <v>1092</v>
      </c>
      <c r="B849" s="6"/>
      <c r="C849" s="752">
        <v>7444</v>
      </c>
      <c r="D849" s="752">
        <v>5851372.1458722698</v>
      </c>
      <c r="E849" s="753">
        <v>9870.7461960233595</v>
      </c>
      <c r="F849" s="754">
        <v>45.372287273625098</v>
      </c>
      <c r="G849" s="755">
        <v>7.6539027230898796E-2</v>
      </c>
    </row>
    <row r="850" spans="1:7" x14ac:dyDescent="0.25">
      <c r="A850" s="11" t="s">
        <v>1111</v>
      </c>
      <c r="B850" s="11"/>
      <c r="C850" s="756">
        <v>229</v>
      </c>
      <c r="D850" s="756">
        <v>134162.763111098</v>
      </c>
      <c r="E850" s="757">
        <v>9870.7547327790799</v>
      </c>
      <c r="F850" s="758">
        <v>1.04031520770632</v>
      </c>
      <c r="G850" s="759">
        <v>7.6539093425988997E-2</v>
      </c>
    </row>
    <row r="851" spans="1:7" x14ac:dyDescent="0.25">
      <c r="A851" s="6" t="s">
        <v>6417</v>
      </c>
      <c r="B851" s="6" t="s">
        <v>6418</v>
      </c>
      <c r="C851" s="752">
        <v>26112</v>
      </c>
      <c r="D851" s="752">
        <v>12896357</v>
      </c>
      <c r="E851" s="753">
        <v>2.6966940993383602E-7</v>
      </c>
      <c r="F851" s="754">
        <v>100</v>
      </c>
      <c r="G851" s="755">
        <v>2.9072463135014902E-14</v>
      </c>
    </row>
    <row r="852" spans="1:7" x14ac:dyDescent="0.25">
      <c r="A852" s="11" t="s">
        <v>6417</v>
      </c>
      <c r="B852" s="11" t="s">
        <v>6419</v>
      </c>
      <c r="C852" s="756">
        <v>26112</v>
      </c>
      <c r="D852" s="756">
        <v>12896357</v>
      </c>
      <c r="E852" s="757">
        <v>0</v>
      </c>
      <c r="F852" s="758">
        <v>100</v>
      </c>
      <c r="G852" s="759">
        <v>0</v>
      </c>
    </row>
    <row r="853" spans="1:7" x14ac:dyDescent="0.25">
      <c r="A853" s="3731" t="s">
        <v>1083</v>
      </c>
      <c r="B853" s="3730"/>
      <c r="C853" s="3730"/>
      <c r="D853" s="3730"/>
      <c r="E853" s="3730"/>
      <c r="F853" s="3730"/>
      <c r="G853" s="3730"/>
    </row>
    <row r="854" spans="1:7" x14ac:dyDescent="0.25">
      <c r="A854" s="3729" t="s">
        <v>349</v>
      </c>
      <c r="B854" s="3730"/>
      <c r="C854" s="3730"/>
      <c r="D854" s="3730"/>
      <c r="E854" s="3730"/>
      <c r="F854" s="3730"/>
      <c r="G854" s="3730"/>
    </row>
    <row r="855" spans="1:7" x14ac:dyDescent="0.25">
      <c r="A855" s="11" t="s">
        <v>6417</v>
      </c>
      <c r="B855" s="11" t="s">
        <v>6418</v>
      </c>
      <c r="C855" s="764">
        <v>38717</v>
      </c>
      <c r="D855" s="764">
        <v>39144818</v>
      </c>
      <c r="E855" s="765">
        <v>2.5791126284823302E-7</v>
      </c>
      <c r="F855" s="766">
        <v>100</v>
      </c>
      <c r="G855" s="767">
        <v>1.00184062299098E-13</v>
      </c>
    </row>
    <row r="856" spans="1:7" x14ac:dyDescent="0.25">
      <c r="A856" s="6" t="s">
        <v>6417</v>
      </c>
      <c r="B856" s="6" t="s">
        <v>6419</v>
      </c>
      <c r="C856" s="760">
        <v>38717</v>
      </c>
      <c r="D856" s="760">
        <v>39144818</v>
      </c>
      <c r="E856" s="761">
        <v>0</v>
      </c>
      <c r="F856" s="762">
        <v>100</v>
      </c>
      <c r="G856" s="763">
        <v>0</v>
      </c>
    </row>
    <row r="857" spans="1:7" x14ac:dyDescent="0.25">
      <c r="A857" s="3729" t="s">
        <v>523</v>
      </c>
      <c r="B857" s="3730"/>
      <c r="C857" s="3730"/>
      <c r="D857" s="3730"/>
      <c r="E857" s="3730"/>
      <c r="F857" s="3730"/>
      <c r="G857" s="3730"/>
    </row>
    <row r="858" spans="1:7" x14ac:dyDescent="0.25">
      <c r="A858" s="11" t="s">
        <v>1090</v>
      </c>
      <c r="B858" s="11"/>
      <c r="C858" s="772">
        <v>26112</v>
      </c>
      <c r="D858" s="772">
        <v>14203063.303241201</v>
      </c>
      <c r="E858" s="773">
        <v>46600.677144759597</v>
      </c>
      <c r="F858" s="774">
        <v>36.283380607980099</v>
      </c>
      <c r="G858" s="775">
        <v>0.119046861183025</v>
      </c>
    </row>
    <row r="859" spans="1:7" x14ac:dyDescent="0.25">
      <c r="A859" s="6" t="s">
        <v>1092</v>
      </c>
      <c r="B859" s="6"/>
      <c r="C859" s="768">
        <v>17653</v>
      </c>
      <c r="D859" s="768">
        <v>10981419.9488317</v>
      </c>
      <c r="E859" s="769">
        <v>39813.294169470399</v>
      </c>
      <c r="F859" s="770">
        <v>28.053317169163201</v>
      </c>
      <c r="G859" s="771">
        <v>0.101707700287269</v>
      </c>
    </row>
    <row r="860" spans="1:7" x14ac:dyDescent="0.25">
      <c r="A860" s="11" t="s">
        <v>1094</v>
      </c>
      <c r="B860" s="11"/>
      <c r="C860" s="772">
        <v>6725</v>
      </c>
      <c r="D860" s="772">
        <v>6957027.5414702101</v>
      </c>
      <c r="E860" s="773">
        <v>44953.967109242702</v>
      </c>
      <c r="F860" s="774">
        <v>17.772537712322901</v>
      </c>
      <c r="G860" s="775">
        <v>0.114840148469271</v>
      </c>
    </row>
    <row r="861" spans="1:7" x14ac:dyDescent="0.25">
      <c r="A861" s="6" t="s">
        <v>1096</v>
      </c>
      <c r="B861" s="6"/>
      <c r="C861" s="768">
        <v>3507</v>
      </c>
      <c r="D861" s="768">
        <v>4363042.9788506096</v>
      </c>
      <c r="E861" s="769">
        <v>33824.514420316103</v>
      </c>
      <c r="F861" s="770">
        <v>11.145901812215801</v>
      </c>
      <c r="G861" s="771">
        <v>8.6408664411977795E-2</v>
      </c>
    </row>
    <row r="862" spans="1:7" x14ac:dyDescent="0.25">
      <c r="A862" s="11" t="s">
        <v>1098</v>
      </c>
      <c r="B862" s="11"/>
      <c r="C862" s="772">
        <v>1187</v>
      </c>
      <c r="D862" s="772">
        <v>1625922.3334885901</v>
      </c>
      <c r="E862" s="773">
        <v>45701.4070873448</v>
      </c>
      <c r="F862" s="774">
        <v>4.1536081059019896</v>
      </c>
      <c r="G862" s="775">
        <v>0.11674957100922501</v>
      </c>
    </row>
    <row r="863" spans="1:7" x14ac:dyDescent="0.25">
      <c r="A863" s="6" t="s">
        <v>1100</v>
      </c>
      <c r="B863" s="6"/>
      <c r="C863" s="768">
        <v>406</v>
      </c>
      <c r="D863" s="768">
        <v>579285.99204260902</v>
      </c>
      <c r="E863" s="769">
        <v>39951.324076545301</v>
      </c>
      <c r="F863" s="770">
        <v>1.47985358379392</v>
      </c>
      <c r="G863" s="771">
        <v>0.102060313772687</v>
      </c>
    </row>
    <row r="864" spans="1:7" x14ac:dyDescent="0.25">
      <c r="A864" s="11" t="s">
        <v>1109</v>
      </c>
      <c r="B864" s="11"/>
      <c r="C864" s="772">
        <v>151</v>
      </c>
      <c r="D864" s="772">
        <v>264966.43665073602</v>
      </c>
      <c r="E864" s="773">
        <v>15567.4771920597</v>
      </c>
      <c r="F864" s="774">
        <v>0.67688764487482</v>
      </c>
      <c r="G864" s="775">
        <v>3.9768934912560797E-2</v>
      </c>
    </row>
    <row r="865" spans="1:7" x14ac:dyDescent="0.25">
      <c r="A865" s="6" t="s">
        <v>1119</v>
      </c>
      <c r="B865" s="6"/>
      <c r="C865" s="768">
        <v>51</v>
      </c>
      <c r="D865" s="768">
        <v>96792.0073936189</v>
      </c>
      <c r="E865" s="769">
        <v>22855.9628590998</v>
      </c>
      <c r="F865" s="770">
        <v>0.247266464219143</v>
      </c>
      <c r="G865" s="771">
        <v>5.8388221038861397E-2</v>
      </c>
    </row>
    <row r="866" spans="1:7" x14ac:dyDescent="0.25">
      <c r="A866" s="11" t="s">
        <v>1121</v>
      </c>
      <c r="B866" s="11"/>
      <c r="C866" s="772">
        <v>19</v>
      </c>
      <c r="D866" s="772">
        <v>49503.426197237597</v>
      </c>
      <c r="E866" s="773">
        <v>16683.365025392301</v>
      </c>
      <c r="F866" s="774">
        <v>0.126462271959567</v>
      </c>
      <c r="G866" s="775">
        <v>4.2619600442113201E-2</v>
      </c>
    </row>
    <row r="867" spans="1:7" x14ac:dyDescent="0.25">
      <c r="A867" s="6" t="s">
        <v>1123</v>
      </c>
      <c r="B867" s="6"/>
      <c r="C867" s="768">
        <v>7</v>
      </c>
      <c r="D867" s="768">
        <v>23794.031833650999</v>
      </c>
      <c r="E867" s="769">
        <v>10841.374409207599</v>
      </c>
      <c r="F867" s="770">
        <v>6.0784627568458399E-2</v>
      </c>
      <c r="G867" s="771">
        <v>2.7695554515562298E-2</v>
      </c>
    </row>
    <row r="868" spans="1:7" x14ac:dyDescent="0.25">
      <c r="A868" s="11" t="s">
        <v>6417</v>
      </c>
      <c r="B868" s="11" t="s">
        <v>6418</v>
      </c>
      <c r="C868" s="772">
        <v>55818</v>
      </c>
      <c r="D868" s="772">
        <v>39144818.000000201</v>
      </c>
      <c r="E868" s="773">
        <v>2.23300181135444E-6</v>
      </c>
      <c r="F868" s="774">
        <v>100</v>
      </c>
      <c r="G868" s="775">
        <v>8.0934312091412705E-14</v>
      </c>
    </row>
    <row r="869" spans="1:7" x14ac:dyDescent="0.25">
      <c r="A869" s="6" t="s">
        <v>6417</v>
      </c>
      <c r="B869" s="6" t="s">
        <v>6419</v>
      </c>
      <c r="C869" s="768">
        <v>55818</v>
      </c>
      <c r="D869" s="768">
        <v>39144818.000000201</v>
      </c>
      <c r="E869" s="769">
        <v>0</v>
      </c>
      <c r="F869" s="770">
        <v>100</v>
      </c>
      <c r="G869" s="771">
        <v>0</v>
      </c>
    </row>
    <row r="870" spans="1:7" x14ac:dyDescent="0.25">
      <c r="A870" s="3729" t="s">
        <v>521</v>
      </c>
      <c r="B870" s="3730"/>
      <c r="C870" s="3730"/>
      <c r="D870" s="3730"/>
      <c r="E870" s="3730"/>
      <c r="F870" s="3730"/>
      <c r="G870" s="3730"/>
    </row>
    <row r="871" spans="1:7" x14ac:dyDescent="0.25">
      <c r="A871" s="11" t="s">
        <v>6417</v>
      </c>
      <c r="B871" s="11" t="s">
        <v>6418</v>
      </c>
      <c r="C871" s="780">
        <v>55803</v>
      </c>
      <c r="D871" s="780">
        <v>39144818</v>
      </c>
      <c r="E871" s="781">
        <v>2.5791126284823302E-7</v>
      </c>
      <c r="F871" s="782">
        <v>100</v>
      </c>
      <c r="G871" s="783">
        <v>1.00184062299098E-13</v>
      </c>
    </row>
    <row r="872" spans="1:7" x14ac:dyDescent="0.25">
      <c r="A872" s="6" t="s">
        <v>6417</v>
      </c>
      <c r="B872" s="6" t="s">
        <v>6419</v>
      </c>
      <c r="C872" s="776">
        <v>55803</v>
      </c>
      <c r="D872" s="776">
        <v>39144818</v>
      </c>
      <c r="E872" s="777">
        <v>0</v>
      </c>
      <c r="F872" s="778">
        <v>100</v>
      </c>
      <c r="G872" s="779">
        <v>0</v>
      </c>
    </row>
    <row r="873" spans="1:7" x14ac:dyDescent="0.25">
      <c r="A873" s="3729" t="s">
        <v>614</v>
      </c>
      <c r="B873" s="3730"/>
      <c r="C873" s="3730"/>
      <c r="D873" s="3730"/>
      <c r="E873" s="3730"/>
      <c r="F873" s="3730"/>
      <c r="G873" s="3730"/>
    </row>
    <row r="874" spans="1:7" x14ac:dyDescent="0.25">
      <c r="A874" s="11" t="s">
        <v>1086</v>
      </c>
      <c r="B874" s="11" t="s">
        <v>1087</v>
      </c>
      <c r="C874" s="788">
        <v>105</v>
      </c>
      <c r="D874" s="788">
        <v>106213.632045707</v>
      </c>
      <c r="E874" s="789">
        <v>19634.5063038603</v>
      </c>
      <c r="F874" s="790">
        <v>81.147572330044795</v>
      </c>
      <c r="G874" s="791">
        <v>10.454059240304501</v>
      </c>
    </row>
    <row r="875" spans="1:7" x14ac:dyDescent="0.25">
      <c r="A875" s="6" t="s">
        <v>1084</v>
      </c>
      <c r="B875" s="6" t="s">
        <v>1085</v>
      </c>
      <c r="C875" s="784">
        <v>14</v>
      </c>
      <c r="D875" s="784">
        <v>24675.843752426801</v>
      </c>
      <c r="E875" s="785">
        <v>14600.989706319901</v>
      </c>
      <c r="F875" s="786">
        <v>18.852427669955201</v>
      </c>
      <c r="G875" s="787">
        <v>10.454059240304501</v>
      </c>
    </row>
    <row r="876" spans="1:7" x14ac:dyDescent="0.25">
      <c r="A876" s="11" t="s">
        <v>6417</v>
      </c>
      <c r="B876" s="11" t="s">
        <v>6418</v>
      </c>
      <c r="C876" s="788">
        <v>55699</v>
      </c>
      <c r="D876" s="788">
        <v>39013928.5242019</v>
      </c>
      <c r="E876" s="789">
        <v>24901.741917641401</v>
      </c>
      <c r="F876" s="790">
        <v>99.665627578602795</v>
      </c>
      <c r="G876" s="791">
        <v>6.3614402084207294E-2</v>
      </c>
    </row>
    <row r="877" spans="1:7" x14ac:dyDescent="0.25">
      <c r="A877" s="6" t="s">
        <v>6417</v>
      </c>
      <c r="B877" s="6" t="s">
        <v>6419</v>
      </c>
      <c r="C877" s="784">
        <v>55818</v>
      </c>
      <c r="D877" s="784">
        <v>39144818</v>
      </c>
      <c r="E877" s="785">
        <v>0</v>
      </c>
      <c r="F877" s="786">
        <v>100</v>
      </c>
      <c r="G877" s="787">
        <v>0</v>
      </c>
    </row>
    <row r="878" spans="1:7" x14ac:dyDescent="0.25">
      <c r="A878" s="3729" t="s">
        <v>12</v>
      </c>
      <c r="B878" s="3730"/>
      <c r="C878" s="3730"/>
      <c r="D878" s="3730"/>
      <c r="E878" s="3730"/>
      <c r="F878" s="3730"/>
      <c r="G878" s="3730"/>
    </row>
    <row r="879" spans="1:7" x14ac:dyDescent="0.25">
      <c r="A879" s="11" t="s">
        <v>1096</v>
      </c>
      <c r="B879" s="11" t="s">
        <v>1097</v>
      </c>
      <c r="C879" s="796">
        <v>51</v>
      </c>
      <c r="D879" s="796">
        <v>47807.980298449897</v>
      </c>
      <c r="E879" s="797">
        <v>9139.3966761487609</v>
      </c>
      <c r="F879" s="798">
        <v>36.525457839087302</v>
      </c>
      <c r="G879" s="799">
        <v>8.1114975795883204</v>
      </c>
    </row>
    <row r="880" spans="1:7" x14ac:dyDescent="0.25">
      <c r="A880" s="6" t="s">
        <v>1092</v>
      </c>
      <c r="B880" s="6" t="s">
        <v>1093</v>
      </c>
      <c r="C880" s="792">
        <v>30</v>
      </c>
      <c r="D880" s="792">
        <v>43243.163430343098</v>
      </c>
      <c r="E880" s="793">
        <v>16741.885466202399</v>
      </c>
      <c r="F880" s="794">
        <v>33.037922389601</v>
      </c>
      <c r="G880" s="795">
        <v>8.6744659237975092</v>
      </c>
    </row>
    <row r="881" spans="1:7" x14ac:dyDescent="0.25">
      <c r="A881" s="11" t="s">
        <v>1090</v>
      </c>
      <c r="B881" s="11" t="s">
        <v>1091</v>
      </c>
      <c r="C881" s="796">
        <v>9</v>
      </c>
      <c r="D881" s="796">
        <v>14782.3871538842</v>
      </c>
      <c r="E881" s="797">
        <v>8890.9226035251595</v>
      </c>
      <c r="F881" s="798">
        <v>11.2937935336241</v>
      </c>
      <c r="G881" s="799">
        <v>6.4347551948654802</v>
      </c>
    </row>
    <row r="882" spans="1:7" x14ac:dyDescent="0.25">
      <c r="A882" s="6" t="s">
        <v>1094</v>
      </c>
      <c r="B882" s="6" t="s">
        <v>1095</v>
      </c>
      <c r="C882" s="792">
        <v>3</v>
      </c>
      <c r="D882" s="792">
        <v>11249.141622322501</v>
      </c>
      <c r="E882" s="793">
        <v>5532.8697201813302</v>
      </c>
      <c r="F882" s="794">
        <v>8.5943820568672908</v>
      </c>
      <c r="G882" s="795">
        <v>3.75574563027733</v>
      </c>
    </row>
    <row r="883" spans="1:7" x14ac:dyDescent="0.25">
      <c r="A883" s="11" t="s">
        <v>1098</v>
      </c>
      <c r="B883" s="11" t="s">
        <v>1099</v>
      </c>
      <c r="C883" s="796">
        <v>19</v>
      </c>
      <c r="D883" s="796">
        <v>10033.6877647077</v>
      </c>
      <c r="E883" s="797">
        <v>3149.3326095348798</v>
      </c>
      <c r="F883" s="798">
        <v>7.6657712192096001</v>
      </c>
      <c r="G883" s="799">
        <v>3.2557786207795201</v>
      </c>
    </row>
    <row r="884" spans="1:7" x14ac:dyDescent="0.25">
      <c r="A884" s="6" t="s">
        <v>1100</v>
      </c>
      <c r="B884" s="6" t="s">
        <v>1101</v>
      </c>
      <c r="C884" s="792">
        <v>6</v>
      </c>
      <c r="D884" s="792">
        <v>3773.1155284268202</v>
      </c>
      <c r="E884" s="793">
        <v>3715.85632834321</v>
      </c>
      <c r="F884" s="794">
        <v>2.8826729616107198</v>
      </c>
      <c r="G884" s="795">
        <v>2.8970145564249901</v>
      </c>
    </row>
    <row r="885" spans="1:7" x14ac:dyDescent="0.25">
      <c r="A885" s="11" t="s">
        <v>1088</v>
      </c>
      <c r="B885" s="11" t="s">
        <v>1089</v>
      </c>
      <c r="C885" s="796">
        <v>55700</v>
      </c>
      <c r="D885" s="796">
        <v>39013928.524201602</v>
      </c>
      <c r="E885" s="797">
        <v>24901.741917457399</v>
      </c>
      <c r="F885" s="798">
        <v>100</v>
      </c>
      <c r="G885" s="799">
        <v>0</v>
      </c>
    </row>
    <row r="886" spans="1:7" x14ac:dyDescent="0.25">
      <c r="A886" s="6" t="s">
        <v>6417</v>
      </c>
      <c r="B886" s="6" t="s">
        <v>6418</v>
      </c>
      <c r="C886" s="792">
        <v>118</v>
      </c>
      <c r="D886" s="792">
        <v>130889.47579813399</v>
      </c>
      <c r="E886" s="793">
        <v>24901.741917650299</v>
      </c>
      <c r="F886" s="794">
        <v>0.33437242139722001</v>
      </c>
      <c r="G886" s="795">
        <v>6.3614402084203603E-2</v>
      </c>
    </row>
    <row r="887" spans="1:7" x14ac:dyDescent="0.25">
      <c r="A887" s="11" t="s">
        <v>6417</v>
      </c>
      <c r="B887" s="11" t="s">
        <v>6419</v>
      </c>
      <c r="C887" s="796">
        <v>55818</v>
      </c>
      <c r="D887" s="796">
        <v>39144817.999999799</v>
      </c>
      <c r="E887" s="797">
        <v>0</v>
      </c>
      <c r="F887" s="798">
        <v>100</v>
      </c>
      <c r="G887" s="799">
        <v>0</v>
      </c>
    </row>
    <row r="888" spans="1:7" x14ac:dyDescent="0.25">
      <c r="A888" s="3729" t="s">
        <v>194</v>
      </c>
      <c r="B888" s="3730"/>
      <c r="C888" s="3730"/>
      <c r="D888" s="3730"/>
      <c r="E888" s="3730"/>
      <c r="F888" s="3730"/>
      <c r="G888" s="3730"/>
    </row>
    <row r="889" spans="1:7" x14ac:dyDescent="0.25">
      <c r="A889" s="11" t="s">
        <v>1090</v>
      </c>
      <c r="B889" s="11" t="s">
        <v>1179</v>
      </c>
      <c r="C889" s="804">
        <v>43771</v>
      </c>
      <c r="D889" s="804">
        <v>26424868.805492599</v>
      </c>
      <c r="E889" s="805">
        <v>112913.216332253</v>
      </c>
      <c r="F889" s="806">
        <v>67.582018466456105</v>
      </c>
      <c r="G889" s="807">
        <v>0.274238428182074</v>
      </c>
    </row>
    <row r="890" spans="1:7" x14ac:dyDescent="0.25">
      <c r="A890" s="6" t="s">
        <v>1092</v>
      </c>
      <c r="B890" s="6" t="s">
        <v>1180</v>
      </c>
      <c r="C890" s="800">
        <v>12000</v>
      </c>
      <c r="D890" s="800">
        <v>12675574.485659501</v>
      </c>
      <c r="E890" s="801">
        <v>104614.471375364</v>
      </c>
      <c r="F890" s="802">
        <v>32.417981533543902</v>
      </c>
      <c r="G890" s="803">
        <v>0.27423842818206701</v>
      </c>
    </row>
    <row r="891" spans="1:7" x14ac:dyDescent="0.25">
      <c r="A891" s="11" t="s">
        <v>1086</v>
      </c>
      <c r="B891" s="11" t="s">
        <v>1087</v>
      </c>
      <c r="C891" s="804">
        <v>34</v>
      </c>
      <c r="D891" s="804">
        <v>29817.914892282599</v>
      </c>
      <c r="E891" s="805">
        <v>8681.8505042157394</v>
      </c>
      <c r="F891" s="806">
        <v>67.195742048721996</v>
      </c>
      <c r="G891" s="807">
        <v>12.4540078449617</v>
      </c>
    </row>
    <row r="892" spans="1:7" x14ac:dyDescent="0.25">
      <c r="A892" s="6" t="s">
        <v>1084</v>
      </c>
      <c r="B892" s="6" t="s">
        <v>1085</v>
      </c>
      <c r="C892" s="800">
        <v>11</v>
      </c>
      <c r="D892" s="800">
        <v>11223.074912514199</v>
      </c>
      <c r="E892" s="801">
        <v>6877.88322675157</v>
      </c>
      <c r="F892" s="802">
        <v>25.291602365193398</v>
      </c>
      <c r="G892" s="803">
        <v>14.4864705400287</v>
      </c>
    </row>
    <row r="893" spans="1:7" x14ac:dyDescent="0.25">
      <c r="A893" s="11" t="s">
        <v>1102</v>
      </c>
      <c r="B893" s="11" t="s">
        <v>1103</v>
      </c>
      <c r="C893" s="804">
        <v>3</v>
      </c>
      <c r="D893" s="804">
        <v>3333.7190430679002</v>
      </c>
      <c r="E893" s="805">
        <v>1705.4946027752001</v>
      </c>
      <c r="F893" s="806">
        <v>7.5126555860846498</v>
      </c>
      <c r="G893" s="807">
        <v>3.0446895579072</v>
      </c>
    </row>
    <row r="894" spans="1:7" x14ac:dyDescent="0.25">
      <c r="A894" s="6" t="s">
        <v>6417</v>
      </c>
      <c r="B894" s="6" t="s">
        <v>6418</v>
      </c>
      <c r="C894" s="800">
        <v>55771</v>
      </c>
      <c r="D894" s="800">
        <v>39100443.291152097</v>
      </c>
      <c r="E894" s="801">
        <v>11880.9314407528</v>
      </c>
      <c r="F894" s="802">
        <v>99.886639634273294</v>
      </c>
      <c r="G894" s="803">
        <v>3.03512241155518E-2</v>
      </c>
    </row>
    <row r="895" spans="1:7" x14ac:dyDescent="0.25">
      <c r="A895" s="11" t="s">
        <v>6417</v>
      </c>
      <c r="B895" s="11" t="s">
        <v>6419</v>
      </c>
      <c r="C895" s="804">
        <v>55819</v>
      </c>
      <c r="D895" s="804">
        <v>39144817.999999903</v>
      </c>
      <c r="E895" s="805">
        <v>0</v>
      </c>
      <c r="F895" s="806">
        <v>100</v>
      </c>
      <c r="G895" s="807">
        <v>0</v>
      </c>
    </row>
    <row r="896" spans="1:7" x14ac:dyDescent="0.25">
      <c r="A896" s="3729" t="s">
        <v>203</v>
      </c>
      <c r="B896" s="3730"/>
      <c r="C896" s="3730"/>
      <c r="D896" s="3730"/>
      <c r="E896" s="3730"/>
      <c r="F896" s="3730"/>
      <c r="G896" s="3730"/>
    </row>
    <row r="897" spans="1:7" x14ac:dyDescent="0.25">
      <c r="A897" s="11" t="s">
        <v>1090</v>
      </c>
      <c r="B897" s="11" t="s">
        <v>1276</v>
      </c>
      <c r="C897" s="812">
        <v>10204</v>
      </c>
      <c r="D897" s="812">
        <v>11261858.66031</v>
      </c>
      <c r="E897" s="813">
        <v>99546.319767929395</v>
      </c>
      <c r="F897" s="814">
        <v>28.8177829619198</v>
      </c>
      <c r="G897" s="815">
        <v>0.25726089623535697</v>
      </c>
    </row>
    <row r="898" spans="1:7" x14ac:dyDescent="0.25">
      <c r="A898" s="6" t="s">
        <v>1094</v>
      </c>
      <c r="B898" s="6" t="s">
        <v>1278</v>
      </c>
      <c r="C898" s="808">
        <v>15043</v>
      </c>
      <c r="D898" s="808">
        <v>9551801.5368072502</v>
      </c>
      <c r="E898" s="809">
        <v>131776.276808636</v>
      </c>
      <c r="F898" s="810">
        <v>24.441946208501399</v>
      </c>
      <c r="G898" s="811">
        <v>0.33519762548103399</v>
      </c>
    </row>
    <row r="899" spans="1:7" x14ac:dyDescent="0.25">
      <c r="A899" s="11" t="s">
        <v>1096</v>
      </c>
      <c r="B899" s="11" t="s">
        <v>1279</v>
      </c>
      <c r="C899" s="812">
        <v>11837</v>
      </c>
      <c r="D899" s="812">
        <v>6730552.8674459299</v>
      </c>
      <c r="E899" s="813">
        <v>78210.045057159194</v>
      </c>
      <c r="F899" s="814">
        <v>17.222699875585501</v>
      </c>
      <c r="G899" s="815">
        <v>0.19820281956015401</v>
      </c>
    </row>
    <row r="900" spans="1:7" x14ac:dyDescent="0.25">
      <c r="A900" s="6" t="s">
        <v>1092</v>
      </c>
      <c r="B900" s="6" t="s">
        <v>1277</v>
      </c>
      <c r="C900" s="808">
        <v>7391</v>
      </c>
      <c r="D900" s="808">
        <v>6119546.8244952196</v>
      </c>
      <c r="E900" s="809">
        <v>96398.648891434699</v>
      </c>
      <c r="F900" s="810">
        <v>15.6592066667576</v>
      </c>
      <c r="G900" s="811">
        <v>0.24734068878538801</v>
      </c>
    </row>
    <row r="901" spans="1:7" x14ac:dyDescent="0.25">
      <c r="A901" s="11" t="s">
        <v>1098</v>
      </c>
      <c r="B901" s="11" t="s">
        <v>1280</v>
      </c>
      <c r="C901" s="812">
        <v>11282</v>
      </c>
      <c r="D901" s="812">
        <v>5415785.8039312502</v>
      </c>
      <c r="E901" s="813">
        <v>81448.514319795402</v>
      </c>
      <c r="F901" s="814">
        <v>13.8583642872357</v>
      </c>
      <c r="G901" s="815">
        <v>0.209191007291954</v>
      </c>
    </row>
    <row r="902" spans="1:7" x14ac:dyDescent="0.25">
      <c r="A902" s="6" t="s">
        <v>1084</v>
      </c>
      <c r="B902" s="6" t="s">
        <v>1085</v>
      </c>
      <c r="C902" s="808">
        <v>37</v>
      </c>
      <c r="D902" s="808">
        <v>45564.9740632104</v>
      </c>
      <c r="E902" s="809">
        <v>8897.1833647703097</v>
      </c>
      <c r="F902" s="810">
        <v>69.807512787922093</v>
      </c>
      <c r="G902" s="811">
        <v>8.03008380882269</v>
      </c>
    </row>
    <row r="903" spans="1:7" x14ac:dyDescent="0.25">
      <c r="A903" s="11" t="s">
        <v>1086</v>
      </c>
      <c r="B903" s="11" t="s">
        <v>1087</v>
      </c>
      <c r="C903" s="812">
        <v>25</v>
      </c>
      <c r="D903" s="812">
        <v>19707.332947123199</v>
      </c>
      <c r="E903" s="813">
        <v>6856.2510888240404</v>
      </c>
      <c r="F903" s="814">
        <v>30.1924872120779</v>
      </c>
      <c r="G903" s="815">
        <v>8.0300838088227007</v>
      </c>
    </row>
    <row r="904" spans="1:7" x14ac:dyDescent="0.25">
      <c r="A904" s="6" t="s">
        <v>6417</v>
      </c>
      <c r="B904" s="6" t="s">
        <v>6418</v>
      </c>
      <c r="C904" s="808">
        <v>55757</v>
      </c>
      <c r="D904" s="808">
        <v>39079545.6929897</v>
      </c>
      <c r="E904" s="809">
        <v>12160.9821428247</v>
      </c>
      <c r="F904" s="810">
        <v>99.833254284103901</v>
      </c>
      <c r="G904" s="811">
        <v>3.1066646274407899E-2</v>
      </c>
    </row>
    <row r="905" spans="1:7" x14ac:dyDescent="0.25">
      <c r="A905" s="11" t="s">
        <v>6417</v>
      </c>
      <c r="B905" s="11" t="s">
        <v>6419</v>
      </c>
      <c r="C905" s="812">
        <v>55819</v>
      </c>
      <c r="D905" s="812">
        <v>39144818</v>
      </c>
      <c r="E905" s="813">
        <v>0</v>
      </c>
      <c r="F905" s="814">
        <v>100</v>
      </c>
      <c r="G905" s="815">
        <v>0</v>
      </c>
    </row>
    <row r="906" spans="1:7" x14ac:dyDescent="0.25">
      <c r="A906" s="3729" t="s">
        <v>642</v>
      </c>
      <c r="B906" s="3730"/>
      <c r="C906" s="3730"/>
      <c r="D906" s="3730"/>
      <c r="E906" s="3730"/>
      <c r="F906" s="3730"/>
      <c r="G906" s="3730"/>
    </row>
    <row r="907" spans="1:7" x14ac:dyDescent="0.25">
      <c r="A907" s="11" t="s">
        <v>1092</v>
      </c>
      <c r="B907" s="11" t="s">
        <v>6140</v>
      </c>
      <c r="C907" s="820">
        <v>47314</v>
      </c>
      <c r="D907" s="820">
        <v>23917617.257310901</v>
      </c>
      <c r="E907" s="821">
        <v>17292.799584812499</v>
      </c>
      <c r="F907" s="822">
        <v>61.206253501857503</v>
      </c>
      <c r="G907" s="823">
        <v>2.0336700573170201E-2</v>
      </c>
    </row>
    <row r="908" spans="1:7" x14ac:dyDescent="0.25">
      <c r="A908" s="6" t="s">
        <v>1090</v>
      </c>
      <c r="B908" s="6" t="s">
        <v>6139</v>
      </c>
      <c r="C908" s="816">
        <v>8383</v>
      </c>
      <c r="D908" s="816">
        <v>15159463.7415858</v>
      </c>
      <c r="E908" s="817">
        <v>12254.7808231009</v>
      </c>
      <c r="F908" s="818">
        <v>38.793746498142497</v>
      </c>
      <c r="G908" s="819">
        <v>2.0336700573181699E-2</v>
      </c>
    </row>
    <row r="909" spans="1:7" x14ac:dyDescent="0.25">
      <c r="A909" s="11" t="s">
        <v>1086</v>
      </c>
      <c r="B909" s="11" t="s">
        <v>1087</v>
      </c>
      <c r="C909" s="820">
        <v>119</v>
      </c>
      <c r="D909" s="820">
        <v>65283.393678292501</v>
      </c>
      <c r="E909" s="821">
        <v>25164.471389062099</v>
      </c>
      <c r="F909" s="822">
        <v>96.377744238453104</v>
      </c>
      <c r="G909" s="823">
        <v>3.87945207826129</v>
      </c>
    </row>
    <row r="910" spans="1:7" x14ac:dyDescent="0.25">
      <c r="A910" s="6" t="s">
        <v>1084</v>
      </c>
      <c r="B910" s="6" t="s">
        <v>1085</v>
      </c>
      <c r="C910" s="816">
        <v>3</v>
      </c>
      <c r="D910" s="816">
        <v>2453.6074251692098</v>
      </c>
      <c r="E910" s="817">
        <v>2338.7798177630898</v>
      </c>
      <c r="F910" s="818">
        <v>3.62225576154687</v>
      </c>
      <c r="G910" s="819">
        <v>3.8794520782612998</v>
      </c>
    </row>
    <row r="911" spans="1:7" x14ac:dyDescent="0.25">
      <c r="A911" s="11" t="s">
        <v>6417</v>
      </c>
      <c r="B911" s="11" t="s">
        <v>6418</v>
      </c>
      <c r="C911" s="820">
        <v>55697</v>
      </c>
      <c r="D911" s="820">
        <v>39077080.998896703</v>
      </c>
      <c r="E911" s="821">
        <v>24689.527170915801</v>
      </c>
      <c r="F911" s="822">
        <v>99.826957935777202</v>
      </c>
      <c r="G911" s="823">
        <v>6.3072274779602505E-2</v>
      </c>
    </row>
    <row r="912" spans="1:7" x14ac:dyDescent="0.25">
      <c r="A912" s="6" t="s">
        <v>6417</v>
      </c>
      <c r="B912" s="6" t="s">
        <v>6419</v>
      </c>
      <c r="C912" s="816">
        <v>55819</v>
      </c>
      <c r="D912" s="816">
        <v>39144818.000000201</v>
      </c>
      <c r="E912" s="817">
        <v>0</v>
      </c>
      <c r="F912" s="818">
        <v>100</v>
      </c>
      <c r="G912" s="819">
        <v>0</v>
      </c>
    </row>
    <row r="913" spans="1:7" x14ac:dyDescent="0.25">
      <c r="A913" s="3729" t="s">
        <v>654</v>
      </c>
      <c r="B913" s="3730"/>
      <c r="C913" s="3730"/>
      <c r="D913" s="3730"/>
      <c r="E913" s="3730"/>
      <c r="F913" s="3730"/>
      <c r="G913" s="3730"/>
    </row>
    <row r="914" spans="1:7" x14ac:dyDescent="0.25">
      <c r="A914" s="11" t="s">
        <v>1090</v>
      </c>
      <c r="B914" s="11" t="s">
        <v>6141</v>
      </c>
      <c r="C914" s="828">
        <v>26112</v>
      </c>
      <c r="D914" s="828">
        <v>14203063.303241201</v>
      </c>
      <c r="E914" s="829">
        <v>46600.677144759597</v>
      </c>
      <c r="F914" s="830">
        <v>36.312755413736902</v>
      </c>
      <c r="G914" s="831">
        <v>0.11820050446497</v>
      </c>
    </row>
    <row r="915" spans="1:7" x14ac:dyDescent="0.25">
      <c r="A915" s="6" t="s">
        <v>1094</v>
      </c>
      <c r="B915" s="6" t="s">
        <v>6143</v>
      </c>
      <c r="C915" s="824">
        <v>11232</v>
      </c>
      <c r="D915" s="824">
        <v>12143947.846945301</v>
      </c>
      <c r="E915" s="825">
        <v>90065.672466849603</v>
      </c>
      <c r="F915" s="826">
        <v>31.048246318994401</v>
      </c>
      <c r="G915" s="827">
        <v>0.223523088993377</v>
      </c>
    </row>
    <row r="916" spans="1:7" x14ac:dyDescent="0.25">
      <c r="A916" s="11" t="s">
        <v>1092</v>
      </c>
      <c r="B916" s="11" t="s">
        <v>6142</v>
      </c>
      <c r="C916" s="828">
        <v>14801</v>
      </c>
      <c r="D916" s="828">
        <v>8346253.33200143</v>
      </c>
      <c r="E916" s="829">
        <v>76078.618761820399</v>
      </c>
      <c r="F916" s="830">
        <v>21.338738650618598</v>
      </c>
      <c r="G916" s="831">
        <v>0.19099209167534201</v>
      </c>
    </row>
    <row r="917" spans="1:7" x14ac:dyDescent="0.25">
      <c r="A917" s="6" t="s">
        <v>1100</v>
      </c>
      <c r="B917" s="6" t="s">
        <v>6146</v>
      </c>
      <c r="C917" s="824">
        <v>1149</v>
      </c>
      <c r="D917" s="824">
        <v>1478303.3898388599</v>
      </c>
      <c r="E917" s="825">
        <v>68448.191476917797</v>
      </c>
      <c r="F917" s="826">
        <v>3.77955573923736</v>
      </c>
      <c r="G917" s="827">
        <v>0.175144735528976</v>
      </c>
    </row>
    <row r="918" spans="1:7" x14ac:dyDescent="0.25">
      <c r="A918" s="11" t="s">
        <v>1096</v>
      </c>
      <c r="B918" s="11" t="s">
        <v>6144</v>
      </c>
      <c r="C918" s="828">
        <v>965</v>
      </c>
      <c r="D918" s="828">
        <v>1177082.57411403</v>
      </c>
      <c r="E918" s="829">
        <v>53827.172123875098</v>
      </c>
      <c r="F918" s="830">
        <v>3.0094290719538299</v>
      </c>
      <c r="G918" s="831">
        <v>0.13774983802020599</v>
      </c>
    </row>
    <row r="919" spans="1:7" x14ac:dyDescent="0.25">
      <c r="A919" s="6" t="s">
        <v>1109</v>
      </c>
      <c r="B919" s="6" t="s">
        <v>6147</v>
      </c>
      <c r="C919" s="824">
        <v>1077</v>
      </c>
      <c r="D919" s="824">
        <v>1110735.3869062299</v>
      </c>
      <c r="E919" s="825">
        <v>58718.371400208103</v>
      </c>
      <c r="F919" s="826">
        <v>2.8398002299196898</v>
      </c>
      <c r="G919" s="827">
        <v>0.15051298637709001</v>
      </c>
    </row>
    <row r="920" spans="1:7" x14ac:dyDescent="0.25">
      <c r="A920" s="11" t="s">
        <v>1098</v>
      </c>
      <c r="B920" s="11" t="s">
        <v>6145</v>
      </c>
      <c r="C920" s="828">
        <v>463</v>
      </c>
      <c r="D920" s="828">
        <v>653766.39518686605</v>
      </c>
      <c r="E920" s="829">
        <v>69723.264030210295</v>
      </c>
      <c r="F920" s="830">
        <v>1.67147457553918</v>
      </c>
      <c r="G920" s="831">
        <v>0.178685947872745</v>
      </c>
    </row>
    <row r="921" spans="1:7" x14ac:dyDescent="0.25">
      <c r="A921" s="6" t="s">
        <v>1102</v>
      </c>
      <c r="B921" s="6"/>
      <c r="C921" s="824">
        <v>8</v>
      </c>
      <c r="D921" s="824">
        <v>18000.0967043542</v>
      </c>
      <c r="E921" s="825">
        <v>7019.6923761227199</v>
      </c>
      <c r="F921" s="826">
        <v>56.844017058093797</v>
      </c>
      <c r="G921" s="827">
        <v>13.8752677372275</v>
      </c>
    </row>
    <row r="922" spans="1:7" x14ac:dyDescent="0.25">
      <c r="A922" s="11" t="s">
        <v>1086</v>
      </c>
      <c r="B922" s="11" t="s">
        <v>1087</v>
      </c>
      <c r="C922" s="828">
        <v>11</v>
      </c>
      <c r="D922" s="828">
        <v>13665.675061843</v>
      </c>
      <c r="E922" s="829">
        <v>6976.0910758486398</v>
      </c>
      <c r="F922" s="830">
        <v>43.155982941906203</v>
      </c>
      <c r="G922" s="831">
        <v>13.875267737227601</v>
      </c>
    </row>
    <row r="923" spans="1:7" x14ac:dyDescent="0.25">
      <c r="A923" s="6" t="s">
        <v>6417</v>
      </c>
      <c r="B923" s="6" t="s">
        <v>6418</v>
      </c>
      <c r="C923" s="824">
        <v>55799</v>
      </c>
      <c r="D923" s="824">
        <v>39113152.228233904</v>
      </c>
      <c r="E923" s="825">
        <v>11627.498578959799</v>
      </c>
      <c r="F923" s="826">
        <v>99.9191060953044</v>
      </c>
      <c r="G923" s="827">
        <v>2.9703800331821802E-2</v>
      </c>
    </row>
    <row r="924" spans="1:7" x14ac:dyDescent="0.25">
      <c r="A924" s="11" t="s">
        <v>6417</v>
      </c>
      <c r="B924" s="11" t="s">
        <v>6419</v>
      </c>
      <c r="C924" s="828">
        <v>55818</v>
      </c>
      <c r="D924" s="828">
        <v>39144818.000000097</v>
      </c>
      <c r="E924" s="829">
        <v>0</v>
      </c>
      <c r="F924" s="830">
        <v>100</v>
      </c>
      <c r="G924" s="831">
        <v>0</v>
      </c>
    </row>
    <row r="925" spans="1:7" x14ac:dyDescent="0.25">
      <c r="A925" s="3729" t="s">
        <v>658</v>
      </c>
      <c r="B925" s="3730"/>
      <c r="C925" s="3730"/>
      <c r="D925" s="3730"/>
      <c r="E925" s="3730"/>
      <c r="F925" s="3730"/>
      <c r="G925" s="3730"/>
    </row>
    <row r="926" spans="1:7" x14ac:dyDescent="0.25">
      <c r="A926" s="11" t="s">
        <v>1092</v>
      </c>
      <c r="B926" s="11" t="s">
        <v>6149</v>
      </c>
      <c r="C926" s="836">
        <v>29180</v>
      </c>
      <c r="D926" s="836">
        <v>19670345.031304698</v>
      </c>
      <c r="E926" s="837">
        <v>12177.8859460929</v>
      </c>
      <c r="F926" s="838">
        <v>50.337108348123301</v>
      </c>
      <c r="G926" s="839">
        <v>1.39383318208211E-2</v>
      </c>
    </row>
    <row r="927" spans="1:7" x14ac:dyDescent="0.25">
      <c r="A927" s="6" t="s">
        <v>1090</v>
      </c>
      <c r="B927" s="6" t="s">
        <v>6148</v>
      </c>
      <c r="C927" s="832">
        <v>26554</v>
      </c>
      <c r="D927" s="832">
        <v>19406879.856679998</v>
      </c>
      <c r="E927" s="833">
        <v>7026.2324470594904</v>
      </c>
      <c r="F927" s="834">
        <v>49.662891651876699</v>
      </c>
      <c r="G927" s="835">
        <v>1.3938331820813599E-2</v>
      </c>
    </row>
    <row r="928" spans="1:7" x14ac:dyDescent="0.25">
      <c r="A928" s="11" t="s">
        <v>1086</v>
      </c>
      <c r="B928" s="11" t="s">
        <v>1147</v>
      </c>
      <c r="C928" s="836">
        <v>76</v>
      </c>
      <c r="D928" s="836">
        <v>52972.771500118099</v>
      </c>
      <c r="E928" s="837">
        <v>13768.116915304099</v>
      </c>
      <c r="F928" s="838">
        <v>78.370073400273796</v>
      </c>
      <c r="G928" s="839">
        <v>9.0352160200790994</v>
      </c>
    </row>
    <row r="929" spans="1:7" x14ac:dyDescent="0.25">
      <c r="A929" s="6" t="s">
        <v>1084</v>
      </c>
      <c r="B929" s="6" t="s">
        <v>1153</v>
      </c>
      <c r="C929" s="832">
        <v>9</v>
      </c>
      <c r="D929" s="832">
        <v>14620.3405154348</v>
      </c>
      <c r="E929" s="833">
        <v>7476.4927583878698</v>
      </c>
      <c r="F929" s="834">
        <v>21.6299265997262</v>
      </c>
      <c r="G929" s="835">
        <v>9.0352160200790994</v>
      </c>
    </row>
    <row r="930" spans="1:7" x14ac:dyDescent="0.25">
      <c r="A930" s="11" t="s">
        <v>6417</v>
      </c>
      <c r="B930" s="11" t="s">
        <v>6418</v>
      </c>
      <c r="C930" s="836">
        <v>55734</v>
      </c>
      <c r="D930" s="836">
        <v>39077224.887984604</v>
      </c>
      <c r="E930" s="837">
        <v>16593.514147303202</v>
      </c>
      <c r="F930" s="838">
        <v>99.827325517222903</v>
      </c>
      <c r="G930" s="839">
        <v>4.23900659017315E-2</v>
      </c>
    </row>
    <row r="931" spans="1:7" x14ac:dyDescent="0.25">
      <c r="A931" s="6" t="s">
        <v>6417</v>
      </c>
      <c r="B931" s="6" t="s">
        <v>6419</v>
      </c>
      <c r="C931" s="832">
        <v>55819</v>
      </c>
      <c r="D931" s="832">
        <v>39144818.000000201</v>
      </c>
      <c r="E931" s="833">
        <v>0</v>
      </c>
      <c r="F931" s="834">
        <v>100</v>
      </c>
      <c r="G931" s="835">
        <v>0</v>
      </c>
    </row>
    <row r="932" spans="1:7" x14ac:dyDescent="0.25">
      <c r="A932" s="3729" t="s">
        <v>650</v>
      </c>
      <c r="B932" s="3730"/>
      <c r="C932" s="3730"/>
      <c r="D932" s="3730"/>
      <c r="E932" s="3730"/>
      <c r="F932" s="3730"/>
      <c r="G932" s="3730"/>
    </row>
    <row r="933" spans="1:7" x14ac:dyDescent="0.25">
      <c r="A933" s="11" t="s">
        <v>1090</v>
      </c>
      <c r="B933" s="11" t="s">
        <v>3129</v>
      </c>
      <c r="C933" s="844">
        <v>41559</v>
      </c>
      <c r="D933" s="844">
        <v>23308456.929097801</v>
      </c>
      <c r="E933" s="845">
        <v>226609.35091462199</v>
      </c>
      <c r="F933" s="846">
        <v>60.516320427678401</v>
      </c>
      <c r="G933" s="847">
        <v>0.63077382380299296</v>
      </c>
    </row>
    <row r="934" spans="1:7" x14ac:dyDescent="0.25">
      <c r="A934" s="6" t="s">
        <v>1094</v>
      </c>
      <c r="B934" s="6" t="s">
        <v>3131</v>
      </c>
      <c r="C934" s="840">
        <v>5441</v>
      </c>
      <c r="D934" s="840">
        <v>5129244.4924141299</v>
      </c>
      <c r="E934" s="841">
        <v>170040.297139637</v>
      </c>
      <c r="F934" s="842">
        <v>13.3171837243047</v>
      </c>
      <c r="G934" s="843">
        <v>0.44577654619370699</v>
      </c>
    </row>
    <row r="935" spans="1:7" x14ac:dyDescent="0.25">
      <c r="A935" s="11" t="s">
        <v>1111</v>
      </c>
      <c r="B935" s="11" t="s">
        <v>3135</v>
      </c>
      <c r="C935" s="844">
        <v>2669</v>
      </c>
      <c r="D935" s="844">
        <v>4484498.1851973701</v>
      </c>
      <c r="E935" s="845">
        <v>216425.73142912099</v>
      </c>
      <c r="F935" s="846">
        <v>11.6432130174158</v>
      </c>
      <c r="G935" s="847">
        <v>0.53815080202533305</v>
      </c>
    </row>
    <row r="936" spans="1:7" x14ac:dyDescent="0.25">
      <c r="A936" s="6" t="s">
        <v>1100</v>
      </c>
      <c r="B936" s="6" t="s">
        <v>3134</v>
      </c>
      <c r="C936" s="840">
        <v>3100</v>
      </c>
      <c r="D936" s="840">
        <v>2667709.3921250398</v>
      </c>
      <c r="E936" s="841">
        <v>131978.37235439001</v>
      </c>
      <c r="F936" s="842">
        <v>6.9262395564344699</v>
      </c>
      <c r="G936" s="843">
        <v>0.34179589420810302</v>
      </c>
    </row>
    <row r="937" spans="1:7" x14ac:dyDescent="0.25">
      <c r="A937" s="11" t="s">
        <v>1092</v>
      </c>
      <c r="B937" s="11" t="s">
        <v>3130</v>
      </c>
      <c r="C937" s="844">
        <v>1718</v>
      </c>
      <c r="D937" s="844">
        <v>2259595.5796034499</v>
      </c>
      <c r="E937" s="845">
        <v>11427.874915691</v>
      </c>
      <c r="F937" s="846">
        <v>5.8666436198760801</v>
      </c>
      <c r="G937" s="847">
        <v>2.6315066686513702E-2</v>
      </c>
    </row>
    <row r="938" spans="1:7" x14ac:dyDescent="0.25">
      <c r="A938" s="6" t="s">
        <v>1096</v>
      </c>
      <c r="B938" s="6" t="s">
        <v>3132</v>
      </c>
      <c r="C938" s="840">
        <v>440</v>
      </c>
      <c r="D938" s="840">
        <v>369472.86864797299</v>
      </c>
      <c r="E938" s="841">
        <v>47488.483644441898</v>
      </c>
      <c r="F938" s="842">
        <v>0.959271502890504</v>
      </c>
      <c r="G938" s="843">
        <v>0.124246953030398</v>
      </c>
    </row>
    <row r="939" spans="1:7" x14ac:dyDescent="0.25">
      <c r="A939" s="11" t="s">
        <v>1098</v>
      </c>
      <c r="B939" s="11" t="s">
        <v>3133</v>
      </c>
      <c r="C939" s="844">
        <v>339</v>
      </c>
      <c r="D939" s="844">
        <v>297007.60351423401</v>
      </c>
      <c r="E939" s="845">
        <v>25861.220802167802</v>
      </c>
      <c r="F939" s="846">
        <v>0.77112815140010704</v>
      </c>
      <c r="G939" s="847">
        <v>6.8492149534408006E-2</v>
      </c>
    </row>
    <row r="940" spans="1:7" x14ac:dyDescent="0.25">
      <c r="A940" s="6" t="s">
        <v>1086</v>
      </c>
      <c r="B940" s="6" t="s">
        <v>3127</v>
      </c>
      <c r="C940" s="840">
        <v>435</v>
      </c>
      <c r="D940" s="840">
        <v>378851.12396155298</v>
      </c>
      <c r="E940" s="841">
        <v>54081.443746410499</v>
      </c>
      <c r="F940" s="842">
        <v>60.246703726804398</v>
      </c>
      <c r="G940" s="843">
        <v>4.7708664969155601</v>
      </c>
    </row>
    <row r="941" spans="1:7" x14ac:dyDescent="0.25">
      <c r="A941" s="11" t="s">
        <v>1084</v>
      </c>
      <c r="B941" s="11" t="s">
        <v>3128</v>
      </c>
      <c r="C941" s="844">
        <v>118</v>
      </c>
      <c r="D941" s="844">
        <v>249981.82543846199</v>
      </c>
      <c r="E941" s="845">
        <v>61922.8073462756</v>
      </c>
      <c r="F941" s="846">
        <v>39.753296273195602</v>
      </c>
      <c r="G941" s="847">
        <v>4.7708664969155601</v>
      </c>
    </row>
    <row r="942" spans="1:7" x14ac:dyDescent="0.25">
      <c r="A942" s="6" t="s">
        <v>6417</v>
      </c>
      <c r="B942" s="6" t="s">
        <v>6418</v>
      </c>
      <c r="C942" s="840">
        <v>55266</v>
      </c>
      <c r="D942" s="840">
        <v>38515985.0506</v>
      </c>
      <c r="E942" s="841">
        <v>104956.546204789</v>
      </c>
      <c r="F942" s="842">
        <v>98.393572938824207</v>
      </c>
      <c r="G942" s="843">
        <v>0.26812373020783697</v>
      </c>
    </row>
    <row r="943" spans="1:7" x14ac:dyDescent="0.25">
      <c r="A943" s="11" t="s">
        <v>6417</v>
      </c>
      <c r="B943" s="11" t="s">
        <v>6419</v>
      </c>
      <c r="C943" s="844">
        <v>55819</v>
      </c>
      <c r="D943" s="844">
        <v>39144818</v>
      </c>
      <c r="E943" s="845">
        <v>0</v>
      </c>
      <c r="F943" s="846">
        <v>100</v>
      </c>
      <c r="G943" s="847">
        <v>0</v>
      </c>
    </row>
    <row r="944" spans="1:7" x14ac:dyDescent="0.25">
      <c r="A944" s="3729" t="s">
        <v>534</v>
      </c>
      <c r="B944" s="3730"/>
      <c r="C944" s="3730"/>
      <c r="D944" s="3730"/>
      <c r="E944" s="3730"/>
      <c r="F944" s="3730"/>
      <c r="G944" s="3730"/>
    </row>
    <row r="945" spans="1:7" x14ac:dyDescent="0.25">
      <c r="A945" s="11" t="s">
        <v>1090</v>
      </c>
      <c r="B945" s="11" t="s">
        <v>6117</v>
      </c>
      <c r="C945" s="852">
        <v>21643</v>
      </c>
      <c r="D945" s="852">
        <v>15970896.0340745</v>
      </c>
      <c r="E945" s="853">
        <v>124546.915438125</v>
      </c>
      <c r="F945" s="854">
        <v>51.449932039552898</v>
      </c>
      <c r="G945" s="855">
        <v>0.39861551039251902</v>
      </c>
    </row>
    <row r="946" spans="1:7" x14ac:dyDescent="0.25">
      <c r="A946" s="6" t="s">
        <v>1100</v>
      </c>
      <c r="B946" s="6" t="s">
        <v>6122</v>
      </c>
      <c r="C946" s="848">
        <v>14989</v>
      </c>
      <c r="D946" s="848">
        <v>5006453.5250496799</v>
      </c>
      <c r="E946" s="849">
        <v>56382.224738826997</v>
      </c>
      <c r="F946" s="850">
        <v>16.128193000156401</v>
      </c>
      <c r="G946" s="851">
        <v>0.184044790405959</v>
      </c>
    </row>
    <row r="947" spans="1:7" x14ac:dyDescent="0.25">
      <c r="A947" s="11" t="s">
        <v>1098</v>
      </c>
      <c r="B947" s="11" t="s">
        <v>6121</v>
      </c>
      <c r="C947" s="852">
        <v>2279</v>
      </c>
      <c r="D947" s="852">
        <v>2647630.4103509798</v>
      </c>
      <c r="E947" s="853">
        <v>104524.21565139601</v>
      </c>
      <c r="F947" s="854">
        <v>8.5292900528423807</v>
      </c>
      <c r="G947" s="855">
        <v>0.33239321554708301</v>
      </c>
    </row>
    <row r="948" spans="1:7" x14ac:dyDescent="0.25">
      <c r="A948" s="6" t="s">
        <v>1096</v>
      </c>
      <c r="B948" s="6" t="s">
        <v>6120</v>
      </c>
      <c r="C948" s="848">
        <v>3103</v>
      </c>
      <c r="D948" s="848">
        <v>2587757.879948</v>
      </c>
      <c r="E948" s="849">
        <v>60703.369481135</v>
      </c>
      <c r="F948" s="850">
        <v>8.3364118565472491</v>
      </c>
      <c r="G948" s="851">
        <v>0.19775524423142399</v>
      </c>
    </row>
    <row r="949" spans="1:7" x14ac:dyDescent="0.25">
      <c r="A949" s="11" t="s">
        <v>1111</v>
      </c>
      <c r="B949" s="11" t="s">
        <v>1143</v>
      </c>
      <c r="C949" s="852">
        <v>3118</v>
      </c>
      <c r="D949" s="852">
        <v>2235937.9024841301</v>
      </c>
      <c r="E949" s="853">
        <v>75937.675277659204</v>
      </c>
      <c r="F949" s="854">
        <v>7.2030306178206498</v>
      </c>
      <c r="G949" s="855">
        <v>0.24609956057722501</v>
      </c>
    </row>
    <row r="950" spans="1:7" x14ac:dyDescent="0.25">
      <c r="A950" s="6" t="s">
        <v>1094</v>
      </c>
      <c r="B950" s="6" t="s">
        <v>6119</v>
      </c>
      <c r="C950" s="848">
        <v>1530</v>
      </c>
      <c r="D950" s="848">
        <v>1513110.28049573</v>
      </c>
      <c r="E950" s="849">
        <v>40790.464418508702</v>
      </c>
      <c r="F950" s="850">
        <v>4.8744554428104401</v>
      </c>
      <c r="G950" s="851">
        <v>0.13021094091731</v>
      </c>
    </row>
    <row r="951" spans="1:7" x14ac:dyDescent="0.25">
      <c r="A951" s="11" t="s">
        <v>1092</v>
      </c>
      <c r="B951" s="11" t="s">
        <v>6118</v>
      </c>
      <c r="C951" s="852">
        <v>1520</v>
      </c>
      <c r="D951" s="852">
        <v>1079841.0426272</v>
      </c>
      <c r="E951" s="853">
        <v>61375.139209755303</v>
      </c>
      <c r="F951" s="854">
        <v>3.47868699026998</v>
      </c>
      <c r="G951" s="855">
        <v>0.19838308859606099</v>
      </c>
    </row>
    <row r="952" spans="1:7" x14ac:dyDescent="0.25">
      <c r="A952" s="6" t="s">
        <v>1088</v>
      </c>
      <c r="B952" s="6" t="s">
        <v>1089</v>
      </c>
      <c r="C952" s="848">
        <v>7630</v>
      </c>
      <c r="D952" s="848">
        <v>8093871.5523033896</v>
      </c>
      <c r="E952" s="849">
        <v>32750.9513625158</v>
      </c>
      <c r="F952" s="850">
        <v>99.884991323138394</v>
      </c>
      <c r="G952" s="851">
        <v>6.8044976745185198E-2</v>
      </c>
    </row>
    <row r="953" spans="1:7" x14ac:dyDescent="0.25">
      <c r="A953" s="11" t="s">
        <v>1086</v>
      </c>
      <c r="B953" s="11" t="s">
        <v>1087</v>
      </c>
      <c r="C953" s="852">
        <v>6</v>
      </c>
      <c r="D953" s="852">
        <v>6344.87370458236</v>
      </c>
      <c r="E953" s="853">
        <v>4845.3008584097197</v>
      </c>
      <c r="F953" s="854">
        <v>7.8300928156965904E-2</v>
      </c>
      <c r="G953" s="855">
        <v>5.9831999782003299E-2</v>
      </c>
    </row>
    <row r="954" spans="1:7" x14ac:dyDescent="0.25">
      <c r="A954" s="6" t="s">
        <v>1084</v>
      </c>
      <c r="B954" s="6" t="s">
        <v>1085</v>
      </c>
      <c r="C954" s="848">
        <v>1</v>
      </c>
      <c r="D954" s="848">
        <v>2974.4989617975698</v>
      </c>
      <c r="E954" s="849">
        <v>2999.4371731231399</v>
      </c>
      <c r="F954" s="850">
        <v>3.6707748704670501E-2</v>
      </c>
      <c r="G954" s="851">
        <v>3.7011282233687097E-2</v>
      </c>
    </row>
    <row r="955" spans="1:7" x14ac:dyDescent="0.25">
      <c r="A955" s="11" t="s">
        <v>6417</v>
      </c>
      <c r="B955" s="11" t="s">
        <v>6418</v>
      </c>
      <c r="C955" s="852">
        <v>48182</v>
      </c>
      <c r="D955" s="852">
        <v>31041627.0750302</v>
      </c>
      <c r="E955" s="853">
        <v>31782.4586935386</v>
      </c>
      <c r="F955" s="854">
        <v>79.2994543365363</v>
      </c>
      <c r="G955" s="855">
        <v>8.1191995051610302E-2</v>
      </c>
    </row>
    <row r="956" spans="1:7" x14ac:dyDescent="0.25">
      <c r="A956" s="6" t="s">
        <v>6417</v>
      </c>
      <c r="B956" s="6" t="s">
        <v>6419</v>
      </c>
      <c r="C956" s="848">
        <v>55819</v>
      </c>
      <c r="D956" s="848">
        <v>39144818</v>
      </c>
      <c r="E956" s="849">
        <v>0</v>
      </c>
      <c r="F956" s="850">
        <v>100</v>
      </c>
      <c r="G956" s="851">
        <v>0</v>
      </c>
    </row>
    <row r="957" spans="1:7" x14ac:dyDescent="0.25">
      <c r="A957" s="3729" t="s">
        <v>515</v>
      </c>
      <c r="B957" s="3730"/>
      <c r="C957" s="3730"/>
      <c r="D957" s="3730"/>
      <c r="E957" s="3730"/>
      <c r="F957" s="3730"/>
      <c r="G957" s="3730"/>
    </row>
    <row r="958" spans="1:7" x14ac:dyDescent="0.25">
      <c r="A958" s="11" t="s">
        <v>1092</v>
      </c>
      <c r="B958" s="11" t="s">
        <v>1180</v>
      </c>
      <c r="C958" s="860">
        <v>23702</v>
      </c>
      <c r="D958" s="860">
        <v>13264799.469252899</v>
      </c>
      <c r="E958" s="861">
        <v>115182.80446142401</v>
      </c>
      <c r="F958" s="862">
        <v>88.0298795703564</v>
      </c>
      <c r="G958" s="863">
        <v>0.42964665386905199</v>
      </c>
    </row>
    <row r="959" spans="1:7" x14ac:dyDescent="0.25">
      <c r="A959" s="6" t="s">
        <v>1090</v>
      </c>
      <c r="B959" s="6" t="s">
        <v>1179</v>
      </c>
      <c r="C959" s="856">
        <v>2823</v>
      </c>
      <c r="D959" s="856">
        <v>1803719.9175664801</v>
      </c>
      <c r="E959" s="857">
        <v>69393.405509438104</v>
      </c>
      <c r="F959" s="858">
        <v>11.9701204296436</v>
      </c>
      <c r="G959" s="859">
        <v>0.42964665386905498</v>
      </c>
    </row>
    <row r="960" spans="1:7" x14ac:dyDescent="0.25">
      <c r="A960" s="11" t="s">
        <v>1088</v>
      </c>
      <c r="B960" s="11" t="s">
        <v>1089</v>
      </c>
      <c r="C960" s="860">
        <v>29270</v>
      </c>
      <c r="D960" s="860">
        <v>24056516.958840899</v>
      </c>
      <c r="E960" s="861">
        <v>126916.623759845</v>
      </c>
      <c r="F960" s="862">
        <v>99.917837643328198</v>
      </c>
      <c r="G960" s="863">
        <v>3.7405721816345203E-2</v>
      </c>
    </row>
    <row r="961" spans="1:7" x14ac:dyDescent="0.25">
      <c r="A961" s="6" t="s">
        <v>1086</v>
      </c>
      <c r="B961" s="6" t="s">
        <v>1147</v>
      </c>
      <c r="C961" s="856">
        <v>15</v>
      </c>
      <c r="D961" s="856">
        <v>13960.905384891599</v>
      </c>
      <c r="E961" s="857">
        <v>6232.8082066154402</v>
      </c>
      <c r="F961" s="858">
        <v>5.7986094994055798E-2</v>
      </c>
      <c r="G961" s="859">
        <v>2.59053912793741E-2</v>
      </c>
    </row>
    <row r="962" spans="1:7" x14ac:dyDescent="0.25">
      <c r="A962" s="11" t="s">
        <v>1084</v>
      </c>
      <c r="B962" s="11" t="s">
        <v>1153</v>
      </c>
      <c r="C962" s="860">
        <v>9</v>
      </c>
      <c r="D962" s="860">
        <v>5820.7489550314904</v>
      </c>
      <c r="E962" s="861">
        <v>4682.4376958221401</v>
      </c>
      <c r="F962" s="862">
        <v>2.41762616777185E-2</v>
      </c>
      <c r="G962" s="863">
        <v>1.9441104561292499E-2</v>
      </c>
    </row>
    <row r="963" spans="1:7" x14ac:dyDescent="0.25">
      <c r="A963" s="6" t="s">
        <v>6417</v>
      </c>
      <c r="B963" s="6" t="s">
        <v>6418</v>
      </c>
      <c r="C963" s="856">
        <v>26525</v>
      </c>
      <c r="D963" s="856">
        <v>15068519.3868194</v>
      </c>
      <c r="E963" s="857">
        <v>125294.198999003</v>
      </c>
      <c r="F963" s="858">
        <v>38.494289044387202</v>
      </c>
      <c r="G963" s="859">
        <v>0.32007863467141101</v>
      </c>
    </row>
    <row r="964" spans="1:7" x14ac:dyDescent="0.25">
      <c r="A964" s="11" t="s">
        <v>6417</v>
      </c>
      <c r="B964" s="11" t="s">
        <v>6419</v>
      </c>
      <c r="C964" s="860">
        <v>55819</v>
      </c>
      <c r="D964" s="860">
        <v>39144818.000000201</v>
      </c>
      <c r="E964" s="861">
        <v>0</v>
      </c>
      <c r="F964" s="862">
        <v>100</v>
      </c>
      <c r="G964" s="863">
        <v>0</v>
      </c>
    </row>
    <row r="965" spans="1:7" x14ac:dyDescent="0.25">
      <c r="A965" s="3729" t="s">
        <v>246</v>
      </c>
      <c r="B965" s="3730"/>
      <c r="C965" s="3730"/>
      <c r="D965" s="3730"/>
      <c r="E965" s="3730"/>
      <c r="F965" s="3730"/>
      <c r="G965" s="3730"/>
    </row>
    <row r="966" spans="1:7" x14ac:dyDescent="0.25">
      <c r="A966" s="11" t="s">
        <v>1092</v>
      </c>
      <c r="B966" s="11" t="s">
        <v>1271</v>
      </c>
      <c r="C966" s="868">
        <v>21914</v>
      </c>
      <c r="D966" s="868">
        <v>15974128.181530699</v>
      </c>
      <c r="E966" s="869">
        <v>152546.20186505499</v>
      </c>
      <c r="F966" s="870">
        <v>89.882536528049698</v>
      </c>
      <c r="G966" s="871">
        <v>0.43057363903309298</v>
      </c>
    </row>
    <row r="967" spans="1:7" x14ac:dyDescent="0.25">
      <c r="A967" s="6" t="s">
        <v>1090</v>
      </c>
      <c r="B967" s="6" t="s">
        <v>1179</v>
      </c>
      <c r="C967" s="864">
        <v>2550</v>
      </c>
      <c r="D967" s="864">
        <v>1798098.54745759</v>
      </c>
      <c r="E967" s="865">
        <v>74138.088470538496</v>
      </c>
      <c r="F967" s="866">
        <v>10.1174634719504</v>
      </c>
      <c r="G967" s="867">
        <v>0.43057363903309098</v>
      </c>
    </row>
    <row r="968" spans="1:7" x14ac:dyDescent="0.25">
      <c r="A968" s="11" t="s">
        <v>1088</v>
      </c>
      <c r="B968" s="11" t="s">
        <v>1089</v>
      </c>
      <c r="C968" s="868">
        <v>31353</v>
      </c>
      <c r="D968" s="868">
        <v>21370202.0483592</v>
      </c>
      <c r="E968" s="869">
        <v>124630.18148607</v>
      </c>
      <c r="F968" s="870">
        <v>99.988821090421794</v>
      </c>
      <c r="G968" s="871">
        <v>1.09953434405815E-2</v>
      </c>
    </row>
    <row r="969" spans="1:7" x14ac:dyDescent="0.25">
      <c r="A969" s="6" t="s">
        <v>1102</v>
      </c>
      <c r="B969" s="6"/>
      <c r="C969" s="864">
        <v>1</v>
      </c>
      <c r="D969" s="864">
        <v>2331.6306573142701</v>
      </c>
      <c r="E969" s="865">
        <v>2361.8860356463701</v>
      </c>
      <c r="F969" s="866">
        <v>1.09094429765132E-2</v>
      </c>
      <c r="G969" s="867">
        <v>1.104809469105E-2</v>
      </c>
    </row>
    <row r="970" spans="1:7" x14ac:dyDescent="0.25">
      <c r="A970" s="11" t="s">
        <v>1084</v>
      </c>
      <c r="B970" s="11" t="s">
        <v>1153</v>
      </c>
      <c r="C970" s="868">
        <v>1</v>
      </c>
      <c r="D970" s="868">
        <v>57.591995391570499</v>
      </c>
      <c r="E970" s="869">
        <v>57.872483072037397</v>
      </c>
      <c r="F970" s="870">
        <v>2.6946660169225201E-4</v>
      </c>
      <c r="G970" s="871">
        <v>2.7089214138185702E-4</v>
      </c>
    </row>
    <row r="971" spans="1:7" x14ac:dyDescent="0.25">
      <c r="A971" s="6" t="s">
        <v>6417</v>
      </c>
      <c r="B971" s="6" t="s">
        <v>6418</v>
      </c>
      <c r="C971" s="864">
        <v>24464</v>
      </c>
      <c r="D971" s="864">
        <v>17772226.728988301</v>
      </c>
      <c r="E971" s="865">
        <v>125372.29456210601</v>
      </c>
      <c r="F971" s="866">
        <v>45.401224573296602</v>
      </c>
      <c r="G971" s="867">
        <v>0.32027813888951101</v>
      </c>
    </row>
    <row r="972" spans="1:7" x14ac:dyDescent="0.25">
      <c r="A972" s="11" t="s">
        <v>6417</v>
      </c>
      <c r="B972" s="11" t="s">
        <v>6419</v>
      </c>
      <c r="C972" s="868">
        <v>55819</v>
      </c>
      <c r="D972" s="868">
        <v>39144818.000000201</v>
      </c>
      <c r="E972" s="869">
        <v>0</v>
      </c>
      <c r="F972" s="870">
        <v>100</v>
      </c>
      <c r="G972" s="871">
        <v>0</v>
      </c>
    </row>
    <row r="973" spans="1:7" x14ac:dyDescent="0.25">
      <c r="A973" s="3729" t="s">
        <v>1044</v>
      </c>
      <c r="B973" s="3730"/>
      <c r="C973" s="3730"/>
      <c r="D973" s="3730"/>
      <c r="E973" s="3730"/>
      <c r="F973" s="3730"/>
      <c r="G973" s="3730"/>
    </row>
    <row r="974" spans="1:7" x14ac:dyDescent="0.25">
      <c r="A974" s="11" t="s">
        <v>1092</v>
      </c>
      <c r="B974" s="11" t="s">
        <v>1180</v>
      </c>
      <c r="C974" s="876">
        <v>20284</v>
      </c>
      <c r="D974" s="876">
        <v>15290099.5378842</v>
      </c>
      <c r="E974" s="877">
        <v>91120.049793596598</v>
      </c>
      <c r="F974" s="878">
        <v>86.046376878115694</v>
      </c>
      <c r="G974" s="879">
        <v>0.23463158618375399</v>
      </c>
    </row>
    <row r="975" spans="1:7" x14ac:dyDescent="0.25">
      <c r="A975" s="6" t="s">
        <v>1090</v>
      </c>
      <c r="B975" s="6" t="s">
        <v>1179</v>
      </c>
      <c r="C975" s="872">
        <v>4178</v>
      </c>
      <c r="D975" s="872">
        <v>2479503.4281332502</v>
      </c>
      <c r="E975" s="873">
        <v>53197.151275371099</v>
      </c>
      <c r="F975" s="874">
        <v>13.9536231218843</v>
      </c>
      <c r="G975" s="875">
        <v>0.23463158618375099</v>
      </c>
    </row>
    <row r="976" spans="1:7" x14ac:dyDescent="0.25">
      <c r="A976" s="11" t="s">
        <v>1088</v>
      </c>
      <c r="B976" s="11" t="s">
        <v>1089</v>
      </c>
      <c r="C976" s="876">
        <v>31353</v>
      </c>
      <c r="D976" s="876">
        <v>21370202.0483592</v>
      </c>
      <c r="E976" s="877">
        <v>124630.18148607</v>
      </c>
      <c r="F976" s="878">
        <v>99.976547671611399</v>
      </c>
      <c r="G976" s="879">
        <v>1.1959330375108599E-2</v>
      </c>
    </row>
    <row r="977" spans="1:7" x14ac:dyDescent="0.25">
      <c r="A977" s="6" t="s">
        <v>1084</v>
      </c>
      <c r="B977" s="6" t="s">
        <v>1153</v>
      </c>
      <c r="C977" s="872">
        <v>3</v>
      </c>
      <c r="D977" s="872">
        <v>2681.35496621832</v>
      </c>
      <c r="E977" s="873">
        <v>1654.96914667755</v>
      </c>
      <c r="F977" s="874">
        <v>1.2544224523381199E-2</v>
      </c>
      <c r="G977" s="875">
        <v>7.7752284121999004E-3</v>
      </c>
    </row>
    <row r="978" spans="1:7" x14ac:dyDescent="0.25">
      <c r="A978" s="11" t="s">
        <v>1102</v>
      </c>
      <c r="B978" s="11"/>
      <c r="C978" s="876">
        <v>1</v>
      </c>
      <c r="D978" s="876">
        <v>2331.6306573142701</v>
      </c>
      <c r="E978" s="877">
        <v>2361.8860356463701</v>
      </c>
      <c r="F978" s="878">
        <v>1.0908103865188701E-2</v>
      </c>
      <c r="G978" s="879">
        <v>1.10467316620709E-2</v>
      </c>
    </row>
    <row r="979" spans="1:7" x14ac:dyDescent="0.25">
      <c r="A979" s="6" t="s">
        <v>6417</v>
      </c>
      <c r="B979" s="6" t="s">
        <v>6418</v>
      </c>
      <c r="C979" s="872">
        <v>24462</v>
      </c>
      <c r="D979" s="872">
        <v>17769602.9660175</v>
      </c>
      <c r="E979" s="873">
        <v>124330.022530134</v>
      </c>
      <c r="F979" s="874">
        <v>45.394521864981897</v>
      </c>
      <c r="G979" s="875">
        <v>0.31761553350462601</v>
      </c>
    </row>
    <row r="980" spans="1:7" x14ac:dyDescent="0.25">
      <c r="A980" s="11" t="s">
        <v>6417</v>
      </c>
      <c r="B980" s="11" t="s">
        <v>6419</v>
      </c>
      <c r="C980" s="876">
        <v>55819</v>
      </c>
      <c r="D980" s="876">
        <v>39144818.000000201</v>
      </c>
      <c r="E980" s="877">
        <v>0</v>
      </c>
      <c r="F980" s="878">
        <v>100</v>
      </c>
      <c r="G980" s="879">
        <v>0</v>
      </c>
    </row>
    <row r="981" spans="1:7" x14ac:dyDescent="0.25">
      <c r="A981" s="3729" t="s">
        <v>992</v>
      </c>
      <c r="B981" s="3730"/>
      <c r="C981" s="3730"/>
      <c r="D981" s="3730"/>
      <c r="E981" s="3730"/>
      <c r="F981" s="3730"/>
      <c r="G981" s="3730"/>
    </row>
    <row r="982" spans="1:7" x14ac:dyDescent="0.25">
      <c r="A982" s="11" t="s">
        <v>1090</v>
      </c>
      <c r="B982" s="11" t="s">
        <v>6310</v>
      </c>
      <c r="C982" s="884">
        <v>18503</v>
      </c>
      <c r="D982" s="884">
        <v>13610709.4031622</v>
      </c>
      <c r="E982" s="885">
        <v>102103.922257584</v>
      </c>
      <c r="F982" s="886">
        <v>76.616841583137401</v>
      </c>
      <c r="G982" s="887">
        <v>0.42130656635730801</v>
      </c>
    </row>
    <row r="983" spans="1:7" x14ac:dyDescent="0.25">
      <c r="A983" s="6" t="s">
        <v>1092</v>
      </c>
      <c r="B983" s="6" t="s">
        <v>6311</v>
      </c>
      <c r="C983" s="880">
        <v>5945</v>
      </c>
      <c r="D983" s="880">
        <v>4153934.9255826101</v>
      </c>
      <c r="E983" s="881">
        <v>87907.217863808502</v>
      </c>
      <c r="F983" s="882">
        <v>23.383158416862699</v>
      </c>
      <c r="G983" s="883">
        <v>0.42130656635730401</v>
      </c>
    </row>
    <row r="984" spans="1:7" x14ac:dyDescent="0.25">
      <c r="A984" s="11" t="s">
        <v>1088</v>
      </c>
      <c r="B984" s="11" t="s">
        <v>1089</v>
      </c>
      <c r="C984" s="884">
        <v>31354</v>
      </c>
      <c r="D984" s="884">
        <v>21372533.679016501</v>
      </c>
      <c r="E984" s="885">
        <v>125384.160031965</v>
      </c>
      <c r="F984" s="886">
        <v>99.964265995420305</v>
      </c>
      <c r="G984" s="887">
        <v>1.07401415459432E-2</v>
      </c>
    </row>
    <row r="985" spans="1:7" x14ac:dyDescent="0.25">
      <c r="A985" s="6" t="s">
        <v>1084</v>
      </c>
      <c r="B985" s="6" t="s">
        <v>1085</v>
      </c>
      <c r="C985" s="880">
        <v>11</v>
      </c>
      <c r="D985" s="880">
        <v>5463.8593685147098</v>
      </c>
      <c r="E985" s="881">
        <v>2306.05129200183</v>
      </c>
      <c r="F985" s="882">
        <v>2.5555729586334602E-2</v>
      </c>
      <c r="G985" s="883">
        <v>1.0849472410168899E-2</v>
      </c>
    </row>
    <row r="986" spans="1:7" x14ac:dyDescent="0.25">
      <c r="A986" s="11" t="s">
        <v>1086</v>
      </c>
      <c r="B986" s="11" t="s">
        <v>1087</v>
      </c>
      <c r="C986" s="884">
        <v>6</v>
      </c>
      <c r="D986" s="884">
        <v>2176.1328703141999</v>
      </c>
      <c r="E986" s="885">
        <v>770.64054183775704</v>
      </c>
      <c r="F986" s="886">
        <v>1.0178274993340701E-2</v>
      </c>
      <c r="G986" s="887">
        <v>3.61263804921182E-3</v>
      </c>
    </row>
    <row r="987" spans="1:7" x14ac:dyDescent="0.25">
      <c r="A987" s="6" t="s">
        <v>6417</v>
      </c>
      <c r="B987" s="6" t="s">
        <v>6418</v>
      </c>
      <c r="C987" s="880">
        <v>24448</v>
      </c>
      <c r="D987" s="880">
        <v>17764644.328744799</v>
      </c>
      <c r="E987" s="881">
        <v>124189.17802729701</v>
      </c>
      <c r="F987" s="882">
        <v>45.381854448128401</v>
      </c>
      <c r="G987" s="883">
        <v>0.31725572980644801</v>
      </c>
    </row>
    <row r="988" spans="1:7" x14ac:dyDescent="0.25">
      <c r="A988" s="11" t="s">
        <v>6417</v>
      </c>
      <c r="B988" s="11" t="s">
        <v>6419</v>
      </c>
      <c r="C988" s="884">
        <v>55819</v>
      </c>
      <c r="D988" s="884">
        <v>39144818.000000097</v>
      </c>
      <c r="E988" s="885">
        <v>0</v>
      </c>
      <c r="F988" s="886">
        <v>100</v>
      </c>
      <c r="G988" s="887">
        <v>0</v>
      </c>
    </row>
    <row r="989" spans="1:7" x14ac:dyDescent="0.25">
      <c r="A989" s="3729" t="s">
        <v>1054</v>
      </c>
      <c r="B989" s="3730"/>
      <c r="C989" s="3730"/>
      <c r="D989" s="3730"/>
      <c r="E989" s="3730"/>
      <c r="F989" s="3730"/>
      <c r="G989" s="3730"/>
    </row>
    <row r="990" spans="1:7" x14ac:dyDescent="0.25">
      <c r="A990" s="11" t="s">
        <v>1094</v>
      </c>
      <c r="B990" s="11" t="s">
        <v>6178</v>
      </c>
      <c r="C990" s="892">
        <v>13603</v>
      </c>
      <c r="D990" s="892">
        <v>10556899.6801359</v>
      </c>
      <c r="E990" s="893">
        <v>135894.46022680399</v>
      </c>
      <c r="F990" s="894">
        <v>68.999532413532805</v>
      </c>
      <c r="G990" s="895">
        <v>0.84810785345652595</v>
      </c>
    </row>
    <row r="991" spans="1:7" x14ac:dyDescent="0.25">
      <c r="A991" s="6" t="s">
        <v>1096</v>
      </c>
      <c r="B991" s="6" t="s">
        <v>6179</v>
      </c>
      <c r="C991" s="888">
        <v>1982</v>
      </c>
      <c r="D991" s="888">
        <v>1242826.45103171</v>
      </c>
      <c r="E991" s="889">
        <v>57249.568145807803</v>
      </c>
      <c r="F991" s="890">
        <v>8.1230708437739096</v>
      </c>
      <c r="G991" s="891">
        <v>0.37065388093602603</v>
      </c>
    </row>
    <row r="992" spans="1:7" x14ac:dyDescent="0.25">
      <c r="A992" s="11" t="s">
        <v>1100</v>
      </c>
      <c r="B992" s="11" t="s">
        <v>6180</v>
      </c>
      <c r="C992" s="892">
        <v>2002</v>
      </c>
      <c r="D992" s="892">
        <v>1086110.5853514301</v>
      </c>
      <c r="E992" s="893">
        <v>73704.674012711097</v>
      </c>
      <c r="F992" s="894">
        <v>7.0987813476761099</v>
      </c>
      <c r="G992" s="895">
        <v>0.475073382528931</v>
      </c>
    </row>
    <row r="993" spans="1:7" x14ac:dyDescent="0.25">
      <c r="A993" s="6" t="s">
        <v>1125</v>
      </c>
      <c r="B993" s="6" t="s">
        <v>6206</v>
      </c>
      <c r="C993" s="888">
        <v>444</v>
      </c>
      <c r="D993" s="888">
        <v>489688.96412991302</v>
      </c>
      <c r="E993" s="889">
        <v>45940.376623472403</v>
      </c>
      <c r="F993" s="890">
        <v>3.2005901899975302</v>
      </c>
      <c r="G993" s="891">
        <v>0.30402969817136</v>
      </c>
    </row>
    <row r="994" spans="1:7" x14ac:dyDescent="0.25">
      <c r="A994" s="11" t="s">
        <v>1090</v>
      </c>
      <c r="B994" s="11" t="s">
        <v>927</v>
      </c>
      <c r="C994" s="892">
        <v>486</v>
      </c>
      <c r="D994" s="892">
        <v>424218.22054315999</v>
      </c>
      <c r="E994" s="893">
        <v>20451.2952862534</v>
      </c>
      <c r="F994" s="894">
        <v>2.7726756666879702</v>
      </c>
      <c r="G994" s="895">
        <v>0.132987138778071</v>
      </c>
    </row>
    <row r="995" spans="1:7" x14ac:dyDescent="0.25">
      <c r="A995" s="6" t="s">
        <v>1135</v>
      </c>
      <c r="B995" s="6" t="s">
        <v>6208</v>
      </c>
      <c r="C995" s="888">
        <v>334</v>
      </c>
      <c r="D995" s="888">
        <v>355381.248917747</v>
      </c>
      <c r="E995" s="889">
        <v>38660.6940841623</v>
      </c>
      <c r="F995" s="890">
        <v>2.32275959295144</v>
      </c>
      <c r="G995" s="891">
        <v>0.246752324135081</v>
      </c>
    </row>
    <row r="996" spans="1:7" x14ac:dyDescent="0.25">
      <c r="A996" s="11" t="s">
        <v>1098</v>
      </c>
      <c r="B996" s="11" t="s">
        <v>6200</v>
      </c>
      <c r="C996" s="892">
        <v>408</v>
      </c>
      <c r="D996" s="892">
        <v>343674.558160657</v>
      </c>
      <c r="E996" s="893">
        <v>40266.708281380103</v>
      </c>
      <c r="F996" s="894">
        <v>2.24624506569219</v>
      </c>
      <c r="G996" s="895">
        <v>0.26034313184781399</v>
      </c>
    </row>
    <row r="997" spans="1:7" x14ac:dyDescent="0.25">
      <c r="A997" s="6" t="s">
        <v>1092</v>
      </c>
      <c r="B997" s="6" t="s">
        <v>1107</v>
      </c>
      <c r="C997" s="888">
        <v>422</v>
      </c>
      <c r="D997" s="888">
        <v>253981.83555856399</v>
      </c>
      <c r="E997" s="889">
        <v>32898.9345620323</v>
      </c>
      <c r="F997" s="890">
        <v>1.6600165224688399</v>
      </c>
      <c r="G997" s="891">
        <v>0.21587853591644601</v>
      </c>
    </row>
    <row r="998" spans="1:7" x14ac:dyDescent="0.25">
      <c r="A998" s="11" t="s">
        <v>1133</v>
      </c>
      <c r="B998" s="11" t="s">
        <v>6189</v>
      </c>
      <c r="C998" s="892">
        <v>178</v>
      </c>
      <c r="D998" s="892">
        <v>159175.24747493799</v>
      </c>
      <c r="E998" s="893">
        <v>15663.3919275394</v>
      </c>
      <c r="F998" s="894">
        <v>1.0403639307329</v>
      </c>
      <c r="G998" s="895">
        <v>0.101499710639605</v>
      </c>
    </row>
    <row r="999" spans="1:7" x14ac:dyDescent="0.25">
      <c r="A999" s="6" t="s">
        <v>1119</v>
      </c>
      <c r="B999" s="6" t="s">
        <v>6182</v>
      </c>
      <c r="C999" s="888">
        <v>126</v>
      </c>
      <c r="D999" s="888">
        <v>91333.490783845802</v>
      </c>
      <c r="E999" s="889">
        <v>15191.163169343899</v>
      </c>
      <c r="F999" s="890">
        <v>0.59695254750208104</v>
      </c>
      <c r="G999" s="891">
        <v>0.100178115475515</v>
      </c>
    </row>
    <row r="1000" spans="1:7" x14ac:dyDescent="0.25">
      <c r="A1000" s="11" t="s">
        <v>1111</v>
      </c>
      <c r="B1000" s="11" t="s">
        <v>1112</v>
      </c>
      <c r="C1000" s="892">
        <v>92</v>
      </c>
      <c r="D1000" s="892">
        <v>88144.645193075296</v>
      </c>
      <c r="E1000" s="893">
        <v>20607.446347311099</v>
      </c>
      <c r="F1000" s="894">
        <v>0.57611036264016302</v>
      </c>
      <c r="G1000" s="895">
        <v>0.134863054686715</v>
      </c>
    </row>
    <row r="1001" spans="1:7" x14ac:dyDescent="0.25">
      <c r="A1001" s="6" t="s">
        <v>1129</v>
      </c>
      <c r="B1001" s="6" t="s">
        <v>6207</v>
      </c>
      <c r="C1001" s="888">
        <v>57</v>
      </c>
      <c r="D1001" s="888">
        <v>66502.741080838896</v>
      </c>
      <c r="E1001" s="889">
        <v>14408.428928413499</v>
      </c>
      <c r="F1001" s="890">
        <v>0.43465962335800401</v>
      </c>
      <c r="G1001" s="891">
        <v>9.4118929513488797E-2</v>
      </c>
    </row>
    <row r="1002" spans="1:7" x14ac:dyDescent="0.25">
      <c r="A1002" s="11" t="s">
        <v>1137</v>
      </c>
      <c r="B1002" s="11" t="s">
        <v>6191</v>
      </c>
      <c r="C1002" s="892">
        <v>43</v>
      </c>
      <c r="D1002" s="892">
        <v>46898.294250191197</v>
      </c>
      <c r="E1002" s="893">
        <v>19299.598588705801</v>
      </c>
      <c r="F1002" s="894">
        <v>0.30652563463725102</v>
      </c>
      <c r="G1002" s="895">
        <v>0.12569482905434601</v>
      </c>
    </row>
    <row r="1003" spans="1:7" x14ac:dyDescent="0.25">
      <c r="A1003" s="6" t="s">
        <v>1141</v>
      </c>
      <c r="B1003" s="6" t="s">
        <v>6193</v>
      </c>
      <c r="C1003" s="888">
        <v>37</v>
      </c>
      <c r="D1003" s="888">
        <v>25196.292435619202</v>
      </c>
      <c r="E1003" s="889">
        <v>9666.6539380344893</v>
      </c>
      <c r="F1003" s="890">
        <v>0.16468209884419099</v>
      </c>
      <c r="G1003" s="891">
        <v>6.3072732575329193E-2</v>
      </c>
    </row>
    <row r="1004" spans="1:7" x14ac:dyDescent="0.25">
      <c r="A1004" s="11" t="s">
        <v>1295</v>
      </c>
      <c r="B1004" s="11" t="s">
        <v>6194</v>
      </c>
      <c r="C1004" s="892">
        <v>18</v>
      </c>
      <c r="D1004" s="892">
        <v>20121.224574921202</v>
      </c>
      <c r="E1004" s="893">
        <v>6477.1876239739704</v>
      </c>
      <c r="F1004" s="894">
        <v>0.13151163024401999</v>
      </c>
      <c r="G1004" s="895">
        <v>4.2363151882744698E-2</v>
      </c>
    </row>
    <row r="1005" spans="1:7" x14ac:dyDescent="0.25">
      <c r="A1005" s="6" t="s">
        <v>1123</v>
      </c>
      <c r="B1005" s="6" t="s">
        <v>6184</v>
      </c>
      <c r="C1005" s="888">
        <v>15</v>
      </c>
      <c r="D1005" s="888">
        <v>14438.9005913563</v>
      </c>
      <c r="E1005" s="889">
        <v>6486.25574075647</v>
      </c>
      <c r="F1005" s="890">
        <v>9.4372156556880193E-2</v>
      </c>
      <c r="G1005" s="891">
        <v>4.2476471055496103E-2</v>
      </c>
    </row>
    <row r="1006" spans="1:7" x14ac:dyDescent="0.25">
      <c r="A1006" s="11" t="s">
        <v>1127</v>
      </c>
      <c r="B1006" s="11" t="s">
        <v>6186</v>
      </c>
      <c r="C1006" s="892">
        <v>12</v>
      </c>
      <c r="D1006" s="892">
        <v>13098.511956554599</v>
      </c>
      <c r="E1006" s="893">
        <v>10290.374626041001</v>
      </c>
      <c r="F1006" s="894">
        <v>8.56114226429492E-2</v>
      </c>
      <c r="G1006" s="895">
        <v>6.7167990502810401E-2</v>
      </c>
    </row>
    <row r="1007" spans="1:7" x14ac:dyDescent="0.25">
      <c r="A1007" s="6" t="s">
        <v>1139</v>
      </c>
      <c r="B1007" s="6" t="s">
        <v>1106</v>
      </c>
      <c r="C1007" s="888">
        <v>18</v>
      </c>
      <c r="D1007" s="888">
        <v>10697.9743213291</v>
      </c>
      <c r="E1007" s="889">
        <v>4874.2850828436704</v>
      </c>
      <c r="F1007" s="890">
        <v>6.9921591405534805E-2</v>
      </c>
      <c r="G1007" s="891">
        <v>3.1804370402403498E-2</v>
      </c>
    </row>
    <row r="1008" spans="1:7" x14ac:dyDescent="0.25">
      <c r="A1008" s="11" t="s">
        <v>1131</v>
      </c>
      <c r="B1008" s="11" t="s">
        <v>6314</v>
      </c>
      <c r="C1008" s="892">
        <v>5</v>
      </c>
      <c r="D1008" s="892">
        <v>6098.9474787110603</v>
      </c>
      <c r="E1008" s="893">
        <v>4307.7786222080404</v>
      </c>
      <c r="F1008" s="894">
        <v>3.9862510490422602E-2</v>
      </c>
      <c r="G1008" s="895">
        <v>2.8207541660870899E-2</v>
      </c>
    </row>
    <row r="1009" spans="1:7" x14ac:dyDescent="0.25">
      <c r="A1009" s="6" t="s">
        <v>1109</v>
      </c>
      <c r="B1009" s="6" t="s">
        <v>6181</v>
      </c>
      <c r="C1009" s="888">
        <v>5</v>
      </c>
      <c r="D1009" s="888">
        <v>4985.4799893919599</v>
      </c>
      <c r="E1009" s="889">
        <v>4217.4755498483801</v>
      </c>
      <c r="F1009" s="890">
        <v>3.25849253614049E-2</v>
      </c>
      <c r="G1009" s="891">
        <v>2.7562622519966499E-2</v>
      </c>
    </row>
    <row r="1010" spans="1:7" x14ac:dyDescent="0.25">
      <c r="A1010" s="11" t="s">
        <v>1121</v>
      </c>
      <c r="B1010" s="11" t="s">
        <v>6204</v>
      </c>
      <c r="C1010" s="892">
        <v>3</v>
      </c>
      <c r="D1010" s="892">
        <v>484.996866777246</v>
      </c>
      <c r="E1010" s="893">
        <v>451.005408997328</v>
      </c>
      <c r="F1010" s="894">
        <v>3.1699228034368799E-3</v>
      </c>
      <c r="G1010" s="895">
        <v>2.9457244492707099E-3</v>
      </c>
    </row>
    <row r="1011" spans="1:7" x14ac:dyDescent="0.25">
      <c r="A1011" s="6" t="s">
        <v>1088</v>
      </c>
      <c r="B1011" s="6" t="s">
        <v>1089</v>
      </c>
      <c r="C1011" s="888">
        <v>35528</v>
      </c>
      <c r="D1011" s="888">
        <v>23844859.709173501</v>
      </c>
      <c r="E1011" s="889">
        <v>88512.688180273297</v>
      </c>
      <c r="F1011" s="890">
        <v>100</v>
      </c>
      <c r="G1011" s="891">
        <v>0</v>
      </c>
    </row>
    <row r="1012" spans="1:7" x14ac:dyDescent="0.25">
      <c r="A1012" s="11" t="s">
        <v>6417</v>
      </c>
      <c r="B1012" s="11" t="s">
        <v>6418</v>
      </c>
      <c r="C1012" s="892">
        <v>20290</v>
      </c>
      <c r="D1012" s="892">
        <v>15299958.290826701</v>
      </c>
      <c r="E1012" s="893">
        <v>88512.688180249505</v>
      </c>
      <c r="F1012" s="894">
        <v>39.085526699412902</v>
      </c>
      <c r="G1012" s="895">
        <v>0.226115978314823</v>
      </c>
    </row>
    <row r="1013" spans="1:7" x14ac:dyDescent="0.25">
      <c r="A1013" s="6" t="s">
        <v>6417</v>
      </c>
      <c r="B1013" s="6" t="s">
        <v>6419</v>
      </c>
      <c r="C1013" s="888">
        <v>55818</v>
      </c>
      <c r="D1013" s="888">
        <v>39144818.000000201</v>
      </c>
      <c r="E1013" s="889">
        <v>0</v>
      </c>
      <c r="F1013" s="890">
        <v>100</v>
      </c>
      <c r="G1013" s="891">
        <v>0</v>
      </c>
    </row>
    <row r="1014" spans="1:7" x14ac:dyDescent="0.25">
      <c r="A1014" s="3729" t="s">
        <v>1057</v>
      </c>
      <c r="B1014" s="3730"/>
      <c r="C1014" s="3730"/>
      <c r="D1014" s="3730"/>
      <c r="E1014" s="3730"/>
      <c r="F1014" s="3730"/>
      <c r="G1014" s="3730"/>
    </row>
    <row r="1015" spans="1:7" x14ac:dyDescent="0.25">
      <c r="A1015" s="11" t="s">
        <v>6512</v>
      </c>
      <c r="B1015" s="11"/>
      <c r="C1015" s="900">
        <v>20</v>
      </c>
      <c r="D1015" s="900">
        <v>52216.145715591199</v>
      </c>
      <c r="E1015" s="901">
        <v>14917.478035141299</v>
      </c>
      <c r="F1015" s="902">
        <v>63.327815352706601</v>
      </c>
      <c r="G1015" s="903">
        <v>9.8944549559608408</v>
      </c>
    </row>
    <row r="1016" spans="1:7" x14ac:dyDescent="0.25">
      <c r="A1016" s="6" t="s">
        <v>6513</v>
      </c>
      <c r="B1016" s="6"/>
      <c r="C1016" s="896">
        <v>24</v>
      </c>
      <c r="D1016" s="896">
        <v>7835.0411401092897</v>
      </c>
      <c r="E1016" s="897">
        <v>2405.6331884070401</v>
      </c>
      <c r="F1016" s="898">
        <v>9.5023489727536106</v>
      </c>
      <c r="G1016" s="899">
        <v>3.85778279052747</v>
      </c>
    </row>
    <row r="1017" spans="1:7" x14ac:dyDescent="0.25">
      <c r="A1017" s="11" t="s">
        <v>6514</v>
      </c>
      <c r="B1017" s="11"/>
      <c r="C1017" s="900">
        <v>10</v>
      </c>
      <c r="D1017" s="900">
        <v>7439.7581891999498</v>
      </c>
      <c r="E1017" s="901">
        <v>4601.7747614792997</v>
      </c>
      <c r="F1017" s="902">
        <v>9.0229492509969607</v>
      </c>
      <c r="G1017" s="903">
        <v>5.3405676408759302</v>
      </c>
    </row>
    <row r="1018" spans="1:7" x14ac:dyDescent="0.25">
      <c r="A1018" s="6" t="s">
        <v>6515</v>
      </c>
      <c r="B1018" s="6"/>
      <c r="C1018" s="896">
        <v>4</v>
      </c>
      <c r="D1018" s="896">
        <v>5912.5479808156197</v>
      </c>
      <c r="E1018" s="897">
        <v>5710.79797022806</v>
      </c>
      <c r="F1018" s="898">
        <v>7.1707465509333703</v>
      </c>
      <c r="G1018" s="899">
        <v>6.9298731964161302</v>
      </c>
    </row>
    <row r="1019" spans="1:7" x14ac:dyDescent="0.25">
      <c r="A1019" s="11" t="s">
        <v>6516</v>
      </c>
      <c r="B1019" s="11"/>
      <c r="C1019" s="900">
        <v>12</v>
      </c>
      <c r="D1019" s="900">
        <v>5379.6156318559997</v>
      </c>
      <c r="E1019" s="901">
        <v>2418.1257655700601</v>
      </c>
      <c r="F1019" s="902">
        <v>6.5244054445977104</v>
      </c>
      <c r="G1019" s="903">
        <v>3.3257395074546698</v>
      </c>
    </row>
    <row r="1020" spans="1:7" x14ac:dyDescent="0.25">
      <c r="A1020" s="6" t="s">
        <v>6517</v>
      </c>
      <c r="B1020" s="6"/>
      <c r="C1020" s="896">
        <v>6</v>
      </c>
      <c r="D1020" s="896">
        <v>2448.0080105885399</v>
      </c>
      <c r="E1020" s="897">
        <v>1763.34997159045</v>
      </c>
      <c r="F1020" s="898">
        <v>2.9689475765004301</v>
      </c>
      <c r="G1020" s="899">
        <v>2.2155183202630901</v>
      </c>
    </row>
    <row r="1021" spans="1:7" x14ac:dyDescent="0.25">
      <c r="A1021" s="11" t="s">
        <v>6518</v>
      </c>
      <c r="B1021" s="11"/>
      <c r="C1021" s="900">
        <v>1</v>
      </c>
      <c r="D1021" s="900">
        <v>950.52994783588395</v>
      </c>
      <c r="E1021" s="901">
        <v>977.59293488594903</v>
      </c>
      <c r="F1021" s="902">
        <v>1.15280406469747</v>
      </c>
      <c r="G1021" s="903">
        <v>1.1934845171525099</v>
      </c>
    </row>
    <row r="1022" spans="1:7" x14ac:dyDescent="0.25">
      <c r="A1022" s="6" t="s">
        <v>6519</v>
      </c>
      <c r="B1022" s="6"/>
      <c r="C1022" s="896">
        <v>7</v>
      </c>
      <c r="D1022" s="896">
        <v>231.50655949377801</v>
      </c>
      <c r="E1022" s="897">
        <v>119.21370053834001</v>
      </c>
      <c r="F1022" s="898">
        <v>0.280771482683081</v>
      </c>
      <c r="G1022" s="899">
        <v>0.184974982689907</v>
      </c>
    </row>
    <row r="1023" spans="1:7" x14ac:dyDescent="0.25">
      <c r="A1023" s="11" t="s">
        <v>6520</v>
      </c>
      <c r="B1023" s="11"/>
      <c r="C1023" s="900">
        <v>1</v>
      </c>
      <c r="D1023" s="900">
        <v>40.576555705184397</v>
      </c>
      <c r="E1023" s="901">
        <v>40.399231707144303</v>
      </c>
      <c r="F1023" s="902">
        <v>4.9211304130773299E-2</v>
      </c>
      <c r="G1023" s="903">
        <v>5.0592603697458403E-2</v>
      </c>
    </row>
    <row r="1024" spans="1:7" x14ac:dyDescent="0.25">
      <c r="A1024" s="6" t="s">
        <v>1088</v>
      </c>
      <c r="B1024" s="6" t="s">
        <v>1089</v>
      </c>
      <c r="C1024" s="896">
        <v>55727</v>
      </c>
      <c r="D1024" s="896">
        <v>39056673.354806699</v>
      </c>
      <c r="E1024" s="897">
        <v>20607.446346946701</v>
      </c>
      <c r="F1024" s="898">
        <v>99.985431205795706</v>
      </c>
      <c r="G1024" s="899">
        <v>1.01842530615951E-2</v>
      </c>
    </row>
    <row r="1025" spans="1:7" x14ac:dyDescent="0.25">
      <c r="A1025" s="11" t="s">
        <v>1102</v>
      </c>
      <c r="B1025" s="11"/>
      <c r="C1025" s="900">
        <v>4</v>
      </c>
      <c r="D1025" s="900">
        <v>5690.9154618798102</v>
      </c>
      <c r="E1025" s="901">
        <v>3977.7237105730401</v>
      </c>
      <c r="F1025" s="902">
        <v>1.45687942043265E-2</v>
      </c>
      <c r="G1025" s="903">
        <v>1.01842530615958E-2</v>
      </c>
    </row>
    <row r="1026" spans="1:7" x14ac:dyDescent="0.25">
      <c r="A1026" s="6" t="s">
        <v>6417</v>
      </c>
      <c r="B1026" s="6" t="s">
        <v>6418</v>
      </c>
      <c r="C1026" s="896">
        <v>85</v>
      </c>
      <c r="D1026" s="896">
        <v>82453.729731195403</v>
      </c>
      <c r="E1026" s="897">
        <v>18738.5642305662</v>
      </c>
      <c r="F1026" s="898">
        <v>0.210637662771087</v>
      </c>
      <c r="G1026" s="899">
        <v>4.7869846349944699E-2</v>
      </c>
    </row>
    <row r="1027" spans="1:7" x14ac:dyDescent="0.25">
      <c r="A1027" s="11" t="s">
        <v>6417</v>
      </c>
      <c r="B1027" s="11" t="s">
        <v>6419</v>
      </c>
      <c r="C1027" s="900">
        <v>55816</v>
      </c>
      <c r="D1027" s="900">
        <v>39144817.999999799</v>
      </c>
      <c r="E1027" s="901">
        <v>0</v>
      </c>
      <c r="F1027" s="902">
        <v>100</v>
      </c>
      <c r="G1027" s="903">
        <v>0</v>
      </c>
    </row>
    <row r="1028" spans="1:7" x14ac:dyDescent="0.25">
      <c r="A1028" s="3729" t="s">
        <v>404</v>
      </c>
      <c r="B1028" s="3730"/>
      <c r="C1028" s="3730"/>
      <c r="D1028" s="3730"/>
      <c r="E1028" s="3730"/>
      <c r="F1028" s="3730"/>
      <c r="G1028" s="3730"/>
    </row>
    <row r="1029" spans="1:7" x14ac:dyDescent="0.25">
      <c r="A1029" s="11" t="s">
        <v>1090</v>
      </c>
      <c r="B1029" s="11" t="s">
        <v>3259</v>
      </c>
      <c r="C1029" s="908">
        <v>4329</v>
      </c>
      <c r="D1029" s="908">
        <v>2159154.4098220998</v>
      </c>
      <c r="E1029" s="909">
        <v>93178.070225864401</v>
      </c>
      <c r="F1029" s="910">
        <v>40.263485993243499</v>
      </c>
      <c r="G1029" s="911">
        <v>1.250713946179</v>
      </c>
    </row>
    <row r="1030" spans="1:7" x14ac:dyDescent="0.25">
      <c r="A1030" s="6" t="s">
        <v>1092</v>
      </c>
      <c r="B1030" s="6" t="s">
        <v>3260</v>
      </c>
      <c r="C1030" s="904">
        <v>3089</v>
      </c>
      <c r="D1030" s="904">
        <v>1743168.74557538</v>
      </c>
      <c r="E1030" s="905">
        <v>81832.3572176171</v>
      </c>
      <c r="F1030" s="906">
        <v>32.506267292443098</v>
      </c>
      <c r="G1030" s="907">
        <v>1.2177999656254399</v>
      </c>
    </row>
    <row r="1031" spans="1:7" x14ac:dyDescent="0.25">
      <c r="A1031" s="11" t="s">
        <v>1094</v>
      </c>
      <c r="B1031" s="11" t="s">
        <v>3261</v>
      </c>
      <c r="C1031" s="908">
        <v>849</v>
      </c>
      <c r="D1031" s="908">
        <v>582671.84145908698</v>
      </c>
      <c r="E1031" s="909">
        <v>42821.962428638901</v>
      </c>
      <c r="F1031" s="910">
        <v>10.8655496895094</v>
      </c>
      <c r="G1031" s="911">
        <v>0.84998468784124404</v>
      </c>
    </row>
    <row r="1032" spans="1:7" x14ac:dyDescent="0.25">
      <c r="A1032" s="6" t="s">
        <v>1098</v>
      </c>
      <c r="B1032" s="6" t="s">
        <v>3263</v>
      </c>
      <c r="C1032" s="904">
        <v>537</v>
      </c>
      <c r="D1032" s="904">
        <v>445872.23260820698</v>
      </c>
      <c r="E1032" s="905">
        <v>65616.251870975393</v>
      </c>
      <c r="F1032" s="906">
        <v>8.3145375387376301</v>
      </c>
      <c r="G1032" s="907">
        <v>1.0327571210692501</v>
      </c>
    </row>
    <row r="1033" spans="1:7" x14ac:dyDescent="0.25">
      <c r="A1033" s="11" t="s">
        <v>1096</v>
      </c>
      <c r="B1033" s="11" t="s">
        <v>3262</v>
      </c>
      <c r="C1033" s="908">
        <v>734</v>
      </c>
      <c r="D1033" s="908">
        <v>431694.79555317899</v>
      </c>
      <c r="E1033" s="909">
        <v>34947.073959763999</v>
      </c>
      <c r="F1033" s="910">
        <v>8.0501594860664394</v>
      </c>
      <c r="G1033" s="911">
        <v>0.64412045755078196</v>
      </c>
    </row>
    <row r="1034" spans="1:7" x14ac:dyDescent="0.25">
      <c r="A1034" s="6" t="s">
        <v>1102</v>
      </c>
      <c r="B1034" s="6" t="s">
        <v>1103</v>
      </c>
      <c r="C1034" s="904">
        <v>43935</v>
      </c>
      <c r="D1034" s="904">
        <v>31117292.499293901</v>
      </c>
      <c r="E1034" s="905">
        <v>183159.35273858899</v>
      </c>
      <c r="F1034" s="906">
        <v>92.111351362496805</v>
      </c>
      <c r="G1034" s="907">
        <v>8.8852655218729107E-2</v>
      </c>
    </row>
    <row r="1035" spans="1:7" x14ac:dyDescent="0.25">
      <c r="A1035" s="11" t="s">
        <v>1088</v>
      </c>
      <c r="B1035" s="11"/>
      <c r="C1035" s="908">
        <v>2198</v>
      </c>
      <c r="D1035" s="908">
        <v>2507649.0021306202</v>
      </c>
      <c r="E1035" s="909">
        <v>4.77482304698748E-3</v>
      </c>
      <c r="F1035" s="910">
        <v>7.4229767366267003</v>
      </c>
      <c r="G1035" s="911">
        <v>3.9351661675331502E-2</v>
      </c>
    </row>
    <row r="1036" spans="1:7" x14ac:dyDescent="0.25">
      <c r="A1036" s="6" t="s">
        <v>1084</v>
      </c>
      <c r="B1036" s="6" t="s">
        <v>1085</v>
      </c>
      <c r="C1036" s="904">
        <v>103</v>
      </c>
      <c r="D1036" s="904">
        <v>83404.167046853399</v>
      </c>
      <c r="E1036" s="905">
        <v>14148.2146680037</v>
      </c>
      <c r="F1036" s="906">
        <v>0.24688749948677</v>
      </c>
      <c r="G1036" s="907">
        <v>4.1447885669959703E-2</v>
      </c>
    </row>
    <row r="1037" spans="1:7" x14ac:dyDescent="0.25">
      <c r="A1037" s="11" t="s">
        <v>1086</v>
      </c>
      <c r="B1037" s="11" t="s">
        <v>1087</v>
      </c>
      <c r="C1037" s="908">
        <v>45</v>
      </c>
      <c r="D1037" s="908">
        <v>73910.306510811904</v>
      </c>
      <c r="E1037" s="909">
        <v>16538.217455850499</v>
      </c>
      <c r="F1037" s="910">
        <v>0.21878440138973199</v>
      </c>
      <c r="G1037" s="911">
        <v>4.9444252655775803E-2</v>
      </c>
    </row>
    <row r="1038" spans="1:7" x14ac:dyDescent="0.25">
      <c r="A1038" s="6" t="s">
        <v>6417</v>
      </c>
      <c r="B1038" s="6" t="s">
        <v>6418</v>
      </c>
      <c r="C1038" s="904">
        <v>9538</v>
      </c>
      <c r="D1038" s="904">
        <v>5362562.0250179498</v>
      </c>
      <c r="E1038" s="905">
        <v>179295.30838936701</v>
      </c>
      <c r="F1038" s="906">
        <v>13.699289711904999</v>
      </c>
      <c r="G1038" s="907">
        <v>0.45803076256321401</v>
      </c>
    </row>
    <row r="1039" spans="1:7" x14ac:dyDescent="0.25">
      <c r="A1039" s="11" t="s">
        <v>6417</v>
      </c>
      <c r="B1039" s="11" t="s">
        <v>6419</v>
      </c>
      <c r="C1039" s="908">
        <v>55819</v>
      </c>
      <c r="D1039" s="908">
        <v>39144818.000000201</v>
      </c>
      <c r="E1039" s="909">
        <v>0</v>
      </c>
      <c r="F1039" s="910">
        <v>100</v>
      </c>
      <c r="G1039" s="911">
        <v>0</v>
      </c>
    </row>
    <row r="1040" spans="1:7" x14ac:dyDescent="0.25">
      <c r="A1040" s="3729" t="s">
        <v>456</v>
      </c>
      <c r="B1040" s="3730"/>
      <c r="C1040" s="3730"/>
      <c r="D1040" s="3730"/>
      <c r="E1040" s="3730"/>
      <c r="F1040" s="3730"/>
      <c r="G1040" s="3730"/>
    </row>
    <row r="1041" spans="1:7" x14ac:dyDescent="0.25">
      <c r="A1041" s="11" t="s">
        <v>1096</v>
      </c>
      <c r="B1041" s="11" t="s">
        <v>6112</v>
      </c>
      <c r="C1041" s="916">
        <v>13618</v>
      </c>
      <c r="D1041" s="916">
        <v>8623242.6460708007</v>
      </c>
      <c r="E1041" s="917">
        <v>115162.620082398</v>
      </c>
      <c r="F1041" s="918">
        <v>48.6162373581762</v>
      </c>
      <c r="G1041" s="919">
        <v>0.69880044828698495</v>
      </c>
    </row>
    <row r="1042" spans="1:7" x14ac:dyDescent="0.25">
      <c r="A1042" s="6" t="s">
        <v>1090</v>
      </c>
      <c r="B1042" s="6" t="s">
        <v>6109</v>
      </c>
      <c r="C1042" s="912">
        <v>5615</v>
      </c>
      <c r="D1042" s="912">
        <v>4739186.8734599799</v>
      </c>
      <c r="E1042" s="913">
        <v>111196.567311247</v>
      </c>
      <c r="F1042" s="914">
        <v>26.7186536876434</v>
      </c>
      <c r="G1042" s="915">
        <v>0.51161028663224695</v>
      </c>
    </row>
    <row r="1043" spans="1:7" x14ac:dyDescent="0.25">
      <c r="A1043" s="11" t="s">
        <v>1094</v>
      </c>
      <c r="B1043" s="11" t="s">
        <v>6111</v>
      </c>
      <c r="C1043" s="916">
        <v>2617</v>
      </c>
      <c r="D1043" s="916">
        <v>2351726.7195326099</v>
      </c>
      <c r="E1043" s="917">
        <v>99375.349226418693</v>
      </c>
      <c r="F1043" s="918">
        <v>13.2585976170412</v>
      </c>
      <c r="G1043" s="919">
        <v>0.545521775914659</v>
      </c>
    </row>
    <row r="1044" spans="1:7" x14ac:dyDescent="0.25">
      <c r="A1044" s="6" t="s">
        <v>1092</v>
      </c>
      <c r="B1044" s="6" t="s">
        <v>6110</v>
      </c>
      <c r="C1044" s="912">
        <v>2560</v>
      </c>
      <c r="D1044" s="912">
        <v>1991371.4742118099</v>
      </c>
      <c r="E1044" s="913">
        <v>88299.290684218402</v>
      </c>
      <c r="F1044" s="914">
        <v>11.2269818016423</v>
      </c>
      <c r="G1044" s="915">
        <v>0.49007596490706701</v>
      </c>
    </row>
    <row r="1045" spans="1:7" x14ac:dyDescent="0.25">
      <c r="A1045" s="11" t="s">
        <v>1111</v>
      </c>
      <c r="B1045" s="11" t="s">
        <v>1143</v>
      </c>
      <c r="C1045" s="916">
        <v>41</v>
      </c>
      <c r="D1045" s="916">
        <v>31843.820724347101</v>
      </c>
      <c r="E1045" s="917">
        <v>8633.9103954495295</v>
      </c>
      <c r="F1045" s="918">
        <v>0.17952953549688999</v>
      </c>
      <c r="G1045" s="919">
        <v>4.8539725502406199E-2</v>
      </c>
    </row>
    <row r="1046" spans="1:7" x14ac:dyDescent="0.25">
      <c r="A1046" s="6" t="s">
        <v>1088</v>
      </c>
      <c r="B1046" s="6" t="s">
        <v>1089</v>
      </c>
      <c r="C1046" s="912">
        <v>31353</v>
      </c>
      <c r="D1046" s="912">
        <v>21370202.0483592</v>
      </c>
      <c r="E1046" s="913">
        <v>124630.18148607</v>
      </c>
      <c r="F1046" s="914">
        <v>99.826021203880899</v>
      </c>
      <c r="G1046" s="915">
        <v>8.0469215887125203E-2</v>
      </c>
    </row>
    <row r="1047" spans="1:7" x14ac:dyDescent="0.25">
      <c r="A1047" s="11" t="s">
        <v>1086</v>
      </c>
      <c r="B1047" s="11" t="s">
        <v>1087</v>
      </c>
      <c r="C1047" s="916">
        <v>7</v>
      </c>
      <c r="D1047" s="916">
        <v>23957.060643856399</v>
      </c>
      <c r="E1047" s="917">
        <v>16170.7216133986</v>
      </c>
      <c r="F1047" s="918">
        <v>0.11190994069239001</v>
      </c>
      <c r="G1047" s="919">
        <v>7.55452524386893E-2</v>
      </c>
    </row>
    <row r="1048" spans="1:7" x14ac:dyDescent="0.25">
      <c r="A1048" s="6" t="s">
        <v>1084</v>
      </c>
      <c r="B1048" s="6" t="s">
        <v>1085</v>
      </c>
      <c r="C1048" s="912">
        <v>7</v>
      </c>
      <c r="D1048" s="912">
        <v>10955.7263402152</v>
      </c>
      <c r="E1048" s="913">
        <v>6121.4247067633496</v>
      </c>
      <c r="F1048" s="914">
        <v>5.1177174996630798E-2</v>
      </c>
      <c r="G1048" s="915">
        <v>2.8411977458177098E-2</v>
      </c>
    </row>
    <row r="1049" spans="1:7" x14ac:dyDescent="0.25">
      <c r="A1049" s="11" t="s">
        <v>1102</v>
      </c>
      <c r="B1049" s="11" t="s">
        <v>1103</v>
      </c>
      <c r="C1049" s="916">
        <v>1</v>
      </c>
      <c r="D1049" s="916">
        <v>2331.6306573142701</v>
      </c>
      <c r="E1049" s="917">
        <v>2361.8860356463701</v>
      </c>
      <c r="F1049" s="918">
        <v>1.08916804300662E-2</v>
      </c>
      <c r="G1049" s="919">
        <v>1.10309536195962E-2</v>
      </c>
    </row>
    <row r="1050" spans="1:7" x14ac:dyDescent="0.25">
      <c r="A1050" s="6" t="s">
        <v>6417</v>
      </c>
      <c r="B1050" s="6" t="s">
        <v>6418</v>
      </c>
      <c r="C1050" s="912">
        <v>24451</v>
      </c>
      <c r="D1050" s="912">
        <v>17737371.5339996</v>
      </c>
      <c r="E1050" s="913">
        <v>130398.249590994</v>
      </c>
      <c r="F1050" s="914">
        <v>45.312182915244399</v>
      </c>
      <c r="G1050" s="915">
        <v>0.33311752679761097</v>
      </c>
    </row>
    <row r="1051" spans="1:7" x14ac:dyDescent="0.25">
      <c r="A1051" s="11" t="s">
        <v>6417</v>
      </c>
      <c r="B1051" s="11" t="s">
        <v>6419</v>
      </c>
      <c r="C1051" s="916">
        <v>55819</v>
      </c>
      <c r="D1051" s="916">
        <v>39144818.000000097</v>
      </c>
      <c r="E1051" s="917">
        <v>0</v>
      </c>
      <c r="F1051" s="918">
        <v>100</v>
      </c>
      <c r="G1051" s="919">
        <v>0</v>
      </c>
    </row>
    <row r="1052" spans="1:7" x14ac:dyDescent="0.25">
      <c r="A1052" s="3729" t="s">
        <v>375</v>
      </c>
      <c r="B1052" s="3730"/>
      <c r="C1052" s="3730"/>
      <c r="D1052" s="3730"/>
      <c r="E1052" s="3730"/>
      <c r="F1052" s="3730"/>
      <c r="G1052" s="3730"/>
    </row>
    <row r="1053" spans="1:7" x14ac:dyDescent="0.25">
      <c r="A1053" s="11" t="s">
        <v>1088</v>
      </c>
      <c r="B1053" s="11" t="s">
        <v>1089</v>
      </c>
      <c r="C1053" s="924">
        <v>55778</v>
      </c>
      <c r="D1053" s="924">
        <v>39112974.179275498</v>
      </c>
      <c r="E1053" s="925">
        <v>8633.9103956127692</v>
      </c>
      <c r="F1053" s="926">
        <v>99.9186512484888</v>
      </c>
      <c r="G1053" s="927">
        <v>2.20563304073766E-2</v>
      </c>
    </row>
    <row r="1054" spans="1:7" x14ac:dyDescent="0.25">
      <c r="A1054" s="6" t="s">
        <v>1102</v>
      </c>
      <c r="B1054" s="6"/>
      <c r="C1054" s="920">
        <v>41</v>
      </c>
      <c r="D1054" s="920">
        <v>31843.820724347101</v>
      </c>
      <c r="E1054" s="921">
        <v>8633.9103954495295</v>
      </c>
      <c r="F1054" s="922">
        <v>8.13487515112402E-2</v>
      </c>
      <c r="G1054" s="923">
        <v>2.2056330407385399E-2</v>
      </c>
    </row>
    <row r="1055" spans="1:7" x14ac:dyDescent="0.25">
      <c r="A1055" s="11" t="s">
        <v>6417</v>
      </c>
      <c r="B1055" s="11" t="s">
        <v>6418</v>
      </c>
      <c r="C1055" s="924">
        <v>0</v>
      </c>
      <c r="D1055" s="924">
        <v>0</v>
      </c>
      <c r="E1055" s="925">
        <v>0</v>
      </c>
      <c r="F1055" s="926">
        <v>0</v>
      </c>
      <c r="G1055" s="927">
        <v>0</v>
      </c>
    </row>
    <row r="1056" spans="1:7" x14ac:dyDescent="0.25">
      <c r="A1056" s="6" t="s">
        <v>6417</v>
      </c>
      <c r="B1056" s="6" t="s">
        <v>6419</v>
      </c>
      <c r="C1056" s="920">
        <v>55819</v>
      </c>
      <c r="D1056" s="920">
        <v>39144817.999999799</v>
      </c>
      <c r="E1056" s="921">
        <v>0</v>
      </c>
      <c r="F1056" s="922">
        <v>100</v>
      </c>
      <c r="G1056" s="923">
        <v>0</v>
      </c>
    </row>
    <row r="1057" spans="1:7" x14ac:dyDescent="0.25">
      <c r="A1057" s="3729" t="s">
        <v>684</v>
      </c>
      <c r="B1057" s="3730"/>
      <c r="C1057" s="3730"/>
      <c r="D1057" s="3730"/>
      <c r="E1057" s="3730"/>
      <c r="F1057" s="3730"/>
      <c r="G1057" s="3730"/>
    </row>
    <row r="1058" spans="1:7" x14ac:dyDescent="0.25">
      <c r="A1058" s="11" t="s">
        <v>1090</v>
      </c>
      <c r="B1058" s="11" t="s">
        <v>6195</v>
      </c>
      <c r="C1058" s="932">
        <v>5970</v>
      </c>
      <c r="D1058" s="932">
        <v>6144540.45154892</v>
      </c>
      <c r="E1058" s="933">
        <v>40987.891219474797</v>
      </c>
      <c r="F1058" s="934">
        <v>95.686991215623905</v>
      </c>
      <c r="G1058" s="935">
        <v>0.39605546051503698</v>
      </c>
    </row>
    <row r="1059" spans="1:7" x14ac:dyDescent="0.25">
      <c r="A1059" s="6" t="s">
        <v>1092</v>
      </c>
      <c r="B1059" s="6" t="s">
        <v>6196</v>
      </c>
      <c r="C1059" s="928">
        <v>284</v>
      </c>
      <c r="D1059" s="928">
        <v>213170.007084538</v>
      </c>
      <c r="E1059" s="929">
        <v>33064.023176483999</v>
      </c>
      <c r="F1059" s="930">
        <v>3.3196293125860801</v>
      </c>
      <c r="G1059" s="931">
        <v>0.51109356653258597</v>
      </c>
    </row>
    <row r="1060" spans="1:7" x14ac:dyDescent="0.25">
      <c r="A1060" s="11" t="s">
        <v>1094</v>
      </c>
      <c r="B1060" s="11" t="s">
        <v>6197</v>
      </c>
      <c r="C1060" s="932">
        <v>49</v>
      </c>
      <c r="D1060" s="932">
        <v>63789.866005895798</v>
      </c>
      <c r="E1060" s="933">
        <v>18172.958917563501</v>
      </c>
      <c r="F1060" s="934">
        <v>0.99337947179000397</v>
      </c>
      <c r="G1060" s="935">
        <v>0.28609535600549402</v>
      </c>
    </row>
    <row r="1061" spans="1:7" x14ac:dyDescent="0.25">
      <c r="A1061" s="6" t="s">
        <v>1088</v>
      </c>
      <c r="B1061" s="6" t="s">
        <v>1089</v>
      </c>
      <c r="C1061" s="928">
        <v>49513</v>
      </c>
      <c r="D1061" s="928">
        <v>32715067.0478235</v>
      </c>
      <c r="E1061" s="929">
        <v>27341.335565642199</v>
      </c>
      <c r="F1061" s="930">
        <v>99.974786702195104</v>
      </c>
      <c r="G1061" s="931">
        <v>1.4596857257311699E-2</v>
      </c>
    </row>
    <row r="1062" spans="1:7" x14ac:dyDescent="0.25">
      <c r="A1062" s="11" t="s">
        <v>1102</v>
      </c>
      <c r="B1062" s="11" t="s">
        <v>1103</v>
      </c>
      <c r="C1062" s="932">
        <v>3</v>
      </c>
      <c r="D1062" s="932">
        <v>8250.6275371331594</v>
      </c>
      <c r="E1062" s="933">
        <v>4779.0378463861898</v>
      </c>
      <c r="F1062" s="934">
        <v>2.5213297804903001E-2</v>
      </c>
      <c r="G1062" s="935">
        <v>1.4596857257307E-2</v>
      </c>
    </row>
    <row r="1063" spans="1:7" x14ac:dyDescent="0.25">
      <c r="A1063" s="6" t="s">
        <v>6417</v>
      </c>
      <c r="B1063" s="6" t="s">
        <v>6418</v>
      </c>
      <c r="C1063" s="928">
        <v>6303</v>
      </c>
      <c r="D1063" s="928">
        <v>6421500.3246393502</v>
      </c>
      <c r="E1063" s="929">
        <v>28882.106332637301</v>
      </c>
      <c r="F1063" s="930">
        <v>16.404471019993899</v>
      </c>
      <c r="G1063" s="931">
        <v>7.3782706903004203E-2</v>
      </c>
    </row>
    <row r="1064" spans="1:7" x14ac:dyDescent="0.25">
      <c r="A1064" s="11" t="s">
        <v>6417</v>
      </c>
      <c r="B1064" s="11" t="s">
        <v>6419</v>
      </c>
      <c r="C1064" s="932">
        <v>55819</v>
      </c>
      <c r="D1064" s="932">
        <v>39144818</v>
      </c>
      <c r="E1064" s="933">
        <v>0</v>
      </c>
      <c r="F1064" s="934">
        <v>100</v>
      </c>
      <c r="G1064" s="935">
        <v>0</v>
      </c>
    </row>
    <row r="1065" spans="1:7" x14ac:dyDescent="0.25">
      <c r="A1065" s="3729" t="s">
        <v>453</v>
      </c>
      <c r="B1065" s="3730"/>
      <c r="C1065" s="3730"/>
      <c r="D1065" s="3730"/>
      <c r="E1065" s="3730"/>
      <c r="F1065" s="3730"/>
      <c r="G1065" s="3730"/>
    </row>
    <row r="1066" spans="1:7" x14ac:dyDescent="0.25">
      <c r="A1066" s="11" t="s">
        <v>1292</v>
      </c>
      <c r="B1066" s="11"/>
      <c r="C1066" s="940">
        <v>12503</v>
      </c>
      <c r="D1066" s="940">
        <v>9615962.9138662107</v>
      </c>
      <c r="E1066" s="941">
        <v>171442.716835739</v>
      </c>
      <c r="F1066" s="942">
        <v>26.309365931961999</v>
      </c>
      <c r="G1066" s="943">
        <v>0.466596262497457</v>
      </c>
    </row>
    <row r="1067" spans="1:7" x14ac:dyDescent="0.25">
      <c r="A1067" s="6" t="s">
        <v>6432</v>
      </c>
      <c r="B1067" s="6"/>
      <c r="C1067" s="936">
        <v>7819</v>
      </c>
      <c r="D1067" s="936">
        <v>4927273.8638959099</v>
      </c>
      <c r="E1067" s="937">
        <v>115545.653539411</v>
      </c>
      <c r="F1067" s="938">
        <v>13.4810681253042</v>
      </c>
      <c r="G1067" s="939">
        <v>0.31315202672929099</v>
      </c>
    </row>
    <row r="1068" spans="1:7" x14ac:dyDescent="0.25">
      <c r="A1068" s="11" t="s">
        <v>6430</v>
      </c>
      <c r="B1068" s="11"/>
      <c r="C1068" s="940">
        <v>5809</v>
      </c>
      <c r="D1068" s="940">
        <v>4076797.2329829498</v>
      </c>
      <c r="E1068" s="941">
        <v>57851.238050187501</v>
      </c>
      <c r="F1068" s="942">
        <v>11.154155979355201</v>
      </c>
      <c r="G1068" s="943">
        <v>0.160672289397253</v>
      </c>
    </row>
    <row r="1069" spans="1:7" x14ac:dyDescent="0.25">
      <c r="A1069" s="6" t="s">
        <v>6429</v>
      </c>
      <c r="B1069" s="6"/>
      <c r="C1069" s="936">
        <v>5529</v>
      </c>
      <c r="D1069" s="936">
        <v>3805029.07975617</v>
      </c>
      <c r="E1069" s="937">
        <v>97464.047116251604</v>
      </c>
      <c r="F1069" s="938">
        <v>10.4105957289733</v>
      </c>
      <c r="G1069" s="939">
        <v>0.27122779979224099</v>
      </c>
    </row>
    <row r="1070" spans="1:7" x14ac:dyDescent="0.25">
      <c r="A1070" s="11" t="s">
        <v>6426</v>
      </c>
      <c r="B1070" s="11"/>
      <c r="C1070" s="940">
        <v>4853</v>
      </c>
      <c r="D1070" s="940">
        <v>3564687.5699228202</v>
      </c>
      <c r="E1070" s="941">
        <v>124879.809423325</v>
      </c>
      <c r="F1070" s="942">
        <v>9.7530190736258309</v>
      </c>
      <c r="G1070" s="943">
        <v>0.341763846314107</v>
      </c>
    </row>
    <row r="1071" spans="1:7" x14ac:dyDescent="0.25">
      <c r="A1071" s="6" t="s">
        <v>6428</v>
      </c>
      <c r="B1071" s="6"/>
      <c r="C1071" s="936">
        <v>3889</v>
      </c>
      <c r="D1071" s="936">
        <v>2576758.9952112101</v>
      </c>
      <c r="E1071" s="937">
        <v>71927.468030732198</v>
      </c>
      <c r="F1071" s="938">
        <v>7.0500371029644002</v>
      </c>
      <c r="G1071" s="939">
        <v>0.19764244095318501</v>
      </c>
    </row>
    <row r="1072" spans="1:7" x14ac:dyDescent="0.25">
      <c r="A1072" s="11" t="s">
        <v>6427</v>
      </c>
      <c r="B1072" s="11"/>
      <c r="C1072" s="940">
        <v>2944</v>
      </c>
      <c r="D1072" s="940">
        <v>1934296.7834908899</v>
      </c>
      <c r="E1072" s="941">
        <v>75779.723039845296</v>
      </c>
      <c r="F1072" s="942">
        <v>5.2922543851011801</v>
      </c>
      <c r="G1072" s="943">
        <v>0.20643181677845299</v>
      </c>
    </row>
    <row r="1073" spans="1:7" x14ac:dyDescent="0.25">
      <c r="A1073" s="6" t="s">
        <v>6431</v>
      </c>
      <c r="B1073" s="6"/>
      <c r="C1073" s="936">
        <v>1986</v>
      </c>
      <c r="D1073" s="936">
        <v>1181023.1568535001</v>
      </c>
      <c r="E1073" s="937">
        <v>52166.916981131501</v>
      </c>
      <c r="F1073" s="938">
        <v>3.2312905827635601</v>
      </c>
      <c r="G1073" s="939">
        <v>0.14240805929758199</v>
      </c>
    </row>
    <row r="1074" spans="1:7" x14ac:dyDescent="0.25">
      <c r="A1074" s="11" t="s">
        <v>1123</v>
      </c>
      <c r="B1074" s="11"/>
      <c r="C1074" s="940">
        <v>1552</v>
      </c>
      <c r="D1074" s="940">
        <v>998158.26839424495</v>
      </c>
      <c r="E1074" s="941">
        <v>33715.727489126803</v>
      </c>
      <c r="F1074" s="942">
        <v>2.7309705098102501</v>
      </c>
      <c r="G1074" s="943">
        <v>9.19997536805639E-2</v>
      </c>
    </row>
    <row r="1075" spans="1:7" x14ac:dyDescent="0.25">
      <c r="A1075" s="6" t="s">
        <v>1131</v>
      </c>
      <c r="B1075" s="6"/>
      <c r="C1075" s="936">
        <v>1528</v>
      </c>
      <c r="D1075" s="936">
        <v>873881.980763881</v>
      </c>
      <c r="E1075" s="937">
        <v>36815.373617239296</v>
      </c>
      <c r="F1075" s="938">
        <v>2.3909494056087999</v>
      </c>
      <c r="G1075" s="939">
        <v>0.100091231573564</v>
      </c>
    </row>
    <row r="1076" spans="1:7" x14ac:dyDescent="0.25">
      <c r="A1076" s="11" t="s">
        <v>1295</v>
      </c>
      <c r="B1076" s="11"/>
      <c r="C1076" s="940">
        <v>694</v>
      </c>
      <c r="D1076" s="940">
        <v>487903.133058106</v>
      </c>
      <c r="E1076" s="941">
        <v>45250.029872877902</v>
      </c>
      <c r="F1076" s="942">
        <v>1.33490760956101</v>
      </c>
      <c r="G1076" s="943">
        <v>0.123852665146425</v>
      </c>
    </row>
    <row r="1077" spans="1:7" x14ac:dyDescent="0.25">
      <c r="A1077" s="6" t="s">
        <v>1133</v>
      </c>
      <c r="B1077" s="6"/>
      <c r="C1077" s="936">
        <v>569</v>
      </c>
      <c r="D1077" s="936">
        <v>305909.650229158</v>
      </c>
      <c r="E1077" s="937">
        <v>18349.2531257099</v>
      </c>
      <c r="F1077" s="938">
        <v>0.83697171069490905</v>
      </c>
      <c r="G1077" s="939">
        <v>5.0189964497750102E-2</v>
      </c>
    </row>
    <row r="1078" spans="1:7" x14ac:dyDescent="0.25">
      <c r="A1078" s="11" t="s">
        <v>1127</v>
      </c>
      <c r="B1078" s="11"/>
      <c r="C1078" s="940">
        <v>509</v>
      </c>
      <c r="D1078" s="940">
        <v>296933.785911082</v>
      </c>
      <c r="E1078" s="941">
        <v>35624.247916630004</v>
      </c>
      <c r="F1078" s="942">
        <v>0.81241366060515896</v>
      </c>
      <c r="G1078" s="943">
        <v>9.7450816833503595E-2</v>
      </c>
    </row>
    <row r="1079" spans="1:7" x14ac:dyDescent="0.25">
      <c r="A1079" s="6" t="s">
        <v>1187</v>
      </c>
      <c r="B1079" s="6"/>
      <c r="C1079" s="936">
        <v>536</v>
      </c>
      <c r="D1079" s="936">
        <v>284836.562403063</v>
      </c>
      <c r="E1079" s="937">
        <v>22120.539837600201</v>
      </c>
      <c r="F1079" s="938">
        <v>0.77931554210324006</v>
      </c>
      <c r="G1079" s="939">
        <v>6.0750203338942502E-2</v>
      </c>
    </row>
    <row r="1080" spans="1:7" x14ac:dyDescent="0.25">
      <c r="A1080" s="11" t="s">
        <v>6433</v>
      </c>
      <c r="B1080" s="11"/>
      <c r="C1080" s="940">
        <v>380</v>
      </c>
      <c r="D1080" s="940">
        <v>239673.248177136</v>
      </c>
      <c r="E1080" s="941">
        <v>34348.856397518502</v>
      </c>
      <c r="F1080" s="942">
        <v>0.65574828510428895</v>
      </c>
      <c r="G1080" s="943">
        <v>9.4035068098782204E-2</v>
      </c>
    </row>
    <row r="1081" spans="1:7" x14ac:dyDescent="0.25">
      <c r="A1081" s="6" t="s">
        <v>1297</v>
      </c>
      <c r="B1081" s="6"/>
      <c r="C1081" s="936">
        <v>272</v>
      </c>
      <c r="D1081" s="936">
        <v>155967.44541591499</v>
      </c>
      <c r="E1081" s="937">
        <v>17002.8866297448</v>
      </c>
      <c r="F1081" s="938">
        <v>0.42672841312683502</v>
      </c>
      <c r="G1081" s="939">
        <v>4.6455412439561798E-2</v>
      </c>
    </row>
    <row r="1082" spans="1:7" x14ac:dyDescent="0.25">
      <c r="A1082" s="11" t="s">
        <v>3172</v>
      </c>
      <c r="B1082" s="11"/>
      <c r="C1082" s="940">
        <v>231</v>
      </c>
      <c r="D1082" s="940">
        <v>149856.43348792399</v>
      </c>
      <c r="E1082" s="941">
        <v>14571.6098374065</v>
      </c>
      <c r="F1082" s="942">
        <v>0.41000862640674801</v>
      </c>
      <c r="G1082" s="943">
        <v>3.9848129045473003E-2</v>
      </c>
    </row>
    <row r="1083" spans="1:7" x14ac:dyDescent="0.25">
      <c r="A1083" s="6" t="s">
        <v>6434</v>
      </c>
      <c r="B1083" s="6"/>
      <c r="C1083" s="936">
        <v>280</v>
      </c>
      <c r="D1083" s="936">
        <v>140484.618326247</v>
      </c>
      <c r="E1083" s="937">
        <v>20937.310620169999</v>
      </c>
      <c r="F1083" s="938">
        <v>0.38436725104539798</v>
      </c>
      <c r="G1083" s="939">
        <v>5.7340474617105099E-2</v>
      </c>
    </row>
    <row r="1084" spans="1:7" x14ac:dyDescent="0.25">
      <c r="A1084" s="11" t="s">
        <v>3178</v>
      </c>
      <c r="B1084" s="11"/>
      <c r="C1084" s="940">
        <v>189</v>
      </c>
      <c r="D1084" s="940">
        <v>98128.154256852606</v>
      </c>
      <c r="E1084" s="941">
        <v>21840.372772212198</v>
      </c>
      <c r="F1084" s="942">
        <v>0.26847956275379897</v>
      </c>
      <c r="G1084" s="943">
        <v>5.9749555205042999E-2</v>
      </c>
    </row>
    <row r="1085" spans="1:7" x14ac:dyDescent="0.25">
      <c r="A1085" s="6" t="s">
        <v>1139</v>
      </c>
      <c r="B1085" s="6"/>
      <c r="C1085" s="936">
        <v>130</v>
      </c>
      <c r="D1085" s="936">
        <v>94955.988229903596</v>
      </c>
      <c r="E1085" s="937">
        <v>13307.260589466299</v>
      </c>
      <c r="F1085" s="938">
        <v>0.25980048635266201</v>
      </c>
      <c r="G1085" s="939">
        <v>3.6381973475360402E-2</v>
      </c>
    </row>
    <row r="1086" spans="1:7" x14ac:dyDescent="0.25">
      <c r="A1086" s="11" t="s">
        <v>1135</v>
      </c>
      <c r="B1086" s="11"/>
      <c r="C1086" s="940">
        <v>148</v>
      </c>
      <c r="D1086" s="940">
        <v>94585.683658732902</v>
      </c>
      <c r="E1086" s="941">
        <v>19056.877200756</v>
      </c>
      <c r="F1086" s="942">
        <v>0.25878732952619898</v>
      </c>
      <c r="G1086" s="943">
        <v>5.2144276368224197E-2</v>
      </c>
    </row>
    <row r="1087" spans="1:7" x14ac:dyDescent="0.25">
      <c r="A1087" s="6" t="s">
        <v>3187</v>
      </c>
      <c r="B1087" s="6"/>
      <c r="C1087" s="936">
        <v>150</v>
      </c>
      <c r="D1087" s="936">
        <v>91142.913127117601</v>
      </c>
      <c r="E1087" s="937">
        <v>11355.870411342299</v>
      </c>
      <c r="F1087" s="938">
        <v>0.24936787662820201</v>
      </c>
      <c r="G1087" s="939">
        <v>3.1112383523188399E-2</v>
      </c>
    </row>
    <row r="1088" spans="1:7" x14ac:dyDescent="0.25">
      <c r="A1088" s="11" t="s">
        <v>1125</v>
      </c>
      <c r="B1088" s="11"/>
      <c r="C1088" s="940">
        <v>116</v>
      </c>
      <c r="D1088" s="940">
        <v>64960.8561303522</v>
      </c>
      <c r="E1088" s="941">
        <v>11036.6544430137</v>
      </c>
      <c r="F1088" s="942">
        <v>0.177733519824882</v>
      </c>
      <c r="G1088" s="943">
        <v>3.0205952473828599E-2</v>
      </c>
    </row>
    <row r="1089" spans="1:7" x14ac:dyDescent="0.25">
      <c r="A1089" s="6" t="s">
        <v>1301</v>
      </c>
      <c r="B1089" s="6"/>
      <c r="C1089" s="936">
        <v>124</v>
      </c>
      <c r="D1089" s="936">
        <v>63865.145595223199</v>
      </c>
      <c r="E1089" s="937">
        <v>9746.1562718825699</v>
      </c>
      <c r="F1089" s="938">
        <v>0.17473564538605199</v>
      </c>
      <c r="G1089" s="939">
        <v>2.66543069475495E-2</v>
      </c>
    </row>
    <row r="1090" spans="1:7" x14ac:dyDescent="0.25">
      <c r="A1090" s="11" t="s">
        <v>1299</v>
      </c>
      <c r="B1090" s="11"/>
      <c r="C1090" s="940">
        <v>75</v>
      </c>
      <c r="D1090" s="940">
        <v>55135.468686892702</v>
      </c>
      <c r="E1090" s="941">
        <v>18199.587264094</v>
      </c>
      <c r="F1090" s="942">
        <v>0.15085116638937501</v>
      </c>
      <c r="G1090" s="943">
        <v>4.9767937369722397E-2</v>
      </c>
    </row>
    <row r="1091" spans="1:7" x14ac:dyDescent="0.25">
      <c r="A1091" s="6" t="s">
        <v>1129</v>
      </c>
      <c r="B1091" s="6"/>
      <c r="C1091" s="936">
        <v>68</v>
      </c>
      <c r="D1091" s="936">
        <v>48124.772980814298</v>
      </c>
      <c r="E1091" s="937">
        <v>10970.305457705201</v>
      </c>
      <c r="F1091" s="938">
        <v>0.13166983630095699</v>
      </c>
      <c r="G1091" s="939">
        <v>3.0005208348481499E-2</v>
      </c>
    </row>
    <row r="1092" spans="1:7" x14ac:dyDescent="0.25">
      <c r="A1092" s="11" t="s">
        <v>3361</v>
      </c>
      <c r="B1092" s="11"/>
      <c r="C1092" s="940">
        <v>74</v>
      </c>
      <c r="D1092" s="940">
        <v>42064.304799635902</v>
      </c>
      <c r="E1092" s="941">
        <v>16519.712316714398</v>
      </c>
      <c r="F1092" s="942">
        <v>0.11508833775256801</v>
      </c>
      <c r="G1092" s="943">
        <v>4.5194349845953503E-2</v>
      </c>
    </row>
    <row r="1093" spans="1:7" x14ac:dyDescent="0.25">
      <c r="A1093" s="6" t="s">
        <v>1193</v>
      </c>
      <c r="B1093" s="6"/>
      <c r="C1093" s="936">
        <v>64</v>
      </c>
      <c r="D1093" s="936">
        <v>32229.863749125201</v>
      </c>
      <c r="E1093" s="937">
        <v>6080.6431040733196</v>
      </c>
      <c r="F1093" s="938">
        <v>8.8181213562114696E-2</v>
      </c>
      <c r="G1093" s="939">
        <v>1.6636403949398599E-2</v>
      </c>
    </row>
    <row r="1094" spans="1:7" x14ac:dyDescent="0.25">
      <c r="A1094" s="11" t="s">
        <v>1137</v>
      </c>
      <c r="B1094" s="11"/>
      <c r="C1094" s="940">
        <v>64</v>
      </c>
      <c r="D1094" s="940">
        <v>30125.790263493898</v>
      </c>
      <c r="E1094" s="941">
        <v>6760.6052410873399</v>
      </c>
      <c r="F1094" s="942">
        <v>8.2424448506231707E-2</v>
      </c>
      <c r="G1094" s="943">
        <v>1.8497349653782899E-2</v>
      </c>
    </row>
    <row r="1095" spans="1:7" x14ac:dyDescent="0.25">
      <c r="A1095" s="6" t="s">
        <v>3201</v>
      </c>
      <c r="B1095" s="6"/>
      <c r="C1095" s="936">
        <v>22</v>
      </c>
      <c r="D1095" s="936">
        <v>29807.093099474801</v>
      </c>
      <c r="E1095" s="937">
        <v>15800.1394748822</v>
      </c>
      <c r="F1095" s="938">
        <v>8.1552490036262207E-2</v>
      </c>
      <c r="G1095" s="939">
        <v>4.3228642759646899E-2</v>
      </c>
    </row>
    <row r="1096" spans="1:7" x14ac:dyDescent="0.25">
      <c r="A1096" s="11" t="s">
        <v>1191</v>
      </c>
      <c r="B1096" s="11"/>
      <c r="C1096" s="940">
        <v>29</v>
      </c>
      <c r="D1096" s="940">
        <v>15580.573314622299</v>
      </c>
      <c r="E1096" s="941">
        <v>5742.2437610367997</v>
      </c>
      <c r="F1096" s="942">
        <v>4.26285966819882E-2</v>
      </c>
      <c r="G1096" s="943">
        <v>1.57024784571793E-2</v>
      </c>
    </row>
    <row r="1097" spans="1:7" x14ac:dyDescent="0.25">
      <c r="A1097" s="6" t="s">
        <v>1307</v>
      </c>
      <c r="B1097" s="6"/>
      <c r="C1097" s="936">
        <v>8</v>
      </c>
      <c r="D1097" s="936">
        <v>15241.658542847301</v>
      </c>
      <c r="E1097" s="937">
        <v>6579.6066394591298</v>
      </c>
      <c r="F1097" s="938">
        <v>4.1701322645030799E-2</v>
      </c>
      <c r="G1097" s="939">
        <v>1.7999586359296101E-2</v>
      </c>
    </row>
    <row r="1098" spans="1:7" x14ac:dyDescent="0.25">
      <c r="A1098" s="11" t="s">
        <v>3174</v>
      </c>
      <c r="B1098" s="11"/>
      <c r="C1098" s="940">
        <v>22</v>
      </c>
      <c r="D1098" s="940">
        <v>15004.465611006201</v>
      </c>
      <c r="E1098" s="941">
        <v>5182.7092053119404</v>
      </c>
      <c r="F1098" s="942">
        <v>4.1052360528997203E-2</v>
      </c>
      <c r="G1098" s="943">
        <v>1.4179863081290101E-2</v>
      </c>
    </row>
    <row r="1099" spans="1:7" x14ac:dyDescent="0.25">
      <c r="A1099" s="6" t="s">
        <v>1305</v>
      </c>
      <c r="B1099" s="6"/>
      <c r="C1099" s="936">
        <v>44</v>
      </c>
      <c r="D1099" s="936">
        <v>13680.699963621701</v>
      </c>
      <c r="E1099" s="937">
        <v>3577.9104012796402</v>
      </c>
      <c r="F1099" s="938">
        <v>3.7430525135375002E-2</v>
      </c>
      <c r="G1099" s="939">
        <v>9.7941387065989798E-3</v>
      </c>
    </row>
    <row r="1100" spans="1:7" x14ac:dyDescent="0.25">
      <c r="A1100" s="11" t="s">
        <v>1189</v>
      </c>
      <c r="B1100" s="11"/>
      <c r="C1100" s="940">
        <v>41</v>
      </c>
      <c r="D1100" s="940">
        <v>13087.1453275193</v>
      </c>
      <c r="E1100" s="941">
        <v>3467.6649359452999</v>
      </c>
      <c r="F1100" s="942">
        <v>3.5806554009268299E-2</v>
      </c>
      <c r="G1100" s="943">
        <v>9.4909919339605606E-3</v>
      </c>
    </row>
    <row r="1101" spans="1:7" x14ac:dyDescent="0.25">
      <c r="A1101" s="6" t="s">
        <v>1205</v>
      </c>
      <c r="B1101" s="6"/>
      <c r="C1101" s="936">
        <v>28</v>
      </c>
      <c r="D1101" s="936">
        <v>11424.6367038792</v>
      </c>
      <c r="E1101" s="937">
        <v>3889.9799524960899</v>
      </c>
      <c r="F1101" s="938">
        <v>3.12579146128623E-2</v>
      </c>
      <c r="G1101" s="939">
        <v>1.0646013440244901E-2</v>
      </c>
    </row>
    <row r="1102" spans="1:7" x14ac:dyDescent="0.25">
      <c r="A1102" s="11" t="s">
        <v>1141</v>
      </c>
      <c r="B1102" s="11"/>
      <c r="C1102" s="940">
        <v>21</v>
      </c>
      <c r="D1102" s="940">
        <v>11109.7734233476</v>
      </c>
      <c r="E1102" s="941">
        <v>5105.6778182437101</v>
      </c>
      <c r="F1102" s="942">
        <v>3.0396445684555899E-2</v>
      </c>
      <c r="G1102" s="943">
        <v>1.3972590050049799E-2</v>
      </c>
    </row>
    <row r="1103" spans="1:7" x14ac:dyDescent="0.25">
      <c r="A1103" s="6" t="s">
        <v>3176</v>
      </c>
      <c r="B1103" s="6"/>
      <c r="C1103" s="936">
        <v>18</v>
      </c>
      <c r="D1103" s="936">
        <v>10146.509765224</v>
      </c>
      <c r="E1103" s="937">
        <v>3576.6870079965202</v>
      </c>
      <c r="F1103" s="938">
        <v>2.7760947160118898E-2</v>
      </c>
      <c r="G1103" s="939">
        <v>9.7789687976699204E-3</v>
      </c>
    </row>
    <row r="1104" spans="1:7" x14ac:dyDescent="0.25">
      <c r="A1104" s="11" t="s">
        <v>3209</v>
      </c>
      <c r="B1104" s="11"/>
      <c r="C1104" s="940">
        <v>9</v>
      </c>
      <c r="D1104" s="940">
        <v>9916.0449950393904</v>
      </c>
      <c r="E1104" s="941">
        <v>6429.0210036892804</v>
      </c>
      <c r="F1104" s="942">
        <v>2.7130393358328699E-2</v>
      </c>
      <c r="G1104" s="943">
        <v>1.7586973263473599E-2</v>
      </c>
    </row>
    <row r="1105" spans="1:7" x14ac:dyDescent="0.25">
      <c r="A1105" s="6" t="s">
        <v>3234</v>
      </c>
      <c r="B1105" s="6"/>
      <c r="C1105" s="936">
        <v>5</v>
      </c>
      <c r="D1105" s="936">
        <v>9502.9026531623695</v>
      </c>
      <c r="E1105" s="937">
        <v>7882.5466924625798</v>
      </c>
      <c r="F1105" s="938">
        <v>2.60000319840397E-2</v>
      </c>
      <c r="G1105" s="939">
        <v>2.1566272384408999E-2</v>
      </c>
    </row>
    <row r="1106" spans="1:7" x14ac:dyDescent="0.25">
      <c r="A1106" s="11" t="s">
        <v>1197</v>
      </c>
      <c r="B1106" s="11"/>
      <c r="C1106" s="940">
        <v>11</v>
      </c>
      <c r="D1106" s="940">
        <v>9162.4184757502899</v>
      </c>
      <c r="E1106" s="941">
        <v>6161.0110584717004</v>
      </c>
      <c r="F1106" s="942">
        <v>2.5068464038341801E-2</v>
      </c>
      <c r="G1106" s="943">
        <v>1.6857094930528001E-2</v>
      </c>
    </row>
    <row r="1107" spans="1:7" x14ac:dyDescent="0.25">
      <c r="A1107" s="6" t="s">
        <v>1199</v>
      </c>
      <c r="B1107" s="6"/>
      <c r="C1107" s="936">
        <v>6</v>
      </c>
      <c r="D1107" s="936">
        <v>5341.7617679800896</v>
      </c>
      <c r="E1107" s="937">
        <v>2676.18760860157</v>
      </c>
      <c r="F1107" s="938">
        <v>1.4615110970581701E-2</v>
      </c>
      <c r="G1107" s="939">
        <v>7.32121453903368E-3</v>
      </c>
    </row>
    <row r="1108" spans="1:7" x14ac:dyDescent="0.25">
      <c r="A1108" s="11" t="s">
        <v>1309</v>
      </c>
      <c r="B1108" s="11"/>
      <c r="C1108" s="940">
        <v>10</v>
      </c>
      <c r="D1108" s="940">
        <v>5080.9897601192097</v>
      </c>
      <c r="E1108" s="941">
        <v>3917.4532737694799</v>
      </c>
      <c r="F1108" s="942">
        <v>1.39016362784391E-2</v>
      </c>
      <c r="G1108" s="943">
        <v>1.0717875875966501E-2</v>
      </c>
    </row>
    <row r="1109" spans="1:7" x14ac:dyDescent="0.25">
      <c r="A1109" s="6" t="s">
        <v>3180</v>
      </c>
      <c r="B1109" s="6"/>
      <c r="C1109" s="936">
        <v>10</v>
      </c>
      <c r="D1109" s="936">
        <v>4917.2351917317801</v>
      </c>
      <c r="E1109" s="937">
        <v>3484.7318629122201</v>
      </c>
      <c r="F1109" s="938">
        <v>1.34536022228457E-2</v>
      </c>
      <c r="G1109" s="939">
        <v>9.5346245655561698E-3</v>
      </c>
    </row>
    <row r="1110" spans="1:7" x14ac:dyDescent="0.25">
      <c r="A1110" s="11" t="s">
        <v>3215</v>
      </c>
      <c r="B1110" s="11"/>
      <c r="C1110" s="940">
        <v>11</v>
      </c>
      <c r="D1110" s="940">
        <v>4587.4063701614004</v>
      </c>
      <c r="E1110" s="941">
        <v>1803.7312286281301</v>
      </c>
      <c r="F1110" s="942">
        <v>1.25511874320098E-2</v>
      </c>
      <c r="G1110" s="943">
        <v>4.9336411186324796E-3</v>
      </c>
    </row>
    <row r="1111" spans="1:7" x14ac:dyDescent="0.25">
      <c r="A1111" s="6" t="s">
        <v>1303</v>
      </c>
      <c r="B1111" s="6"/>
      <c r="C1111" s="936">
        <v>23</v>
      </c>
      <c r="D1111" s="936">
        <v>4566.9897970526499</v>
      </c>
      <c r="E1111" s="937">
        <v>2049.9135725476499</v>
      </c>
      <c r="F1111" s="938">
        <v>1.24953274939249E-2</v>
      </c>
      <c r="G1111" s="939">
        <v>5.6108888144410602E-3</v>
      </c>
    </row>
    <row r="1112" spans="1:7" x14ac:dyDescent="0.25">
      <c r="A1112" s="11" t="s">
        <v>3337</v>
      </c>
      <c r="B1112" s="11"/>
      <c r="C1112" s="940">
        <v>1</v>
      </c>
      <c r="D1112" s="940">
        <v>4554.9353801753496</v>
      </c>
      <c r="E1112" s="941">
        <v>4338.5156944949904</v>
      </c>
      <c r="F1112" s="942">
        <v>1.2462346494771501E-2</v>
      </c>
      <c r="G1112" s="943">
        <v>1.18700189279051E-2</v>
      </c>
    </row>
    <row r="1113" spans="1:7" x14ac:dyDescent="0.25">
      <c r="A1113" s="6" t="s">
        <v>3189</v>
      </c>
      <c r="B1113" s="6"/>
      <c r="C1113" s="936">
        <v>3</v>
      </c>
      <c r="D1113" s="936">
        <v>3195.7330268649198</v>
      </c>
      <c r="E1113" s="937">
        <v>3090.8355000830202</v>
      </c>
      <c r="F1113" s="938">
        <v>8.7435559369104503E-3</v>
      </c>
      <c r="G1113" s="939">
        <v>8.4565393333448993E-3</v>
      </c>
    </row>
    <row r="1114" spans="1:7" x14ac:dyDescent="0.25">
      <c r="A1114" s="11" t="s">
        <v>1195</v>
      </c>
      <c r="B1114" s="11"/>
      <c r="C1114" s="940">
        <v>8</v>
      </c>
      <c r="D1114" s="940">
        <v>2871.7328322267899</v>
      </c>
      <c r="E1114" s="941">
        <v>1977.4555328566</v>
      </c>
      <c r="F1114" s="942">
        <v>7.8570883247621598E-3</v>
      </c>
      <c r="G1114" s="943">
        <v>5.4115196824552503E-3</v>
      </c>
    </row>
    <row r="1115" spans="1:7" x14ac:dyDescent="0.25">
      <c r="A1115" s="6" t="s">
        <v>1201</v>
      </c>
      <c r="B1115" s="6"/>
      <c r="C1115" s="936">
        <v>6</v>
      </c>
      <c r="D1115" s="936">
        <v>2322.5908524791698</v>
      </c>
      <c r="E1115" s="937">
        <v>2043.93444038907</v>
      </c>
      <c r="F1115" s="938">
        <v>6.3546306485840797E-3</v>
      </c>
      <c r="G1115" s="939">
        <v>5.59226705219373E-3</v>
      </c>
    </row>
    <row r="1116" spans="1:7" x14ac:dyDescent="0.25">
      <c r="A1116" s="11" t="s">
        <v>3350</v>
      </c>
      <c r="B1116" s="11"/>
      <c r="C1116" s="940">
        <v>1</v>
      </c>
      <c r="D1116" s="940">
        <v>2098.4668375587498</v>
      </c>
      <c r="E1116" s="941">
        <v>2109.9791755464798</v>
      </c>
      <c r="F1116" s="942">
        <v>5.7414252134654498E-3</v>
      </c>
      <c r="G1116" s="943">
        <v>5.7729659953818903E-3</v>
      </c>
    </row>
    <row r="1117" spans="1:7" x14ac:dyDescent="0.25">
      <c r="A1117" s="6" t="s">
        <v>1235</v>
      </c>
      <c r="B1117" s="6"/>
      <c r="C1117" s="936">
        <v>1</v>
      </c>
      <c r="D1117" s="936">
        <v>2021.23367118908</v>
      </c>
      <c r="E1117" s="937">
        <v>2055.5880550346401</v>
      </c>
      <c r="F1117" s="938">
        <v>5.5301145361776197E-3</v>
      </c>
      <c r="G1117" s="939">
        <v>5.6243087585786597E-3</v>
      </c>
    </row>
    <row r="1118" spans="1:7" x14ac:dyDescent="0.25">
      <c r="A1118" s="11" t="s">
        <v>3195</v>
      </c>
      <c r="B1118" s="11"/>
      <c r="C1118" s="940">
        <v>2</v>
      </c>
      <c r="D1118" s="940">
        <v>1962.19387564261</v>
      </c>
      <c r="E1118" s="941">
        <v>1967.2629937863301</v>
      </c>
      <c r="F1118" s="942">
        <v>5.36858109438985E-3</v>
      </c>
      <c r="G1118" s="943">
        <v>5.3824659660364101E-3</v>
      </c>
    </row>
    <row r="1119" spans="1:7" x14ac:dyDescent="0.25">
      <c r="A1119" s="6" t="s">
        <v>1223</v>
      </c>
      <c r="B1119" s="6"/>
      <c r="C1119" s="936">
        <v>2</v>
      </c>
      <c r="D1119" s="936">
        <v>1954.5778670342099</v>
      </c>
      <c r="E1119" s="937">
        <v>1998.0521502690101</v>
      </c>
      <c r="F1119" s="938">
        <v>5.3477436224471904E-3</v>
      </c>
      <c r="G1119" s="939">
        <v>5.46651398025573E-3</v>
      </c>
    </row>
    <row r="1120" spans="1:7" x14ac:dyDescent="0.25">
      <c r="A1120" s="11" t="s">
        <v>3207</v>
      </c>
      <c r="B1120" s="11"/>
      <c r="C1120" s="940">
        <v>3</v>
      </c>
      <c r="D1120" s="940">
        <v>1714.7012637826599</v>
      </c>
      <c r="E1120" s="941">
        <v>1683.5595299307699</v>
      </c>
      <c r="F1120" s="942">
        <v>4.6914389559264301E-3</v>
      </c>
      <c r="G1120" s="943">
        <v>4.6064059106430098E-3</v>
      </c>
    </row>
    <row r="1121" spans="1:7" x14ac:dyDescent="0.25">
      <c r="A1121" s="6" t="s">
        <v>3217</v>
      </c>
      <c r="B1121" s="6"/>
      <c r="C1121" s="936">
        <v>9</v>
      </c>
      <c r="D1121" s="936">
        <v>1492.4551285007501</v>
      </c>
      <c r="E1121" s="937">
        <v>426.688587528916</v>
      </c>
      <c r="F1121" s="938">
        <v>4.0833714173479996E-3</v>
      </c>
      <c r="G1121" s="939">
        <v>1.1676592042941501E-3</v>
      </c>
    </row>
    <row r="1122" spans="1:7" x14ac:dyDescent="0.25">
      <c r="A1122" s="11" t="s">
        <v>3323</v>
      </c>
      <c r="B1122" s="11"/>
      <c r="C1122" s="940">
        <v>4</v>
      </c>
      <c r="D1122" s="940">
        <v>1476.07003102112</v>
      </c>
      <c r="E1122" s="941">
        <v>1204.8680254164501</v>
      </c>
      <c r="F1122" s="942">
        <v>4.0385416349035296E-3</v>
      </c>
      <c r="G1122" s="943">
        <v>3.2968859979304699E-3</v>
      </c>
    </row>
    <row r="1123" spans="1:7" x14ac:dyDescent="0.25">
      <c r="A1123" s="6" t="s">
        <v>1311</v>
      </c>
      <c r="B1123" s="6"/>
      <c r="C1123" s="936">
        <v>2</v>
      </c>
      <c r="D1123" s="936">
        <v>1126.4943701852701</v>
      </c>
      <c r="E1123" s="937">
        <v>1054.3877785821201</v>
      </c>
      <c r="F1123" s="938">
        <v>3.0820993041437701E-3</v>
      </c>
      <c r="G1123" s="939">
        <v>2.8847418329112501E-3</v>
      </c>
    </row>
    <row r="1124" spans="1:7" x14ac:dyDescent="0.25">
      <c r="A1124" s="11" t="s">
        <v>1209</v>
      </c>
      <c r="B1124" s="11"/>
      <c r="C1124" s="940">
        <v>1</v>
      </c>
      <c r="D1124" s="940">
        <v>879.49030437132797</v>
      </c>
      <c r="E1124" s="941">
        <v>882.05242616913699</v>
      </c>
      <c r="F1124" s="942">
        <v>2.40629383230583E-3</v>
      </c>
      <c r="G1124" s="943">
        <v>2.4133174442845799E-3</v>
      </c>
    </row>
    <row r="1125" spans="1:7" x14ac:dyDescent="0.25">
      <c r="A1125" s="6" t="s">
        <v>1243</v>
      </c>
      <c r="B1125" s="6"/>
      <c r="C1125" s="936">
        <v>3</v>
      </c>
      <c r="D1125" s="936">
        <v>775.48108079664701</v>
      </c>
      <c r="E1125" s="937">
        <v>479.06059134001998</v>
      </c>
      <c r="F1125" s="938">
        <v>2.1217236079989501E-3</v>
      </c>
      <c r="G1125" s="939">
        <v>1.31069931804263E-3</v>
      </c>
    </row>
    <row r="1126" spans="1:7" x14ac:dyDescent="0.25">
      <c r="A1126" s="11" t="s">
        <v>3191</v>
      </c>
      <c r="B1126" s="11"/>
      <c r="C1126" s="940">
        <v>4</v>
      </c>
      <c r="D1126" s="940">
        <v>711.98850818576398</v>
      </c>
      <c r="E1126" s="941">
        <v>718.76253994818899</v>
      </c>
      <c r="F1126" s="942">
        <v>1.9480073258393599E-3</v>
      </c>
      <c r="G1126" s="943">
        <v>1.9666188781713098E-3</v>
      </c>
    </row>
    <row r="1127" spans="1:7" x14ac:dyDescent="0.25">
      <c r="A1127" s="6" t="s">
        <v>1231</v>
      </c>
      <c r="B1127" s="6"/>
      <c r="C1127" s="936">
        <v>3</v>
      </c>
      <c r="D1127" s="936">
        <v>396.19037517701003</v>
      </c>
      <c r="E1127" s="937">
        <v>264.59164736231799</v>
      </c>
      <c r="F1127" s="938">
        <v>1.0839806322695501E-3</v>
      </c>
      <c r="G1127" s="939">
        <v>7.2392512793686698E-4</v>
      </c>
    </row>
    <row r="1128" spans="1:7" x14ac:dyDescent="0.25">
      <c r="A1128" s="11" t="s">
        <v>1217</v>
      </c>
      <c r="B1128" s="11"/>
      <c r="C1128" s="940">
        <v>1</v>
      </c>
      <c r="D1128" s="940">
        <v>374.59851454931999</v>
      </c>
      <c r="E1128" s="941">
        <v>376.83875672401803</v>
      </c>
      <c r="F1128" s="942">
        <v>1.0249050963617901E-3</v>
      </c>
      <c r="G1128" s="943">
        <v>1.03107860910898E-3</v>
      </c>
    </row>
    <row r="1129" spans="1:7" x14ac:dyDescent="0.25">
      <c r="A1129" s="6" t="s">
        <v>1241</v>
      </c>
      <c r="B1129" s="6"/>
      <c r="C1129" s="936">
        <v>4</v>
      </c>
      <c r="D1129" s="936">
        <v>238.18000913232001</v>
      </c>
      <c r="E1129" s="937">
        <v>184.67253327443399</v>
      </c>
      <c r="F1129" s="938">
        <v>6.5166276888445102E-4</v>
      </c>
      <c r="G1129" s="939">
        <v>5.0520715275796202E-4</v>
      </c>
    </row>
    <row r="1130" spans="1:7" x14ac:dyDescent="0.25">
      <c r="A1130" s="11" t="s">
        <v>6521</v>
      </c>
      <c r="B1130" s="11"/>
      <c r="C1130" s="940">
        <v>1</v>
      </c>
      <c r="D1130" s="940">
        <v>231.23200173713599</v>
      </c>
      <c r="E1130" s="941">
        <v>232.94667741384001</v>
      </c>
      <c r="F1130" s="942">
        <v>6.3265295461049204E-4</v>
      </c>
      <c r="G1130" s="943">
        <v>6.3733733618241803E-4</v>
      </c>
    </row>
    <row r="1131" spans="1:7" x14ac:dyDescent="0.25">
      <c r="A1131" s="6" t="s">
        <v>6522</v>
      </c>
      <c r="B1131" s="6"/>
      <c r="C1131" s="936">
        <v>1</v>
      </c>
      <c r="D1131" s="936">
        <v>128.756272017952</v>
      </c>
      <c r="E1131" s="937">
        <v>129.08695653317301</v>
      </c>
      <c r="F1131" s="938">
        <v>3.5227838406809702E-4</v>
      </c>
      <c r="G1131" s="939">
        <v>3.5320225226543797E-4</v>
      </c>
    </row>
    <row r="1132" spans="1:7" x14ac:dyDescent="0.25">
      <c r="A1132" s="11" t="s">
        <v>1211</v>
      </c>
      <c r="B1132" s="11"/>
      <c r="C1132" s="940">
        <v>1</v>
      </c>
      <c r="D1132" s="940">
        <v>68.326840166824098</v>
      </c>
      <c r="E1132" s="941">
        <v>68.748640411881098</v>
      </c>
      <c r="F1132" s="942">
        <v>1.8694288414231101E-4</v>
      </c>
      <c r="G1132" s="943">
        <v>1.8809570783333599E-4</v>
      </c>
    </row>
    <row r="1133" spans="1:7" x14ac:dyDescent="0.25">
      <c r="A1133" s="6" t="s">
        <v>3193</v>
      </c>
      <c r="B1133" s="6"/>
      <c r="C1133" s="936">
        <v>2</v>
      </c>
      <c r="D1133" s="936">
        <v>36.6180823373141</v>
      </c>
      <c r="E1133" s="937">
        <v>36.866695004854897</v>
      </c>
      <c r="F1133" s="938">
        <v>1.0018742132937E-4</v>
      </c>
      <c r="G1133" s="939">
        <v>1.00869125785294E-4</v>
      </c>
    </row>
    <row r="1134" spans="1:7" x14ac:dyDescent="0.25">
      <c r="A1134" s="11" t="s">
        <v>3205</v>
      </c>
      <c r="B1134" s="11"/>
      <c r="C1134" s="940">
        <v>2</v>
      </c>
      <c r="D1134" s="940">
        <v>36.611910827092402</v>
      </c>
      <c r="E1134" s="941">
        <v>36.528948019078904</v>
      </c>
      <c r="F1134" s="942">
        <v>1.0017053601874299E-4</v>
      </c>
      <c r="G1134" s="943">
        <v>9.9940494368201495E-5</v>
      </c>
    </row>
    <row r="1135" spans="1:7" x14ac:dyDescent="0.25">
      <c r="A1135" s="6" t="s">
        <v>1088</v>
      </c>
      <c r="B1135" s="6"/>
      <c r="C1135" s="936">
        <v>2198</v>
      </c>
      <c r="D1135" s="936">
        <v>2507649.0021306202</v>
      </c>
      <c r="E1135" s="937">
        <v>4.77482304698748E-3</v>
      </c>
      <c r="F1135" s="938">
        <v>96.625034327423293</v>
      </c>
      <c r="G1135" s="939">
        <v>0.71127758491255799</v>
      </c>
    </row>
    <row r="1136" spans="1:7" x14ac:dyDescent="0.25">
      <c r="A1136" s="11" t="s">
        <v>1084</v>
      </c>
      <c r="B1136" s="11" t="s">
        <v>1085</v>
      </c>
      <c r="C1136" s="940">
        <v>113</v>
      </c>
      <c r="D1136" s="940">
        <v>65588.824010411598</v>
      </c>
      <c r="E1136" s="941">
        <v>16586.0410166699</v>
      </c>
      <c r="F1136" s="942">
        <v>2.5272764912939101</v>
      </c>
      <c r="G1136" s="943">
        <v>0.62375794306870502</v>
      </c>
    </row>
    <row r="1137" spans="1:7" x14ac:dyDescent="0.25">
      <c r="A1137" s="6" t="s">
        <v>1086</v>
      </c>
      <c r="B1137" s="6" t="s">
        <v>1087</v>
      </c>
      <c r="C1137" s="936">
        <v>33</v>
      </c>
      <c r="D1137" s="936">
        <v>21266.482870536001</v>
      </c>
      <c r="E1137" s="937">
        <v>8273.6263737873505</v>
      </c>
      <c r="F1137" s="938">
        <v>0.81944268741087101</v>
      </c>
      <c r="G1137" s="939">
        <v>0.31576395662561202</v>
      </c>
    </row>
    <row r="1138" spans="1:7" x14ac:dyDescent="0.25">
      <c r="A1138" s="11" t="s">
        <v>1102</v>
      </c>
      <c r="B1138" s="11" t="s">
        <v>1103</v>
      </c>
      <c r="C1138" s="940">
        <v>1</v>
      </c>
      <c r="D1138" s="940">
        <v>733.06356540633499</v>
      </c>
      <c r="E1138" s="941">
        <v>734.64773794601604</v>
      </c>
      <c r="F1138" s="942">
        <v>2.8246493871904699E-2</v>
      </c>
      <c r="G1138" s="943">
        <v>2.83226532022639E-2</v>
      </c>
    </row>
    <row r="1139" spans="1:7" x14ac:dyDescent="0.25">
      <c r="A1139" s="6" t="s">
        <v>6417</v>
      </c>
      <c r="B1139" s="6" t="s">
        <v>6418</v>
      </c>
      <c r="C1139" s="936">
        <v>53468</v>
      </c>
      <c r="D1139" s="936">
        <v>36549580.6274231</v>
      </c>
      <c r="E1139" s="937">
        <v>19075.966569624401</v>
      </c>
      <c r="F1139" s="938">
        <v>93.370163650838904</v>
      </c>
      <c r="G1139" s="939">
        <v>4.8731779950066202E-2</v>
      </c>
    </row>
    <row r="1140" spans="1:7" x14ac:dyDescent="0.25">
      <c r="A1140" s="11" t="s">
        <v>6417</v>
      </c>
      <c r="B1140" s="11" t="s">
        <v>6419</v>
      </c>
      <c r="C1140" s="940">
        <v>55813</v>
      </c>
      <c r="D1140" s="940">
        <v>39144818</v>
      </c>
      <c r="E1140" s="941">
        <v>0</v>
      </c>
      <c r="F1140" s="942">
        <v>100</v>
      </c>
      <c r="G1140" s="943">
        <v>0</v>
      </c>
    </row>
    <row r="1141" spans="1:7" x14ac:dyDescent="0.25">
      <c r="A1141" s="3729" t="s">
        <v>931</v>
      </c>
      <c r="B1141" s="3730"/>
      <c r="C1141" s="3730"/>
      <c r="D1141" s="3730"/>
      <c r="E1141" s="3730"/>
      <c r="F1141" s="3730"/>
      <c r="G1141" s="3730"/>
    </row>
    <row r="1142" spans="1:7" x14ac:dyDescent="0.25">
      <c r="A1142" s="11" t="s">
        <v>1292</v>
      </c>
      <c r="B1142" s="11"/>
      <c r="C1142" s="948">
        <v>12795</v>
      </c>
      <c r="D1142" s="948">
        <v>8982811.4918306507</v>
      </c>
      <c r="E1142" s="949">
        <v>118880.51211735699</v>
      </c>
      <c r="F1142" s="950">
        <v>33.620173960218601</v>
      </c>
      <c r="G1142" s="951">
        <v>0.50016709117548597</v>
      </c>
    </row>
    <row r="1143" spans="1:7" x14ac:dyDescent="0.25">
      <c r="A1143" s="6" t="s">
        <v>6426</v>
      </c>
      <c r="B1143" s="6"/>
      <c r="C1143" s="944">
        <v>4959</v>
      </c>
      <c r="D1143" s="944">
        <v>3584618.9325691899</v>
      </c>
      <c r="E1143" s="945">
        <v>117949.37289301799</v>
      </c>
      <c r="F1143" s="946">
        <v>13.416235240344401</v>
      </c>
      <c r="G1143" s="947">
        <v>0.41398396200940102</v>
      </c>
    </row>
    <row r="1144" spans="1:7" x14ac:dyDescent="0.25">
      <c r="A1144" s="11" t="s">
        <v>6429</v>
      </c>
      <c r="B1144" s="11"/>
      <c r="C1144" s="948">
        <v>4738</v>
      </c>
      <c r="D1144" s="948">
        <v>3128841.3999863402</v>
      </c>
      <c r="E1144" s="949">
        <v>66965.606565187903</v>
      </c>
      <c r="F1144" s="950">
        <v>11.710386247907</v>
      </c>
      <c r="G1144" s="951">
        <v>0.27479339257337299</v>
      </c>
    </row>
    <row r="1145" spans="1:7" x14ac:dyDescent="0.25">
      <c r="A1145" s="6" t="s">
        <v>6427</v>
      </c>
      <c r="B1145" s="6"/>
      <c r="C1145" s="944">
        <v>3415</v>
      </c>
      <c r="D1145" s="944">
        <v>2508701.2385441498</v>
      </c>
      <c r="E1145" s="945">
        <v>77571.242214549595</v>
      </c>
      <c r="F1145" s="946">
        <v>9.38937348632723</v>
      </c>
      <c r="G1145" s="947">
        <v>0.27816273838292199</v>
      </c>
    </row>
    <row r="1146" spans="1:7" x14ac:dyDescent="0.25">
      <c r="A1146" s="11" t="s">
        <v>6430</v>
      </c>
      <c r="B1146" s="11"/>
      <c r="C1146" s="948">
        <v>3832</v>
      </c>
      <c r="D1146" s="948">
        <v>2482080.1881253002</v>
      </c>
      <c r="E1146" s="949">
        <v>69993.499173886303</v>
      </c>
      <c r="F1146" s="950">
        <v>9.2897382722409194</v>
      </c>
      <c r="G1146" s="951">
        <v>0.249117274513635</v>
      </c>
    </row>
    <row r="1147" spans="1:7" x14ac:dyDescent="0.25">
      <c r="A1147" s="6" t="s">
        <v>6432</v>
      </c>
      <c r="B1147" s="6"/>
      <c r="C1147" s="944">
        <v>4278</v>
      </c>
      <c r="D1147" s="944">
        <v>2381557.07104789</v>
      </c>
      <c r="E1147" s="945">
        <v>56655.0550090541</v>
      </c>
      <c r="F1147" s="946">
        <v>8.9135081035193</v>
      </c>
      <c r="G1147" s="947">
        <v>0.19520545633689801</v>
      </c>
    </row>
    <row r="1148" spans="1:7" x14ac:dyDescent="0.25">
      <c r="A1148" s="11" t="s">
        <v>6428</v>
      </c>
      <c r="B1148" s="11"/>
      <c r="C1148" s="948">
        <v>2986</v>
      </c>
      <c r="D1148" s="948">
        <v>1883526.7712419101</v>
      </c>
      <c r="E1148" s="949">
        <v>92062.855651445498</v>
      </c>
      <c r="F1148" s="950">
        <v>7.0495187130968704</v>
      </c>
      <c r="G1148" s="951">
        <v>0.32439429561646099</v>
      </c>
    </row>
    <row r="1149" spans="1:7" x14ac:dyDescent="0.25">
      <c r="A1149" s="6" t="s">
        <v>6431</v>
      </c>
      <c r="B1149" s="6"/>
      <c r="C1149" s="944">
        <v>1167</v>
      </c>
      <c r="D1149" s="944">
        <v>588098.35120955401</v>
      </c>
      <c r="E1149" s="945">
        <v>28759.690261427</v>
      </c>
      <c r="F1149" s="946">
        <v>2.2010891457941</v>
      </c>
      <c r="G1149" s="947">
        <v>0.103664385250212</v>
      </c>
    </row>
    <row r="1150" spans="1:7" x14ac:dyDescent="0.25">
      <c r="A1150" s="11" t="s">
        <v>1123</v>
      </c>
      <c r="B1150" s="11"/>
      <c r="C1150" s="948">
        <v>588</v>
      </c>
      <c r="D1150" s="948">
        <v>289819.417869066</v>
      </c>
      <c r="E1150" s="949">
        <v>26103.5383829032</v>
      </c>
      <c r="F1150" s="950">
        <v>1.08471376190725</v>
      </c>
      <c r="G1150" s="951">
        <v>9.7532836971618006E-2</v>
      </c>
    </row>
    <row r="1151" spans="1:7" x14ac:dyDescent="0.25">
      <c r="A1151" s="6" t="s">
        <v>1131</v>
      </c>
      <c r="B1151" s="6"/>
      <c r="C1151" s="944">
        <v>585</v>
      </c>
      <c r="D1151" s="944">
        <v>276237.42930456699</v>
      </c>
      <c r="E1151" s="945">
        <v>17439.3757645306</v>
      </c>
      <c r="F1151" s="946">
        <v>1.0338801427581199</v>
      </c>
      <c r="G1151" s="947">
        <v>6.8512523962351995E-2</v>
      </c>
    </row>
    <row r="1152" spans="1:7" x14ac:dyDescent="0.25">
      <c r="A1152" s="11" t="s">
        <v>6433</v>
      </c>
      <c r="B1152" s="11"/>
      <c r="C1152" s="948">
        <v>185</v>
      </c>
      <c r="D1152" s="948">
        <v>102105.59844374099</v>
      </c>
      <c r="E1152" s="949">
        <v>13784.596897437301</v>
      </c>
      <c r="F1152" s="950">
        <v>0.38215295791442799</v>
      </c>
      <c r="G1152" s="951">
        <v>5.2191513376068602E-2</v>
      </c>
    </row>
    <row r="1153" spans="1:7" x14ac:dyDescent="0.25">
      <c r="A1153" s="6" t="s">
        <v>1127</v>
      </c>
      <c r="B1153" s="6"/>
      <c r="C1153" s="944">
        <v>145</v>
      </c>
      <c r="D1153" s="944">
        <v>78129.559138813696</v>
      </c>
      <c r="E1153" s="945">
        <v>19947.404558909198</v>
      </c>
      <c r="F1153" s="946">
        <v>0.29241728740171902</v>
      </c>
      <c r="G1153" s="947">
        <v>7.4122042870051003E-2</v>
      </c>
    </row>
    <row r="1154" spans="1:7" x14ac:dyDescent="0.25">
      <c r="A1154" s="11" t="s">
        <v>1133</v>
      </c>
      <c r="B1154" s="11"/>
      <c r="C1154" s="948">
        <v>157</v>
      </c>
      <c r="D1154" s="948">
        <v>67374.947128300904</v>
      </c>
      <c r="E1154" s="949">
        <v>8997.6053298481293</v>
      </c>
      <c r="F1154" s="950">
        <v>0.25216575512845202</v>
      </c>
      <c r="G1154" s="951">
        <v>3.3728647327574801E-2</v>
      </c>
    </row>
    <row r="1155" spans="1:7" x14ac:dyDescent="0.25">
      <c r="A1155" s="6" t="s">
        <v>1187</v>
      </c>
      <c r="B1155" s="6"/>
      <c r="C1155" s="944">
        <v>118</v>
      </c>
      <c r="D1155" s="944">
        <v>63260.71029676</v>
      </c>
      <c r="E1155" s="945">
        <v>9300.5703951217292</v>
      </c>
      <c r="F1155" s="946">
        <v>0.23676730686804401</v>
      </c>
      <c r="G1155" s="947">
        <v>3.4108286919022103E-2</v>
      </c>
    </row>
    <row r="1156" spans="1:7" x14ac:dyDescent="0.25">
      <c r="A1156" s="11" t="s">
        <v>1295</v>
      </c>
      <c r="B1156" s="11"/>
      <c r="C1156" s="948">
        <v>97</v>
      </c>
      <c r="D1156" s="948">
        <v>61875.1335161979</v>
      </c>
      <c r="E1156" s="949">
        <v>10712.461980951201</v>
      </c>
      <c r="F1156" s="950">
        <v>0.231581476970567</v>
      </c>
      <c r="G1156" s="951">
        <v>3.9421481293862803E-2</v>
      </c>
    </row>
    <row r="1157" spans="1:7" x14ac:dyDescent="0.25">
      <c r="A1157" s="6" t="s">
        <v>6434</v>
      </c>
      <c r="B1157" s="6"/>
      <c r="C1157" s="944">
        <v>115</v>
      </c>
      <c r="D1157" s="944">
        <v>57018.364967604</v>
      </c>
      <c r="E1157" s="945">
        <v>11360.8454872697</v>
      </c>
      <c r="F1157" s="946">
        <v>0.213403938274943</v>
      </c>
      <c r="G1157" s="947">
        <v>4.2810753181854899E-2</v>
      </c>
    </row>
    <row r="1158" spans="1:7" x14ac:dyDescent="0.25">
      <c r="A1158" s="11" t="s">
        <v>3172</v>
      </c>
      <c r="B1158" s="11"/>
      <c r="C1158" s="948">
        <v>38</v>
      </c>
      <c r="D1158" s="948">
        <v>27016.6872317048</v>
      </c>
      <c r="E1158" s="949">
        <v>9025.2029924531707</v>
      </c>
      <c r="F1158" s="950">
        <v>0.101115973031916</v>
      </c>
      <c r="G1158" s="951">
        <v>3.35019923445306E-2</v>
      </c>
    </row>
    <row r="1159" spans="1:7" x14ac:dyDescent="0.25">
      <c r="A1159" s="6" t="s">
        <v>1125</v>
      </c>
      <c r="B1159" s="6"/>
      <c r="C1159" s="944">
        <v>35</v>
      </c>
      <c r="D1159" s="944">
        <v>19494.8484396801</v>
      </c>
      <c r="E1159" s="945">
        <v>6882.8177893831798</v>
      </c>
      <c r="F1159" s="946">
        <v>7.2963815000037305E-2</v>
      </c>
      <c r="G1159" s="947">
        <v>2.5579299388055199E-2</v>
      </c>
    </row>
    <row r="1160" spans="1:7" x14ac:dyDescent="0.25">
      <c r="A1160" s="11" t="s">
        <v>1297</v>
      </c>
      <c r="B1160" s="11"/>
      <c r="C1160" s="948">
        <v>42</v>
      </c>
      <c r="D1160" s="948">
        <v>18706.184022027101</v>
      </c>
      <c r="E1160" s="949">
        <v>6539.5070273541596</v>
      </c>
      <c r="F1160" s="950">
        <v>7.0012062651472196E-2</v>
      </c>
      <c r="G1160" s="951">
        <v>2.4611666715185901E-2</v>
      </c>
    </row>
    <row r="1161" spans="1:7" x14ac:dyDescent="0.25">
      <c r="A1161" s="6" t="s">
        <v>1129</v>
      </c>
      <c r="B1161" s="6"/>
      <c r="C1161" s="944">
        <v>25</v>
      </c>
      <c r="D1161" s="944">
        <v>14712.386865573901</v>
      </c>
      <c r="E1161" s="945">
        <v>4638.0901394222701</v>
      </c>
      <c r="F1161" s="946">
        <v>5.5064386716839303E-2</v>
      </c>
      <c r="G1161" s="947">
        <v>1.7342693083692701E-2</v>
      </c>
    </row>
    <row r="1162" spans="1:7" x14ac:dyDescent="0.25">
      <c r="A1162" s="11" t="s">
        <v>3178</v>
      </c>
      <c r="B1162" s="11"/>
      <c r="C1162" s="948">
        <v>36</v>
      </c>
      <c r="D1162" s="948">
        <v>14167.149927736</v>
      </c>
      <c r="E1162" s="949">
        <v>4804.2985575987304</v>
      </c>
      <c r="F1162" s="950">
        <v>5.30237159628867E-2</v>
      </c>
      <c r="G1162" s="951">
        <v>1.78015111790603E-2</v>
      </c>
    </row>
    <row r="1163" spans="1:7" x14ac:dyDescent="0.25">
      <c r="A1163" s="6" t="s">
        <v>1299</v>
      </c>
      <c r="B1163" s="6"/>
      <c r="C1163" s="944">
        <v>12</v>
      </c>
      <c r="D1163" s="944">
        <v>12536.818093247801</v>
      </c>
      <c r="E1163" s="945">
        <v>8008.25411956466</v>
      </c>
      <c r="F1163" s="946">
        <v>4.6921835728816801E-2</v>
      </c>
      <c r="G1163" s="947">
        <v>2.9961727706856098E-2</v>
      </c>
    </row>
    <row r="1164" spans="1:7" x14ac:dyDescent="0.25">
      <c r="A1164" s="11" t="s">
        <v>1301</v>
      </c>
      <c r="B1164" s="11"/>
      <c r="C1164" s="948">
        <v>14</v>
      </c>
      <c r="D1164" s="948">
        <v>12429.245730524301</v>
      </c>
      <c r="E1164" s="949">
        <v>6385.0280491726398</v>
      </c>
      <c r="F1164" s="950">
        <v>4.6519222187236399E-2</v>
      </c>
      <c r="G1164" s="951">
        <v>2.3874662139361701E-2</v>
      </c>
    </row>
    <row r="1165" spans="1:7" x14ac:dyDescent="0.25">
      <c r="A1165" s="6" t="s">
        <v>1189</v>
      </c>
      <c r="B1165" s="6"/>
      <c r="C1165" s="944">
        <v>4</v>
      </c>
      <c r="D1165" s="944">
        <v>8951.0245658709391</v>
      </c>
      <c r="E1165" s="945">
        <v>5760.7149353589803</v>
      </c>
      <c r="F1165" s="946">
        <v>3.3501204305629098E-2</v>
      </c>
      <c r="G1165" s="947">
        <v>2.1557353724537098E-2</v>
      </c>
    </row>
    <row r="1166" spans="1:7" x14ac:dyDescent="0.25">
      <c r="A1166" s="11" t="s">
        <v>1135</v>
      </c>
      <c r="B1166" s="11"/>
      <c r="C1166" s="948">
        <v>28</v>
      </c>
      <c r="D1166" s="948">
        <v>7355.5560288343204</v>
      </c>
      <c r="E1166" s="949">
        <v>2595.54857815274</v>
      </c>
      <c r="F1166" s="950">
        <v>2.7529807732072E-2</v>
      </c>
      <c r="G1166" s="951">
        <v>9.6916310555869092E-3</v>
      </c>
    </row>
    <row r="1167" spans="1:7" x14ac:dyDescent="0.25">
      <c r="A1167" s="6" t="s">
        <v>1137</v>
      </c>
      <c r="B1167" s="6"/>
      <c r="C1167" s="944">
        <v>18</v>
      </c>
      <c r="D1167" s="944">
        <v>7333.5577759068601</v>
      </c>
      <c r="E1167" s="945">
        <v>2458.3296124554299</v>
      </c>
      <c r="F1167" s="946">
        <v>2.7447474367855801E-2</v>
      </c>
      <c r="G1167" s="947">
        <v>9.1832949641368206E-3</v>
      </c>
    </row>
    <row r="1168" spans="1:7" x14ac:dyDescent="0.25">
      <c r="A1168" s="11" t="s">
        <v>1139</v>
      </c>
      <c r="B1168" s="11"/>
      <c r="C1168" s="948">
        <v>32</v>
      </c>
      <c r="D1168" s="948">
        <v>5871.7876332108699</v>
      </c>
      <c r="E1168" s="949">
        <v>1730.6526195776901</v>
      </c>
      <c r="F1168" s="950">
        <v>2.19764738317779E-2</v>
      </c>
      <c r="G1168" s="951">
        <v>6.4373769777612399E-3</v>
      </c>
    </row>
    <row r="1169" spans="1:7" x14ac:dyDescent="0.25">
      <c r="A1169" s="6" t="s">
        <v>1193</v>
      </c>
      <c r="B1169" s="6"/>
      <c r="C1169" s="944">
        <v>6</v>
      </c>
      <c r="D1169" s="944">
        <v>5040.3928663506704</v>
      </c>
      <c r="E1169" s="945">
        <v>2759.48430609039</v>
      </c>
      <c r="F1169" s="946">
        <v>1.8864793628216199E-2</v>
      </c>
      <c r="G1169" s="947">
        <v>1.03467972219928E-2</v>
      </c>
    </row>
    <row r="1170" spans="1:7" x14ac:dyDescent="0.25">
      <c r="A1170" s="11" t="s">
        <v>1191</v>
      </c>
      <c r="B1170" s="11"/>
      <c r="C1170" s="948">
        <v>4</v>
      </c>
      <c r="D1170" s="948">
        <v>4189.5594312874</v>
      </c>
      <c r="E1170" s="949">
        <v>3655.8726697263601</v>
      </c>
      <c r="F1170" s="950">
        <v>1.5680359876710698E-2</v>
      </c>
      <c r="G1170" s="951">
        <v>1.3685023888789701E-2</v>
      </c>
    </row>
    <row r="1171" spans="1:7" x14ac:dyDescent="0.25">
      <c r="A1171" s="6" t="s">
        <v>1141</v>
      </c>
      <c r="B1171" s="6"/>
      <c r="C1171" s="944">
        <v>6</v>
      </c>
      <c r="D1171" s="944">
        <v>4162.25878844418</v>
      </c>
      <c r="E1171" s="945">
        <v>3860.74176982054</v>
      </c>
      <c r="F1171" s="946">
        <v>1.5578181136518999E-2</v>
      </c>
      <c r="G1171" s="947">
        <v>1.44599819338417E-2</v>
      </c>
    </row>
    <row r="1172" spans="1:7" x14ac:dyDescent="0.25">
      <c r="A1172" s="11" t="s">
        <v>3361</v>
      </c>
      <c r="B1172" s="11"/>
      <c r="C1172" s="948">
        <v>10</v>
      </c>
      <c r="D1172" s="948">
        <v>3450.2477834680399</v>
      </c>
      <c r="E1172" s="949">
        <v>1665.69650011458</v>
      </c>
      <c r="F1172" s="950">
        <v>1.29133212682408E-2</v>
      </c>
      <c r="G1172" s="951">
        <v>6.2089542417975404E-3</v>
      </c>
    </row>
    <row r="1173" spans="1:7" x14ac:dyDescent="0.25">
      <c r="A1173" s="6" t="s">
        <v>3187</v>
      </c>
      <c r="B1173" s="6"/>
      <c r="C1173" s="944">
        <v>18</v>
      </c>
      <c r="D1173" s="944">
        <v>3109.7321068726401</v>
      </c>
      <c r="E1173" s="945">
        <v>1254.34529849516</v>
      </c>
      <c r="F1173" s="946">
        <v>1.1638865459641099E-2</v>
      </c>
      <c r="G1173" s="947">
        <v>4.7024764914485803E-3</v>
      </c>
    </row>
    <row r="1174" spans="1:7" x14ac:dyDescent="0.25">
      <c r="A1174" s="11" t="s">
        <v>6523</v>
      </c>
      <c r="B1174" s="11"/>
      <c r="C1174" s="948">
        <v>1</v>
      </c>
      <c r="D1174" s="948">
        <v>2970.52062375588</v>
      </c>
      <c r="E1174" s="949">
        <v>2992.4908342631002</v>
      </c>
      <c r="F1174" s="950">
        <v>1.11178354587442E-2</v>
      </c>
      <c r="G1174" s="951">
        <v>1.12000467051101E-2</v>
      </c>
    </row>
    <row r="1175" spans="1:7" x14ac:dyDescent="0.25">
      <c r="A1175" s="6" t="s">
        <v>1307</v>
      </c>
      <c r="B1175" s="6"/>
      <c r="C1175" s="944">
        <v>4</v>
      </c>
      <c r="D1175" s="944">
        <v>2492.75359959447</v>
      </c>
      <c r="E1175" s="945">
        <v>1697.1655889122101</v>
      </c>
      <c r="F1175" s="946">
        <v>9.3296858933914692E-3</v>
      </c>
      <c r="G1175" s="947">
        <v>6.3700389314681099E-3</v>
      </c>
    </row>
    <row r="1176" spans="1:7" x14ac:dyDescent="0.25">
      <c r="A1176" s="11" t="s">
        <v>3209</v>
      </c>
      <c r="B1176" s="11"/>
      <c r="C1176" s="948">
        <v>2</v>
      </c>
      <c r="D1176" s="948">
        <v>1871.7716468103599</v>
      </c>
      <c r="E1176" s="949">
        <v>1781.05091986002</v>
      </c>
      <c r="F1176" s="950">
        <v>7.00552254010891E-3</v>
      </c>
      <c r="G1176" s="951">
        <v>6.6585218181491003E-3</v>
      </c>
    </row>
    <row r="1177" spans="1:7" x14ac:dyDescent="0.25">
      <c r="A1177" s="6" t="s">
        <v>1305</v>
      </c>
      <c r="B1177" s="6"/>
      <c r="C1177" s="944">
        <v>4</v>
      </c>
      <c r="D1177" s="944">
        <v>1527.6331524008699</v>
      </c>
      <c r="E1177" s="945">
        <v>1308.54969752274</v>
      </c>
      <c r="F1177" s="946">
        <v>5.7175075284417202E-3</v>
      </c>
      <c r="G1177" s="947">
        <v>4.9025004117732203E-3</v>
      </c>
    </row>
    <row r="1178" spans="1:7" x14ac:dyDescent="0.25">
      <c r="A1178" s="11" t="s">
        <v>3234</v>
      </c>
      <c r="B1178" s="11"/>
      <c r="C1178" s="948">
        <v>1</v>
      </c>
      <c r="D1178" s="948">
        <v>1267.12822320433</v>
      </c>
      <c r="E1178" s="949">
        <v>1264.98441528785</v>
      </c>
      <c r="F1178" s="950">
        <v>4.7425097735575902E-3</v>
      </c>
      <c r="G1178" s="951">
        <v>4.7367869864518098E-3</v>
      </c>
    </row>
    <row r="1179" spans="1:7" x14ac:dyDescent="0.25">
      <c r="A1179" s="6" t="s">
        <v>3201</v>
      </c>
      <c r="B1179" s="6"/>
      <c r="C1179" s="944">
        <v>4</v>
      </c>
      <c r="D1179" s="944">
        <v>1244.32716189095</v>
      </c>
      <c r="E1179" s="945">
        <v>877.09849092241802</v>
      </c>
      <c r="F1179" s="946">
        <v>4.6571717200394203E-3</v>
      </c>
      <c r="G1179" s="947">
        <v>3.2744749001295602E-3</v>
      </c>
    </row>
    <row r="1180" spans="1:7" x14ac:dyDescent="0.25">
      <c r="A1180" s="11" t="s">
        <v>1303</v>
      </c>
      <c r="B1180" s="11"/>
      <c r="C1180" s="948">
        <v>4</v>
      </c>
      <c r="D1180" s="948">
        <v>1057.2242321281501</v>
      </c>
      <c r="E1180" s="949">
        <v>720.661401433675</v>
      </c>
      <c r="F1180" s="950">
        <v>3.9568973067543598E-3</v>
      </c>
      <c r="G1180" s="951">
        <v>2.6984051822162899E-3</v>
      </c>
    </row>
    <row r="1181" spans="1:7" x14ac:dyDescent="0.25">
      <c r="A1181" s="6" t="s">
        <v>3191</v>
      </c>
      <c r="B1181" s="6"/>
      <c r="C1181" s="944">
        <v>1</v>
      </c>
      <c r="D1181" s="944">
        <v>711.98850818576398</v>
      </c>
      <c r="E1181" s="945">
        <v>718.76253994818899</v>
      </c>
      <c r="F1181" s="946">
        <v>2.6647756690264999E-3</v>
      </c>
      <c r="G1181" s="947">
        <v>2.6901516622442499E-3</v>
      </c>
    </row>
    <row r="1182" spans="1:7" x14ac:dyDescent="0.25">
      <c r="A1182" s="11" t="s">
        <v>1205</v>
      </c>
      <c r="B1182" s="11"/>
      <c r="C1182" s="948">
        <v>2</v>
      </c>
      <c r="D1182" s="948">
        <v>207.17044664495501</v>
      </c>
      <c r="E1182" s="949">
        <v>136.27218238683301</v>
      </c>
      <c r="F1182" s="950">
        <v>7.7538156755865796E-4</v>
      </c>
      <c r="G1182" s="951">
        <v>5.0952435394899004E-4</v>
      </c>
    </row>
    <row r="1183" spans="1:7" x14ac:dyDescent="0.25">
      <c r="A1183" s="6" t="s">
        <v>3180</v>
      </c>
      <c r="B1183" s="6"/>
      <c r="C1183" s="944">
        <v>1</v>
      </c>
      <c r="D1183" s="944">
        <v>188.48744933265499</v>
      </c>
      <c r="E1183" s="945">
        <v>186.37660212722199</v>
      </c>
      <c r="F1183" s="946">
        <v>7.0545628633583897E-4</v>
      </c>
      <c r="G1183" s="947">
        <v>6.9741781926584004E-4</v>
      </c>
    </row>
    <row r="1184" spans="1:7" x14ac:dyDescent="0.25">
      <c r="A1184" s="11" t="s">
        <v>3215</v>
      </c>
      <c r="B1184" s="11"/>
      <c r="C1184" s="948">
        <v>2</v>
      </c>
      <c r="D1184" s="948">
        <v>139.29310446427399</v>
      </c>
      <c r="E1184" s="949">
        <v>138.29434172582199</v>
      </c>
      <c r="F1184" s="950">
        <v>5.2133548698052605E-4</v>
      </c>
      <c r="G1184" s="951">
        <v>5.1784410019793605E-4</v>
      </c>
    </row>
    <row r="1185" spans="1:7" x14ac:dyDescent="0.25">
      <c r="A1185" s="6" t="s">
        <v>3176</v>
      </c>
      <c r="B1185" s="6"/>
      <c r="C1185" s="944">
        <v>3</v>
      </c>
      <c r="D1185" s="944">
        <v>109.47210788282</v>
      </c>
      <c r="E1185" s="945">
        <v>110.92273286975001</v>
      </c>
      <c r="F1185" s="946">
        <v>4.0972376122546799E-4</v>
      </c>
      <c r="G1185" s="947">
        <v>4.1510982130218201E-4</v>
      </c>
    </row>
    <row r="1186" spans="1:7" x14ac:dyDescent="0.25">
      <c r="A1186" s="11" t="s">
        <v>1311</v>
      </c>
      <c r="B1186" s="11"/>
      <c r="C1186" s="948">
        <v>1</v>
      </c>
      <c r="D1186" s="948">
        <v>74.707360958831401</v>
      </c>
      <c r="E1186" s="949">
        <v>74.534590165147193</v>
      </c>
      <c r="F1186" s="950">
        <v>2.7960894802579099E-4</v>
      </c>
      <c r="G1186" s="951">
        <v>2.78898225284702E-4</v>
      </c>
    </row>
    <row r="1187" spans="1:7" x14ac:dyDescent="0.25">
      <c r="A1187" s="6" t="s">
        <v>1197</v>
      </c>
      <c r="B1187" s="6"/>
      <c r="C1187" s="944">
        <v>2</v>
      </c>
      <c r="D1187" s="944">
        <v>69.280711224203202</v>
      </c>
      <c r="E1187" s="945">
        <v>69.156956340884506</v>
      </c>
      <c r="F1187" s="946">
        <v>2.5929850198500601E-4</v>
      </c>
      <c r="G1187" s="947">
        <v>2.5893399149269999E-4</v>
      </c>
    </row>
    <row r="1188" spans="1:7" x14ac:dyDescent="0.25">
      <c r="A1188" s="11" t="s">
        <v>1088</v>
      </c>
      <c r="B1188" s="11" t="s">
        <v>1089</v>
      </c>
      <c r="C1188" s="948">
        <v>14848</v>
      </c>
      <c r="D1188" s="948">
        <v>12211200.2864432</v>
      </c>
      <c r="E1188" s="949">
        <v>168755.758044469</v>
      </c>
      <c r="F1188" s="950">
        <v>98.268978902411405</v>
      </c>
      <c r="G1188" s="951">
        <v>0.183118616192256</v>
      </c>
    </row>
    <row r="1189" spans="1:7" x14ac:dyDescent="0.25">
      <c r="A1189" s="6" t="s">
        <v>1084</v>
      </c>
      <c r="B1189" s="6" t="s">
        <v>1153</v>
      </c>
      <c r="C1189" s="944">
        <v>251</v>
      </c>
      <c r="D1189" s="944">
        <v>117347.143811706</v>
      </c>
      <c r="E1189" s="945">
        <v>20486.8500278262</v>
      </c>
      <c r="F1189" s="946">
        <v>0.94434484153806397</v>
      </c>
      <c r="G1189" s="947">
        <v>0.16291710637670601</v>
      </c>
    </row>
    <row r="1190" spans="1:7" x14ac:dyDescent="0.25">
      <c r="A1190" s="11" t="s">
        <v>1086</v>
      </c>
      <c r="B1190" s="11" t="s">
        <v>1087</v>
      </c>
      <c r="C1190" s="948">
        <v>197</v>
      </c>
      <c r="D1190" s="948">
        <v>97032.937152541796</v>
      </c>
      <c r="E1190" s="949">
        <v>7964.9168258101899</v>
      </c>
      <c r="F1190" s="950">
        <v>0.78086735375786098</v>
      </c>
      <c r="G1190" s="951">
        <v>6.5338516660514004E-2</v>
      </c>
    </row>
    <row r="1191" spans="1:7" x14ac:dyDescent="0.25">
      <c r="A1191" s="6" t="s">
        <v>1102</v>
      </c>
      <c r="B1191" s="6" t="s">
        <v>1103</v>
      </c>
      <c r="C1191" s="944">
        <v>1</v>
      </c>
      <c r="D1191" s="944">
        <v>721.83175333974805</v>
      </c>
      <c r="E1191" s="945">
        <v>727.08849258892496</v>
      </c>
      <c r="F1191" s="946">
        <v>5.8089022926586902E-3</v>
      </c>
      <c r="G1191" s="947">
        <v>5.8570623311517099E-3</v>
      </c>
    </row>
    <row r="1192" spans="1:7" x14ac:dyDescent="0.25">
      <c r="A1192" s="11" t="s">
        <v>6417</v>
      </c>
      <c r="B1192" s="11" t="s">
        <v>6418</v>
      </c>
      <c r="C1192" s="948">
        <v>40520</v>
      </c>
      <c r="D1192" s="948">
        <v>26718515.800839201</v>
      </c>
      <c r="E1192" s="949">
        <v>170645.110892033</v>
      </c>
      <c r="F1192" s="950">
        <v>68.255562718005805</v>
      </c>
      <c r="G1192" s="951">
        <v>0.43593282485559898</v>
      </c>
    </row>
    <row r="1193" spans="1:7" x14ac:dyDescent="0.25">
      <c r="A1193" s="6" t="s">
        <v>6417</v>
      </c>
      <c r="B1193" s="6" t="s">
        <v>6419</v>
      </c>
      <c r="C1193" s="944">
        <v>55817</v>
      </c>
      <c r="D1193" s="944">
        <v>39144818</v>
      </c>
      <c r="E1193" s="945">
        <v>0</v>
      </c>
      <c r="F1193" s="946">
        <v>100</v>
      </c>
      <c r="G1193" s="947">
        <v>0</v>
      </c>
    </row>
    <row r="1194" spans="1:7" x14ac:dyDescent="0.25">
      <c r="A1194" s="3729" t="s">
        <v>438</v>
      </c>
      <c r="B1194" s="3730"/>
      <c r="C1194" s="3730"/>
      <c r="D1194" s="3730"/>
      <c r="E1194" s="3730"/>
      <c r="F1194" s="3730"/>
      <c r="G1194" s="3730"/>
    </row>
    <row r="1195" spans="1:7" x14ac:dyDescent="0.25">
      <c r="A1195" s="11" t="s">
        <v>1292</v>
      </c>
      <c r="B1195" s="11"/>
      <c r="C1195" s="956">
        <v>46713</v>
      </c>
      <c r="D1195" s="956">
        <v>31925976.7008298</v>
      </c>
      <c r="E1195" s="957">
        <v>137736.306628399</v>
      </c>
      <c r="F1195" s="958">
        <v>87.273472151720995</v>
      </c>
      <c r="G1195" s="959">
        <v>0.357300637818527</v>
      </c>
    </row>
    <row r="1196" spans="1:7" x14ac:dyDescent="0.25">
      <c r="A1196" s="6" t="s">
        <v>6427</v>
      </c>
      <c r="B1196" s="6"/>
      <c r="C1196" s="952">
        <v>2055</v>
      </c>
      <c r="D1196" s="952">
        <v>1287197.13553707</v>
      </c>
      <c r="E1196" s="953">
        <v>86933.918500399595</v>
      </c>
      <c r="F1196" s="954">
        <v>3.5187071773797798</v>
      </c>
      <c r="G1196" s="955">
        <v>0.23879211485865501</v>
      </c>
    </row>
    <row r="1197" spans="1:7" x14ac:dyDescent="0.25">
      <c r="A1197" s="11" t="s">
        <v>6426</v>
      </c>
      <c r="B1197" s="11"/>
      <c r="C1197" s="956">
        <v>1503</v>
      </c>
      <c r="D1197" s="956">
        <v>1102495.66953432</v>
      </c>
      <c r="E1197" s="957">
        <v>51277.1421278899</v>
      </c>
      <c r="F1197" s="958">
        <v>3.0138036500538998</v>
      </c>
      <c r="G1197" s="959">
        <v>0.140861656976281</v>
      </c>
    </row>
    <row r="1198" spans="1:7" x14ac:dyDescent="0.25">
      <c r="A1198" s="6" t="s">
        <v>6429</v>
      </c>
      <c r="B1198" s="6"/>
      <c r="C1198" s="952">
        <v>1031</v>
      </c>
      <c r="D1198" s="952">
        <v>689414.39758303703</v>
      </c>
      <c r="E1198" s="953">
        <v>42644.504627646398</v>
      </c>
      <c r="F1198" s="954">
        <v>1.88459663402858</v>
      </c>
      <c r="G1198" s="955">
        <v>0.11666312755401501</v>
      </c>
    </row>
    <row r="1199" spans="1:7" x14ac:dyDescent="0.25">
      <c r="A1199" s="11" t="s">
        <v>6430</v>
      </c>
      <c r="B1199" s="11"/>
      <c r="C1199" s="956">
        <v>651</v>
      </c>
      <c r="D1199" s="956">
        <v>403917.06648530503</v>
      </c>
      <c r="E1199" s="957">
        <v>24037.222293280902</v>
      </c>
      <c r="F1199" s="958">
        <v>1.1041555653517101</v>
      </c>
      <c r="G1199" s="959">
        <v>6.5849711372898898E-2</v>
      </c>
    </row>
    <row r="1200" spans="1:7" x14ac:dyDescent="0.25">
      <c r="A1200" s="6" t="s">
        <v>6428</v>
      </c>
      <c r="B1200" s="6"/>
      <c r="C1200" s="952">
        <v>529</v>
      </c>
      <c r="D1200" s="952">
        <v>355556.22850055801</v>
      </c>
      <c r="E1200" s="953">
        <v>28252.0600118047</v>
      </c>
      <c r="F1200" s="954">
        <v>0.97195543607622503</v>
      </c>
      <c r="G1200" s="955">
        <v>7.7209088257909203E-2</v>
      </c>
    </row>
    <row r="1201" spans="1:7" x14ac:dyDescent="0.25">
      <c r="A1201" s="11" t="s">
        <v>6432</v>
      </c>
      <c r="B1201" s="11"/>
      <c r="C1201" s="956">
        <v>380</v>
      </c>
      <c r="D1201" s="956">
        <v>310528.37378883798</v>
      </c>
      <c r="E1201" s="957">
        <v>40578.551108202402</v>
      </c>
      <c r="F1201" s="958">
        <v>0.84886641483626202</v>
      </c>
      <c r="G1201" s="959">
        <v>0.110674437068028</v>
      </c>
    </row>
    <row r="1202" spans="1:7" x14ac:dyDescent="0.25">
      <c r="A1202" s="6" t="s">
        <v>6431</v>
      </c>
      <c r="B1202" s="6"/>
      <c r="C1202" s="952">
        <v>229</v>
      </c>
      <c r="D1202" s="952">
        <v>145656.595441635</v>
      </c>
      <c r="E1202" s="953">
        <v>20653.173083830701</v>
      </c>
      <c r="F1202" s="954">
        <v>0.39816970816932401</v>
      </c>
      <c r="G1202" s="955">
        <v>5.6417009093482698E-2</v>
      </c>
    </row>
    <row r="1203" spans="1:7" x14ac:dyDescent="0.25">
      <c r="A1203" s="11" t="s">
        <v>1123</v>
      </c>
      <c r="B1203" s="11"/>
      <c r="C1203" s="956">
        <v>153</v>
      </c>
      <c r="D1203" s="956">
        <v>113931.09116306499</v>
      </c>
      <c r="E1203" s="957">
        <v>16692.8171944758</v>
      </c>
      <c r="F1203" s="958">
        <v>0.31144425133833198</v>
      </c>
      <c r="G1203" s="959">
        <v>4.55947308409511E-2</v>
      </c>
    </row>
    <row r="1204" spans="1:7" x14ac:dyDescent="0.25">
      <c r="A1204" s="6" t="s">
        <v>1131</v>
      </c>
      <c r="B1204" s="6"/>
      <c r="C1204" s="952">
        <v>72</v>
      </c>
      <c r="D1204" s="952">
        <v>53589.037104541901</v>
      </c>
      <c r="E1204" s="953">
        <v>8727.2284185422195</v>
      </c>
      <c r="F1204" s="954">
        <v>0.14649203628777999</v>
      </c>
      <c r="G1204" s="955">
        <v>2.3834830516406301E-2</v>
      </c>
    </row>
    <row r="1205" spans="1:7" x14ac:dyDescent="0.25">
      <c r="A1205" s="11" t="s">
        <v>6433</v>
      </c>
      <c r="B1205" s="11"/>
      <c r="C1205" s="956">
        <v>44</v>
      </c>
      <c r="D1205" s="956">
        <v>35106.954464864903</v>
      </c>
      <c r="E1205" s="957">
        <v>11822.9852774253</v>
      </c>
      <c r="F1205" s="958">
        <v>9.5969054965247005E-2</v>
      </c>
      <c r="G1205" s="959">
        <v>3.2307872007863198E-2</v>
      </c>
    </row>
    <row r="1206" spans="1:7" x14ac:dyDescent="0.25">
      <c r="A1206" s="6" t="s">
        <v>1295</v>
      </c>
      <c r="B1206" s="6"/>
      <c r="C1206" s="952">
        <v>32</v>
      </c>
      <c r="D1206" s="952">
        <v>28614.9854749531</v>
      </c>
      <c r="E1206" s="953">
        <v>10688.061201542499</v>
      </c>
      <c r="F1206" s="954">
        <v>7.8222482004922197E-2</v>
      </c>
      <c r="G1206" s="955">
        <v>2.92222015444406E-2</v>
      </c>
    </row>
    <row r="1207" spans="1:7" x14ac:dyDescent="0.25">
      <c r="A1207" s="11" t="s">
        <v>1127</v>
      </c>
      <c r="B1207" s="11"/>
      <c r="C1207" s="956">
        <v>35</v>
      </c>
      <c r="D1207" s="956">
        <v>28569.919176750402</v>
      </c>
      <c r="E1207" s="957">
        <v>6612.7868518574096</v>
      </c>
      <c r="F1207" s="958">
        <v>7.8099287893806102E-2</v>
      </c>
      <c r="G1207" s="959">
        <v>1.8076518753124899E-2</v>
      </c>
    </row>
    <row r="1208" spans="1:7" x14ac:dyDescent="0.25">
      <c r="A1208" s="6" t="s">
        <v>1133</v>
      </c>
      <c r="B1208" s="6"/>
      <c r="C1208" s="952">
        <v>29</v>
      </c>
      <c r="D1208" s="952">
        <v>19195.6923501157</v>
      </c>
      <c r="E1208" s="953">
        <v>12908.969311220601</v>
      </c>
      <c r="F1208" s="954">
        <v>5.2473718735354599E-2</v>
      </c>
      <c r="G1208" s="955">
        <v>3.5290556131811202E-2</v>
      </c>
    </row>
    <row r="1209" spans="1:7" x14ac:dyDescent="0.25">
      <c r="A1209" s="11" t="s">
        <v>6434</v>
      </c>
      <c r="B1209" s="11"/>
      <c r="C1209" s="956">
        <v>20</v>
      </c>
      <c r="D1209" s="956">
        <v>13472.9129076852</v>
      </c>
      <c r="E1209" s="957">
        <v>5582.2308789697699</v>
      </c>
      <c r="F1209" s="958">
        <v>3.6829817313650801E-2</v>
      </c>
      <c r="G1209" s="959">
        <v>1.52587004886491E-2</v>
      </c>
    </row>
    <row r="1210" spans="1:7" x14ac:dyDescent="0.25">
      <c r="A1210" s="6" t="s">
        <v>1135</v>
      </c>
      <c r="B1210" s="6"/>
      <c r="C1210" s="952">
        <v>10</v>
      </c>
      <c r="D1210" s="952">
        <v>7795.2916558390898</v>
      </c>
      <c r="E1210" s="953">
        <v>3958.6445925451499</v>
      </c>
      <c r="F1210" s="954">
        <v>2.1309361201868399E-2</v>
      </c>
      <c r="G1210" s="955">
        <v>1.0826771965566801E-2</v>
      </c>
    </row>
    <row r="1211" spans="1:7" x14ac:dyDescent="0.25">
      <c r="A1211" s="11" t="s">
        <v>1297</v>
      </c>
      <c r="B1211" s="11"/>
      <c r="C1211" s="956">
        <v>7</v>
      </c>
      <c r="D1211" s="956">
        <v>7121.8839510604803</v>
      </c>
      <c r="E1211" s="957">
        <v>4333.01689315781</v>
      </c>
      <c r="F1211" s="958">
        <v>1.9468520775262999E-2</v>
      </c>
      <c r="G1211" s="959">
        <v>1.1842976702793001E-2</v>
      </c>
    </row>
    <row r="1212" spans="1:7" x14ac:dyDescent="0.25">
      <c r="A1212" s="6" t="s">
        <v>1125</v>
      </c>
      <c r="B1212" s="6"/>
      <c r="C1212" s="952">
        <v>16</v>
      </c>
      <c r="D1212" s="952">
        <v>6824.6734501316896</v>
      </c>
      <c r="E1212" s="953">
        <v>2902.8211347718702</v>
      </c>
      <c r="F1212" s="954">
        <v>1.8656060357244399E-2</v>
      </c>
      <c r="G1212" s="955">
        <v>7.9357850094116094E-3</v>
      </c>
    </row>
    <row r="1213" spans="1:7" x14ac:dyDescent="0.25">
      <c r="A1213" s="11" t="s">
        <v>1139</v>
      </c>
      <c r="B1213" s="11"/>
      <c r="C1213" s="956">
        <v>3</v>
      </c>
      <c r="D1213" s="956">
        <v>5928.6899355631704</v>
      </c>
      <c r="E1213" s="957">
        <v>5765.53032834038</v>
      </c>
      <c r="F1213" s="958">
        <v>1.62067823589595E-2</v>
      </c>
      <c r="G1213" s="959">
        <v>1.5761273976158698E-2</v>
      </c>
    </row>
    <row r="1214" spans="1:7" x14ac:dyDescent="0.25">
      <c r="A1214" s="6" t="s">
        <v>3193</v>
      </c>
      <c r="B1214" s="6"/>
      <c r="C1214" s="952">
        <v>1</v>
      </c>
      <c r="D1214" s="952">
        <v>5760.8219380890596</v>
      </c>
      <c r="E1214" s="953">
        <v>5901.46566601004</v>
      </c>
      <c r="F1214" s="954">
        <v>1.57478951292905E-2</v>
      </c>
      <c r="G1214" s="955">
        <v>1.6132659713718401E-2</v>
      </c>
    </row>
    <row r="1215" spans="1:7" x14ac:dyDescent="0.25">
      <c r="A1215" s="11" t="s">
        <v>3172</v>
      </c>
      <c r="B1215" s="11"/>
      <c r="C1215" s="956">
        <v>10</v>
      </c>
      <c r="D1215" s="956">
        <v>5731.5013918143904</v>
      </c>
      <c r="E1215" s="957">
        <v>4123.9541440167905</v>
      </c>
      <c r="F1215" s="958">
        <v>1.5667743912531999E-2</v>
      </c>
      <c r="G1215" s="959">
        <v>1.1274050545152301E-2</v>
      </c>
    </row>
    <row r="1216" spans="1:7" x14ac:dyDescent="0.25">
      <c r="A1216" s="6" t="s">
        <v>1129</v>
      </c>
      <c r="B1216" s="6"/>
      <c r="C1216" s="952">
        <v>7</v>
      </c>
      <c r="D1216" s="952">
        <v>5373.9323043642098</v>
      </c>
      <c r="E1216" s="953">
        <v>2711.7227609187498</v>
      </c>
      <c r="F1216" s="954">
        <v>1.46902860860001E-2</v>
      </c>
      <c r="G1216" s="955">
        <v>7.4096628663171803E-3</v>
      </c>
    </row>
    <row r="1217" spans="1:7" x14ac:dyDescent="0.25">
      <c r="A1217" s="11" t="s">
        <v>3178</v>
      </c>
      <c r="B1217" s="11"/>
      <c r="C1217" s="956">
        <v>7</v>
      </c>
      <c r="D1217" s="956">
        <v>4421.1447708470196</v>
      </c>
      <c r="E1217" s="957">
        <v>3324.1496430204102</v>
      </c>
      <c r="F1217" s="958">
        <v>1.20857275143979E-2</v>
      </c>
      <c r="G1217" s="959">
        <v>9.0860848299666609E-3</v>
      </c>
    </row>
    <row r="1218" spans="1:7" x14ac:dyDescent="0.25">
      <c r="A1218" s="6" t="s">
        <v>1187</v>
      </c>
      <c r="B1218" s="6"/>
      <c r="C1218" s="952">
        <v>10</v>
      </c>
      <c r="D1218" s="952">
        <v>3966.85838837644</v>
      </c>
      <c r="E1218" s="953">
        <v>1778.1515369454301</v>
      </c>
      <c r="F1218" s="954">
        <v>1.0843881405162899E-2</v>
      </c>
      <c r="G1218" s="955">
        <v>4.8597800774715398E-3</v>
      </c>
    </row>
    <row r="1219" spans="1:7" x14ac:dyDescent="0.25">
      <c r="A1219" s="11" t="s">
        <v>1301</v>
      </c>
      <c r="B1219" s="11"/>
      <c r="C1219" s="956">
        <v>3</v>
      </c>
      <c r="D1219" s="956">
        <v>2659.5686544176901</v>
      </c>
      <c r="E1219" s="957">
        <v>1713.7001242261099</v>
      </c>
      <c r="F1219" s="958">
        <v>7.2702487091297098E-3</v>
      </c>
      <c r="G1219" s="959">
        <v>4.6840945840512802E-3</v>
      </c>
    </row>
    <row r="1220" spans="1:7" x14ac:dyDescent="0.25">
      <c r="A1220" s="6" t="s">
        <v>1299</v>
      </c>
      <c r="B1220" s="6"/>
      <c r="C1220" s="952">
        <v>2</v>
      </c>
      <c r="D1220" s="952">
        <v>2539.0234599385199</v>
      </c>
      <c r="E1220" s="953">
        <v>2394.7112986669999</v>
      </c>
      <c r="F1220" s="954">
        <v>6.9407240160565403E-3</v>
      </c>
      <c r="G1220" s="955">
        <v>6.54588188239668E-3</v>
      </c>
    </row>
    <row r="1221" spans="1:7" x14ac:dyDescent="0.25">
      <c r="A1221" s="11" t="s">
        <v>3187</v>
      </c>
      <c r="B1221" s="11"/>
      <c r="C1221" s="956">
        <v>3</v>
      </c>
      <c r="D1221" s="956">
        <v>1729.00897348986</v>
      </c>
      <c r="E1221" s="957">
        <v>1732.50395593806</v>
      </c>
      <c r="F1221" s="958">
        <v>4.7264526285901E-3</v>
      </c>
      <c r="G1221" s="959">
        <v>4.7358658182750498E-3</v>
      </c>
    </row>
    <row r="1222" spans="1:7" x14ac:dyDescent="0.25">
      <c r="A1222" s="6" t="s">
        <v>1137</v>
      </c>
      <c r="B1222" s="6"/>
      <c r="C1222" s="952">
        <v>3</v>
      </c>
      <c r="D1222" s="952">
        <v>1536.24786385436</v>
      </c>
      <c r="E1222" s="953">
        <v>1017.07820485117</v>
      </c>
      <c r="F1222" s="954">
        <v>4.19951710234599E-3</v>
      </c>
      <c r="G1222" s="955">
        <v>2.7798510546751202E-3</v>
      </c>
    </row>
    <row r="1223" spans="1:7" x14ac:dyDescent="0.25">
      <c r="A1223" s="11" t="s">
        <v>1193</v>
      </c>
      <c r="B1223" s="11"/>
      <c r="C1223" s="956">
        <v>1</v>
      </c>
      <c r="D1223" s="956">
        <v>1390.7715191075599</v>
      </c>
      <c r="E1223" s="957">
        <v>1385.11002578633</v>
      </c>
      <c r="F1223" s="958">
        <v>3.8018401309891899E-3</v>
      </c>
      <c r="G1223" s="959">
        <v>3.7864669753196098E-3</v>
      </c>
    </row>
    <row r="1224" spans="1:7" x14ac:dyDescent="0.25">
      <c r="A1224" s="6" t="s">
        <v>1189</v>
      </c>
      <c r="B1224" s="6"/>
      <c r="C1224" s="952">
        <v>1</v>
      </c>
      <c r="D1224" s="952">
        <v>1267.12822320433</v>
      </c>
      <c r="E1224" s="953">
        <v>1264.98441528785</v>
      </c>
      <c r="F1224" s="954">
        <v>3.4638464074807302E-3</v>
      </c>
      <c r="G1224" s="955">
        <v>3.4579560103396301E-3</v>
      </c>
    </row>
    <row r="1225" spans="1:7" x14ac:dyDescent="0.25">
      <c r="A1225" s="11" t="s">
        <v>3361</v>
      </c>
      <c r="B1225" s="11"/>
      <c r="C1225" s="956">
        <v>1</v>
      </c>
      <c r="D1225" s="956">
        <v>1267.12822320433</v>
      </c>
      <c r="E1225" s="957">
        <v>1264.98441528785</v>
      </c>
      <c r="F1225" s="958">
        <v>3.4638464074807302E-3</v>
      </c>
      <c r="G1225" s="959">
        <v>3.4579560103396301E-3</v>
      </c>
    </row>
    <row r="1226" spans="1:7" x14ac:dyDescent="0.25">
      <c r="A1226" s="6" t="s">
        <v>1309</v>
      </c>
      <c r="B1226" s="6"/>
      <c r="C1226" s="952">
        <v>1</v>
      </c>
      <c r="D1226" s="952">
        <v>1197.5260880124999</v>
      </c>
      <c r="E1226" s="953">
        <v>1209.52437110714</v>
      </c>
      <c r="F1226" s="954">
        <v>3.27358065416373E-3</v>
      </c>
      <c r="G1226" s="955">
        <v>3.3064281208552201E-3</v>
      </c>
    </row>
    <row r="1227" spans="1:7" x14ac:dyDescent="0.25">
      <c r="A1227" s="11" t="s">
        <v>3201</v>
      </c>
      <c r="B1227" s="11"/>
      <c r="C1227" s="956">
        <v>1</v>
      </c>
      <c r="D1227" s="956">
        <v>679.05857612012801</v>
      </c>
      <c r="E1227" s="957">
        <v>680.57088230340298</v>
      </c>
      <c r="F1227" s="958">
        <v>1.85628775864098E-3</v>
      </c>
      <c r="G1227" s="959">
        <v>1.8605152734780799E-3</v>
      </c>
    </row>
    <row r="1228" spans="1:7" x14ac:dyDescent="0.25">
      <c r="A1228" s="6" t="s">
        <v>3234</v>
      </c>
      <c r="B1228" s="6"/>
      <c r="C1228" s="952">
        <v>1</v>
      </c>
      <c r="D1228" s="952">
        <v>651.21343657677301</v>
      </c>
      <c r="E1228" s="953">
        <v>652.38335906418104</v>
      </c>
      <c r="F1228" s="954">
        <v>1.78016974247909E-3</v>
      </c>
      <c r="G1228" s="955">
        <v>1.78334947663319E-3</v>
      </c>
    </row>
    <row r="1229" spans="1:7" x14ac:dyDescent="0.25">
      <c r="A1229" s="11" t="s">
        <v>1205</v>
      </c>
      <c r="B1229" s="11"/>
      <c r="C1229" s="956">
        <v>1</v>
      </c>
      <c r="D1229" s="956">
        <v>248.067230704705</v>
      </c>
      <c r="E1229" s="957">
        <v>249.98170850007699</v>
      </c>
      <c r="F1229" s="958">
        <v>6.7812141672392301E-4</v>
      </c>
      <c r="G1229" s="959">
        <v>6.8338876945772101E-4</v>
      </c>
    </row>
    <row r="1230" spans="1:7" x14ac:dyDescent="0.25">
      <c r="A1230" s="6" t="s">
        <v>1141</v>
      </c>
      <c r="B1230" s="6"/>
      <c r="C1230" s="952">
        <v>1</v>
      </c>
      <c r="D1230" s="952">
        <v>160.111748350765</v>
      </c>
      <c r="E1230" s="953">
        <v>160.16257932235601</v>
      </c>
      <c r="F1230" s="954">
        <v>4.37684595894937E-4</v>
      </c>
      <c r="G1230" s="955">
        <v>4.3782787079153101E-4</v>
      </c>
    </row>
    <row r="1231" spans="1:7" x14ac:dyDescent="0.25">
      <c r="A1231" s="11" t="s">
        <v>1191</v>
      </c>
      <c r="B1231" s="11"/>
      <c r="C1231" s="956">
        <v>1</v>
      </c>
      <c r="D1231" s="956">
        <v>63.664871438545603</v>
      </c>
      <c r="E1231" s="957">
        <v>64.173448684118696</v>
      </c>
      <c r="F1231" s="958">
        <v>1.7403553340281699E-4</v>
      </c>
      <c r="G1231" s="959">
        <v>1.75429594320418E-4</v>
      </c>
    </row>
    <row r="1232" spans="1:7" x14ac:dyDescent="0.25">
      <c r="A1232" s="6" t="s">
        <v>1088</v>
      </c>
      <c r="B1232" s="6"/>
      <c r="C1232" s="952">
        <v>2198</v>
      </c>
      <c r="D1232" s="952">
        <v>2507649.0021306202</v>
      </c>
      <c r="E1232" s="953">
        <v>4.77482304698748E-3</v>
      </c>
      <c r="F1232" s="954">
        <v>97.829621456259403</v>
      </c>
      <c r="G1232" s="955">
        <v>0.64560033796893501</v>
      </c>
    </row>
    <row r="1233" spans="1:7" x14ac:dyDescent="0.25">
      <c r="A1233" s="11" t="s">
        <v>1086</v>
      </c>
      <c r="B1233" s="11" t="s">
        <v>1147</v>
      </c>
      <c r="C1233" s="956">
        <v>34</v>
      </c>
      <c r="D1233" s="956">
        <v>31360.532611523799</v>
      </c>
      <c r="E1233" s="957">
        <v>11137.949923002399</v>
      </c>
      <c r="F1233" s="958">
        <v>1.2234523378053901</v>
      </c>
      <c r="G1233" s="959">
        <v>0.429221522214078</v>
      </c>
    </row>
    <row r="1234" spans="1:7" x14ac:dyDescent="0.25">
      <c r="A1234" s="6" t="s">
        <v>1084</v>
      </c>
      <c r="B1234" s="6" t="s">
        <v>1153</v>
      </c>
      <c r="C1234" s="952">
        <v>19</v>
      </c>
      <c r="D1234" s="952">
        <v>23539.3246955102</v>
      </c>
      <c r="E1234" s="953">
        <v>12022.546436460099</v>
      </c>
      <c r="F1234" s="954">
        <v>0.91832757389137698</v>
      </c>
      <c r="G1234" s="955">
        <v>0.465401203183328</v>
      </c>
    </row>
    <row r="1235" spans="1:7" x14ac:dyDescent="0.25">
      <c r="A1235" s="11" t="s">
        <v>1102</v>
      </c>
      <c r="B1235" s="11" t="s">
        <v>1103</v>
      </c>
      <c r="C1235" s="956">
        <v>1</v>
      </c>
      <c r="D1235" s="956">
        <v>733.06356540633499</v>
      </c>
      <c r="E1235" s="957">
        <v>734.64773794601604</v>
      </c>
      <c r="F1235" s="958">
        <v>2.8598632043856601E-2</v>
      </c>
      <c r="G1235" s="959">
        <v>2.8686329676248599E-2</v>
      </c>
    </row>
    <row r="1236" spans="1:7" x14ac:dyDescent="0.25">
      <c r="A1236" s="6" t="s">
        <v>6417</v>
      </c>
      <c r="B1236" s="6" t="s">
        <v>6418</v>
      </c>
      <c r="C1236" s="952">
        <v>53567</v>
      </c>
      <c r="D1236" s="952">
        <v>36581536.076996997</v>
      </c>
      <c r="E1236" s="953">
        <v>16884.0430319894</v>
      </c>
      <c r="F1236" s="954">
        <v>93.451797571256904</v>
      </c>
      <c r="G1236" s="955">
        <v>4.3132255799852803E-2</v>
      </c>
    </row>
    <row r="1237" spans="1:7" x14ac:dyDescent="0.25">
      <c r="A1237" s="11" t="s">
        <v>6417</v>
      </c>
      <c r="B1237" s="11" t="s">
        <v>6419</v>
      </c>
      <c r="C1237" s="956">
        <v>55819</v>
      </c>
      <c r="D1237" s="956">
        <v>39144818.000000097</v>
      </c>
      <c r="E1237" s="957">
        <v>0</v>
      </c>
      <c r="F1237" s="958">
        <v>100</v>
      </c>
      <c r="G1237" s="959">
        <v>0</v>
      </c>
    </row>
    <row r="1238" spans="1:7" x14ac:dyDescent="0.25">
      <c r="A1238" s="3729" t="s">
        <v>52</v>
      </c>
      <c r="B1238" s="3730"/>
      <c r="C1238" s="3730"/>
      <c r="D1238" s="3730"/>
      <c r="E1238" s="3730"/>
      <c r="F1238" s="3730"/>
      <c r="G1238" s="3730"/>
    </row>
    <row r="1239" spans="1:7" x14ac:dyDescent="0.25">
      <c r="A1239" s="11" t="s">
        <v>1292</v>
      </c>
      <c r="B1239" s="11"/>
      <c r="C1239" s="964">
        <v>2442</v>
      </c>
      <c r="D1239" s="964">
        <v>1793864.3239311499</v>
      </c>
      <c r="E1239" s="965">
        <v>68622.736260001999</v>
      </c>
      <c r="F1239" s="966">
        <v>38.759956700268603</v>
      </c>
      <c r="G1239" s="967">
        <v>1.42998957685018</v>
      </c>
    </row>
    <row r="1240" spans="1:7" x14ac:dyDescent="0.25">
      <c r="A1240" s="6" t="s">
        <v>6427</v>
      </c>
      <c r="B1240" s="6"/>
      <c r="C1240" s="960">
        <v>1715</v>
      </c>
      <c r="D1240" s="960">
        <v>1029153.39036661</v>
      </c>
      <c r="E1240" s="961">
        <v>63933.4284374364</v>
      </c>
      <c r="F1240" s="962">
        <v>22.2368772913259</v>
      </c>
      <c r="G1240" s="963">
        <v>1.1080211697050899</v>
      </c>
    </row>
    <row r="1241" spans="1:7" x14ac:dyDescent="0.25">
      <c r="A1241" s="11" t="s">
        <v>6426</v>
      </c>
      <c r="B1241" s="11"/>
      <c r="C1241" s="964">
        <v>1117</v>
      </c>
      <c r="D1241" s="964">
        <v>824532.05822240002</v>
      </c>
      <c r="E1241" s="965">
        <v>41177.620272452303</v>
      </c>
      <c r="F1241" s="966">
        <v>17.815632123530801</v>
      </c>
      <c r="G1241" s="967">
        <v>0.64716345064935299</v>
      </c>
    </row>
    <row r="1242" spans="1:7" x14ac:dyDescent="0.25">
      <c r="A1242" s="6" t="s">
        <v>6429</v>
      </c>
      <c r="B1242" s="6"/>
      <c r="C1242" s="960">
        <v>658</v>
      </c>
      <c r="D1242" s="960">
        <v>416497.587158604</v>
      </c>
      <c r="E1242" s="961">
        <v>39611.930666373599</v>
      </c>
      <c r="F1242" s="962">
        <v>8.9992471719692109</v>
      </c>
      <c r="G1242" s="963">
        <v>0.74689397217587805</v>
      </c>
    </row>
    <row r="1243" spans="1:7" x14ac:dyDescent="0.25">
      <c r="A1243" s="11" t="s">
        <v>6428</v>
      </c>
      <c r="B1243" s="11"/>
      <c r="C1243" s="964">
        <v>284</v>
      </c>
      <c r="D1243" s="964">
        <v>178339.19794538399</v>
      </c>
      <c r="E1243" s="965">
        <v>26951.842188695398</v>
      </c>
      <c r="F1243" s="966">
        <v>3.8533681160320801</v>
      </c>
      <c r="G1243" s="967">
        <v>0.53062856682431503</v>
      </c>
    </row>
    <row r="1244" spans="1:7" x14ac:dyDescent="0.25">
      <c r="A1244" s="6" t="s">
        <v>6432</v>
      </c>
      <c r="B1244" s="6"/>
      <c r="C1244" s="960">
        <v>169</v>
      </c>
      <c r="D1244" s="960">
        <v>140034.67044552701</v>
      </c>
      <c r="E1244" s="961">
        <v>34641.350539752602</v>
      </c>
      <c r="F1244" s="962">
        <v>3.0257236796540199</v>
      </c>
      <c r="G1244" s="963">
        <v>0.74969563889967406</v>
      </c>
    </row>
    <row r="1245" spans="1:7" x14ac:dyDescent="0.25">
      <c r="A1245" s="11" t="s">
        <v>6430</v>
      </c>
      <c r="B1245" s="11"/>
      <c r="C1245" s="964">
        <v>260</v>
      </c>
      <c r="D1245" s="964">
        <v>129998.10644748301</v>
      </c>
      <c r="E1245" s="965">
        <v>15700.5590705416</v>
      </c>
      <c r="F1245" s="966">
        <v>2.8088640315780902</v>
      </c>
      <c r="G1245" s="967">
        <v>0.36998399337021498</v>
      </c>
    </row>
    <row r="1246" spans="1:7" x14ac:dyDescent="0.25">
      <c r="A1246" s="6" t="s">
        <v>6431</v>
      </c>
      <c r="B1246" s="6"/>
      <c r="C1246" s="960">
        <v>82</v>
      </c>
      <c r="D1246" s="960">
        <v>49723.500925455999</v>
      </c>
      <c r="E1246" s="961">
        <v>14918.731415087501</v>
      </c>
      <c r="F1246" s="962">
        <v>1.0743737512059499</v>
      </c>
      <c r="G1246" s="963">
        <v>0.32821775091648497</v>
      </c>
    </row>
    <row r="1247" spans="1:7" x14ac:dyDescent="0.25">
      <c r="A1247" s="11" t="s">
        <v>1123</v>
      </c>
      <c r="B1247" s="11"/>
      <c r="C1247" s="964">
        <v>18</v>
      </c>
      <c r="D1247" s="964">
        <v>16854.760796155799</v>
      </c>
      <c r="E1247" s="965">
        <v>6350.4986203993503</v>
      </c>
      <c r="F1247" s="966">
        <v>0.36418016119565799</v>
      </c>
      <c r="G1247" s="967">
        <v>0.13465505142686299</v>
      </c>
    </row>
    <row r="1248" spans="1:7" x14ac:dyDescent="0.25">
      <c r="A1248" s="6" t="s">
        <v>1127</v>
      </c>
      <c r="B1248" s="6"/>
      <c r="C1248" s="960">
        <v>4</v>
      </c>
      <c r="D1248" s="960">
        <v>12029.951523105499</v>
      </c>
      <c r="E1248" s="961">
        <v>6886.6694599195398</v>
      </c>
      <c r="F1248" s="962">
        <v>0.259930694825389</v>
      </c>
      <c r="G1248" s="963">
        <v>0.15206150021721901</v>
      </c>
    </row>
    <row r="1249" spans="1:7" x14ac:dyDescent="0.25">
      <c r="A1249" s="11" t="s">
        <v>1131</v>
      </c>
      <c r="B1249" s="11"/>
      <c r="C1249" s="964">
        <v>15</v>
      </c>
      <c r="D1249" s="964">
        <v>8900.3094880819299</v>
      </c>
      <c r="E1249" s="965">
        <v>3129.5359378583698</v>
      </c>
      <c r="F1249" s="966">
        <v>0.19230864105767601</v>
      </c>
      <c r="G1249" s="967">
        <v>6.7631385116861203E-2</v>
      </c>
    </row>
    <row r="1250" spans="1:7" x14ac:dyDescent="0.25">
      <c r="A1250" s="6" t="s">
        <v>1295</v>
      </c>
      <c r="B1250" s="6"/>
      <c r="C1250" s="960">
        <v>8</v>
      </c>
      <c r="D1250" s="960">
        <v>8361.20406517216</v>
      </c>
      <c r="E1250" s="961">
        <v>5201.1107260632198</v>
      </c>
      <c r="F1250" s="962">
        <v>0.180660211145724</v>
      </c>
      <c r="G1250" s="963">
        <v>0.10983399367507</v>
      </c>
    </row>
    <row r="1251" spans="1:7" x14ac:dyDescent="0.25">
      <c r="A1251" s="11" t="s">
        <v>1135</v>
      </c>
      <c r="B1251" s="11"/>
      <c r="C1251" s="964">
        <v>2</v>
      </c>
      <c r="D1251" s="964">
        <v>3658.19886102386</v>
      </c>
      <c r="E1251" s="965">
        <v>3677.6234150008499</v>
      </c>
      <c r="F1251" s="966">
        <v>7.9042560556379607E-2</v>
      </c>
      <c r="G1251" s="967">
        <v>7.9134618506338197E-2</v>
      </c>
    </row>
    <row r="1252" spans="1:7" x14ac:dyDescent="0.25">
      <c r="A1252" s="6" t="s">
        <v>1133</v>
      </c>
      <c r="B1252" s="6"/>
      <c r="C1252" s="960">
        <v>7</v>
      </c>
      <c r="D1252" s="960">
        <v>3657.13210047443</v>
      </c>
      <c r="E1252" s="961">
        <v>2123.1102600549998</v>
      </c>
      <c r="F1252" s="962">
        <v>7.9019511102664697E-2</v>
      </c>
      <c r="G1252" s="963">
        <v>4.6678674351486399E-2</v>
      </c>
    </row>
    <row r="1253" spans="1:7" x14ac:dyDescent="0.25">
      <c r="A1253" s="11" t="s">
        <v>6433</v>
      </c>
      <c r="B1253" s="11"/>
      <c r="C1253" s="964">
        <v>7</v>
      </c>
      <c r="D1253" s="964">
        <v>2725.9214541574602</v>
      </c>
      <c r="E1253" s="965">
        <v>1845.34666232418</v>
      </c>
      <c r="F1253" s="966">
        <v>5.8898878873925101E-2</v>
      </c>
      <c r="G1253" s="967">
        <v>3.9762652633393299E-2</v>
      </c>
    </row>
    <row r="1254" spans="1:7" x14ac:dyDescent="0.25">
      <c r="A1254" s="6" t="s">
        <v>1297</v>
      </c>
      <c r="B1254" s="6"/>
      <c r="C1254" s="960">
        <v>3</v>
      </c>
      <c r="D1254" s="960">
        <v>1965.10031464589</v>
      </c>
      <c r="E1254" s="961">
        <v>1879.11685656483</v>
      </c>
      <c r="F1254" s="962">
        <v>4.2459846093846697E-2</v>
      </c>
      <c r="G1254" s="963">
        <v>4.0481051065271598E-2</v>
      </c>
    </row>
    <row r="1255" spans="1:7" x14ac:dyDescent="0.25">
      <c r="A1255" s="11" t="s">
        <v>1139</v>
      </c>
      <c r="B1255" s="11"/>
      <c r="C1255" s="964">
        <v>1</v>
      </c>
      <c r="D1255" s="964">
        <v>1267.12822320433</v>
      </c>
      <c r="E1255" s="965">
        <v>1264.98441528785</v>
      </c>
      <c r="F1255" s="966">
        <v>2.7378790251794499E-2</v>
      </c>
      <c r="G1255" s="967">
        <v>2.7377868061782398E-2</v>
      </c>
    </row>
    <row r="1256" spans="1:7" x14ac:dyDescent="0.25">
      <c r="A1256" s="6" t="s">
        <v>1303</v>
      </c>
      <c r="B1256" s="6"/>
      <c r="C1256" s="960">
        <v>1</v>
      </c>
      <c r="D1256" s="960">
        <v>1267.12822320433</v>
      </c>
      <c r="E1256" s="961">
        <v>1264.98441528785</v>
      </c>
      <c r="F1256" s="962">
        <v>2.7378790251794499E-2</v>
      </c>
      <c r="G1256" s="963">
        <v>2.7377868061782398E-2</v>
      </c>
    </row>
    <row r="1257" spans="1:7" x14ac:dyDescent="0.25">
      <c r="A1257" s="11" t="s">
        <v>1187</v>
      </c>
      <c r="B1257" s="11"/>
      <c r="C1257" s="964">
        <v>3</v>
      </c>
      <c r="D1257" s="964">
        <v>1214.2006087526099</v>
      </c>
      <c r="E1257" s="965">
        <v>842.14537597561502</v>
      </c>
      <c r="F1257" s="966">
        <v>2.62351853442051E-2</v>
      </c>
      <c r="G1257" s="967">
        <v>1.7940648058191101E-2</v>
      </c>
    </row>
    <row r="1258" spans="1:7" x14ac:dyDescent="0.25">
      <c r="A1258" s="6" t="s">
        <v>1299</v>
      </c>
      <c r="B1258" s="6"/>
      <c r="C1258" s="960">
        <v>1</v>
      </c>
      <c r="D1258" s="960">
        <v>1197.5260880124999</v>
      </c>
      <c r="E1258" s="961">
        <v>1209.52437110714</v>
      </c>
      <c r="F1258" s="962">
        <v>2.5874899622892598E-2</v>
      </c>
      <c r="G1258" s="963">
        <v>2.6187184158804801E-2</v>
      </c>
    </row>
    <row r="1259" spans="1:7" x14ac:dyDescent="0.25">
      <c r="A1259" s="11" t="s">
        <v>6434</v>
      </c>
      <c r="B1259" s="11"/>
      <c r="C1259" s="964">
        <v>3</v>
      </c>
      <c r="D1259" s="964">
        <v>986.73103481783801</v>
      </c>
      <c r="E1259" s="965">
        <v>573.44027428874801</v>
      </c>
      <c r="F1259" s="966">
        <v>2.1320259104399601E-2</v>
      </c>
      <c r="G1259" s="967">
        <v>1.23663245442666E-2</v>
      </c>
    </row>
    <row r="1260" spans="1:7" x14ac:dyDescent="0.25">
      <c r="A1260" s="6" t="s">
        <v>3172</v>
      </c>
      <c r="B1260" s="6"/>
      <c r="C1260" s="960">
        <v>1</v>
      </c>
      <c r="D1260" s="960">
        <v>651.21343657677301</v>
      </c>
      <c r="E1260" s="961">
        <v>652.38335906418104</v>
      </c>
      <c r="F1260" s="962">
        <v>1.40707434044034E-2</v>
      </c>
      <c r="G1260" s="963">
        <v>1.4087271186274199E-2</v>
      </c>
    </row>
    <row r="1261" spans="1:7" x14ac:dyDescent="0.25">
      <c r="A1261" s="11" t="s">
        <v>1301</v>
      </c>
      <c r="B1261" s="11"/>
      <c r="C1261" s="964">
        <v>1</v>
      </c>
      <c r="D1261" s="964">
        <v>626.94361440723503</v>
      </c>
      <c r="E1261" s="965">
        <v>636.053058746435</v>
      </c>
      <c r="F1261" s="966">
        <v>1.35463463004168E-2</v>
      </c>
      <c r="G1261" s="967">
        <v>1.3744099531857099E-2</v>
      </c>
    </row>
    <row r="1262" spans="1:7" x14ac:dyDescent="0.25">
      <c r="A1262" s="6" t="s">
        <v>1129</v>
      </c>
      <c r="B1262" s="6"/>
      <c r="C1262" s="960">
        <v>2</v>
      </c>
      <c r="D1262" s="960">
        <v>446.82719488726701</v>
      </c>
      <c r="E1262" s="961">
        <v>446.05775524378299</v>
      </c>
      <c r="F1262" s="962">
        <v>9.6545778269224794E-3</v>
      </c>
      <c r="G1262" s="963">
        <v>9.6666376480600905E-3</v>
      </c>
    </row>
    <row r="1263" spans="1:7" x14ac:dyDescent="0.25">
      <c r="A1263" s="11" t="s">
        <v>3178</v>
      </c>
      <c r="B1263" s="11"/>
      <c r="C1263" s="964">
        <v>1</v>
      </c>
      <c r="D1263" s="964">
        <v>184.98841439015399</v>
      </c>
      <c r="E1263" s="965">
        <v>183.89933026957101</v>
      </c>
      <c r="F1263" s="966">
        <v>3.9970374772272501E-3</v>
      </c>
      <c r="G1263" s="967">
        <v>3.9781243602504202E-3</v>
      </c>
    </row>
    <row r="1264" spans="1:7" x14ac:dyDescent="0.25">
      <c r="A1264" s="6" t="s">
        <v>1088</v>
      </c>
      <c r="B1264" s="6" t="s">
        <v>1089</v>
      </c>
      <c r="C1264" s="960">
        <v>48965</v>
      </c>
      <c r="D1264" s="960">
        <v>34489258.623832703</v>
      </c>
      <c r="E1264" s="961">
        <v>129786.76156043301</v>
      </c>
      <c r="F1264" s="962">
        <v>99.920556451652601</v>
      </c>
      <c r="G1264" s="963">
        <v>2.4875857733403901E-2</v>
      </c>
    </row>
    <row r="1265" spans="1:7" x14ac:dyDescent="0.25">
      <c r="A1265" s="11" t="s">
        <v>1086</v>
      </c>
      <c r="B1265" s="11" t="s">
        <v>1147</v>
      </c>
      <c r="C1265" s="964">
        <v>22</v>
      </c>
      <c r="D1265" s="964">
        <v>14618.229587428499</v>
      </c>
      <c r="E1265" s="965">
        <v>5687.7292343982899</v>
      </c>
      <c r="F1265" s="966">
        <v>4.2351204200849903E-2</v>
      </c>
      <c r="G1265" s="967">
        <v>1.6435325727703801E-2</v>
      </c>
    </row>
    <row r="1266" spans="1:7" x14ac:dyDescent="0.25">
      <c r="A1266" s="6" t="s">
        <v>1084</v>
      </c>
      <c r="B1266" s="6" t="s">
        <v>1153</v>
      </c>
      <c r="C1266" s="960">
        <v>26</v>
      </c>
      <c r="D1266" s="960">
        <v>12803.045696135499</v>
      </c>
      <c r="E1266" s="961">
        <v>4387.2701892949899</v>
      </c>
      <c r="F1266" s="962">
        <v>3.7092344146527401E-2</v>
      </c>
      <c r="G1266" s="963">
        <v>1.26858832678021E-2</v>
      </c>
    </row>
    <row r="1267" spans="1:7" x14ac:dyDescent="0.25">
      <c r="A1267" s="11" t="s">
        <v>6417</v>
      </c>
      <c r="B1267" s="11" t="s">
        <v>6418</v>
      </c>
      <c r="C1267" s="964">
        <v>6805</v>
      </c>
      <c r="D1267" s="964">
        <v>4628138.1008836804</v>
      </c>
      <c r="E1267" s="965">
        <v>132573.43899292001</v>
      </c>
      <c r="F1267" s="966">
        <v>11.8231181988985</v>
      </c>
      <c r="G1267" s="967">
        <v>0.33867430164811502</v>
      </c>
    </row>
    <row r="1268" spans="1:7" x14ac:dyDescent="0.25">
      <c r="A1268" s="6" t="s">
        <v>6417</v>
      </c>
      <c r="B1268" s="6" t="s">
        <v>6419</v>
      </c>
      <c r="C1268" s="960">
        <v>55818</v>
      </c>
      <c r="D1268" s="960">
        <v>39144818</v>
      </c>
      <c r="E1268" s="961">
        <v>0</v>
      </c>
      <c r="F1268" s="962">
        <v>100</v>
      </c>
      <c r="G1268" s="963">
        <v>0</v>
      </c>
    </row>
    <row r="1269" spans="1:7" x14ac:dyDescent="0.25">
      <c r="A1269" s="3729" t="s">
        <v>72</v>
      </c>
      <c r="B1269" s="3730"/>
      <c r="C1269" s="3730"/>
      <c r="D1269" s="3730"/>
      <c r="E1269" s="3730"/>
      <c r="F1269" s="3730"/>
      <c r="G1269" s="3730"/>
    </row>
    <row r="1270" spans="1:7" x14ac:dyDescent="0.25">
      <c r="A1270" s="11" t="s">
        <v>1292</v>
      </c>
      <c r="B1270" s="11"/>
      <c r="C1270" s="972">
        <v>6556</v>
      </c>
      <c r="D1270" s="972">
        <v>4253625.1033854596</v>
      </c>
      <c r="E1270" s="973">
        <v>111512.61330124299</v>
      </c>
      <c r="F1270" s="974">
        <v>92.054912897065805</v>
      </c>
      <c r="G1270" s="975">
        <v>1.46418075454291</v>
      </c>
    </row>
    <row r="1271" spans="1:7" x14ac:dyDescent="0.25">
      <c r="A1271" s="6" t="s">
        <v>6426</v>
      </c>
      <c r="B1271" s="6"/>
      <c r="C1271" s="968">
        <v>30</v>
      </c>
      <c r="D1271" s="968">
        <v>57262.490688124897</v>
      </c>
      <c r="E1271" s="969">
        <v>22018.611854451901</v>
      </c>
      <c r="F1271" s="970">
        <v>1.2392473394914301</v>
      </c>
      <c r="G1271" s="971">
        <v>0.46088596961974898</v>
      </c>
    </row>
    <row r="1272" spans="1:7" x14ac:dyDescent="0.25">
      <c r="A1272" s="11" t="s">
        <v>6430</v>
      </c>
      <c r="B1272" s="11"/>
      <c r="C1272" s="972">
        <v>30</v>
      </c>
      <c r="D1272" s="972">
        <v>50776.103287536003</v>
      </c>
      <c r="E1272" s="973">
        <v>12578.4462570091</v>
      </c>
      <c r="F1272" s="974">
        <v>1.09887205660564</v>
      </c>
      <c r="G1272" s="975">
        <v>0.25861756487293602</v>
      </c>
    </row>
    <row r="1273" spans="1:7" x14ac:dyDescent="0.25">
      <c r="A1273" s="6" t="s">
        <v>1133</v>
      </c>
      <c r="B1273" s="6"/>
      <c r="C1273" s="968">
        <v>18</v>
      </c>
      <c r="D1273" s="968">
        <v>41443.300521521</v>
      </c>
      <c r="E1273" s="969">
        <v>17949.026518309998</v>
      </c>
      <c r="F1273" s="970">
        <v>0.89689601856052903</v>
      </c>
      <c r="G1273" s="971">
        <v>0.384050998878466</v>
      </c>
    </row>
    <row r="1274" spans="1:7" x14ac:dyDescent="0.25">
      <c r="A1274" s="11" t="s">
        <v>1295</v>
      </c>
      <c r="B1274" s="11"/>
      <c r="C1274" s="972">
        <v>21</v>
      </c>
      <c r="D1274" s="972">
        <v>33472.225666605802</v>
      </c>
      <c r="E1274" s="973">
        <v>17605.028298248399</v>
      </c>
      <c r="F1274" s="974">
        <v>0.72438984238595205</v>
      </c>
      <c r="G1274" s="975">
        <v>0.37492261939253102</v>
      </c>
    </row>
    <row r="1275" spans="1:7" x14ac:dyDescent="0.25">
      <c r="A1275" s="6" t="s">
        <v>6427</v>
      </c>
      <c r="B1275" s="6"/>
      <c r="C1275" s="968">
        <v>31</v>
      </c>
      <c r="D1275" s="968">
        <v>33450.627124736799</v>
      </c>
      <c r="E1275" s="969">
        <v>11502.3704282664</v>
      </c>
      <c r="F1275" s="970">
        <v>0.723922417109364</v>
      </c>
      <c r="G1275" s="971">
        <v>0.248336813176325</v>
      </c>
    </row>
    <row r="1276" spans="1:7" x14ac:dyDescent="0.25">
      <c r="A1276" s="11" t="s">
        <v>6428</v>
      </c>
      <c r="B1276" s="11"/>
      <c r="C1276" s="972">
        <v>16</v>
      </c>
      <c r="D1276" s="972">
        <v>28935.901467640098</v>
      </c>
      <c r="E1276" s="973">
        <v>11860.2132627961</v>
      </c>
      <c r="F1276" s="974">
        <v>0.62621689134795999</v>
      </c>
      <c r="G1276" s="975">
        <v>0.25384931652901699</v>
      </c>
    </row>
    <row r="1277" spans="1:7" x14ac:dyDescent="0.25">
      <c r="A1277" s="6" t="s">
        <v>6429</v>
      </c>
      <c r="B1277" s="6"/>
      <c r="C1277" s="968">
        <v>30</v>
      </c>
      <c r="D1277" s="968">
        <v>27638.018890220501</v>
      </c>
      <c r="E1277" s="969">
        <v>8616.3337602472893</v>
      </c>
      <c r="F1277" s="970">
        <v>0.59812873954542201</v>
      </c>
      <c r="G1277" s="971">
        <v>0.18709944426165401</v>
      </c>
    </row>
    <row r="1278" spans="1:7" x14ac:dyDescent="0.25">
      <c r="A1278" s="11" t="s">
        <v>1123</v>
      </c>
      <c r="B1278" s="11"/>
      <c r="C1278" s="972">
        <v>16</v>
      </c>
      <c r="D1278" s="972">
        <v>22505.903824057499</v>
      </c>
      <c r="E1278" s="973">
        <v>11869.9757695963</v>
      </c>
      <c r="F1278" s="974">
        <v>0.48706196851819999</v>
      </c>
      <c r="G1278" s="975">
        <v>0.25498922086449499</v>
      </c>
    </row>
    <row r="1279" spans="1:7" x14ac:dyDescent="0.25">
      <c r="A1279" s="6" t="s">
        <v>6431</v>
      </c>
      <c r="B1279" s="6"/>
      <c r="C1279" s="968">
        <v>18</v>
      </c>
      <c r="D1279" s="968">
        <v>19857.855502087801</v>
      </c>
      <c r="E1279" s="969">
        <v>8307.8849962440108</v>
      </c>
      <c r="F1279" s="970">
        <v>0.42975417770416402</v>
      </c>
      <c r="G1279" s="971">
        <v>0.17993823558683</v>
      </c>
    </row>
    <row r="1280" spans="1:7" x14ac:dyDescent="0.25">
      <c r="A1280" s="11" t="s">
        <v>1127</v>
      </c>
      <c r="B1280" s="11"/>
      <c r="C1280" s="972">
        <v>17</v>
      </c>
      <c r="D1280" s="972">
        <v>12914.529984024301</v>
      </c>
      <c r="E1280" s="973">
        <v>5777.8181529212297</v>
      </c>
      <c r="F1280" s="974">
        <v>0.27949005939420901</v>
      </c>
      <c r="G1280" s="975">
        <v>0.122664723733643</v>
      </c>
    </row>
    <row r="1281" spans="1:7" x14ac:dyDescent="0.25">
      <c r="A1281" s="6" t="s">
        <v>1187</v>
      </c>
      <c r="B1281" s="6"/>
      <c r="C1281" s="968">
        <v>2</v>
      </c>
      <c r="D1281" s="968">
        <v>6760.4029766727099</v>
      </c>
      <c r="E1281" s="969">
        <v>5640.84518971329</v>
      </c>
      <c r="F1281" s="970">
        <v>0.14630539646556001</v>
      </c>
      <c r="G1281" s="971">
        <v>0.12178660452120101</v>
      </c>
    </row>
    <row r="1282" spans="1:7" x14ac:dyDescent="0.25">
      <c r="A1282" s="11" t="s">
        <v>1297</v>
      </c>
      <c r="B1282" s="11"/>
      <c r="C1282" s="972">
        <v>6</v>
      </c>
      <c r="D1282" s="972">
        <v>4489.3197047911499</v>
      </c>
      <c r="E1282" s="973">
        <v>2422.5049063554902</v>
      </c>
      <c r="F1282" s="974">
        <v>9.7155702335570998E-2</v>
      </c>
      <c r="G1282" s="975">
        <v>5.2124291153840097E-2</v>
      </c>
    </row>
    <row r="1283" spans="1:7" x14ac:dyDescent="0.25">
      <c r="A1283" s="6" t="s">
        <v>1129</v>
      </c>
      <c r="B1283" s="6"/>
      <c r="C1283" s="968">
        <v>2</v>
      </c>
      <c r="D1283" s="968">
        <v>4405.2142915551904</v>
      </c>
      <c r="E1283" s="969">
        <v>4293.1887327348704</v>
      </c>
      <c r="F1283" s="970">
        <v>9.5335533349957799E-2</v>
      </c>
      <c r="G1283" s="971">
        <v>9.3016430513499906E-2</v>
      </c>
    </row>
    <row r="1284" spans="1:7" x14ac:dyDescent="0.25">
      <c r="A1284" s="11" t="s">
        <v>6433</v>
      </c>
      <c r="B1284" s="11"/>
      <c r="C1284" s="972">
        <v>11</v>
      </c>
      <c r="D1284" s="972">
        <v>4294.9082478517603</v>
      </c>
      <c r="E1284" s="973">
        <v>2398.1093060570001</v>
      </c>
      <c r="F1284" s="974">
        <v>9.29483428951485E-2</v>
      </c>
      <c r="G1284" s="975">
        <v>5.1972856178184999E-2</v>
      </c>
    </row>
    <row r="1285" spans="1:7" x14ac:dyDescent="0.25">
      <c r="A1285" s="6" t="s">
        <v>1131</v>
      </c>
      <c r="B1285" s="6"/>
      <c r="C1285" s="968">
        <v>3</v>
      </c>
      <c r="D1285" s="968">
        <v>4150.6458951046898</v>
      </c>
      <c r="E1285" s="969">
        <v>3491.9651897897702</v>
      </c>
      <c r="F1285" s="970">
        <v>8.9826286297850305E-2</v>
      </c>
      <c r="G1285" s="971">
        <v>7.5505522450101101E-2</v>
      </c>
    </row>
    <row r="1286" spans="1:7" x14ac:dyDescent="0.25">
      <c r="A1286" s="11" t="s">
        <v>3172</v>
      </c>
      <c r="B1286" s="11"/>
      <c r="C1286" s="972">
        <v>3</v>
      </c>
      <c r="D1286" s="972">
        <v>3688.4167900155599</v>
      </c>
      <c r="E1286" s="973">
        <v>3360.6932936458702</v>
      </c>
      <c r="F1286" s="974">
        <v>7.9822945859220104E-2</v>
      </c>
      <c r="G1286" s="975">
        <v>7.2986363031062707E-2</v>
      </c>
    </row>
    <row r="1287" spans="1:7" x14ac:dyDescent="0.25">
      <c r="A1287" s="6" t="s">
        <v>1139</v>
      </c>
      <c r="B1287" s="6"/>
      <c r="C1287" s="968">
        <v>3</v>
      </c>
      <c r="D1287" s="968">
        <v>3628.67607732019</v>
      </c>
      <c r="E1287" s="969">
        <v>3559.9284647365798</v>
      </c>
      <c r="F1287" s="970">
        <v>7.8530066028507206E-2</v>
      </c>
      <c r="G1287" s="971">
        <v>7.7322038411550997E-2</v>
      </c>
    </row>
    <row r="1288" spans="1:7" x14ac:dyDescent="0.25">
      <c r="A1288" s="11" t="s">
        <v>1189</v>
      </c>
      <c r="B1288" s="11"/>
      <c r="C1288" s="972">
        <v>2</v>
      </c>
      <c r="D1288" s="972">
        <v>3238.1462213631598</v>
      </c>
      <c r="E1288" s="973">
        <v>3253.69156275658</v>
      </c>
      <c r="F1288" s="974">
        <v>7.00784063264768E-2</v>
      </c>
      <c r="G1288" s="975">
        <v>7.05697433119509E-2</v>
      </c>
    </row>
    <row r="1289" spans="1:7" x14ac:dyDescent="0.25">
      <c r="A1289" s="6" t="s">
        <v>6434</v>
      </c>
      <c r="B1289" s="6"/>
      <c r="C1289" s="968">
        <v>4</v>
      </c>
      <c r="D1289" s="968">
        <v>1899.6894511513799</v>
      </c>
      <c r="E1289" s="969">
        <v>1344.4127448659001</v>
      </c>
      <c r="F1289" s="970">
        <v>4.11121673177147E-2</v>
      </c>
      <c r="G1289" s="971">
        <v>2.9060751847461801E-2</v>
      </c>
    </row>
    <row r="1290" spans="1:7" x14ac:dyDescent="0.25">
      <c r="A1290" s="11" t="s">
        <v>3178</v>
      </c>
      <c r="B1290" s="11"/>
      <c r="C1290" s="972">
        <v>2</v>
      </c>
      <c r="D1290" s="972">
        <v>988.72390613594598</v>
      </c>
      <c r="E1290" s="973">
        <v>986.76919706829096</v>
      </c>
      <c r="F1290" s="974">
        <v>2.13974882239036E-2</v>
      </c>
      <c r="G1290" s="975">
        <v>2.1328857783907001E-2</v>
      </c>
    </row>
    <row r="1291" spans="1:7" x14ac:dyDescent="0.25">
      <c r="A1291" s="6" t="s">
        <v>3187</v>
      </c>
      <c r="B1291" s="6"/>
      <c r="C1291" s="968">
        <v>1</v>
      </c>
      <c r="D1291" s="968">
        <v>726.18970691264406</v>
      </c>
      <c r="E1291" s="969">
        <v>735.48955974378998</v>
      </c>
      <c r="F1291" s="970">
        <v>1.57158490914923E-2</v>
      </c>
      <c r="G1291" s="971">
        <v>1.5902310245304498E-2</v>
      </c>
    </row>
    <row r="1292" spans="1:7" x14ac:dyDescent="0.25">
      <c r="A1292" s="11" t="s">
        <v>1135</v>
      </c>
      <c r="B1292" s="11"/>
      <c r="C1292" s="972">
        <v>2</v>
      </c>
      <c r="D1292" s="972">
        <v>275.540443663904</v>
      </c>
      <c r="E1292" s="973">
        <v>277.83248892945397</v>
      </c>
      <c r="F1292" s="974">
        <v>5.9631140320550698E-3</v>
      </c>
      <c r="G1292" s="975">
        <v>6.0310329694084498E-3</v>
      </c>
    </row>
    <row r="1293" spans="1:7" x14ac:dyDescent="0.25">
      <c r="A1293" s="6" t="s">
        <v>6432</v>
      </c>
      <c r="B1293" s="6"/>
      <c r="C1293" s="968">
        <v>5</v>
      </c>
      <c r="D1293" s="968">
        <v>267.60856248092898</v>
      </c>
      <c r="E1293" s="969">
        <v>267.60163186740101</v>
      </c>
      <c r="F1293" s="970">
        <v>5.7914560665170397E-3</v>
      </c>
      <c r="G1293" s="971">
        <v>5.7820018533977701E-3</v>
      </c>
    </row>
    <row r="1294" spans="1:7" x14ac:dyDescent="0.25">
      <c r="A1294" s="11" t="s">
        <v>1125</v>
      </c>
      <c r="B1294" s="11"/>
      <c r="C1294" s="972">
        <v>1</v>
      </c>
      <c r="D1294" s="972">
        <v>51.975923112316103</v>
      </c>
      <c r="E1294" s="973">
        <v>51.975617438678299</v>
      </c>
      <c r="F1294" s="974">
        <v>1.1248379813822199E-3</v>
      </c>
      <c r="G1294" s="975">
        <v>1.12879971836331E-3</v>
      </c>
    </row>
    <row r="1295" spans="1:7" x14ac:dyDescent="0.25">
      <c r="A1295" s="6" t="s">
        <v>1088</v>
      </c>
      <c r="B1295" s="6" t="s">
        <v>1089</v>
      </c>
      <c r="C1295" s="968">
        <v>48965</v>
      </c>
      <c r="D1295" s="968">
        <v>34489258.623832703</v>
      </c>
      <c r="E1295" s="969">
        <v>129786.76156043301</v>
      </c>
      <c r="F1295" s="970">
        <v>99.899166415948002</v>
      </c>
      <c r="G1295" s="971">
        <v>3.8917986717464603E-2</v>
      </c>
    </row>
    <row r="1296" spans="1:7" x14ac:dyDescent="0.25">
      <c r="A1296" s="11" t="s">
        <v>1086</v>
      </c>
      <c r="B1296" s="11" t="s">
        <v>1147</v>
      </c>
      <c r="C1296" s="972">
        <v>11</v>
      </c>
      <c r="D1296" s="972">
        <v>27276.099998330501</v>
      </c>
      <c r="E1296" s="973">
        <v>10033.4928522633</v>
      </c>
      <c r="F1296" s="974">
        <v>7.9006037289196196E-2</v>
      </c>
      <c r="G1296" s="975">
        <v>2.8981975051403E-2</v>
      </c>
    </row>
    <row r="1297" spans="1:7" x14ac:dyDescent="0.25">
      <c r="A1297" s="6" t="s">
        <v>1084</v>
      </c>
      <c r="B1297" s="6" t="s">
        <v>1153</v>
      </c>
      <c r="C1297" s="968">
        <v>10</v>
      </c>
      <c r="D1297" s="968">
        <v>7535.7576287770898</v>
      </c>
      <c r="E1297" s="969">
        <v>5009.4964720306798</v>
      </c>
      <c r="F1297" s="970">
        <v>2.1827546762841699E-2</v>
      </c>
      <c r="G1297" s="971">
        <v>1.4516652195360099E-2</v>
      </c>
    </row>
    <row r="1298" spans="1:7" x14ac:dyDescent="0.25">
      <c r="A1298" s="11" t="s">
        <v>6417</v>
      </c>
      <c r="B1298" s="11" t="s">
        <v>6418</v>
      </c>
      <c r="C1298" s="972">
        <v>6830</v>
      </c>
      <c r="D1298" s="972">
        <v>4620747.5185401496</v>
      </c>
      <c r="E1298" s="973">
        <v>131350.599865834</v>
      </c>
      <c r="F1298" s="974">
        <v>11.804238094912501</v>
      </c>
      <c r="G1298" s="975">
        <v>0.33555041657324702</v>
      </c>
    </row>
    <row r="1299" spans="1:7" x14ac:dyDescent="0.25">
      <c r="A1299" s="6" t="s">
        <v>6417</v>
      </c>
      <c r="B1299" s="6" t="s">
        <v>6419</v>
      </c>
      <c r="C1299" s="968">
        <v>55816</v>
      </c>
      <c r="D1299" s="968">
        <v>39144818</v>
      </c>
      <c r="E1299" s="969">
        <v>0</v>
      </c>
      <c r="F1299" s="970">
        <v>100</v>
      </c>
      <c r="G1299" s="971">
        <v>0</v>
      </c>
    </row>
    <row r="1300" spans="1:7" x14ac:dyDescent="0.25">
      <c r="A1300" s="3729" t="s">
        <v>55</v>
      </c>
      <c r="B1300" s="3730"/>
      <c r="C1300" s="3730"/>
      <c r="D1300" s="3730"/>
      <c r="E1300" s="3730"/>
      <c r="F1300" s="3730"/>
      <c r="G1300" s="3730"/>
    </row>
    <row r="1301" spans="1:7" x14ac:dyDescent="0.25">
      <c r="A1301" s="11" t="s">
        <v>1090</v>
      </c>
      <c r="B1301" s="11" t="s">
        <v>1159</v>
      </c>
      <c r="C1301" s="980">
        <v>821</v>
      </c>
      <c r="D1301" s="980">
        <v>534453.60183184803</v>
      </c>
      <c r="E1301" s="981">
        <v>39408.680442351098</v>
      </c>
      <c r="F1301" s="982">
        <v>100</v>
      </c>
      <c r="G1301" s="983">
        <v>0</v>
      </c>
    </row>
    <row r="1302" spans="1:7" x14ac:dyDescent="0.25">
      <c r="A1302" s="6" t="s">
        <v>1088</v>
      </c>
      <c r="B1302" s="6" t="s">
        <v>1089</v>
      </c>
      <c r="C1302" s="976">
        <v>52336</v>
      </c>
      <c r="D1302" s="976">
        <v>36322682.2860578</v>
      </c>
      <c r="E1302" s="977">
        <v>145534.39022391301</v>
      </c>
      <c r="F1302" s="978">
        <v>94.0749533246602</v>
      </c>
      <c r="G1302" s="979">
        <v>0.343104255899564</v>
      </c>
    </row>
    <row r="1303" spans="1:7" x14ac:dyDescent="0.25">
      <c r="A1303" s="11" t="s">
        <v>1102</v>
      </c>
      <c r="B1303" s="11" t="s">
        <v>1103</v>
      </c>
      <c r="C1303" s="980">
        <v>2662</v>
      </c>
      <c r="D1303" s="980">
        <v>2287682.1121102199</v>
      </c>
      <c r="E1303" s="981">
        <v>131936.55005203901</v>
      </c>
      <c r="F1303" s="982">
        <v>5.9250466753397504</v>
      </c>
      <c r="G1303" s="983">
        <v>0.343104255899568</v>
      </c>
    </row>
    <row r="1304" spans="1:7" x14ac:dyDescent="0.25">
      <c r="A1304" s="6" t="s">
        <v>6417</v>
      </c>
      <c r="B1304" s="6" t="s">
        <v>6418</v>
      </c>
      <c r="C1304" s="976">
        <v>821</v>
      </c>
      <c r="D1304" s="976">
        <v>534453.60183184803</v>
      </c>
      <c r="E1304" s="977">
        <v>39408.680442351098</v>
      </c>
      <c r="F1304" s="978">
        <v>1.36532401768185</v>
      </c>
      <c r="G1304" s="979">
        <v>0.10067406736277</v>
      </c>
    </row>
    <row r="1305" spans="1:7" x14ac:dyDescent="0.25">
      <c r="A1305" s="11" t="s">
        <v>6417</v>
      </c>
      <c r="B1305" s="11" t="s">
        <v>6419</v>
      </c>
      <c r="C1305" s="980">
        <v>55819</v>
      </c>
      <c r="D1305" s="980">
        <v>39144817.999999903</v>
      </c>
      <c r="E1305" s="981">
        <v>0</v>
      </c>
      <c r="F1305" s="982">
        <v>100</v>
      </c>
      <c r="G1305" s="983">
        <v>0</v>
      </c>
    </row>
    <row r="1306" spans="1:7" x14ac:dyDescent="0.25">
      <c r="A1306" s="3729" t="s">
        <v>60</v>
      </c>
      <c r="B1306" s="3730"/>
      <c r="C1306" s="3730"/>
      <c r="D1306" s="3730"/>
      <c r="E1306" s="3730"/>
      <c r="F1306" s="3730"/>
      <c r="G1306" s="3730"/>
    </row>
    <row r="1307" spans="1:7" x14ac:dyDescent="0.25">
      <c r="A1307" s="11" t="s">
        <v>1094</v>
      </c>
      <c r="B1307" s="11" t="s">
        <v>1161</v>
      </c>
      <c r="C1307" s="988">
        <v>399</v>
      </c>
      <c r="D1307" s="988">
        <v>278475.39406137803</v>
      </c>
      <c r="E1307" s="989">
        <v>27259.0599000652</v>
      </c>
      <c r="F1307" s="990">
        <v>100</v>
      </c>
      <c r="G1307" s="991">
        <v>0</v>
      </c>
    </row>
    <row r="1308" spans="1:7" x14ac:dyDescent="0.25">
      <c r="A1308" s="6" t="s">
        <v>1088</v>
      </c>
      <c r="B1308" s="6" t="s">
        <v>1089</v>
      </c>
      <c r="C1308" s="984">
        <v>52758</v>
      </c>
      <c r="D1308" s="984">
        <v>36578660.4938282</v>
      </c>
      <c r="E1308" s="985">
        <v>150012.57972204199</v>
      </c>
      <c r="F1308" s="986">
        <v>94.1139763643192</v>
      </c>
      <c r="G1308" s="987">
        <v>0.34198788616678399</v>
      </c>
    </row>
    <row r="1309" spans="1:7" x14ac:dyDescent="0.25">
      <c r="A1309" s="11" t="s">
        <v>1102</v>
      </c>
      <c r="B1309" s="11" t="s">
        <v>1103</v>
      </c>
      <c r="C1309" s="988">
        <v>2662</v>
      </c>
      <c r="D1309" s="988">
        <v>2287682.1121102199</v>
      </c>
      <c r="E1309" s="989">
        <v>131936.55005203901</v>
      </c>
      <c r="F1309" s="990">
        <v>5.88602363568081</v>
      </c>
      <c r="G1309" s="991">
        <v>0.34198788616678799</v>
      </c>
    </row>
    <row r="1310" spans="1:7" x14ac:dyDescent="0.25">
      <c r="A1310" s="6" t="s">
        <v>6417</v>
      </c>
      <c r="B1310" s="6" t="s">
        <v>6418</v>
      </c>
      <c r="C1310" s="984">
        <v>399</v>
      </c>
      <c r="D1310" s="984">
        <v>278475.39406137803</v>
      </c>
      <c r="E1310" s="985">
        <v>27259.0599000652</v>
      </c>
      <c r="F1310" s="986">
        <v>0.71139785108051701</v>
      </c>
      <c r="G1310" s="987">
        <v>6.9636445621146001E-2</v>
      </c>
    </row>
    <row r="1311" spans="1:7" x14ac:dyDescent="0.25">
      <c r="A1311" s="11" t="s">
        <v>6417</v>
      </c>
      <c r="B1311" s="11" t="s">
        <v>6419</v>
      </c>
      <c r="C1311" s="988">
        <v>55819</v>
      </c>
      <c r="D1311" s="988">
        <v>39144817.999999799</v>
      </c>
      <c r="E1311" s="989">
        <v>0</v>
      </c>
      <c r="F1311" s="990">
        <v>100</v>
      </c>
      <c r="G1311" s="991">
        <v>0</v>
      </c>
    </row>
    <row r="1312" spans="1:7" x14ac:dyDescent="0.25">
      <c r="A1312" s="3729" t="s">
        <v>62</v>
      </c>
      <c r="B1312" s="3730"/>
      <c r="C1312" s="3730"/>
      <c r="D1312" s="3730"/>
      <c r="E1312" s="3730"/>
      <c r="F1312" s="3730"/>
      <c r="G1312" s="3730"/>
    </row>
    <row r="1313" spans="1:7" x14ac:dyDescent="0.25">
      <c r="A1313" s="11" t="s">
        <v>1096</v>
      </c>
      <c r="B1313" s="11" t="s">
        <v>1162</v>
      </c>
      <c r="C1313" s="996">
        <v>765</v>
      </c>
      <c r="D1313" s="996">
        <v>488831.09786223999</v>
      </c>
      <c r="E1313" s="997">
        <v>35221.034704964601</v>
      </c>
      <c r="F1313" s="998">
        <v>100</v>
      </c>
      <c r="G1313" s="999">
        <v>0</v>
      </c>
    </row>
    <row r="1314" spans="1:7" x14ac:dyDescent="0.25">
      <c r="A1314" s="6" t="s">
        <v>1088</v>
      </c>
      <c r="B1314" s="6" t="s">
        <v>1089</v>
      </c>
      <c r="C1314" s="992">
        <v>52392</v>
      </c>
      <c r="D1314" s="992">
        <v>36368304.790027402</v>
      </c>
      <c r="E1314" s="993">
        <v>153272.64104665699</v>
      </c>
      <c r="F1314" s="994">
        <v>94.081946173301006</v>
      </c>
      <c r="G1314" s="995">
        <v>0.34418558266395</v>
      </c>
    </row>
    <row r="1315" spans="1:7" x14ac:dyDescent="0.25">
      <c r="A1315" s="11" t="s">
        <v>1102</v>
      </c>
      <c r="B1315" s="11" t="s">
        <v>1103</v>
      </c>
      <c r="C1315" s="996">
        <v>2662</v>
      </c>
      <c r="D1315" s="996">
        <v>2287682.1121102199</v>
      </c>
      <c r="E1315" s="997">
        <v>131936.55005203901</v>
      </c>
      <c r="F1315" s="998">
        <v>5.9180538266990004</v>
      </c>
      <c r="G1315" s="999">
        <v>0.34418558266395199</v>
      </c>
    </row>
    <row r="1316" spans="1:7" x14ac:dyDescent="0.25">
      <c r="A1316" s="6" t="s">
        <v>6417</v>
      </c>
      <c r="B1316" s="6" t="s">
        <v>6418</v>
      </c>
      <c r="C1316" s="992">
        <v>765</v>
      </c>
      <c r="D1316" s="992">
        <v>488831.09786223999</v>
      </c>
      <c r="E1316" s="993">
        <v>35221.034704964601</v>
      </c>
      <c r="F1316" s="994">
        <v>1.24877601388322</v>
      </c>
      <c r="G1316" s="995">
        <v>8.9976238246826101E-2</v>
      </c>
    </row>
    <row r="1317" spans="1:7" x14ac:dyDescent="0.25">
      <c r="A1317" s="11" t="s">
        <v>6417</v>
      </c>
      <c r="B1317" s="11" t="s">
        <v>6419</v>
      </c>
      <c r="C1317" s="996">
        <v>55819</v>
      </c>
      <c r="D1317" s="996">
        <v>39144817.999999799</v>
      </c>
      <c r="E1317" s="997">
        <v>0</v>
      </c>
      <c r="F1317" s="998">
        <v>100</v>
      </c>
      <c r="G1317" s="999">
        <v>0</v>
      </c>
    </row>
    <row r="1318" spans="1:7" x14ac:dyDescent="0.25">
      <c r="A1318" s="3729" t="s">
        <v>64</v>
      </c>
      <c r="B1318" s="3730"/>
      <c r="C1318" s="3730"/>
      <c r="D1318" s="3730"/>
      <c r="E1318" s="3730"/>
      <c r="F1318" s="3730"/>
      <c r="G1318" s="3730"/>
    </row>
    <row r="1319" spans="1:7" x14ac:dyDescent="0.25">
      <c r="A1319" s="11" t="s">
        <v>1098</v>
      </c>
      <c r="B1319" s="11" t="s">
        <v>1163</v>
      </c>
      <c r="C1319" s="1004">
        <v>1462</v>
      </c>
      <c r="D1319" s="1004">
        <v>960563.58844419103</v>
      </c>
      <c r="E1319" s="1005">
        <v>46362.731188269398</v>
      </c>
      <c r="F1319" s="1006">
        <v>100</v>
      </c>
      <c r="G1319" s="1007">
        <v>0</v>
      </c>
    </row>
    <row r="1320" spans="1:7" x14ac:dyDescent="0.25">
      <c r="A1320" s="6" t="s">
        <v>1088</v>
      </c>
      <c r="B1320" s="6" t="s">
        <v>1089</v>
      </c>
      <c r="C1320" s="1000">
        <v>51695</v>
      </c>
      <c r="D1320" s="1000">
        <v>35896572.299445398</v>
      </c>
      <c r="E1320" s="1001">
        <v>143162.531985507</v>
      </c>
      <c r="F1320" s="1002">
        <v>94.008833883586604</v>
      </c>
      <c r="G1320" s="1003">
        <v>0.346247064238632</v>
      </c>
    </row>
    <row r="1321" spans="1:7" x14ac:dyDescent="0.25">
      <c r="A1321" s="11" t="s">
        <v>1102</v>
      </c>
      <c r="B1321" s="11" t="s">
        <v>1103</v>
      </c>
      <c r="C1321" s="1004">
        <v>2662</v>
      </c>
      <c r="D1321" s="1004">
        <v>2287682.1121102199</v>
      </c>
      <c r="E1321" s="1005">
        <v>131936.55005203901</v>
      </c>
      <c r="F1321" s="1006">
        <v>5.99116611641342</v>
      </c>
      <c r="G1321" s="1007">
        <v>0.346247064238628</v>
      </c>
    </row>
    <row r="1322" spans="1:7" x14ac:dyDescent="0.25">
      <c r="A1322" s="6" t="s">
        <v>6417</v>
      </c>
      <c r="B1322" s="6" t="s">
        <v>6418</v>
      </c>
      <c r="C1322" s="1000">
        <v>1462</v>
      </c>
      <c r="D1322" s="1000">
        <v>960563.58844419103</v>
      </c>
      <c r="E1322" s="1001">
        <v>46362.731188269398</v>
      </c>
      <c r="F1322" s="1002">
        <v>2.4538716425867499</v>
      </c>
      <c r="G1322" s="1003">
        <v>0.118439000503907</v>
      </c>
    </row>
    <row r="1323" spans="1:7" x14ac:dyDescent="0.25">
      <c r="A1323" s="11" t="s">
        <v>6417</v>
      </c>
      <c r="B1323" s="11" t="s">
        <v>6419</v>
      </c>
      <c r="C1323" s="1004">
        <v>55819</v>
      </c>
      <c r="D1323" s="1004">
        <v>39144817.999999903</v>
      </c>
      <c r="E1323" s="1005">
        <v>0</v>
      </c>
      <c r="F1323" s="1006">
        <v>100</v>
      </c>
      <c r="G1323" s="1007">
        <v>0</v>
      </c>
    </row>
    <row r="1324" spans="1:7" x14ac:dyDescent="0.25">
      <c r="A1324" s="3729" t="s">
        <v>66</v>
      </c>
      <c r="B1324" s="3730"/>
      <c r="C1324" s="3730"/>
      <c r="D1324" s="3730"/>
      <c r="E1324" s="3730"/>
      <c r="F1324" s="3730"/>
      <c r="G1324" s="3730"/>
    </row>
    <row r="1325" spans="1:7" x14ac:dyDescent="0.25">
      <c r="A1325" s="11" t="s">
        <v>1100</v>
      </c>
      <c r="B1325" s="11" t="s">
        <v>1164</v>
      </c>
      <c r="C1325" s="1012">
        <v>717</v>
      </c>
      <c r="D1325" s="1012">
        <v>472195.15979583701</v>
      </c>
      <c r="E1325" s="1013">
        <v>23695.8578808071</v>
      </c>
      <c r="F1325" s="1014">
        <v>100</v>
      </c>
      <c r="G1325" s="1015">
        <v>0</v>
      </c>
    </row>
    <row r="1326" spans="1:7" x14ac:dyDescent="0.25">
      <c r="A1326" s="6" t="s">
        <v>1088</v>
      </c>
      <c r="B1326" s="6" t="s">
        <v>1089</v>
      </c>
      <c r="C1326" s="1008">
        <v>52440</v>
      </c>
      <c r="D1326" s="1008">
        <v>36384940.728093803</v>
      </c>
      <c r="E1326" s="1009">
        <v>151112.79257452101</v>
      </c>
      <c r="F1326" s="1010">
        <v>94.084491963312203</v>
      </c>
      <c r="G1326" s="1011">
        <v>0.34396652507241698</v>
      </c>
    </row>
    <row r="1327" spans="1:7" x14ac:dyDescent="0.25">
      <c r="A1327" s="11" t="s">
        <v>1102</v>
      </c>
      <c r="B1327" s="11" t="s">
        <v>1103</v>
      </c>
      <c r="C1327" s="1012">
        <v>2662</v>
      </c>
      <c r="D1327" s="1012">
        <v>2287682.1121102199</v>
      </c>
      <c r="E1327" s="1013">
        <v>131936.55005203901</v>
      </c>
      <c r="F1327" s="1014">
        <v>5.9155080366877799</v>
      </c>
      <c r="G1327" s="1015">
        <v>0.34396652507241798</v>
      </c>
    </row>
    <row r="1328" spans="1:7" x14ac:dyDescent="0.25">
      <c r="A1328" s="6" t="s">
        <v>6417</v>
      </c>
      <c r="B1328" s="6" t="s">
        <v>6418</v>
      </c>
      <c r="C1328" s="1008">
        <v>717</v>
      </c>
      <c r="D1328" s="1008">
        <v>472195.15979583701</v>
      </c>
      <c r="E1328" s="1009">
        <v>23695.8578808071</v>
      </c>
      <c r="F1328" s="1010">
        <v>1.20627757113557</v>
      </c>
      <c r="G1328" s="1011">
        <v>6.0533830763520202E-2</v>
      </c>
    </row>
    <row r="1329" spans="1:7" x14ac:dyDescent="0.25">
      <c r="A1329" s="11" t="s">
        <v>6417</v>
      </c>
      <c r="B1329" s="11" t="s">
        <v>6419</v>
      </c>
      <c r="C1329" s="1012">
        <v>55819</v>
      </c>
      <c r="D1329" s="1012">
        <v>39144817.999999799</v>
      </c>
      <c r="E1329" s="1013">
        <v>0</v>
      </c>
      <c r="F1329" s="1014">
        <v>100</v>
      </c>
      <c r="G1329" s="1015">
        <v>0</v>
      </c>
    </row>
    <row r="1330" spans="1:7" x14ac:dyDescent="0.25">
      <c r="A1330" s="3729" t="s">
        <v>68</v>
      </c>
      <c r="B1330" s="3730"/>
      <c r="C1330" s="3730"/>
      <c r="D1330" s="3730"/>
      <c r="E1330" s="3730"/>
      <c r="F1330" s="3730"/>
      <c r="G1330" s="3730"/>
    </row>
    <row r="1331" spans="1:7" x14ac:dyDescent="0.25">
      <c r="A1331" s="11" t="s">
        <v>1092</v>
      </c>
      <c r="B1331" s="11" t="s">
        <v>1160</v>
      </c>
      <c r="C1331" s="1020">
        <v>249</v>
      </c>
      <c r="D1331" s="1020">
        <v>157346.44703365199</v>
      </c>
      <c r="E1331" s="1021">
        <v>25458.136136732799</v>
      </c>
      <c r="F1331" s="1022">
        <v>100</v>
      </c>
      <c r="G1331" s="1023">
        <v>0</v>
      </c>
    </row>
    <row r="1332" spans="1:7" x14ac:dyDescent="0.25">
      <c r="A1332" s="6" t="s">
        <v>1088</v>
      </c>
      <c r="B1332" s="6" t="s">
        <v>1089</v>
      </c>
      <c r="C1332" s="1016">
        <v>52908</v>
      </c>
      <c r="D1332" s="1016">
        <v>36699789.440856002</v>
      </c>
      <c r="E1332" s="1017">
        <v>137577.885895363</v>
      </c>
      <c r="F1332" s="1018">
        <v>94.132263465707695</v>
      </c>
      <c r="G1332" s="1019">
        <v>0.33893369534919499</v>
      </c>
    </row>
    <row r="1333" spans="1:7" x14ac:dyDescent="0.25">
      <c r="A1333" s="11" t="s">
        <v>1102</v>
      </c>
      <c r="B1333" s="11" t="s">
        <v>1103</v>
      </c>
      <c r="C1333" s="1020">
        <v>2662</v>
      </c>
      <c r="D1333" s="1020">
        <v>2287682.1121102199</v>
      </c>
      <c r="E1333" s="1021">
        <v>131936.55005203901</v>
      </c>
      <c r="F1333" s="1022">
        <v>5.8677365342923098</v>
      </c>
      <c r="G1333" s="1023">
        <v>0.33893369534919299</v>
      </c>
    </row>
    <row r="1334" spans="1:7" x14ac:dyDescent="0.25">
      <c r="A1334" s="6" t="s">
        <v>6417</v>
      </c>
      <c r="B1334" s="6" t="s">
        <v>6418</v>
      </c>
      <c r="C1334" s="1016">
        <v>249</v>
      </c>
      <c r="D1334" s="1016">
        <v>157346.44703365199</v>
      </c>
      <c r="E1334" s="1017">
        <v>25458.136136732799</v>
      </c>
      <c r="F1334" s="1018">
        <v>0.40195983803948998</v>
      </c>
      <c r="G1334" s="1019">
        <v>6.5035775965884196E-2</v>
      </c>
    </row>
    <row r="1335" spans="1:7" x14ac:dyDescent="0.25">
      <c r="A1335" s="11" t="s">
        <v>6417</v>
      </c>
      <c r="B1335" s="11" t="s">
        <v>6419</v>
      </c>
      <c r="C1335" s="1020">
        <v>55819</v>
      </c>
      <c r="D1335" s="1020">
        <v>39144817.999999799</v>
      </c>
      <c r="E1335" s="1021">
        <v>0</v>
      </c>
      <c r="F1335" s="1022">
        <v>100</v>
      </c>
      <c r="G1335" s="1023">
        <v>0</v>
      </c>
    </row>
    <row r="1336" spans="1:7" x14ac:dyDescent="0.25">
      <c r="A1336" s="3729" t="s">
        <v>75</v>
      </c>
      <c r="B1336" s="3730"/>
      <c r="C1336" s="3730"/>
      <c r="D1336" s="3730"/>
      <c r="E1336" s="3730"/>
      <c r="F1336" s="3730"/>
      <c r="G1336" s="3730"/>
    </row>
    <row r="1337" spans="1:7" x14ac:dyDescent="0.25">
      <c r="A1337" s="11" t="s">
        <v>1109</v>
      </c>
      <c r="B1337" s="11" t="s">
        <v>1165</v>
      </c>
      <c r="C1337" s="1028">
        <v>2136</v>
      </c>
      <c r="D1337" s="1028">
        <v>1049548.31772725</v>
      </c>
      <c r="E1337" s="1029">
        <v>57818.0042765502</v>
      </c>
      <c r="F1337" s="1030">
        <v>100</v>
      </c>
      <c r="G1337" s="1031">
        <v>0</v>
      </c>
    </row>
    <row r="1338" spans="1:7" x14ac:dyDescent="0.25">
      <c r="A1338" s="6" t="s">
        <v>1088</v>
      </c>
      <c r="B1338" s="6" t="s">
        <v>1089</v>
      </c>
      <c r="C1338" s="1024">
        <v>51021</v>
      </c>
      <c r="D1338" s="1024">
        <v>35807587.570162401</v>
      </c>
      <c r="E1338" s="1025">
        <v>113986.55750892599</v>
      </c>
      <c r="F1338" s="1026">
        <v>93.994839434947494</v>
      </c>
      <c r="G1338" s="1027">
        <v>0.34181603632922503</v>
      </c>
    </row>
    <row r="1339" spans="1:7" x14ac:dyDescent="0.25">
      <c r="A1339" s="11" t="s">
        <v>1102</v>
      </c>
      <c r="B1339" s="11" t="s">
        <v>1103</v>
      </c>
      <c r="C1339" s="1028">
        <v>2662</v>
      </c>
      <c r="D1339" s="1028">
        <v>2287682.1121102199</v>
      </c>
      <c r="E1339" s="1029">
        <v>131936.55005203901</v>
      </c>
      <c r="F1339" s="1030">
        <v>6.00516056505246</v>
      </c>
      <c r="G1339" s="1031">
        <v>0.34181603632922902</v>
      </c>
    </row>
    <row r="1340" spans="1:7" x14ac:dyDescent="0.25">
      <c r="A1340" s="6" t="s">
        <v>6417</v>
      </c>
      <c r="B1340" s="6" t="s">
        <v>6418</v>
      </c>
      <c r="C1340" s="1024">
        <v>2136</v>
      </c>
      <c r="D1340" s="1024">
        <v>1049548.31772725</v>
      </c>
      <c r="E1340" s="1025">
        <v>57818.0042765502</v>
      </c>
      <c r="F1340" s="1026">
        <v>2.6811935049161701</v>
      </c>
      <c r="G1340" s="1027">
        <v>0.14770283074646401</v>
      </c>
    </row>
    <row r="1341" spans="1:7" x14ac:dyDescent="0.25">
      <c r="A1341" s="11" t="s">
        <v>6417</v>
      </c>
      <c r="B1341" s="11" t="s">
        <v>6419</v>
      </c>
      <c r="C1341" s="1028">
        <v>55819</v>
      </c>
      <c r="D1341" s="1028">
        <v>39144817.999999903</v>
      </c>
      <c r="E1341" s="1029">
        <v>0</v>
      </c>
      <c r="F1341" s="1030">
        <v>100</v>
      </c>
      <c r="G1341" s="1031">
        <v>0</v>
      </c>
    </row>
    <row r="1342" spans="1:7" x14ac:dyDescent="0.25">
      <c r="A1342" s="3729" t="s">
        <v>58</v>
      </c>
      <c r="B1342" s="3730"/>
      <c r="C1342" s="3730"/>
      <c r="D1342" s="3730"/>
      <c r="E1342" s="3730"/>
      <c r="F1342" s="3730"/>
      <c r="G1342" s="3730"/>
    </row>
    <row r="1343" spans="1:7" x14ac:dyDescent="0.25">
      <c r="A1343" s="11" t="s">
        <v>1088</v>
      </c>
      <c r="B1343" s="11" t="s">
        <v>1089</v>
      </c>
      <c r="C1343" s="1036">
        <v>53152</v>
      </c>
      <c r="D1343" s="1036">
        <v>36850974.692982398</v>
      </c>
      <c r="E1343" s="1037">
        <v>133286.93147737501</v>
      </c>
      <c r="F1343" s="1038">
        <v>94.140109919485695</v>
      </c>
      <c r="G1343" s="1039">
        <v>0.340497001358391</v>
      </c>
    </row>
    <row r="1344" spans="1:7" x14ac:dyDescent="0.25">
      <c r="A1344" s="6" t="s">
        <v>1102</v>
      </c>
      <c r="B1344" s="6" t="s">
        <v>1103</v>
      </c>
      <c r="C1344" s="1032">
        <v>2662</v>
      </c>
      <c r="D1344" s="1032">
        <v>2287682.1121102199</v>
      </c>
      <c r="E1344" s="1033">
        <v>131936.55005203901</v>
      </c>
      <c r="F1344" s="1034">
        <v>5.8441505900224904</v>
      </c>
      <c r="G1344" s="1035">
        <v>0.337047294617771</v>
      </c>
    </row>
    <row r="1345" spans="1:7" x14ac:dyDescent="0.25">
      <c r="A1345" s="11" t="s">
        <v>1084</v>
      </c>
      <c r="B1345" s="11" t="s">
        <v>1085</v>
      </c>
      <c r="C1345" s="1036">
        <v>5</v>
      </c>
      <c r="D1345" s="1036">
        <v>6161.1949071579702</v>
      </c>
      <c r="E1345" s="1037">
        <v>5675.5455549498902</v>
      </c>
      <c r="F1345" s="1038">
        <v>1.57394904918398E-2</v>
      </c>
      <c r="G1345" s="1039">
        <v>1.44988426180699E-2</v>
      </c>
    </row>
    <row r="1346" spans="1:7" x14ac:dyDescent="0.25">
      <c r="A1346" s="6" t="s">
        <v>6417</v>
      </c>
      <c r="B1346" s="6" t="s">
        <v>6418</v>
      </c>
      <c r="C1346" s="1032">
        <v>0</v>
      </c>
      <c r="D1346" s="1032">
        <v>0</v>
      </c>
      <c r="E1346" s="1033">
        <v>0</v>
      </c>
      <c r="F1346" s="1034">
        <v>0</v>
      </c>
      <c r="G1346" s="1035">
        <v>0</v>
      </c>
    </row>
    <row r="1347" spans="1:7" x14ac:dyDescent="0.25">
      <c r="A1347" s="11" t="s">
        <v>6417</v>
      </c>
      <c r="B1347" s="11" t="s">
        <v>6419</v>
      </c>
      <c r="C1347" s="1036">
        <v>55819</v>
      </c>
      <c r="D1347" s="1036">
        <v>39144817.999999799</v>
      </c>
      <c r="E1347" s="1037">
        <v>0</v>
      </c>
      <c r="F1347" s="1038">
        <v>100</v>
      </c>
      <c r="G1347" s="1039">
        <v>0</v>
      </c>
    </row>
    <row r="1348" spans="1:7" x14ac:dyDescent="0.25">
      <c r="A1348" s="3729" t="s">
        <v>70</v>
      </c>
      <c r="B1348" s="3730"/>
      <c r="C1348" s="3730"/>
      <c r="D1348" s="3730"/>
      <c r="E1348" s="3730"/>
      <c r="F1348" s="3730"/>
      <c r="G1348" s="3730"/>
    </row>
    <row r="1349" spans="1:7" x14ac:dyDescent="0.25">
      <c r="A1349" s="11" t="s">
        <v>1088</v>
      </c>
      <c r="B1349" s="11" t="s">
        <v>1089</v>
      </c>
      <c r="C1349" s="1044">
        <v>53157</v>
      </c>
      <c r="D1349" s="1044">
        <v>36857135.887889601</v>
      </c>
      <c r="E1349" s="1045">
        <v>131936.55005222699</v>
      </c>
      <c r="F1349" s="1046">
        <v>94.155849409977506</v>
      </c>
      <c r="G1349" s="1047">
        <v>0.33704729461777</v>
      </c>
    </row>
    <row r="1350" spans="1:7" x14ac:dyDescent="0.25">
      <c r="A1350" s="6" t="s">
        <v>1102</v>
      </c>
      <c r="B1350" s="6" t="s">
        <v>1103</v>
      </c>
      <c r="C1350" s="1040">
        <v>2662</v>
      </c>
      <c r="D1350" s="1040">
        <v>2287682.1121102199</v>
      </c>
      <c r="E1350" s="1041">
        <v>131936.55005203901</v>
      </c>
      <c r="F1350" s="1042">
        <v>5.8441505900224904</v>
      </c>
      <c r="G1350" s="1043">
        <v>0.337047294617772</v>
      </c>
    </row>
    <row r="1351" spans="1:7" x14ac:dyDescent="0.25">
      <c r="A1351" s="11" t="s">
        <v>6417</v>
      </c>
      <c r="B1351" s="11" t="s">
        <v>6418</v>
      </c>
      <c r="C1351" s="1044">
        <v>0</v>
      </c>
      <c r="D1351" s="1044">
        <v>0</v>
      </c>
      <c r="E1351" s="1045">
        <v>0</v>
      </c>
      <c r="F1351" s="1046">
        <v>0</v>
      </c>
      <c r="G1351" s="1047">
        <v>0</v>
      </c>
    </row>
    <row r="1352" spans="1:7" x14ac:dyDescent="0.25">
      <c r="A1352" s="6" t="s">
        <v>6417</v>
      </c>
      <c r="B1352" s="6" t="s">
        <v>6419</v>
      </c>
      <c r="C1352" s="1040">
        <v>55819</v>
      </c>
      <c r="D1352" s="1040">
        <v>39144817.999999799</v>
      </c>
      <c r="E1352" s="1041">
        <v>0</v>
      </c>
      <c r="F1352" s="1042">
        <v>100</v>
      </c>
      <c r="G1352" s="1043">
        <v>0</v>
      </c>
    </row>
    <row r="1353" spans="1:7" x14ac:dyDescent="0.25">
      <c r="A1353" s="3729" t="s">
        <v>934</v>
      </c>
      <c r="B1353" s="3730"/>
      <c r="C1353" s="3730"/>
      <c r="D1353" s="3730"/>
      <c r="E1353" s="3730"/>
      <c r="F1353" s="3730"/>
      <c r="G1353" s="3730"/>
    </row>
    <row r="1354" spans="1:7" x14ac:dyDescent="0.25">
      <c r="A1354" s="11" t="s">
        <v>1090</v>
      </c>
      <c r="B1354" s="11" t="s">
        <v>1159</v>
      </c>
      <c r="C1354" s="1052">
        <v>4098</v>
      </c>
      <c r="D1354" s="1052">
        <v>2711613.1659249002</v>
      </c>
      <c r="E1354" s="1053">
        <v>91429.254578499793</v>
      </c>
      <c r="F1354" s="1054">
        <v>100</v>
      </c>
      <c r="G1354" s="1055">
        <v>0</v>
      </c>
    </row>
    <row r="1355" spans="1:7" x14ac:dyDescent="0.25">
      <c r="A1355" s="6" t="s">
        <v>1088</v>
      </c>
      <c r="B1355" s="6" t="s">
        <v>1089</v>
      </c>
      <c r="C1355" s="1048">
        <v>51657</v>
      </c>
      <c r="D1355" s="1048">
        <v>36396718.696898296</v>
      </c>
      <c r="E1355" s="1049">
        <v>95175.089798429501</v>
      </c>
      <c r="F1355" s="1050">
        <v>99.899854714009507</v>
      </c>
      <c r="G1355" s="1051">
        <v>1.96576964475574E-2</v>
      </c>
    </row>
    <row r="1356" spans="1:7" x14ac:dyDescent="0.25">
      <c r="A1356" s="11" t="s">
        <v>1102</v>
      </c>
      <c r="B1356" s="11" t="s">
        <v>1103</v>
      </c>
      <c r="C1356" s="1052">
        <v>64</v>
      </c>
      <c r="D1356" s="1052">
        <v>36486.137176588098</v>
      </c>
      <c r="E1356" s="1053">
        <v>7118.5735296774001</v>
      </c>
      <c r="F1356" s="1054">
        <v>0.100145285990498</v>
      </c>
      <c r="G1356" s="1055">
        <v>1.9657696447549101E-2</v>
      </c>
    </row>
    <row r="1357" spans="1:7" x14ac:dyDescent="0.25">
      <c r="A1357" s="6" t="s">
        <v>6417</v>
      </c>
      <c r="B1357" s="6" t="s">
        <v>6418</v>
      </c>
      <c r="C1357" s="1048">
        <v>4098</v>
      </c>
      <c r="D1357" s="1048">
        <v>2711613.1659249002</v>
      </c>
      <c r="E1357" s="1049">
        <v>91429.254578499793</v>
      </c>
      <c r="F1357" s="1050">
        <v>6.9271318771361203</v>
      </c>
      <c r="G1357" s="1051">
        <v>0.23356668711172399</v>
      </c>
    </row>
    <row r="1358" spans="1:7" x14ac:dyDescent="0.25">
      <c r="A1358" s="11" t="s">
        <v>6417</v>
      </c>
      <c r="B1358" s="11" t="s">
        <v>6419</v>
      </c>
      <c r="C1358" s="1052">
        <v>55819</v>
      </c>
      <c r="D1358" s="1052">
        <v>39144817.999999799</v>
      </c>
      <c r="E1358" s="1053">
        <v>0</v>
      </c>
      <c r="F1358" s="1054">
        <v>100</v>
      </c>
      <c r="G1358" s="1055">
        <v>0</v>
      </c>
    </row>
    <row r="1359" spans="1:7" x14ac:dyDescent="0.25">
      <c r="A1359" s="3729" t="s">
        <v>939</v>
      </c>
      <c r="B1359" s="3730"/>
      <c r="C1359" s="3730"/>
      <c r="D1359" s="3730"/>
      <c r="E1359" s="3730"/>
      <c r="F1359" s="3730"/>
      <c r="G1359" s="3730"/>
    </row>
    <row r="1360" spans="1:7" x14ac:dyDescent="0.25">
      <c r="A1360" s="11" t="s">
        <v>1092</v>
      </c>
      <c r="B1360" s="11" t="s">
        <v>1160</v>
      </c>
      <c r="C1360" s="1060">
        <v>2747</v>
      </c>
      <c r="D1360" s="1060">
        <v>1880813.4747490699</v>
      </c>
      <c r="E1360" s="1061">
        <v>57378.032349684901</v>
      </c>
      <c r="F1360" s="1062">
        <v>100</v>
      </c>
      <c r="G1360" s="1063">
        <v>0</v>
      </c>
    </row>
    <row r="1361" spans="1:7" x14ac:dyDescent="0.25">
      <c r="A1361" s="6" t="s">
        <v>1088</v>
      </c>
      <c r="B1361" s="6" t="s">
        <v>1089</v>
      </c>
      <c r="C1361" s="1056">
        <v>53008</v>
      </c>
      <c r="D1361" s="1056">
        <v>37227518.3880741</v>
      </c>
      <c r="E1361" s="1057">
        <v>56835.006536866502</v>
      </c>
      <c r="F1361" s="1058">
        <v>99.902087449694605</v>
      </c>
      <c r="G1361" s="1059">
        <v>1.90814841536277E-2</v>
      </c>
    </row>
    <row r="1362" spans="1:7" x14ac:dyDescent="0.25">
      <c r="A1362" s="11" t="s">
        <v>1102</v>
      </c>
      <c r="B1362" s="11" t="s">
        <v>1103</v>
      </c>
      <c r="C1362" s="1060">
        <v>64</v>
      </c>
      <c r="D1362" s="1060">
        <v>36486.137176588098</v>
      </c>
      <c r="E1362" s="1061">
        <v>7118.5735296774001</v>
      </c>
      <c r="F1362" s="1062">
        <v>9.7912550305387896E-2</v>
      </c>
      <c r="G1362" s="1063">
        <v>1.9081484153621701E-2</v>
      </c>
    </row>
    <row r="1363" spans="1:7" x14ac:dyDescent="0.25">
      <c r="A1363" s="6" t="s">
        <v>6417</v>
      </c>
      <c r="B1363" s="6" t="s">
        <v>6418</v>
      </c>
      <c r="C1363" s="1056">
        <v>2747</v>
      </c>
      <c r="D1363" s="1056">
        <v>1880813.4747490699</v>
      </c>
      <c r="E1363" s="1057">
        <v>57378.032349684901</v>
      </c>
      <c r="F1363" s="1058">
        <v>4.8047572344034997</v>
      </c>
      <c r="G1363" s="1059">
        <v>0.146578871179532</v>
      </c>
    </row>
    <row r="1364" spans="1:7" x14ac:dyDescent="0.25">
      <c r="A1364" s="11" t="s">
        <v>6417</v>
      </c>
      <c r="B1364" s="11" t="s">
        <v>6419</v>
      </c>
      <c r="C1364" s="1060">
        <v>55819</v>
      </c>
      <c r="D1364" s="1060">
        <v>39144817.999999702</v>
      </c>
      <c r="E1364" s="1061">
        <v>0</v>
      </c>
      <c r="F1364" s="1062">
        <v>100</v>
      </c>
      <c r="G1364" s="1063">
        <v>0</v>
      </c>
    </row>
    <row r="1365" spans="1:7" x14ac:dyDescent="0.25">
      <c r="A1365" s="3729" t="s">
        <v>941</v>
      </c>
      <c r="B1365" s="3730"/>
      <c r="C1365" s="3730"/>
      <c r="D1365" s="3730"/>
      <c r="E1365" s="3730"/>
      <c r="F1365" s="3730"/>
      <c r="G1365" s="3730"/>
    </row>
    <row r="1366" spans="1:7" x14ac:dyDescent="0.25">
      <c r="A1366" s="11" t="s">
        <v>1094</v>
      </c>
      <c r="B1366" s="11" t="s">
        <v>1161</v>
      </c>
      <c r="C1366" s="1068">
        <v>4365</v>
      </c>
      <c r="D1366" s="1068">
        <v>2418933.7829460101</v>
      </c>
      <c r="E1366" s="1069">
        <v>86162.181582271805</v>
      </c>
      <c r="F1366" s="1070">
        <v>100</v>
      </c>
      <c r="G1366" s="1071">
        <v>0</v>
      </c>
    </row>
    <row r="1367" spans="1:7" x14ac:dyDescent="0.25">
      <c r="A1367" s="6" t="s">
        <v>1088</v>
      </c>
      <c r="B1367" s="6" t="s">
        <v>1089</v>
      </c>
      <c r="C1367" s="1064">
        <v>51390</v>
      </c>
      <c r="D1367" s="1064">
        <v>36689398.079877198</v>
      </c>
      <c r="E1367" s="1065">
        <v>87086.460457015899</v>
      </c>
      <c r="F1367" s="1066">
        <v>99.900652801275101</v>
      </c>
      <c r="G1367" s="1067">
        <v>1.9390703050946301E-2</v>
      </c>
    </row>
    <row r="1368" spans="1:7" x14ac:dyDescent="0.25">
      <c r="A1368" s="11" t="s">
        <v>1102</v>
      </c>
      <c r="B1368" s="11" t="s">
        <v>1103</v>
      </c>
      <c r="C1368" s="1068">
        <v>64</v>
      </c>
      <c r="D1368" s="1068">
        <v>36486.137176588098</v>
      </c>
      <c r="E1368" s="1069">
        <v>7118.5735296774001</v>
      </c>
      <c r="F1368" s="1070">
        <v>9.9347198724886204E-2</v>
      </c>
      <c r="G1368" s="1071">
        <v>1.93907030509365E-2</v>
      </c>
    </row>
    <row r="1369" spans="1:7" x14ac:dyDescent="0.25">
      <c r="A1369" s="6" t="s">
        <v>6417</v>
      </c>
      <c r="B1369" s="6" t="s">
        <v>6418</v>
      </c>
      <c r="C1369" s="1064">
        <v>4365</v>
      </c>
      <c r="D1369" s="1064">
        <v>2418933.7829460101</v>
      </c>
      <c r="E1369" s="1065">
        <v>86162.181582271805</v>
      </c>
      <c r="F1369" s="1066">
        <v>6.1794482808580797</v>
      </c>
      <c r="G1369" s="1067">
        <v>0.220111335253239</v>
      </c>
    </row>
    <row r="1370" spans="1:7" x14ac:dyDescent="0.25">
      <c r="A1370" s="11" t="s">
        <v>6417</v>
      </c>
      <c r="B1370" s="11" t="s">
        <v>6419</v>
      </c>
      <c r="C1370" s="1068">
        <v>55819</v>
      </c>
      <c r="D1370" s="1068">
        <v>39144817.999999799</v>
      </c>
      <c r="E1370" s="1069">
        <v>0</v>
      </c>
      <c r="F1370" s="1070">
        <v>100</v>
      </c>
      <c r="G1370" s="1071">
        <v>0</v>
      </c>
    </row>
    <row r="1371" spans="1:7" x14ac:dyDescent="0.25">
      <c r="A1371" s="3729" t="s">
        <v>943</v>
      </c>
      <c r="B1371" s="3730"/>
      <c r="C1371" s="3730"/>
      <c r="D1371" s="3730"/>
      <c r="E1371" s="3730"/>
      <c r="F1371" s="3730"/>
      <c r="G1371" s="3730"/>
    </row>
    <row r="1372" spans="1:7" x14ac:dyDescent="0.25">
      <c r="A1372" s="11" t="s">
        <v>1096</v>
      </c>
      <c r="B1372" s="11" t="s">
        <v>6130</v>
      </c>
      <c r="C1372" s="1076">
        <v>3125</v>
      </c>
      <c r="D1372" s="1076">
        <v>2406629.5895107798</v>
      </c>
      <c r="E1372" s="1077">
        <v>89068.435338713607</v>
      </c>
      <c r="F1372" s="1078">
        <v>100</v>
      </c>
      <c r="G1372" s="1079">
        <v>0</v>
      </c>
    </row>
    <row r="1373" spans="1:7" x14ac:dyDescent="0.25">
      <c r="A1373" s="6" t="s">
        <v>1088</v>
      </c>
      <c r="B1373" s="6" t="s">
        <v>1089</v>
      </c>
      <c r="C1373" s="1072">
        <v>52630</v>
      </c>
      <c r="D1373" s="1072">
        <v>36701702.273312502</v>
      </c>
      <c r="E1373" s="1073">
        <v>88679.001786409499</v>
      </c>
      <c r="F1373" s="1074">
        <v>99.900686074204501</v>
      </c>
      <c r="G1373" s="1075">
        <v>1.9347252130193001E-2</v>
      </c>
    </row>
    <row r="1374" spans="1:7" x14ac:dyDescent="0.25">
      <c r="A1374" s="11" t="s">
        <v>1102</v>
      </c>
      <c r="B1374" s="11" t="s">
        <v>1103</v>
      </c>
      <c r="C1374" s="1076">
        <v>64</v>
      </c>
      <c r="D1374" s="1076">
        <v>36486.137176588098</v>
      </c>
      <c r="E1374" s="1077">
        <v>7118.5735296774001</v>
      </c>
      <c r="F1374" s="1078">
        <v>9.9313925795456295E-2</v>
      </c>
      <c r="G1374" s="1079">
        <v>1.9347252130191301E-2</v>
      </c>
    </row>
    <row r="1375" spans="1:7" x14ac:dyDescent="0.25">
      <c r="A1375" s="6" t="s">
        <v>6417</v>
      </c>
      <c r="B1375" s="6" t="s">
        <v>6418</v>
      </c>
      <c r="C1375" s="1072">
        <v>3125</v>
      </c>
      <c r="D1375" s="1072">
        <v>2406629.5895107798</v>
      </c>
      <c r="E1375" s="1073">
        <v>89068.435338713607</v>
      </c>
      <c r="F1375" s="1074">
        <v>6.1480157846456001</v>
      </c>
      <c r="G1375" s="1075">
        <v>0.22753569920471201</v>
      </c>
    </row>
    <row r="1376" spans="1:7" x14ac:dyDescent="0.25">
      <c r="A1376" s="11" t="s">
        <v>6417</v>
      </c>
      <c r="B1376" s="11" t="s">
        <v>6419</v>
      </c>
      <c r="C1376" s="1076">
        <v>55819</v>
      </c>
      <c r="D1376" s="1076">
        <v>39144817.999999903</v>
      </c>
      <c r="E1376" s="1077">
        <v>0</v>
      </c>
      <c r="F1376" s="1078">
        <v>100</v>
      </c>
      <c r="G1376" s="1079">
        <v>0</v>
      </c>
    </row>
    <row r="1377" spans="1:7" x14ac:dyDescent="0.25">
      <c r="A1377" s="3729" t="s">
        <v>945</v>
      </c>
      <c r="B1377" s="3730"/>
      <c r="C1377" s="3730"/>
      <c r="D1377" s="3730"/>
      <c r="E1377" s="3730"/>
      <c r="F1377" s="3730"/>
      <c r="G1377" s="3730"/>
    </row>
    <row r="1378" spans="1:7" x14ac:dyDescent="0.25">
      <c r="A1378" s="11" t="s">
        <v>1098</v>
      </c>
      <c r="B1378" s="11" t="s">
        <v>1163</v>
      </c>
      <c r="C1378" s="1084">
        <v>4401</v>
      </c>
      <c r="D1378" s="1084">
        <v>3353918.5418036999</v>
      </c>
      <c r="E1378" s="1085">
        <v>125738.07630316701</v>
      </c>
      <c r="F1378" s="1086">
        <v>100</v>
      </c>
      <c r="G1378" s="1087">
        <v>0</v>
      </c>
    </row>
    <row r="1379" spans="1:7" x14ac:dyDescent="0.25">
      <c r="A1379" s="6" t="s">
        <v>1088</v>
      </c>
      <c r="B1379" s="6" t="s">
        <v>1089</v>
      </c>
      <c r="C1379" s="1080">
        <v>51354</v>
      </c>
      <c r="D1379" s="1080">
        <v>35754413.321019702</v>
      </c>
      <c r="E1379" s="1081">
        <v>127606.91537589399</v>
      </c>
      <c r="F1379" s="1082">
        <v>99.898057501406996</v>
      </c>
      <c r="G1379" s="1083">
        <v>1.99622708337794E-2</v>
      </c>
    </row>
    <row r="1380" spans="1:7" x14ac:dyDescent="0.25">
      <c r="A1380" s="11" t="s">
        <v>1102</v>
      </c>
      <c r="B1380" s="11" t="s">
        <v>1103</v>
      </c>
      <c r="C1380" s="1084">
        <v>64</v>
      </c>
      <c r="D1380" s="1084">
        <v>36486.137176588098</v>
      </c>
      <c r="E1380" s="1085">
        <v>7118.5735296774001</v>
      </c>
      <c r="F1380" s="1086">
        <v>0.101942498592984</v>
      </c>
      <c r="G1380" s="1087">
        <v>1.9962270833777201E-2</v>
      </c>
    </row>
    <row r="1381" spans="1:7" x14ac:dyDescent="0.25">
      <c r="A1381" s="6" t="s">
        <v>6417</v>
      </c>
      <c r="B1381" s="6" t="s">
        <v>6418</v>
      </c>
      <c r="C1381" s="1080">
        <v>4401</v>
      </c>
      <c r="D1381" s="1080">
        <v>3353918.5418036999</v>
      </c>
      <c r="E1381" s="1081">
        <v>125738.07630316701</v>
      </c>
      <c r="F1381" s="1082">
        <v>8.56797582199437</v>
      </c>
      <c r="G1381" s="1083">
        <v>0.321212570979796</v>
      </c>
    </row>
    <row r="1382" spans="1:7" x14ac:dyDescent="0.25">
      <c r="A1382" s="11" t="s">
        <v>6417</v>
      </c>
      <c r="B1382" s="11" t="s">
        <v>6419</v>
      </c>
      <c r="C1382" s="1084">
        <v>55819</v>
      </c>
      <c r="D1382" s="1084">
        <v>39144818</v>
      </c>
      <c r="E1382" s="1085">
        <v>0</v>
      </c>
      <c r="F1382" s="1086">
        <v>100</v>
      </c>
      <c r="G1382" s="1087">
        <v>0</v>
      </c>
    </row>
    <row r="1383" spans="1:7" x14ac:dyDescent="0.25">
      <c r="A1383" s="3729" t="s">
        <v>947</v>
      </c>
      <c r="B1383" s="3730"/>
      <c r="C1383" s="3730"/>
      <c r="D1383" s="3730"/>
      <c r="E1383" s="3730"/>
      <c r="F1383" s="3730"/>
      <c r="G1383" s="3730"/>
    </row>
    <row r="1384" spans="1:7" x14ac:dyDescent="0.25">
      <c r="A1384" s="11" t="s">
        <v>1100</v>
      </c>
      <c r="B1384" s="11" t="s">
        <v>1164</v>
      </c>
      <c r="C1384" s="1092">
        <v>5872</v>
      </c>
      <c r="D1384" s="1092">
        <v>4275183.8980962401</v>
      </c>
      <c r="E1384" s="1093">
        <v>94844.766019372299</v>
      </c>
      <c r="F1384" s="1094">
        <v>100</v>
      </c>
      <c r="G1384" s="1095">
        <v>0</v>
      </c>
    </row>
    <row r="1385" spans="1:7" x14ac:dyDescent="0.25">
      <c r="A1385" s="6" t="s">
        <v>1088</v>
      </c>
      <c r="B1385" s="6" t="s">
        <v>1089</v>
      </c>
      <c r="C1385" s="1088">
        <v>49883</v>
      </c>
      <c r="D1385" s="1088">
        <v>34833147.964727104</v>
      </c>
      <c r="E1385" s="1089">
        <v>94889.1172305332</v>
      </c>
      <c r="F1385" s="1090">
        <v>99.895364152460104</v>
      </c>
      <c r="G1385" s="1091">
        <v>2.0392628627208399E-2</v>
      </c>
    </row>
    <row r="1386" spans="1:7" x14ac:dyDescent="0.25">
      <c r="A1386" s="11" t="s">
        <v>1102</v>
      </c>
      <c r="B1386" s="11" t="s">
        <v>1103</v>
      </c>
      <c r="C1386" s="1092">
        <v>64</v>
      </c>
      <c r="D1386" s="1092">
        <v>36486.137176588098</v>
      </c>
      <c r="E1386" s="1093">
        <v>7118.5735296774001</v>
      </c>
      <c r="F1386" s="1094">
        <v>0.10463584753989701</v>
      </c>
      <c r="G1386" s="1095">
        <v>2.03926286272023E-2</v>
      </c>
    </row>
    <row r="1387" spans="1:7" x14ac:dyDescent="0.25">
      <c r="A1387" s="6" t="s">
        <v>6417</v>
      </c>
      <c r="B1387" s="6" t="s">
        <v>6418</v>
      </c>
      <c r="C1387" s="1088">
        <v>5872</v>
      </c>
      <c r="D1387" s="1088">
        <v>4275183.8980962401</v>
      </c>
      <c r="E1387" s="1089">
        <v>94844.766019372299</v>
      </c>
      <c r="F1387" s="1090">
        <v>10.92145555025</v>
      </c>
      <c r="G1387" s="1091">
        <v>0.24229200917316199</v>
      </c>
    </row>
    <row r="1388" spans="1:7" x14ac:dyDescent="0.25">
      <c r="A1388" s="11" t="s">
        <v>6417</v>
      </c>
      <c r="B1388" s="11" t="s">
        <v>6419</v>
      </c>
      <c r="C1388" s="1092">
        <v>55819</v>
      </c>
      <c r="D1388" s="1092">
        <v>39144817.999999903</v>
      </c>
      <c r="E1388" s="1093">
        <v>0</v>
      </c>
      <c r="F1388" s="1094">
        <v>100</v>
      </c>
      <c r="G1388" s="1095">
        <v>0</v>
      </c>
    </row>
    <row r="1389" spans="1:7" x14ac:dyDescent="0.25">
      <c r="A1389" s="3729" t="s">
        <v>951</v>
      </c>
      <c r="B1389" s="3730"/>
      <c r="C1389" s="3730"/>
      <c r="D1389" s="3730"/>
      <c r="E1389" s="3730"/>
      <c r="F1389" s="3730"/>
      <c r="G1389" s="3730"/>
    </row>
    <row r="1390" spans="1:7" x14ac:dyDescent="0.25">
      <c r="A1390" s="11" t="s">
        <v>1109</v>
      </c>
      <c r="B1390" s="11" t="s">
        <v>1165</v>
      </c>
      <c r="C1390" s="1100">
        <v>19687</v>
      </c>
      <c r="D1390" s="1100">
        <v>10583237.8496504</v>
      </c>
      <c r="E1390" s="1101">
        <v>100062.60744214299</v>
      </c>
      <c r="F1390" s="1102">
        <v>100</v>
      </c>
      <c r="G1390" s="1103">
        <v>0</v>
      </c>
    </row>
    <row r="1391" spans="1:7" x14ac:dyDescent="0.25">
      <c r="A1391" s="6" t="s">
        <v>1088</v>
      </c>
      <c r="B1391" s="6" t="s">
        <v>1089</v>
      </c>
      <c r="C1391" s="1096">
        <v>36068</v>
      </c>
      <c r="D1391" s="1096">
        <v>28525094.013173401</v>
      </c>
      <c r="E1391" s="1097">
        <v>98083.117185169598</v>
      </c>
      <c r="F1391" s="1098">
        <v>99.8722544866757</v>
      </c>
      <c r="G1391" s="1099">
        <v>2.4819662431450899E-2</v>
      </c>
    </row>
    <row r="1392" spans="1:7" x14ac:dyDescent="0.25">
      <c r="A1392" s="11" t="s">
        <v>1102</v>
      </c>
      <c r="B1392" s="11" t="s">
        <v>1103</v>
      </c>
      <c r="C1392" s="1100">
        <v>64</v>
      </c>
      <c r="D1392" s="1100">
        <v>36486.137176588098</v>
      </c>
      <c r="E1392" s="1101">
        <v>7118.5735296774001</v>
      </c>
      <c r="F1392" s="1102">
        <v>0.127745513324272</v>
      </c>
      <c r="G1392" s="1103">
        <v>2.4819662431451301E-2</v>
      </c>
    </row>
    <row r="1393" spans="1:7" x14ac:dyDescent="0.25">
      <c r="A1393" s="6" t="s">
        <v>6417</v>
      </c>
      <c r="B1393" s="6" t="s">
        <v>6418</v>
      </c>
      <c r="C1393" s="1096">
        <v>19687</v>
      </c>
      <c r="D1393" s="1096">
        <v>10583237.8496504</v>
      </c>
      <c r="E1393" s="1097">
        <v>100062.60744214299</v>
      </c>
      <c r="F1393" s="1098">
        <v>27.036114587760402</v>
      </c>
      <c r="G1393" s="1099">
        <v>0.25562159323954398</v>
      </c>
    </row>
    <row r="1394" spans="1:7" x14ac:dyDescent="0.25">
      <c r="A1394" s="11" t="s">
        <v>6417</v>
      </c>
      <c r="B1394" s="11" t="s">
        <v>6419</v>
      </c>
      <c r="C1394" s="1100">
        <v>55819</v>
      </c>
      <c r="D1394" s="1100">
        <v>39144818.000000402</v>
      </c>
      <c r="E1394" s="1101">
        <v>0</v>
      </c>
      <c r="F1394" s="1102">
        <v>100</v>
      </c>
      <c r="G1394" s="1103">
        <v>0</v>
      </c>
    </row>
    <row r="1395" spans="1:7" x14ac:dyDescent="0.25">
      <c r="A1395" s="3729" t="s">
        <v>937</v>
      </c>
      <c r="B1395" s="3730"/>
      <c r="C1395" s="3730"/>
      <c r="D1395" s="3730"/>
      <c r="E1395" s="3730"/>
      <c r="F1395" s="3730"/>
      <c r="G1395" s="3730"/>
    </row>
    <row r="1396" spans="1:7" x14ac:dyDescent="0.25">
      <c r="A1396" s="11" t="s">
        <v>1088</v>
      </c>
      <c r="B1396" s="11" t="s">
        <v>1089</v>
      </c>
      <c r="C1396" s="1108">
        <v>55712</v>
      </c>
      <c r="D1396" s="1108">
        <v>39077992.353896096</v>
      </c>
      <c r="E1396" s="1109">
        <v>14861.3304972761</v>
      </c>
      <c r="F1396" s="1110">
        <v>99.829286098344596</v>
      </c>
      <c r="G1396" s="1111">
        <v>3.7965000877760099E-2</v>
      </c>
    </row>
    <row r="1397" spans="1:7" x14ac:dyDescent="0.25">
      <c r="A1397" s="6" t="s">
        <v>1102</v>
      </c>
      <c r="B1397" s="6" t="s">
        <v>1103</v>
      </c>
      <c r="C1397" s="1104">
        <v>64</v>
      </c>
      <c r="D1397" s="1104">
        <v>36486.137176588098</v>
      </c>
      <c r="E1397" s="1105">
        <v>7118.5735296774001</v>
      </c>
      <c r="F1397" s="1106">
        <v>9.3208089961200599E-2</v>
      </c>
      <c r="G1397" s="1107">
        <v>1.8185225767756701E-2</v>
      </c>
    </row>
    <row r="1398" spans="1:7" x14ac:dyDescent="0.25">
      <c r="A1398" s="11" t="s">
        <v>1084</v>
      </c>
      <c r="B1398" s="11" t="s">
        <v>1153</v>
      </c>
      <c r="C1398" s="1108">
        <v>43</v>
      </c>
      <c r="D1398" s="1108">
        <v>30339.508927131301</v>
      </c>
      <c r="E1398" s="1109">
        <v>9831.1466746955793</v>
      </c>
      <c r="F1398" s="1110">
        <v>7.7505811694236204E-2</v>
      </c>
      <c r="G1398" s="1111">
        <v>2.5114810023373998E-2</v>
      </c>
    </row>
    <row r="1399" spans="1:7" x14ac:dyDescent="0.25">
      <c r="A1399" s="6" t="s">
        <v>6417</v>
      </c>
      <c r="B1399" s="6" t="s">
        <v>6418</v>
      </c>
      <c r="C1399" s="1104">
        <v>0</v>
      </c>
      <c r="D1399" s="1104">
        <v>0</v>
      </c>
      <c r="E1399" s="1105">
        <v>0</v>
      </c>
      <c r="F1399" s="1106">
        <v>0</v>
      </c>
      <c r="G1399" s="1107">
        <v>0</v>
      </c>
    </row>
    <row r="1400" spans="1:7" x14ac:dyDescent="0.25">
      <c r="A1400" s="11" t="s">
        <v>6417</v>
      </c>
      <c r="B1400" s="11" t="s">
        <v>6419</v>
      </c>
      <c r="C1400" s="1108">
        <v>55819</v>
      </c>
      <c r="D1400" s="1108">
        <v>39144817.999999799</v>
      </c>
      <c r="E1400" s="1109">
        <v>0</v>
      </c>
      <c r="F1400" s="1110">
        <v>100</v>
      </c>
      <c r="G1400" s="1111">
        <v>0</v>
      </c>
    </row>
    <row r="1401" spans="1:7" x14ac:dyDescent="0.25">
      <c r="A1401" s="3729" t="s">
        <v>949</v>
      </c>
      <c r="B1401" s="3730"/>
      <c r="C1401" s="3730"/>
      <c r="D1401" s="3730"/>
      <c r="E1401" s="3730"/>
      <c r="F1401" s="3730"/>
      <c r="G1401" s="3730"/>
    </row>
    <row r="1402" spans="1:7" x14ac:dyDescent="0.25">
      <c r="A1402" s="11" t="s">
        <v>1088</v>
      </c>
      <c r="B1402" s="11" t="s">
        <v>1089</v>
      </c>
      <c r="C1402" s="1116">
        <v>55726</v>
      </c>
      <c r="D1402" s="1116">
        <v>39093086.727758698</v>
      </c>
      <c r="E1402" s="1117">
        <v>8024.9832860565102</v>
      </c>
      <c r="F1402" s="1118">
        <v>99.867846435660596</v>
      </c>
      <c r="G1402" s="1119">
        <v>2.05007551342445E-2</v>
      </c>
    </row>
    <row r="1403" spans="1:7" x14ac:dyDescent="0.25">
      <c r="A1403" s="6" t="s">
        <v>1102</v>
      </c>
      <c r="B1403" s="6" t="s">
        <v>1103</v>
      </c>
      <c r="C1403" s="1112">
        <v>64</v>
      </c>
      <c r="D1403" s="1112">
        <v>36486.137176588098</v>
      </c>
      <c r="E1403" s="1113">
        <v>7118.5735296774001</v>
      </c>
      <c r="F1403" s="1114">
        <v>9.3208089961200502E-2</v>
      </c>
      <c r="G1403" s="1115">
        <v>1.8185225767756701E-2</v>
      </c>
    </row>
    <row r="1404" spans="1:7" x14ac:dyDescent="0.25">
      <c r="A1404" s="11" t="s">
        <v>1086</v>
      </c>
      <c r="B1404" s="11" t="s">
        <v>1087</v>
      </c>
      <c r="C1404" s="1116">
        <v>29</v>
      </c>
      <c r="D1404" s="1116">
        <v>15245.135064575599</v>
      </c>
      <c r="E1404" s="1117">
        <v>7554.97694896139</v>
      </c>
      <c r="F1404" s="1118">
        <v>3.8945474378181202E-2</v>
      </c>
      <c r="G1404" s="1119">
        <v>1.9300069166144601E-2</v>
      </c>
    </row>
    <row r="1405" spans="1:7" x14ac:dyDescent="0.25">
      <c r="A1405" s="6" t="s">
        <v>6417</v>
      </c>
      <c r="B1405" s="6" t="s">
        <v>6418</v>
      </c>
      <c r="C1405" s="1112">
        <v>0</v>
      </c>
      <c r="D1405" s="1112">
        <v>0</v>
      </c>
      <c r="E1405" s="1113">
        <v>0</v>
      </c>
      <c r="F1405" s="1114">
        <v>0</v>
      </c>
      <c r="G1405" s="1115">
        <v>0</v>
      </c>
    </row>
    <row r="1406" spans="1:7" x14ac:dyDescent="0.25">
      <c r="A1406" s="11" t="s">
        <v>6417</v>
      </c>
      <c r="B1406" s="11" t="s">
        <v>6419</v>
      </c>
      <c r="C1406" s="1116">
        <v>55819</v>
      </c>
      <c r="D1406" s="1116">
        <v>39144817.999999799</v>
      </c>
      <c r="E1406" s="1117">
        <v>0</v>
      </c>
      <c r="F1406" s="1118">
        <v>100</v>
      </c>
      <c r="G1406" s="1119">
        <v>0</v>
      </c>
    </row>
    <row r="1407" spans="1:7" x14ac:dyDescent="0.25">
      <c r="A1407" s="3729" t="s">
        <v>576</v>
      </c>
      <c r="B1407" s="3730"/>
      <c r="C1407" s="3730"/>
      <c r="D1407" s="3730"/>
      <c r="E1407" s="3730"/>
      <c r="F1407" s="3730"/>
      <c r="G1407" s="3730"/>
    </row>
    <row r="1408" spans="1:7" x14ac:dyDescent="0.25">
      <c r="A1408" s="11" t="s">
        <v>1292</v>
      </c>
      <c r="B1408" s="11"/>
      <c r="C1408" s="1124">
        <v>46134</v>
      </c>
      <c r="D1408" s="1124">
        <v>29666276.482292101</v>
      </c>
      <c r="E1408" s="1125">
        <v>174898.58853484501</v>
      </c>
      <c r="F1408" s="1126">
        <v>81.153840836950394</v>
      </c>
      <c r="G1408" s="1127">
        <v>0.48170895447893503</v>
      </c>
    </row>
    <row r="1409" spans="1:7" x14ac:dyDescent="0.25">
      <c r="A1409" s="6" t="s">
        <v>6427</v>
      </c>
      <c r="B1409" s="6"/>
      <c r="C1409" s="1120">
        <v>1727</v>
      </c>
      <c r="D1409" s="1120">
        <v>1341794.0572953201</v>
      </c>
      <c r="E1409" s="1121">
        <v>75842.902585004893</v>
      </c>
      <c r="F1409" s="1122">
        <v>3.6705564119820702</v>
      </c>
      <c r="G1409" s="1123">
        <v>0.207045603429755</v>
      </c>
    </row>
    <row r="1410" spans="1:7" x14ac:dyDescent="0.25">
      <c r="A1410" s="11" t="s">
        <v>6426</v>
      </c>
      <c r="B1410" s="11"/>
      <c r="C1410" s="1124">
        <v>1303</v>
      </c>
      <c r="D1410" s="1124">
        <v>1114207.5568571601</v>
      </c>
      <c r="E1410" s="1125">
        <v>60966.791420875299</v>
      </c>
      <c r="F1410" s="1126">
        <v>3.0479801798680901</v>
      </c>
      <c r="G1410" s="1127">
        <v>0.16649523457620699</v>
      </c>
    </row>
    <row r="1411" spans="1:7" x14ac:dyDescent="0.25">
      <c r="A1411" s="6" t="s">
        <v>6429</v>
      </c>
      <c r="B1411" s="6"/>
      <c r="C1411" s="1120">
        <v>592</v>
      </c>
      <c r="D1411" s="1120">
        <v>578613.50927262695</v>
      </c>
      <c r="E1411" s="1121">
        <v>42022.151550446601</v>
      </c>
      <c r="F1411" s="1122">
        <v>1.58283122135832</v>
      </c>
      <c r="G1411" s="1123">
        <v>0.115203971139162</v>
      </c>
    </row>
    <row r="1412" spans="1:7" x14ac:dyDescent="0.25">
      <c r="A1412" s="11" t="s">
        <v>1295</v>
      </c>
      <c r="B1412" s="11"/>
      <c r="C1412" s="1124">
        <v>561</v>
      </c>
      <c r="D1412" s="1124">
        <v>554290.42102160305</v>
      </c>
      <c r="E1412" s="1125">
        <v>45670.730790449401</v>
      </c>
      <c r="F1412" s="1126">
        <v>1.5162939855928299</v>
      </c>
      <c r="G1412" s="1127">
        <v>0.12470316245442201</v>
      </c>
    </row>
    <row r="1413" spans="1:7" x14ac:dyDescent="0.25">
      <c r="A1413" s="6" t="s">
        <v>6430</v>
      </c>
      <c r="B1413" s="6"/>
      <c r="C1413" s="1120">
        <v>542</v>
      </c>
      <c r="D1413" s="1120">
        <v>553889.40743512195</v>
      </c>
      <c r="E1413" s="1121">
        <v>44440.282868012</v>
      </c>
      <c r="F1413" s="1122">
        <v>1.51519698938603</v>
      </c>
      <c r="G1413" s="1123">
        <v>0.121610008229131</v>
      </c>
    </row>
    <row r="1414" spans="1:7" x14ac:dyDescent="0.25">
      <c r="A1414" s="11" t="s">
        <v>6428</v>
      </c>
      <c r="B1414" s="11"/>
      <c r="C1414" s="1124">
        <v>528</v>
      </c>
      <c r="D1414" s="1124">
        <v>478005.478490585</v>
      </c>
      <c r="E1414" s="1125">
        <v>37354.4755307175</v>
      </c>
      <c r="F1414" s="1126">
        <v>1.3076120470922701</v>
      </c>
      <c r="G1414" s="1127">
        <v>0.10220007390435</v>
      </c>
    </row>
    <row r="1415" spans="1:7" x14ac:dyDescent="0.25">
      <c r="A1415" s="6" t="s">
        <v>1123</v>
      </c>
      <c r="B1415" s="6"/>
      <c r="C1415" s="1120">
        <v>277</v>
      </c>
      <c r="D1415" s="1120">
        <v>298957.17879960599</v>
      </c>
      <c r="E1415" s="1121">
        <v>35036.642387603599</v>
      </c>
      <c r="F1415" s="1122">
        <v>0.81781491249327298</v>
      </c>
      <c r="G1415" s="1123">
        <v>9.57752583366481E-2</v>
      </c>
    </row>
    <row r="1416" spans="1:7" x14ac:dyDescent="0.25">
      <c r="A1416" s="11" t="s">
        <v>1297</v>
      </c>
      <c r="B1416" s="11"/>
      <c r="C1416" s="1124">
        <v>163</v>
      </c>
      <c r="D1416" s="1124">
        <v>281052.721324332</v>
      </c>
      <c r="E1416" s="1125">
        <v>35657.688586631397</v>
      </c>
      <c r="F1416" s="1126">
        <v>0.76883621801209501</v>
      </c>
      <c r="G1416" s="1127">
        <v>9.7527459131692001E-2</v>
      </c>
    </row>
    <row r="1417" spans="1:7" x14ac:dyDescent="0.25">
      <c r="A1417" s="6" t="s">
        <v>1133</v>
      </c>
      <c r="B1417" s="6"/>
      <c r="C1417" s="1120">
        <v>218</v>
      </c>
      <c r="D1417" s="1120">
        <v>241126.80312591101</v>
      </c>
      <c r="E1417" s="1121">
        <v>24689.461788581499</v>
      </c>
      <c r="F1417" s="1122">
        <v>0.65961652498193701</v>
      </c>
      <c r="G1417" s="1123">
        <v>6.7371214124970893E-2</v>
      </c>
    </row>
    <row r="1418" spans="1:7" x14ac:dyDescent="0.25">
      <c r="A1418" s="11" t="s">
        <v>6433</v>
      </c>
      <c r="B1418" s="11"/>
      <c r="C1418" s="1124">
        <v>193</v>
      </c>
      <c r="D1418" s="1124">
        <v>185282.16074361099</v>
      </c>
      <c r="E1418" s="1125">
        <v>19482.369823172899</v>
      </c>
      <c r="F1418" s="1126">
        <v>0.50685022745906405</v>
      </c>
      <c r="G1418" s="1127">
        <v>5.3439051586899801E-2</v>
      </c>
    </row>
    <row r="1419" spans="1:7" x14ac:dyDescent="0.25">
      <c r="A1419" s="6" t="s">
        <v>6431</v>
      </c>
      <c r="B1419" s="6"/>
      <c r="C1419" s="1120">
        <v>204</v>
      </c>
      <c r="D1419" s="1120">
        <v>175930.766995743</v>
      </c>
      <c r="E1419" s="1121">
        <v>23530.077734362399</v>
      </c>
      <c r="F1419" s="1122">
        <v>0.48126894090053501</v>
      </c>
      <c r="G1419" s="1123">
        <v>6.4386084026031298E-2</v>
      </c>
    </row>
    <row r="1420" spans="1:7" x14ac:dyDescent="0.25">
      <c r="A1420" s="11" t="s">
        <v>6432</v>
      </c>
      <c r="B1420" s="11"/>
      <c r="C1420" s="1124">
        <v>167</v>
      </c>
      <c r="D1420" s="1124">
        <v>139561.90140747401</v>
      </c>
      <c r="E1420" s="1125">
        <v>12693.7222445649</v>
      </c>
      <c r="F1420" s="1126">
        <v>0.38177977409753</v>
      </c>
      <c r="G1420" s="1127">
        <v>3.4724593427873998E-2</v>
      </c>
    </row>
    <row r="1421" spans="1:7" x14ac:dyDescent="0.25">
      <c r="A1421" s="6" t="s">
        <v>1127</v>
      </c>
      <c r="B1421" s="6"/>
      <c r="C1421" s="1120">
        <v>141</v>
      </c>
      <c r="D1421" s="1120">
        <v>137537.69987570401</v>
      </c>
      <c r="E1421" s="1121">
        <v>16173.668431296601</v>
      </c>
      <c r="F1421" s="1122">
        <v>0.37624245197929002</v>
      </c>
      <c r="G1421" s="1123">
        <v>4.4271343972407E-2</v>
      </c>
    </row>
    <row r="1422" spans="1:7" x14ac:dyDescent="0.25">
      <c r="A1422" s="11" t="s">
        <v>3172</v>
      </c>
      <c r="B1422" s="11"/>
      <c r="C1422" s="1124">
        <v>124</v>
      </c>
      <c r="D1422" s="1124">
        <v>131333.89116537801</v>
      </c>
      <c r="E1422" s="1125">
        <v>23956.111090343598</v>
      </c>
      <c r="F1422" s="1126">
        <v>0.359271569065784</v>
      </c>
      <c r="G1422" s="1127">
        <v>6.5545755919954596E-2</v>
      </c>
    </row>
    <row r="1423" spans="1:7" x14ac:dyDescent="0.25">
      <c r="A1423" s="6" t="s">
        <v>1189</v>
      </c>
      <c r="B1423" s="6"/>
      <c r="C1423" s="1120">
        <v>97</v>
      </c>
      <c r="D1423" s="1120">
        <v>110049.927310656</v>
      </c>
      <c r="E1423" s="1121">
        <v>14197.740628073499</v>
      </c>
      <c r="F1423" s="1122">
        <v>0.30104803649416201</v>
      </c>
      <c r="G1423" s="1123">
        <v>3.8874393649674703E-2</v>
      </c>
    </row>
    <row r="1424" spans="1:7" x14ac:dyDescent="0.25">
      <c r="A1424" s="11" t="s">
        <v>1135</v>
      </c>
      <c r="B1424" s="11"/>
      <c r="C1424" s="1124">
        <v>78</v>
      </c>
      <c r="D1424" s="1124">
        <v>94306.926875505902</v>
      </c>
      <c r="E1424" s="1125">
        <v>17522.885694001201</v>
      </c>
      <c r="F1424" s="1126">
        <v>0.25798213463172698</v>
      </c>
      <c r="G1424" s="1127">
        <v>4.7993008727442998E-2</v>
      </c>
    </row>
    <row r="1425" spans="1:7" x14ac:dyDescent="0.25">
      <c r="A1425" s="6" t="s">
        <v>1139</v>
      </c>
      <c r="B1425" s="6"/>
      <c r="C1425" s="1120">
        <v>56</v>
      </c>
      <c r="D1425" s="1120">
        <v>59070.883011837301</v>
      </c>
      <c r="E1425" s="1121">
        <v>9656.6944565183294</v>
      </c>
      <c r="F1425" s="1122">
        <v>0.161591868157172</v>
      </c>
      <c r="G1425" s="1123">
        <v>2.6436792908993902E-2</v>
      </c>
    </row>
    <row r="1426" spans="1:7" x14ac:dyDescent="0.25">
      <c r="A1426" s="11" t="s">
        <v>1193</v>
      </c>
      <c r="B1426" s="11"/>
      <c r="C1426" s="1124">
        <v>55</v>
      </c>
      <c r="D1426" s="1124">
        <v>55355.870300881397</v>
      </c>
      <c r="E1426" s="1125">
        <v>4026.8214654172398</v>
      </c>
      <c r="F1426" s="1126">
        <v>0.15142923280143</v>
      </c>
      <c r="G1426" s="1127">
        <v>1.10270869006903E-2</v>
      </c>
    </row>
    <row r="1427" spans="1:7" x14ac:dyDescent="0.25">
      <c r="A1427" s="6" t="s">
        <v>3174</v>
      </c>
      <c r="B1427" s="6"/>
      <c r="C1427" s="1120">
        <v>32</v>
      </c>
      <c r="D1427" s="1120">
        <v>34712.018244567</v>
      </c>
      <c r="E1427" s="1121">
        <v>13250.956060021501</v>
      </c>
      <c r="F1427" s="1122">
        <v>9.49567636312698E-2</v>
      </c>
      <c r="G1427" s="1123">
        <v>3.6235151856666301E-2</v>
      </c>
    </row>
    <row r="1428" spans="1:7" x14ac:dyDescent="0.25">
      <c r="A1428" s="11" t="s">
        <v>1131</v>
      </c>
      <c r="B1428" s="11"/>
      <c r="C1428" s="1124">
        <v>38</v>
      </c>
      <c r="D1428" s="1124">
        <v>31624.9682365394</v>
      </c>
      <c r="E1428" s="1125">
        <v>10125.471293979301</v>
      </c>
      <c r="F1428" s="1126">
        <v>8.6511957113110396E-2</v>
      </c>
      <c r="G1428" s="1127">
        <v>2.7682761852739799E-2</v>
      </c>
    </row>
    <row r="1429" spans="1:7" x14ac:dyDescent="0.25">
      <c r="A1429" s="6" t="s">
        <v>1187</v>
      </c>
      <c r="B1429" s="6"/>
      <c r="C1429" s="1120">
        <v>35</v>
      </c>
      <c r="D1429" s="1120">
        <v>31466.138782795599</v>
      </c>
      <c r="E1429" s="1121">
        <v>7319.1843594415805</v>
      </c>
      <c r="F1429" s="1122">
        <v>8.6077469818520602E-2</v>
      </c>
      <c r="G1429" s="1123">
        <v>2.0025361143234902E-2</v>
      </c>
    </row>
    <row r="1430" spans="1:7" x14ac:dyDescent="0.25">
      <c r="A1430" s="11" t="s">
        <v>3178</v>
      </c>
      <c r="B1430" s="11"/>
      <c r="C1430" s="1124">
        <v>30</v>
      </c>
      <c r="D1430" s="1124">
        <v>29755.686857514102</v>
      </c>
      <c r="E1430" s="1125">
        <v>5739.3529935565102</v>
      </c>
      <c r="F1430" s="1126">
        <v>8.1398428167088394E-2</v>
      </c>
      <c r="G1430" s="1127">
        <v>1.56879258227615E-2</v>
      </c>
    </row>
    <row r="1431" spans="1:7" x14ac:dyDescent="0.25">
      <c r="A1431" s="6" t="s">
        <v>1299</v>
      </c>
      <c r="B1431" s="6"/>
      <c r="C1431" s="1120">
        <v>28</v>
      </c>
      <c r="D1431" s="1120">
        <v>27856.3506580877</v>
      </c>
      <c r="E1431" s="1121">
        <v>8288.7263831959899</v>
      </c>
      <c r="F1431" s="1122">
        <v>7.6202682495530596E-2</v>
      </c>
      <c r="G1431" s="1123">
        <v>2.2674151505112299E-2</v>
      </c>
    </row>
    <row r="1432" spans="1:7" x14ac:dyDescent="0.25">
      <c r="A1432" s="11" t="s">
        <v>1137</v>
      </c>
      <c r="B1432" s="11"/>
      <c r="C1432" s="1124">
        <v>18</v>
      </c>
      <c r="D1432" s="1124">
        <v>24678.1576192268</v>
      </c>
      <c r="E1432" s="1125">
        <v>11027.020231074201</v>
      </c>
      <c r="F1432" s="1126">
        <v>6.75085488660951E-2</v>
      </c>
      <c r="G1432" s="1127">
        <v>3.01611400495914E-2</v>
      </c>
    </row>
    <row r="1433" spans="1:7" x14ac:dyDescent="0.25">
      <c r="A1433" s="6" t="s">
        <v>6434</v>
      </c>
      <c r="B1433" s="6"/>
      <c r="C1433" s="1120">
        <v>28</v>
      </c>
      <c r="D1433" s="1120">
        <v>23579.9764019336</v>
      </c>
      <c r="E1433" s="1121">
        <v>9113.5900078742197</v>
      </c>
      <c r="F1433" s="1122">
        <v>6.4504409678909497E-2</v>
      </c>
      <c r="G1433" s="1123">
        <v>2.49427250106703E-2</v>
      </c>
    </row>
    <row r="1434" spans="1:7" x14ac:dyDescent="0.25">
      <c r="A1434" s="11" t="s">
        <v>1191</v>
      </c>
      <c r="B1434" s="11"/>
      <c r="C1434" s="1124">
        <v>21</v>
      </c>
      <c r="D1434" s="1124">
        <v>21114.446913629399</v>
      </c>
      <c r="E1434" s="1125">
        <v>7046.07519643261</v>
      </c>
      <c r="F1434" s="1126">
        <v>5.7759809027995997E-2</v>
      </c>
      <c r="G1434" s="1127">
        <v>1.9257054561643901E-2</v>
      </c>
    </row>
    <row r="1435" spans="1:7" x14ac:dyDescent="0.25">
      <c r="A1435" s="6" t="s">
        <v>1301</v>
      </c>
      <c r="B1435" s="6"/>
      <c r="C1435" s="1120">
        <v>11</v>
      </c>
      <c r="D1435" s="1120">
        <v>14990.9045584168</v>
      </c>
      <c r="E1435" s="1121">
        <v>7501.9952697825502</v>
      </c>
      <c r="F1435" s="1122">
        <v>4.1008499440832999E-2</v>
      </c>
      <c r="G1435" s="1123">
        <v>2.0513692485258299E-2</v>
      </c>
    </row>
    <row r="1436" spans="1:7" x14ac:dyDescent="0.25">
      <c r="A1436" s="11" t="s">
        <v>1141</v>
      </c>
      <c r="B1436" s="11"/>
      <c r="C1436" s="1124">
        <v>16</v>
      </c>
      <c r="D1436" s="1124">
        <v>14901.005284177199</v>
      </c>
      <c r="E1436" s="1125">
        <v>11799.0298191211</v>
      </c>
      <c r="F1436" s="1126">
        <v>4.07625746987322E-2</v>
      </c>
      <c r="G1436" s="1127">
        <v>3.22770464233351E-2</v>
      </c>
    </row>
    <row r="1437" spans="1:7" x14ac:dyDescent="0.25">
      <c r="A1437" s="6" t="s">
        <v>3176</v>
      </c>
      <c r="B1437" s="6"/>
      <c r="C1437" s="1120">
        <v>11</v>
      </c>
      <c r="D1437" s="1120">
        <v>14834.3627942739</v>
      </c>
      <c r="E1437" s="1121">
        <v>7258.62197307733</v>
      </c>
      <c r="F1437" s="1122">
        <v>4.0580270255442301E-2</v>
      </c>
      <c r="G1437" s="1123">
        <v>1.9855368933153799E-2</v>
      </c>
    </row>
    <row r="1438" spans="1:7" x14ac:dyDescent="0.25">
      <c r="A1438" s="11" t="s">
        <v>1309</v>
      </c>
      <c r="B1438" s="11"/>
      <c r="C1438" s="1124">
        <v>9</v>
      </c>
      <c r="D1438" s="1124">
        <v>14803.6785372841</v>
      </c>
      <c r="E1438" s="1125">
        <v>10601.5983120702</v>
      </c>
      <c r="F1438" s="1126">
        <v>4.0496331669167697E-2</v>
      </c>
      <c r="G1438" s="1127">
        <v>2.9002156677247499E-2</v>
      </c>
    </row>
    <row r="1439" spans="1:7" x14ac:dyDescent="0.25">
      <c r="A1439" s="6" t="s">
        <v>1125</v>
      </c>
      <c r="B1439" s="6"/>
      <c r="C1439" s="1120">
        <v>15</v>
      </c>
      <c r="D1439" s="1120">
        <v>13984.1682021182</v>
      </c>
      <c r="E1439" s="1121">
        <v>5900.6750744401998</v>
      </c>
      <c r="F1439" s="1122">
        <v>3.8254513039047797E-2</v>
      </c>
      <c r="G1439" s="1123">
        <v>1.6151814504633301E-2</v>
      </c>
    </row>
    <row r="1440" spans="1:7" x14ac:dyDescent="0.25">
      <c r="A1440" s="11" t="s">
        <v>1129</v>
      </c>
      <c r="B1440" s="11"/>
      <c r="C1440" s="1124">
        <v>18</v>
      </c>
      <c r="D1440" s="1124">
        <v>9689.8519588217005</v>
      </c>
      <c r="E1440" s="1125">
        <v>4302.2775265519804</v>
      </c>
      <c r="F1440" s="1126">
        <v>2.6507158863338098E-2</v>
      </c>
      <c r="G1440" s="1127">
        <v>1.17712533387967E-2</v>
      </c>
    </row>
    <row r="1441" spans="1:7" x14ac:dyDescent="0.25">
      <c r="A1441" s="6" t="s">
        <v>1303</v>
      </c>
      <c r="B1441" s="6"/>
      <c r="C1441" s="1120">
        <v>11</v>
      </c>
      <c r="D1441" s="1120">
        <v>9014.3643661544302</v>
      </c>
      <c r="E1441" s="1121">
        <v>4576.4584497791502</v>
      </c>
      <c r="F1441" s="1122">
        <v>2.4659322899988401E-2</v>
      </c>
      <c r="G1441" s="1123">
        <v>1.2520696627002699E-2</v>
      </c>
    </row>
    <row r="1442" spans="1:7" x14ac:dyDescent="0.25">
      <c r="A1442" s="11" t="s">
        <v>3180</v>
      </c>
      <c r="B1442" s="11"/>
      <c r="C1442" s="1124">
        <v>7</v>
      </c>
      <c r="D1442" s="1124">
        <v>8703.5695815231502</v>
      </c>
      <c r="E1442" s="1125">
        <v>5062.8348423160696</v>
      </c>
      <c r="F1442" s="1126">
        <v>2.3809125521831599E-2</v>
      </c>
      <c r="G1442" s="1127">
        <v>1.3851764800224599E-2</v>
      </c>
    </row>
    <row r="1443" spans="1:7" x14ac:dyDescent="0.25">
      <c r="A1443" s="6" t="s">
        <v>1307</v>
      </c>
      <c r="B1443" s="6"/>
      <c r="C1443" s="1120">
        <v>2</v>
      </c>
      <c r="D1443" s="1120">
        <v>7456.7484280318304</v>
      </c>
      <c r="E1443" s="1121">
        <v>7208.6077063702496</v>
      </c>
      <c r="F1443" s="1122">
        <v>2.0398373063464401E-2</v>
      </c>
      <c r="G1443" s="1123">
        <v>1.97202165224254E-2</v>
      </c>
    </row>
    <row r="1444" spans="1:7" x14ac:dyDescent="0.25">
      <c r="A1444" s="11" t="s">
        <v>1197</v>
      </c>
      <c r="B1444" s="11"/>
      <c r="C1444" s="1124">
        <v>5</v>
      </c>
      <c r="D1444" s="1124">
        <v>4614.4486552569997</v>
      </c>
      <c r="E1444" s="1125">
        <v>2995.8819557054699</v>
      </c>
      <c r="F1444" s="1126">
        <v>1.26230951815788E-2</v>
      </c>
      <c r="G1444" s="1127">
        <v>8.1953399965491395E-3</v>
      </c>
    </row>
    <row r="1445" spans="1:7" x14ac:dyDescent="0.25">
      <c r="A1445" s="6" t="s">
        <v>3187</v>
      </c>
      <c r="B1445" s="6"/>
      <c r="C1445" s="1120">
        <v>5</v>
      </c>
      <c r="D1445" s="1120">
        <v>4294.0301831918396</v>
      </c>
      <c r="E1445" s="1121">
        <v>4142.8941675209599</v>
      </c>
      <c r="F1445" s="1122">
        <v>1.1746571641500701E-2</v>
      </c>
      <c r="G1445" s="1123">
        <v>1.13338839418941E-2</v>
      </c>
    </row>
    <row r="1446" spans="1:7" x14ac:dyDescent="0.25">
      <c r="A1446" s="11" t="s">
        <v>3201</v>
      </c>
      <c r="B1446" s="11"/>
      <c r="C1446" s="1124">
        <v>3</v>
      </c>
      <c r="D1446" s="1124">
        <v>3039.1961927028701</v>
      </c>
      <c r="E1446" s="1125">
        <v>2809.7639908902001</v>
      </c>
      <c r="F1446" s="1126">
        <v>8.3138995971434506E-3</v>
      </c>
      <c r="G1446" s="1127">
        <v>7.68607641437161E-3</v>
      </c>
    </row>
    <row r="1447" spans="1:7" x14ac:dyDescent="0.25">
      <c r="A1447" s="6" t="s">
        <v>3207</v>
      </c>
      <c r="B1447" s="6"/>
      <c r="C1447" s="1120">
        <v>1</v>
      </c>
      <c r="D1447" s="1120">
        <v>2590.20203940387</v>
      </c>
      <c r="E1447" s="1121">
        <v>2617.0199226859199</v>
      </c>
      <c r="F1447" s="1122">
        <v>7.0856497331843503E-3</v>
      </c>
      <c r="G1447" s="1123">
        <v>7.1592666598146804E-3</v>
      </c>
    </row>
    <row r="1448" spans="1:7" x14ac:dyDescent="0.25">
      <c r="A1448" s="11" t="s">
        <v>1205</v>
      </c>
      <c r="B1448" s="11"/>
      <c r="C1448" s="1124">
        <v>3</v>
      </c>
      <c r="D1448" s="1124">
        <v>1571.0716374489</v>
      </c>
      <c r="E1448" s="1125">
        <v>1569.8947982495399</v>
      </c>
      <c r="F1448" s="1126">
        <v>4.2977586919302002E-3</v>
      </c>
      <c r="G1448" s="1127">
        <v>4.2946559191166496E-3</v>
      </c>
    </row>
    <row r="1449" spans="1:7" x14ac:dyDescent="0.25">
      <c r="A1449" s="6" t="s">
        <v>3189</v>
      </c>
      <c r="B1449" s="6"/>
      <c r="C1449" s="1120">
        <v>4</v>
      </c>
      <c r="D1449" s="1120">
        <v>1532.73839034241</v>
      </c>
      <c r="E1449" s="1121">
        <v>1452.03403643091</v>
      </c>
      <c r="F1449" s="1122">
        <v>4.1928958441676597E-3</v>
      </c>
      <c r="G1449" s="1123">
        <v>3.9719726622615796E-3</v>
      </c>
    </row>
    <row r="1450" spans="1:7" x14ac:dyDescent="0.25">
      <c r="A1450" s="11" t="s">
        <v>3236</v>
      </c>
      <c r="B1450" s="11"/>
      <c r="C1450" s="1124">
        <v>1</v>
      </c>
      <c r="D1450" s="1124">
        <v>1528.2278203932301</v>
      </c>
      <c r="E1450" s="1125">
        <v>1552.2548012039199</v>
      </c>
      <c r="F1450" s="1126">
        <v>4.1805569152846304E-3</v>
      </c>
      <c r="G1450" s="1127">
        <v>4.2462344253703698E-3</v>
      </c>
    </row>
    <row r="1451" spans="1:7" x14ac:dyDescent="0.25">
      <c r="A1451" s="6" t="s">
        <v>1209</v>
      </c>
      <c r="B1451" s="6"/>
      <c r="C1451" s="1120">
        <v>3</v>
      </c>
      <c r="D1451" s="1120">
        <v>1340.6713035090399</v>
      </c>
      <c r="E1451" s="1121">
        <v>1336.92176216295</v>
      </c>
      <c r="F1451" s="1122">
        <v>3.6674850530899299E-3</v>
      </c>
      <c r="G1451" s="1123">
        <v>3.65720093741689E-3</v>
      </c>
    </row>
    <row r="1452" spans="1:7" x14ac:dyDescent="0.25">
      <c r="A1452" s="11" t="s">
        <v>3203</v>
      </c>
      <c r="B1452" s="11"/>
      <c r="C1452" s="1124">
        <v>1</v>
      </c>
      <c r="D1452" s="1124">
        <v>1139.1652488314101</v>
      </c>
      <c r="E1452" s="1125">
        <v>1155.38641130765</v>
      </c>
      <c r="F1452" s="1126">
        <v>3.11625341137205E-3</v>
      </c>
      <c r="G1452" s="1127">
        <v>3.1605558798475401E-3</v>
      </c>
    </row>
    <row r="1453" spans="1:7" x14ac:dyDescent="0.25">
      <c r="A1453" s="6" t="s">
        <v>4437</v>
      </c>
      <c r="B1453" s="6"/>
      <c r="C1453" s="1120">
        <v>3</v>
      </c>
      <c r="D1453" s="1120">
        <v>1136.7940384769699</v>
      </c>
      <c r="E1453" s="1121">
        <v>755.06944635684397</v>
      </c>
      <c r="F1453" s="1122">
        <v>3.10976682624872E-3</v>
      </c>
      <c r="G1453" s="1123">
        <v>2.0653077328630699E-3</v>
      </c>
    </row>
    <row r="1454" spans="1:7" x14ac:dyDescent="0.25">
      <c r="A1454" s="11" t="s">
        <v>3323</v>
      </c>
      <c r="B1454" s="11"/>
      <c r="C1454" s="1124">
        <v>1</v>
      </c>
      <c r="D1454" s="1124">
        <v>1116.1705904800599</v>
      </c>
      <c r="E1454" s="1125">
        <v>1137.9229371584699</v>
      </c>
      <c r="F1454" s="1126">
        <v>3.0533501735808401E-3</v>
      </c>
      <c r="G1454" s="1127">
        <v>3.1127890032130899E-3</v>
      </c>
    </row>
    <row r="1455" spans="1:7" x14ac:dyDescent="0.25">
      <c r="A1455" s="6" t="s">
        <v>6521</v>
      </c>
      <c r="B1455" s="6"/>
      <c r="C1455" s="1120">
        <v>1</v>
      </c>
      <c r="D1455" s="1120">
        <v>693.86774037397902</v>
      </c>
      <c r="E1455" s="1121">
        <v>695.21194076541599</v>
      </c>
      <c r="F1455" s="1122">
        <v>1.89811593638372E-3</v>
      </c>
      <c r="G1455" s="1123">
        <v>1.9019037866323701E-3</v>
      </c>
    </row>
    <row r="1456" spans="1:7" x14ac:dyDescent="0.25">
      <c r="A1456" s="11" t="s">
        <v>1201</v>
      </c>
      <c r="B1456" s="11"/>
      <c r="C1456" s="1124">
        <v>3</v>
      </c>
      <c r="D1456" s="1124">
        <v>615.00656964136704</v>
      </c>
      <c r="E1456" s="1125">
        <v>620.28101569425303</v>
      </c>
      <c r="F1456" s="1126">
        <v>1.68238657440363E-3</v>
      </c>
      <c r="G1456" s="1127">
        <v>1.69687976615234E-3</v>
      </c>
    </row>
    <row r="1457" spans="1:7" x14ac:dyDescent="0.25">
      <c r="A1457" s="6" t="s">
        <v>3234</v>
      </c>
      <c r="B1457" s="6"/>
      <c r="C1457" s="1120">
        <v>1</v>
      </c>
      <c r="D1457" s="1120">
        <v>524.98171907871404</v>
      </c>
      <c r="E1457" s="1121">
        <v>525.79817802904995</v>
      </c>
      <c r="F1457" s="1122">
        <v>1.43611831089935E-3</v>
      </c>
      <c r="G1457" s="1123">
        <v>1.4383308366225399E-3</v>
      </c>
    </row>
    <row r="1458" spans="1:7" x14ac:dyDescent="0.25">
      <c r="A1458" s="11" t="s">
        <v>6524</v>
      </c>
      <c r="B1458" s="11"/>
      <c r="C1458" s="1124">
        <v>1</v>
      </c>
      <c r="D1458" s="1124">
        <v>57.134418143107503</v>
      </c>
      <c r="E1458" s="1125">
        <v>56.668237839446903</v>
      </c>
      <c r="F1458" s="1126">
        <v>1.5629455483114499E-4</v>
      </c>
      <c r="G1458" s="1127">
        <v>1.5502415176656801E-4</v>
      </c>
    </row>
    <row r="1459" spans="1:7" x14ac:dyDescent="0.25">
      <c r="A1459" s="6" t="s">
        <v>1088</v>
      </c>
      <c r="B1459" s="6"/>
      <c r="C1459" s="1120">
        <v>2198</v>
      </c>
      <c r="D1459" s="1120">
        <v>2507649.0021306202</v>
      </c>
      <c r="E1459" s="1121">
        <v>4.77482304698748E-3</v>
      </c>
      <c r="F1459" s="1122">
        <v>96.849806839294104</v>
      </c>
      <c r="G1459" s="1123">
        <v>0.680089133266082</v>
      </c>
    </row>
    <row r="1460" spans="1:7" x14ac:dyDescent="0.25">
      <c r="A1460" s="11" t="s">
        <v>1084</v>
      </c>
      <c r="B1460" s="11" t="s">
        <v>1153</v>
      </c>
      <c r="C1460" s="1124">
        <v>41</v>
      </c>
      <c r="D1460" s="1124">
        <v>47422.7951946947</v>
      </c>
      <c r="E1460" s="1125">
        <v>12450.0275370749</v>
      </c>
      <c r="F1460" s="1126">
        <v>1.8315516049029399</v>
      </c>
      <c r="G1460" s="1127">
        <v>0.47172896441254902</v>
      </c>
    </row>
    <row r="1461" spans="1:7" x14ac:dyDescent="0.25">
      <c r="A1461" s="6" t="s">
        <v>1086</v>
      </c>
      <c r="B1461" s="6" t="s">
        <v>1147</v>
      </c>
      <c r="C1461" s="1120">
        <v>48</v>
      </c>
      <c r="D1461" s="1120">
        <v>33409.391535863499</v>
      </c>
      <c r="E1461" s="1121">
        <v>12421.1938164857</v>
      </c>
      <c r="F1461" s="1122">
        <v>1.29032935395565</v>
      </c>
      <c r="G1461" s="1123">
        <v>0.47336469780613799</v>
      </c>
    </row>
    <row r="1462" spans="1:7" x14ac:dyDescent="0.25">
      <c r="A1462" s="11" t="s">
        <v>1102</v>
      </c>
      <c r="B1462" s="11" t="s">
        <v>1103</v>
      </c>
      <c r="C1462" s="1124">
        <v>1</v>
      </c>
      <c r="D1462" s="1124">
        <v>733.06356540633499</v>
      </c>
      <c r="E1462" s="1125">
        <v>734.64773794601604</v>
      </c>
      <c r="F1462" s="1126">
        <v>2.8312201847310099E-2</v>
      </c>
      <c r="G1462" s="1127">
        <v>2.8388386690198501E-2</v>
      </c>
    </row>
    <row r="1463" spans="1:7" x14ac:dyDescent="0.25">
      <c r="A1463" s="6" t="s">
        <v>6417</v>
      </c>
      <c r="B1463" s="6" t="s">
        <v>6418</v>
      </c>
      <c r="C1463" s="1120">
        <v>53526</v>
      </c>
      <c r="D1463" s="1120">
        <v>36555603.747573502</v>
      </c>
      <c r="E1463" s="1121">
        <v>18176.5684584562</v>
      </c>
      <c r="F1463" s="1122">
        <v>93.385550413271602</v>
      </c>
      <c r="G1463" s="1123">
        <v>4.6434162647936303E-2</v>
      </c>
    </row>
    <row r="1464" spans="1:7" x14ac:dyDescent="0.25">
      <c r="A1464" s="11" t="s">
        <v>6417</v>
      </c>
      <c r="B1464" s="11" t="s">
        <v>6419</v>
      </c>
      <c r="C1464" s="1124">
        <v>55814</v>
      </c>
      <c r="D1464" s="1124">
        <v>39144818.000000097</v>
      </c>
      <c r="E1464" s="1125">
        <v>0</v>
      </c>
      <c r="F1464" s="1126">
        <v>100</v>
      </c>
      <c r="G1464" s="1127">
        <v>0</v>
      </c>
    </row>
    <row r="1465" spans="1:7" x14ac:dyDescent="0.25">
      <c r="A1465" s="3729" t="s">
        <v>419</v>
      </c>
      <c r="B1465" s="3730"/>
      <c r="C1465" s="3730"/>
      <c r="D1465" s="3730"/>
      <c r="E1465" s="3730"/>
      <c r="F1465" s="3730"/>
      <c r="G1465" s="3730"/>
    </row>
    <row r="1466" spans="1:7" x14ac:dyDescent="0.25">
      <c r="A1466" s="11" t="s">
        <v>1292</v>
      </c>
      <c r="B1466" s="11"/>
      <c r="C1466" s="1132">
        <v>379</v>
      </c>
      <c r="D1466" s="1132">
        <v>119142.59055176099</v>
      </c>
      <c r="E1466" s="1133">
        <v>16376.6487952389</v>
      </c>
      <c r="F1466" s="1134">
        <v>31.553088406824099</v>
      </c>
      <c r="G1466" s="1135">
        <v>3.2040146836632499</v>
      </c>
    </row>
    <row r="1467" spans="1:7" x14ac:dyDescent="0.25">
      <c r="A1467" s="6" t="s">
        <v>6426</v>
      </c>
      <c r="B1467" s="6"/>
      <c r="C1467" s="1128">
        <v>97</v>
      </c>
      <c r="D1467" s="1128">
        <v>39080.5632549086</v>
      </c>
      <c r="E1467" s="1129">
        <v>5238.1404079344102</v>
      </c>
      <c r="F1467" s="1130">
        <v>10.349887992697999</v>
      </c>
      <c r="G1467" s="1131">
        <v>1.2684580210699401</v>
      </c>
    </row>
    <row r="1468" spans="1:7" x14ac:dyDescent="0.25">
      <c r="A1468" s="11" t="s">
        <v>6427</v>
      </c>
      <c r="B1468" s="11"/>
      <c r="C1468" s="1132">
        <v>92</v>
      </c>
      <c r="D1468" s="1132">
        <v>31131.1305565894</v>
      </c>
      <c r="E1468" s="1133">
        <v>5103.7651473510496</v>
      </c>
      <c r="F1468" s="1134">
        <v>8.2446026236914705</v>
      </c>
      <c r="G1468" s="1135">
        <v>1.5204672014680201</v>
      </c>
    </row>
    <row r="1469" spans="1:7" x14ac:dyDescent="0.25">
      <c r="A1469" s="6" t="s">
        <v>6429</v>
      </c>
      <c r="B1469" s="6"/>
      <c r="C1469" s="1128">
        <v>70</v>
      </c>
      <c r="D1469" s="1128">
        <v>28586.078945537902</v>
      </c>
      <c r="E1469" s="1129">
        <v>8146.03089449858</v>
      </c>
      <c r="F1469" s="1130">
        <v>7.5705847253770102</v>
      </c>
      <c r="G1469" s="1131">
        <v>2.1448282707038802</v>
      </c>
    </row>
    <row r="1470" spans="1:7" x14ac:dyDescent="0.25">
      <c r="A1470" s="11" t="s">
        <v>1123</v>
      </c>
      <c r="B1470" s="11"/>
      <c r="C1470" s="1132">
        <v>59</v>
      </c>
      <c r="D1470" s="1132">
        <v>22316.759185254301</v>
      </c>
      <c r="E1470" s="1133">
        <v>10528.1575428418</v>
      </c>
      <c r="F1470" s="1134">
        <v>5.9102515084243601</v>
      </c>
      <c r="G1470" s="1135">
        <v>2.4929584433315801</v>
      </c>
    </row>
    <row r="1471" spans="1:7" x14ac:dyDescent="0.25">
      <c r="A1471" s="6" t="s">
        <v>1295</v>
      </c>
      <c r="B1471" s="6"/>
      <c r="C1471" s="1128">
        <v>37</v>
      </c>
      <c r="D1471" s="1128">
        <v>19484.786388543002</v>
      </c>
      <c r="E1471" s="1129">
        <v>7266.8594673892403</v>
      </c>
      <c r="F1471" s="1130">
        <v>5.1602469331794296</v>
      </c>
      <c r="G1471" s="1131">
        <v>2.1609948140883302</v>
      </c>
    </row>
    <row r="1472" spans="1:7" x14ac:dyDescent="0.25">
      <c r="A1472" s="11" t="s">
        <v>6430</v>
      </c>
      <c r="B1472" s="11"/>
      <c r="C1472" s="1132">
        <v>60</v>
      </c>
      <c r="D1472" s="1132">
        <v>13626.842417194401</v>
      </c>
      <c r="E1472" s="1133">
        <v>3749.99612958036</v>
      </c>
      <c r="F1472" s="1134">
        <v>3.6088602866898198</v>
      </c>
      <c r="G1472" s="1135">
        <v>1.0959248216139501</v>
      </c>
    </row>
    <row r="1473" spans="1:7" x14ac:dyDescent="0.25">
      <c r="A1473" s="6" t="s">
        <v>1127</v>
      </c>
      <c r="B1473" s="6"/>
      <c r="C1473" s="1128">
        <v>21</v>
      </c>
      <c r="D1473" s="1128">
        <v>13369.466506201001</v>
      </c>
      <c r="E1473" s="1129">
        <v>5758.0404394241596</v>
      </c>
      <c r="F1473" s="1130">
        <v>3.5406982227649602</v>
      </c>
      <c r="G1473" s="1131">
        <v>1.48158614663583</v>
      </c>
    </row>
    <row r="1474" spans="1:7" x14ac:dyDescent="0.25">
      <c r="A1474" s="11" t="s">
        <v>1297</v>
      </c>
      <c r="B1474" s="11"/>
      <c r="C1474" s="1132">
        <v>22</v>
      </c>
      <c r="D1474" s="1132">
        <v>12297.9869933997</v>
      </c>
      <c r="E1474" s="1133">
        <v>5788.9385312730001</v>
      </c>
      <c r="F1474" s="1134">
        <v>3.2569333017828899</v>
      </c>
      <c r="G1474" s="1135">
        <v>1.47389354340227</v>
      </c>
    </row>
    <row r="1475" spans="1:7" x14ac:dyDescent="0.25">
      <c r="A1475" s="6" t="s">
        <v>3172</v>
      </c>
      <c r="B1475" s="6"/>
      <c r="C1475" s="1128">
        <v>18</v>
      </c>
      <c r="D1475" s="1128">
        <v>12135.480374700601</v>
      </c>
      <c r="E1475" s="1129">
        <v>6043.66048541276</v>
      </c>
      <c r="F1475" s="1130">
        <v>3.2138959153809199</v>
      </c>
      <c r="G1475" s="1131">
        <v>1.5192388645972601</v>
      </c>
    </row>
    <row r="1476" spans="1:7" x14ac:dyDescent="0.25">
      <c r="A1476" s="11" t="s">
        <v>1133</v>
      </c>
      <c r="B1476" s="11"/>
      <c r="C1476" s="1132">
        <v>29</v>
      </c>
      <c r="D1476" s="1132">
        <v>10354.390313854101</v>
      </c>
      <c r="E1476" s="1133">
        <v>2492.8544768112902</v>
      </c>
      <c r="F1476" s="1134">
        <v>2.7422015205373702</v>
      </c>
      <c r="G1476" s="1135">
        <v>0.63656122287215</v>
      </c>
    </row>
    <row r="1477" spans="1:7" x14ac:dyDescent="0.25">
      <c r="A1477" s="6" t="s">
        <v>6428</v>
      </c>
      <c r="B1477" s="6"/>
      <c r="C1477" s="1128">
        <v>34</v>
      </c>
      <c r="D1477" s="1128">
        <v>8580.1984748815394</v>
      </c>
      <c r="E1477" s="1129">
        <v>4654.7146913282604</v>
      </c>
      <c r="F1477" s="1130">
        <v>2.2723340139932202</v>
      </c>
      <c r="G1477" s="1131">
        <v>1.2097431131981899</v>
      </c>
    </row>
    <row r="1478" spans="1:7" x14ac:dyDescent="0.25">
      <c r="A1478" s="11" t="s">
        <v>6431</v>
      </c>
      <c r="B1478" s="11"/>
      <c r="C1478" s="1132">
        <v>23</v>
      </c>
      <c r="D1478" s="1132">
        <v>7802.5898382319401</v>
      </c>
      <c r="E1478" s="1133">
        <v>3486.2345227020801</v>
      </c>
      <c r="F1478" s="1134">
        <v>2.0663962889153402</v>
      </c>
      <c r="G1478" s="1135">
        <v>0.96248428975755496</v>
      </c>
    </row>
    <row r="1479" spans="1:7" x14ac:dyDescent="0.25">
      <c r="A1479" s="6" t="s">
        <v>6432</v>
      </c>
      <c r="B1479" s="6"/>
      <c r="C1479" s="1128">
        <v>11</v>
      </c>
      <c r="D1479" s="1128">
        <v>7081.5369165625598</v>
      </c>
      <c r="E1479" s="1129">
        <v>2918.8067454379502</v>
      </c>
      <c r="F1479" s="1130">
        <v>1.87543647783462</v>
      </c>
      <c r="G1479" s="1131">
        <v>0.74541653021015797</v>
      </c>
    </row>
    <row r="1480" spans="1:7" x14ac:dyDescent="0.25">
      <c r="A1480" s="11" t="s">
        <v>6433</v>
      </c>
      <c r="B1480" s="11"/>
      <c r="C1480" s="1132">
        <v>19</v>
      </c>
      <c r="D1480" s="1132">
        <v>6819.2790233578098</v>
      </c>
      <c r="E1480" s="1133">
        <v>4054.3380407846598</v>
      </c>
      <c r="F1480" s="1134">
        <v>1.80598149577191</v>
      </c>
      <c r="G1480" s="1135">
        <v>1.06240719644382</v>
      </c>
    </row>
    <row r="1481" spans="1:7" x14ac:dyDescent="0.25">
      <c r="A1481" s="6" t="s">
        <v>1189</v>
      </c>
      <c r="B1481" s="6"/>
      <c r="C1481" s="1128">
        <v>6</v>
      </c>
      <c r="D1481" s="1128">
        <v>4664.8223461795496</v>
      </c>
      <c r="E1481" s="1129">
        <v>3620.5886242986198</v>
      </c>
      <c r="F1481" s="1130">
        <v>1.2354066770705801</v>
      </c>
      <c r="G1481" s="1131">
        <v>0.94304115234734998</v>
      </c>
    </row>
    <row r="1482" spans="1:7" x14ac:dyDescent="0.25">
      <c r="A1482" s="11" t="s">
        <v>1139</v>
      </c>
      <c r="B1482" s="11"/>
      <c r="C1482" s="1132">
        <v>2</v>
      </c>
      <c r="D1482" s="1132">
        <v>4234.9887807980103</v>
      </c>
      <c r="E1482" s="1133">
        <v>3906.6849436802099</v>
      </c>
      <c r="F1482" s="1134">
        <v>1.1215718475113601</v>
      </c>
      <c r="G1482" s="1135">
        <v>1.0262320129031099</v>
      </c>
    </row>
    <row r="1483" spans="1:7" x14ac:dyDescent="0.25">
      <c r="A1483" s="6" t="s">
        <v>1131</v>
      </c>
      <c r="B1483" s="6"/>
      <c r="C1483" s="1128">
        <v>9</v>
      </c>
      <c r="D1483" s="1128">
        <v>3713.71571705926</v>
      </c>
      <c r="E1483" s="1129">
        <v>3110.4770226087899</v>
      </c>
      <c r="F1483" s="1130">
        <v>0.98352066876768696</v>
      </c>
      <c r="G1483" s="1131">
        <v>0.82921718100289799</v>
      </c>
    </row>
    <row r="1484" spans="1:7" x14ac:dyDescent="0.25">
      <c r="A1484" s="11" t="s">
        <v>6434</v>
      </c>
      <c r="B1484" s="11"/>
      <c r="C1484" s="1132">
        <v>2</v>
      </c>
      <c r="D1484" s="1132">
        <v>2809.0016911442899</v>
      </c>
      <c r="E1484" s="1133">
        <v>2766.3027747226101</v>
      </c>
      <c r="F1484" s="1134">
        <v>0.74392103012975697</v>
      </c>
      <c r="G1484" s="1135">
        <v>0.73439142174626004</v>
      </c>
    </row>
    <row r="1485" spans="1:7" x14ac:dyDescent="0.25">
      <c r="A1485" s="6" t="s">
        <v>1301</v>
      </c>
      <c r="B1485" s="6"/>
      <c r="C1485" s="1128">
        <v>3</v>
      </c>
      <c r="D1485" s="1128">
        <v>2483.8913466470499</v>
      </c>
      <c r="E1485" s="1129">
        <v>1563.89911818219</v>
      </c>
      <c r="F1485" s="1130">
        <v>0.65782053999950596</v>
      </c>
      <c r="G1485" s="1131">
        <v>0.39783777068551301</v>
      </c>
    </row>
    <row r="1486" spans="1:7" x14ac:dyDescent="0.25">
      <c r="A1486" s="11" t="s">
        <v>1299</v>
      </c>
      <c r="B1486" s="11"/>
      <c r="C1486" s="1132">
        <v>1</v>
      </c>
      <c r="D1486" s="1132">
        <v>1898.4025296812499</v>
      </c>
      <c r="E1486" s="1133">
        <v>1900.9346479797</v>
      </c>
      <c r="F1486" s="1134">
        <v>0.50276280357314695</v>
      </c>
      <c r="G1486" s="1135">
        <v>0.50388461791613404</v>
      </c>
    </row>
    <row r="1487" spans="1:7" x14ac:dyDescent="0.25">
      <c r="A1487" s="6" t="s">
        <v>1187</v>
      </c>
      <c r="B1487" s="6"/>
      <c r="C1487" s="1128">
        <v>2</v>
      </c>
      <c r="D1487" s="1128">
        <v>1456.5591362935299</v>
      </c>
      <c r="E1487" s="1129">
        <v>1358.4773730944501</v>
      </c>
      <c r="F1487" s="1130">
        <v>0.38574735520183601</v>
      </c>
      <c r="G1487" s="1131">
        <v>0.35691665597823602</v>
      </c>
    </row>
    <row r="1488" spans="1:7" x14ac:dyDescent="0.25">
      <c r="A1488" s="11" t="s">
        <v>1191</v>
      </c>
      <c r="B1488" s="11"/>
      <c r="C1488" s="1132">
        <v>2</v>
      </c>
      <c r="D1488" s="1132">
        <v>975.05120801768203</v>
      </c>
      <c r="E1488" s="1133">
        <v>919.27236502910398</v>
      </c>
      <c r="F1488" s="1134">
        <v>0.25822736290425402</v>
      </c>
      <c r="G1488" s="1135">
        <v>0.24874311295236001</v>
      </c>
    </row>
    <row r="1489" spans="1:7" x14ac:dyDescent="0.25">
      <c r="A1489" s="6" t="s">
        <v>1129</v>
      </c>
      <c r="B1489" s="6"/>
      <c r="C1489" s="1128">
        <v>1</v>
      </c>
      <c r="D1489" s="1128">
        <v>830.25760892805795</v>
      </c>
      <c r="E1489" s="1129">
        <v>833.49880348212105</v>
      </c>
      <c r="F1489" s="1130">
        <v>0.219880998168863</v>
      </c>
      <c r="G1489" s="1131">
        <v>0.218515687230908</v>
      </c>
    </row>
    <row r="1490" spans="1:7" x14ac:dyDescent="0.25">
      <c r="A1490" s="11" t="s">
        <v>1135</v>
      </c>
      <c r="B1490" s="11"/>
      <c r="C1490" s="1132">
        <v>2</v>
      </c>
      <c r="D1490" s="1132">
        <v>740.43371831126103</v>
      </c>
      <c r="E1490" s="1133">
        <v>745.81518893837801</v>
      </c>
      <c r="F1490" s="1134">
        <v>0.19609251792387999</v>
      </c>
      <c r="G1490" s="1135">
        <v>0.19770387648024901</v>
      </c>
    </row>
    <row r="1491" spans="1:7" x14ac:dyDescent="0.25">
      <c r="A1491" s="6" t="s">
        <v>1303</v>
      </c>
      <c r="B1491" s="6"/>
      <c r="C1491" s="1128">
        <v>2</v>
      </c>
      <c r="D1491" s="1128">
        <v>597.87329502104296</v>
      </c>
      <c r="E1491" s="1129">
        <v>595.12187483066702</v>
      </c>
      <c r="F1491" s="1130">
        <v>0.158337575559786</v>
      </c>
      <c r="G1491" s="1131">
        <v>0.15767006079122201</v>
      </c>
    </row>
    <row r="1492" spans="1:7" x14ac:dyDescent="0.25">
      <c r="A1492" s="11" t="s">
        <v>3201</v>
      </c>
      <c r="B1492" s="11"/>
      <c r="C1492" s="1132">
        <v>2</v>
      </c>
      <c r="D1492" s="1132">
        <v>453.00035792781301</v>
      </c>
      <c r="E1492" s="1133">
        <v>453.71489691790299</v>
      </c>
      <c r="F1492" s="1134">
        <v>0.119970199370555</v>
      </c>
      <c r="G1492" s="1135">
        <v>0.121624613607223</v>
      </c>
    </row>
    <row r="1493" spans="1:7" x14ac:dyDescent="0.25">
      <c r="A1493" s="6" t="s">
        <v>3180</v>
      </c>
      <c r="B1493" s="6"/>
      <c r="C1493" s="1128">
        <v>1</v>
      </c>
      <c r="D1493" s="1128">
        <v>372.17128987153802</v>
      </c>
      <c r="E1493" s="1129">
        <v>372.77619045306898</v>
      </c>
      <c r="F1493" s="1130">
        <v>9.8563859971607798E-2</v>
      </c>
      <c r="G1493" s="1131">
        <v>9.8774343860560096E-2</v>
      </c>
    </row>
    <row r="1494" spans="1:7" x14ac:dyDescent="0.25">
      <c r="A1494" s="11" t="s">
        <v>3361</v>
      </c>
      <c r="B1494" s="11"/>
      <c r="C1494" s="1132">
        <v>2</v>
      </c>
      <c r="D1494" s="1132">
        <v>323.34260311673899</v>
      </c>
      <c r="E1494" s="1133">
        <v>324.30716838331199</v>
      </c>
      <c r="F1494" s="1134">
        <v>8.5632330928734193E-2</v>
      </c>
      <c r="G1494" s="1135">
        <v>8.5775451858881593E-2</v>
      </c>
    </row>
    <row r="1495" spans="1:7" x14ac:dyDescent="0.25">
      <c r="A1495" s="6" t="s">
        <v>1205</v>
      </c>
      <c r="B1495" s="6"/>
      <c r="C1495" s="1128">
        <v>1</v>
      </c>
      <c r="D1495" s="1128">
        <v>138.184207036571</v>
      </c>
      <c r="E1495" s="1129">
        <v>138.19628284994101</v>
      </c>
      <c r="F1495" s="1130">
        <v>3.6595968585705303E-2</v>
      </c>
      <c r="G1495" s="1131">
        <v>3.6701892673111899E-2</v>
      </c>
    </row>
    <row r="1496" spans="1:7" x14ac:dyDescent="0.25">
      <c r="A1496" s="11" t="s">
        <v>1201</v>
      </c>
      <c r="B1496" s="11"/>
      <c r="C1496" s="1132">
        <v>1</v>
      </c>
      <c r="D1496" s="1132">
        <v>92.693870700066597</v>
      </c>
      <c r="E1496" s="1133">
        <v>93.555124288461002</v>
      </c>
      <c r="F1496" s="1134">
        <v>2.4548550467343201E-2</v>
      </c>
      <c r="G1496" s="1135">
        <v>2.4474323107063701E-2</v>
      </c>
    </row>
    <row r="1497" spans="1:7" x14ac:dyDescent="0.25">
      <c r="A1497" s="6" t="s">
        <v>1088</v>
      </c>
      <c r="B1497" s="6" t="s">
        <v>1089</v>
      </c>
      <c r="C1497" s="1128">
        <v>54489</v>
      </c>
      <c r="D1497" s="1128">
        <v>38598330.676782697</v>
      </c>
      <c r="E1497" s="1129">
        <v>39012.935075529997</v>
      </c>
      <c r="F1497" s="1130">
        <v>99.564340087719799</v>
      </c>
      <c r="G1497" s="1131">
        <v>5.03087037896848E-2</v>
      </c>
    </row>
    <row r="1498" spans="1:7" x14ac:dyDescent="0.25">
      <c r="A1498" s="11" t="s">
        <v>1102</v>
      </c>
      <c r="B1498" s="11" t="s">
        <v>1103</v>
      </c>
      <c r="C1498" s="1132">
        <v>311</v>
      </c>
      <c r="D1498" s="1132">
        <v>168657.40176000301</v>
      </c>
      <c r="E1498" s="1133">
        <v>19400.281963810499</v>
      </c>
      <c r="F1498" s="1134">
        <v>0.43505153235149602</v>
      </c>
      <c r="G1498" s="1135">
        <v>5.0059319484172297E-2</v>
      </c>
    </row>
    <row r="1499" spans="1:7" x14ac:dyDescent="0.25">
      <c r="A1499" s="6" t="s">
        <v>1084</v>
      </c>
      <c r="B1499" s="6" t="s">
        <v>1153</v>
      </c>
      <c r="C1499" s="1128">
        <v>1</v>
      </c>
      <c r="D1499" s="1128">
        <v>235.85200931437799</v>
      </c>
      <c r="E1499" s="1129">
        <v>239.930378751316</v>
      </c>
      <c r="F1499" s="1130">
        <v>6.08379928717324E-4</v>
      </c>
      <c r="G1499" s="1131">
        <v>6.1891801377501605E-4</v>
      </c>
    </row>
    <row r="1500" spans="1:7" x14ac:dyDescent="0.25">
      <c r="A1500" s="11" t="s">
        <v>6417</v>
      </c>
      <c r="B1500" s="11" t="s">
        <v>6418</v>
      </c>
      <c r="C1500" s="1132">
        <v>1010</v>
      </c>
      <c r="D1500" s="1132">
        <v>377594.06944771198</v>
      </c>
      <c r="E1500" s="1133">
        <v>33032.886107052997</v>
      </c>
      <c r="F1500" s="1134">
        <v>0.96460805986558396</v>
      </c>
      <c r="G1500" s="1135">
        <v>8.4386357619680302E-2</v>
      </c>
    </row>
    <row r="1501" spans="1:7" x14ac:dyDescent="0.25">
      <c r="A1501" s="6" t="s">
        <v>6417</v>
      </c>
      <c r="B1501" s="6" t="s">
        <v>6419</v>
      </c>
      <c r="C1501" s="1128">
        <v>55811</v>
      </c>
      <c r="D1501" s="1128">
        <v>39144817.999999799</v>
      </c>
      <c r="E1501" s="1129">
        <v>0</v>
      </c>
      <c r="F1501" s="1130">
        <v>100</v>
      </c>
      <c r="G1501" s="1131">
        <v>0</v>
      </c>
    </row>
    <row r="1502" spans="1:7" x14ac:dyDescent="0.25">
      <c r="A1502" s="3729" t="s">
        <v>128</v>
      </c>
      <c r="B1502" s="3730"/>
      <c r="C1502" s="3730"/>
      <c r="D1502" s="3730"/>
      <c r="E1502" s="3730"/>
      <c r="F1502" s="3730"/>
      <c r="G1502" s="3730"/>
    </row>
    <row r="1503" spans="1:7" x14ac:dyDescent="0.25">
      <c r="A1503" s="11" t="s">
        <v>1292</v>
      </c>
      <c r="B1503" s="11"/>
      <c r="C1503" s="1140">
        <v>47730</v>
      </c>
      <c r="D1503" s="1140">
        <v>30588264.731298499</v>
      </c>
      <c r="E1503" s="1141">
        <v>59090.166783742003</v>
      </c>
      <c r="F1503" s="1142">
        <v>98.746689790269798</v>
      </c>
      <c r="G1503" s="1143">
        <v>0.11225844320712</v>
      </c>
    </row>
    <row r="1504" spans="1:7" x14ac:dyDescent="0.25">
      <c r="A1504" s="6" t="s">
        <v>6427</v>
      </c>
      <c r="B1504" s="6"/>
      <c r="C1504" s="1136">
        <v>171</v>
      </c>
      <c r="D1504" s="1136">
        <v>164643.476106677</v>
      </c>
      <c r="E1504" s="1137">
        <v>32857.456345312297</v>
      </c>
      <c r="F1504" s="1138">
        <v>0.53151097010293202</v>
      </c>
      <c r="G1504" s="1139">
        <v>0.106396500471005</v>
      </c>
    </row>
    <row r="1505" spans="1:7" x14ac:dyDescent="0.25">
      <c r="A1505" s="11" t="s">
        <v>6426</v>
      </c>
      <c r="B1505" s="11"/>
      <c r="C1505" s="1140">
        <v>100</v>
      </c>
      <c r="D1505" s="1140">
        <v>113435.42207113899</v>
      </c>
      <c r="E1505" s="1141">
        <v>23533.776471333</v>
      </c>
      <c r="F1505" s="1142">
        <v>0.366198361786298</v>
      </c>
      <c r="G1505" s="1143">
        <v>7.5660736001398499E-2</v>
      </c>
    </row>
    <row r="1506" spans="1:7" x14ac:dyDescent="0.25">
      <c r="A1506" s="6" t="s">
        <v>6429</v>
      </c>
      <c r="B1506" s="6"/>
      <c r="C1506" s="1136">
        <v>41</v>
      </c>
      <c r="D1506" s="1136">
        <v>53845.161518712899</v>
      </c>
      <c r="E1506" s="1137">
        <v>12871.3817726014</v>
      </c>
      <c r="F1506" s="1138">
        <v>0.17382586125439201</v>
      </c>
      <c r="G1506" s="1139">
        <v>4.1521946968276803E-2</v>
      </c>
    </row>
    <row r="1507" spans="1:7" x14ac:dyDescent="0.25">
      <c r="A1507" s="11" t="s">
        <v>6428</v>
      </c>
      <c r="B1507" s="11"/>
      <c r="C1507" s="1140">
        <v>20</v>
      </c>
      <c r="D1507" s="1140">
        <v>17282.582889686098</v>
      </c>
      <c r="E1507" s="1141">
        <v>4366.69117364262</v>
      </c>
      <c r="F1507" s="1142">
        <v>5.57925683713675E-2</v>
      </c>
      <c r="G1507" s="1143">
        <v>1.4075792923860899E-2</v>
      </c>
    </row>
    <row r="1508" spans="1:7" x14ac:dyDescent="0.25">
      <c r="A1508" s="6" t="s">
        <v>6430</v>
      </c>
      <c r="B1508" s="6"/>
      <c r="C1508" s="1136">
        <v>18</v>
      </c>
      <c r="D1508" s="1136">
        <v>15257.3181865471</v>
      </c>
      <c r="E1508" s="1137">
        <v>3885.58193048256</v>
      </c>
      <c r="F1508" s="1138">
        <v>4.9254499372003102E-2</v>
      </c>
      <c r="G1508" s="1139">
        <v>1.25574049865439E-2</v>
      </c>
    </row>
    <row r="1509" spans="1:7" x14ac:dyDescent="0.25">
      <c r="A1509" s="11" t="s">
        <v>1297</v>
      </c>
      <c r="B1509" s="11"/>
      <c r="C1509" s="1140">
        <v>3</v>
      </c>
      <c r="D1509" s="1140">
        <v>6912.1323144913604</v>
      </c>
      <c r="E1509" s="1141">
        <v>4596.5918100916797</v>
      </c>
      <c r="F1509" s="1142">
        <v>2.2314119203695099E-2</v>
      </c>
      <c r="G1509" s="1143">
        <v>1.4848409358349499E-2</v>
      </c>
    </row>
    <row r="1510" spans="1:7" x14ac:dyDescent="0.25">
      <c r="A1510" s="6" t="s">
        <v>6431</v>
      </c>
      <c r="B1510" s="6"/>
      <c r="C1510" s="1136">
        <v>7</v>
      </c>
      <c r="D1510" s="1136">
        <v>4448.7217126088899</v>
      </c>
      <c r="E1510" s="1137">
        <v>3406.8660392219599</v>
      </c>
      <c r="F1510" s="1138">
        <v>1.4361603928082001E-2</v>
      </c>
      <c r="G1510" s="1139">
        <v>1.1000034383581299E-2</v>
      </c>
    </row>
    <row r="1511" spans="1:7" x14ac:dyDescent="0.25">
      <c r="A1511" s="11" t="s">
        <v>1295</v>
      </c>
      <c r="B1511" s="11"/>
      <c r="C1511" s="1140">
        <v>1</v>
      </c>
      <c r="D1511" s="1140">
        <v>3454.3894264390801</v>
      </c>
      <c r="E1511" s="1141">
        <v>3473.4805299773402</v>
      </c>
      <c r="F1511" s="1142">
        <v>1.11516466888146E-2</v>
      </c>
      <c r="G1511" s="1143">
        <v>1.1213407291971201E-2</v>
      </c>
    </row>
    <row r="1512" spans="1:7" x14ac:dyDescent="0.25">
      <c r="A1512" s="6" t="s">
        <v>6434</v>
      </c>
      <c r="B1512" s="6"/>
      <c r="C1512" s="1136">
        <v>5</v>
      </c>
      <c r="D1512" s="1136">
        <v>3286.2449715851299</v>
      </c>
      <c r="E1512" s="1137">
        <v>1912.1740981304199</v>
      </c>
      <c r="F1512" s="1138">
        <v>1.06088336698587E-2</v>
      </c>
      <c r="G1512" s="1139">
        <v>6.1779838765470404E-3</v>
      </c>
    </row>
    <row r="1513" spans="1:7" x14ac:dyDescent="0.25">
      <c r="A1513" s="11" t="s">
        <v>1133</v>
      </c>
      <c r="B1513" s="11"/>
      <c r="C1513" s="1140">
        <v>4</v>
      </c>
      <c r="D1513" s="1140">
        <v>1915.6041515617601</v>
      </c>
      <c r="E1513" s="1141">
        <v>1502.8825328958401</v>
      </c>
      <c r="F1513" s="1142">
        <v>6.1840568785737696E-3</v>
      </c>
      <c r="G1513" s="1143">
        <v>4.8521377931512203E-3</v>
      </c>
    </row>
    <row r="1514" spans="1:7" x14ac:dyDescent="0.25">
      <c r="A1514" s="6" t="s">
        <v>1127</v>
      </c>
      <c r="B1514" s="6"/>
      <c r="C1514" s="1136">
        <v>3</v>
      </c>
      <c r="D1514" s="1136">
        <v>1820.0539107403099</v>
      </c>
      <c r="E1514" s="1137">
        <v>1841.0745409533999</v>
      </c>
      <c r="F1514" s="1138">
        <v>5.8755964257607499E-3</v>
      </c>
      <c r="G1514" s="1139">
        <v>5.9436020203571596E-3</v>
      </c>
    </row>
    <row r="1515" spans="1:7" x14ac:dyDescent="0.25">
      <c r="A1515" s="11" t="s">
        <v>1123</v>
      </c>
      <c r="B1515" s="11"/>
      <c r="C1515" s="1140">
        <v>7</v>
      </c>
      <c r="D1515" s="1140">
        <v>1418.4310203160401</v>
      </c>
      <c r="E1515" s="1141">
        <v>690.10038519117199</v>
      </c>
      <c r="F1515" s="1142">
        <v>4.5790556993815599E-3</v>
      </c>
      <c r="G1515" s="1143">
        <v>2.2267624598827701E-3</v>
      </c>
    </row>
    <row r="1516" spans="1:7" x14ac:dyDescent="0.25">
      <c r="A1516" s="6" t="s">
        <v>6432</v>
      </c>
      <c r="B1516" s="6"/>
      <c r="C1516" s="1136">
        <v>2</v>
      </c>
      <c r="D1516" s="1136">
        <v>323.31772986209802</v>
      </c>
      <c r="E1516" s="1137">
        <v>324.31244153362002</v>
      </c>
      <c r="F1516" s="1138">
        <v>1.0437517739186801E-3</v>
      </c>
      <c r="G1516" s="1139">
        <v>1.0467512681471699E-3</v>
      </c>
    </row>
    <row r="1517" spans="1:7" x14ac:dyDescent="0.25">
      <c r="A1517" s="11" t="s">
        <v>1191</v>
      </c>
      <c r="B1517" s="11"/>
      <c r="C1517" s="1140">
        <v>1</v>
      </c>
      <c r="D1517" s="1140">
        <v>188.73501400517799</v>
      </c>
      <c r="E1517" s="1141">
        <v>188.74894564462201</v>
      </c>
      <c r="F1517" s="1142">
        <v>6.0928457512210096E-4</v>
      </c>
      <c r="G1517" s="1143">
        <v>6.0933781390804095E-4</v>
      </c>
    </row>
    <row r="1518" spans="1:7" x14ac:dyDescent="0.25">
      <c r="A1518" s="6" t="s">
        <v>1088</v>
      </c>
      <c r="B1518" s="6" t="s">
        <v>1089</v>
      </c>
      <c r="C1518" s="1136">
        <v>7630</v>
      </c>
      <c r="D1518" s="1136">
        <v>8093871.5523033896</v>
      </c>
      <c r="E1518" s="1137">
        <v>32750.9513625158</v>
      </c>
      <c r="F1518" s="1138">
        <v>99.088550521005899</v>
      </c>
      <c r="G1518" s="1139">
        <v>0.27124660825241997</v>
      </c>
    </row>
    <row r="1519" spans="1:7" x14ac:dyDescent="0.25">
      <c r="A1519" s="11" t="s">
        <v>1084</v>
      </c>
      <c r="B1519" s="11" t="s">
        <v>1153</v>
      </c>
      <c r="C1519" s="1140">
        <v>30</v>
      </c>
      <c r="D1519" s="1140">
        <v>40959.1389074006</v>
      </c>
      <c r="E1519" s="1141">
        <v>12980.0957300998</v>
      </c>
      <c r="F1519" s="1142">
        <v>0.50143885762158602</v>
      </c>
      <c r="G1519" s="1143">
        <v>0.15785534265345499</v>
      </c>
    </row>
    <row r="1520" spans="1:7" x14ac:dyDescent="0.25">
      <c r="A1520" s="6" t="s">
        <v>1086</v>
      </c>
      <c r="B1520" s="6" t="s">
        <v>1147</v>
      </c>
      <c r="C1520" s="1136">
        <v>39</v>
      </c>
      <c r="D1520" s="1136">
        <v>32757.922900940601</v>
      </c>
      <c r="E1520" s="1137">
        <v>16227.859840479799</v>
      </c>
      <c r="F1520" s="1138">
        <v>0.40103615153236899</v>
      </c>
      <c r="G1520" s="1139">
        <v>0.19764658770777699</v>
      </c>
    </row>
    <row r="1521" spans="1:7" x14ac:dyDescent="0.25">
      <c r="A1521" s="11" t="s">
        <v>1102</v>
      </c>
      <c r="B1521" s="11" t="s">
        <v>1103</v>
      </c>
      <c r="C1521" s="1140">
        <v>1</v>
      </c>
      <c r="D1521" s="1140">
        <v>733.06356540633499</v>
      </c>
      <c r="E1521" s="1141">
        <v>734.64773794601604</v>
      </c>
      <c r="F1521" s="1142">
        <v>8.9744698401104106E-3</v>
      </c>
      <c r="G1521" s="1143">
        <v>8.9980278096572497E-3</v>
      </c>
    </row>
    <row r="1522" spans="1:7" x14ac:dyDescent="0.25">
      <c r="A1522" s="6" t="s">
        <v>6417</v>
      </c>
      <c r="B1522" s="6" t="s">
        <v>6418</v>
      </c>
      <c r="C1522" s="1136">
        <v>48113</v>
      </c>
      <c r="D1522" s="1136">
        <v>30976496.322322801</v>
      </c>
      <c r="E1522" s="1137">
        <v>43396.669719545403</v>
      </c>
      <c r="F1522" s="1138">
        <v>79.133070237605594</v>
      </c>
      <c r="G1522" s="1139">
        <v>0.110861850780483</v>
      </c>
    </row>
    <row r="1523" spans="1:7" x14ac:dyDescent="0.25">
      <c r="A1523" s="11" t="s">
        <v>6417</v>
      </c>
      <c r="B1523" s="11" t="s">
        <v>6419</v>
      </c>
      <c r="C1523" s="1140">
        <v>55813</v>
      </c>
      <c r="D1523" s="1140">
        <v>39144818</v>
      </c>
      <c r="E1523" s="1141">
        <v>0</v>
      </c>
      <c r="F1523" s="1142">
        <v>100</v>
      </c>
      <c r="G1523" s="1143">
        <v>0</v>
      </c>
    </row>
    <row r="1524" spans="1:7" x14ac:dyDescent="0.25">
      <c r="A1524" s="3729" t="s">
        <v>647</v>
      </c>
      <c r="B1524" s="3730"/>
      <c r="C1524" s="3730"/>
      <c r="D1524" s="3730"/>
      <c r="E1524" s="3730"/>
      <c r="F1524" s="3730"/>
      <c r="G1524" s="3730"/>
    </row>
    <row r="1525" spans="1:7" x14ac:dyDescent="0.25">
      <c r="A1525" s="11" t="s">
        <v>1292</v>
      </c>
      <c r="B1525" s="11"/>
      <c r="C1525" s="1148">
        <v>42164</v>
      </c>
      <c r="D1525" s="1148">
        <v>26049409.618340999</v>
      </c>
      <c r="E1525" s="1149">
        <v>178636.52317077399</v>
      </c>
      <c r="F1525" s="1150">
        <v>84.025075765869303</v>
      </c>
      <c r="G1525" s="1151">
        <v>0.53482893169190704</v>
      </c>
    </row>
    <row r="1526" spans="1:7" x14ac:dyDescent="0.25">
      <c r="A1526" s="6" t="s">
        <v>6427</v>
      </c>
      <c r="B1526" s="6"/>
      <c r="C1526" s="1144">
        <v>1544</v>
      </c>
      <c r="D1526" s="1144">
        <v>1172029.0596556</v>
      </c>
      <c r="E1526" s="1145">
        <v>60607.561516265901</v>
      </c>
      <c r="F1526" s="1146">
        <v>3.78050143862085</v>
      </c>
      <c r="G1526" s="1147">
        <v>0.19544380447317899</v>
      </c>
    </row>
    <row r="1527" spans="1:7" x14ac:dyDescent="0.25">
      <c r="A1527" s="11" t="s">
        <v>6426</v>
      </c>
      <c r="B1527" s="11"/>
      <c r="C1527" s="1148">
        <v>1473</v>
      </c>
      <c r="D1527" s="1148">
        <v>1157788.90705853</v>
      </c>
      <c r="E1527" s="1149">
        <v>53045.769012984601</v>
      </c>
      <c r="F1527" s="1150">
        <v>3.7345683476826501</v>
      </c>
      <c r="G1527" s="1151">
        <v>0.17223845653699499</v>
      </c>
    </row>
    <row r="1528" spans="1:7" x14ac:dyDescent="0.25">
      <c r="A1528" s="6" t="s">
        <v>6429</v>
      </c>
      <c r="B1528" s="6"/>
      <c r="C1528" s="1144">
        <v>613</v>
      </c>
      <c r="D1528" s="1144">
        <v>552286.65618401603</v>
      </c>
      <c r="E1528" s="1145">
        <v>34331.283122855799</v>
      </c>
      <c r="F1528" s="1146">
        <v>1.7814579604778</v>
      </c>
      <c r="G1528" s="1147">
        <v>0.111284173136269</v>
      </c>
    </row>
    <row r="1529" spans="1:7" x14ac:dyDescent="0.25">
      <c r="A1529" s="11" t="s">
        <v>6428</v>
      </c>
      <c r="B1529" s="11"/>
      <c r="C1529" s="1148">
        <v>565</v>
      </c>
      <c r="D1529" s="1148">
        <v>519041.20688611502</v>
      </c>
      <c r="E1529" s="1149">
        <v>27106.785939726698</v>
      </c>
      <c r="F1529" s="1150">
        <v>1.67422131146908</v>
      </c>
      <c r="G1529" s="1151">
        <v>8.6518264475130904E-2</v>
      </c>
    </row>
    <row r="1530" spans="1:7" x14ac:dyDescent="0.25">
      <c r="A1530" s="6" t="s">
        <v>6430</v>
      </c>
      <c r="B1530" s="6"/>
      <c r="C1530" s="1144">
        <v>528</v>
      </c>
      <c r="D1530" s="1144">
        <v>432010.69819653401</v>
      </c>
      <c r="E1530" s="1145">
        <v>32570.152752772399</v>
      </c>
      <c r="F1530" s="1146">
        <v>1.3934953682048801</v>
      </c>
      <c r="G1530" s="1147">
        <v>0.10513021989858</v>
      </c>
    </row>
    <row r="1531" spans="1:7" x14ac:dyDescent="0.25">
      <c r="A1531" s="11" t="s">
        <v>1123</v>
      </c>
      <c r="B1531" s="11"/>
      <c r="C1531" s="1148">
        <v>263</v>
      </c>
      <c r="D1531" s="1148">
        <v>239337.204455409</v>
      </c>
      <c r="E1531" s="1149">
        <v>38276.961999744199</v>
      </c>
      <c r="F1531" s="1150">
        <v>0.77200700640054898</v>
      </c>
      <c r="G1531" s="1151">
        <v>0.123621477819622</v>
      </c>
    </row>
    <row r="1532" spans="1:7" x14ac:dyDescent="0.25">
      <c r="A1532" s="6" t="s">
        <v>6431</v>
      </c>
      <c r="B1532" s="6"/>
      <c r="C1532" s="1144">
        <v>278</v>
      </c>
      <c r="D1532" s="1144">
        <v>238214.433020917</v>
      </c>
      <c r="E1532" s="1145">
        <v>19806.978870261701</v>
      </c>
      <c r="F1532" s="1146">
        <v>0.76838539054693999</v>
      </c>
      <c r="G1532" s="1147">
        <v>6.4405916618732101E-2</v>
      </c>
    </row>
    <row r="1533" spans="1:7" x14ac:dyDescent="0.25">
      <c r="A1533" s="11" t="s">
        <v>6433</v>
      </c>
      <c r="B1533" s="11"/>
      <c r="C1533" s="1148">
        <v>141</v>
      </c>
      <c r="D1533" s="1148">
        <v>124173.987688315</v>
      </c>
      <c r="E1533" s="1149">
        <v>20819.062781341301</v>
      </c>
      <c r="F1533" s="1150">
        <v>0.40053609185501599</v>
      </c>
      <c r="G1533" s="1151">
        <v>6.7227468120444195E-2</v>
      </c>
    </row>
    <row r="1534" spans="1:7" x14ac:dyDescent="0.25">
      <c r="A1534" s="6" t="s">
        <v>1133</v>
      </c>
      <c r="B1534" s="6"/>
      <c r="C1534" s="1144">
        <v>100</v>
      </c>
      <c r="D1534" s="1144">
        <v>93411.619902805105</v>
      </c>
      <c r="E1534" s="1145">
        <v>15526.788789083001</v>
      </c>
      <c r="F1534" s="1146">
        <v>0.30130888011448298</v>
      </c>
      <c r="G1534" s="1147">
        <v>5.00998495968644E-2</v>
      </c>
    </row>
    <row r="1535" spans="1:7" x14ac:dyDescent="0.25">
      <c r="A1535" s="11" t="s">
        <v>6432</v>
      </c>
      <c r="B1535" s="11"/>
      <c r="C1535" s="1148">
        <v>105</v>
      </c>
      <c r="D1535" s="1148">
        <v>86962.841836625797</v>
      </c>
      <c r="E1535" s="1149">
        <v>14296.6299944334</v>
      </c>
      <c r="F1535" s="1150">
        <v>0.28050767680327698</v>
      </c>
      <c r="G1535" s="1151">
        <v>4.6289874007458598E-2</v>
      </c>
    </row>
    <row r="1536" spans="1:7" x14ac:dyDescent="0.25">
      <c r="A1536" s="6" t="s">
        <v>1295</v>
      </c>
      <c r="B1536" s="6"/>
      <c r="C1536" s="1144">
        <v>76</v>
      </c>
      <c r="D1536" s="1144">
        <v>85654.591622506705</v>
      </c>
      <c r="E1536" s="1145">
        <v>14931.723032424001</v>
      </c>
      <c r="F1536" s="1146">
        <v>0.27628777988535702</v>
      </c>
      <c r="G1536" s="1147">
        <v>4.8324248953846703E-2</v>
      </c>
    </row>
    <row r="1537" spans="1:7" x14ac:dyDescent="0.25">
      <c r="A1537" s="11" t="s">
        <v>1127</v>
      </c>
      <c r="B1537" s="11"/>
      <c r="C1537" s="1148">
        <v>84</v>
      </c>
      <c r="D1537" s="1148">
        <v>56554.5874958399</v>
      </c>
      <c r="E1537" s="1149">
        <v>7876.4038652225699</v>
      </c>
      <c r="F1537" s="1150">
        <v>0.18242269475080999</v>
      </c>
      <c r="G1537" s="1151">
        <v>2.5524516703244401E-2</v>
      </c>
    </row>
    <row r="1538" spans="1:7" x14ac:dyDescent="0.25">
      <c r="A1538" s="6" t="s">
        <v>1297</v>
      </c>
      <c r="B1538" s="6"/>
      <c r="C1538" s="1144">
        <v>24</v>
      </c>
      <c r="D1538" s="1144">
        <v>44429.511955457303</v>
      </c>
      <c r="E1538" s="1145">
        <v>13458.7874719805</v>
      </c>
      <c r="F1538" s="1146">
        <v>0.143312004494313</v>
      </c>
      <c r="G1538" s="1147">
        <v>4.3394121223725803E-2</v>
      </c>
    </row>
    <row r="1539" spans="1:7" x14ac:dyDescent="0.25">
      <c r="A1539" s="11" t="s">
        <v>1135</v>
      </c>
      <c r="B1539" s="11"/>
      <c r="C1539" s="1148">
        <v>21</v>
      </c>
      <c r="D1539" s="1148">
        <v>28854.305008902498</v>
      </c>
      <c r="E1539" s="1149">
        <v>9776.0097139301797</v>
      </c>
      <c r="F1539" s="1150">
        <v>9.3072557116130897E-2</v>
      </c>
      <c r="G1539" s="1151">
        <v>3.1545150360569298E-2</v>
      </c>
    </row>
    <row r="1540" spans="1:7" x14ac:dyDescent="0.25">
      <c r="A1540" s="6" t="s">
        <v>6434</v>
      </c>
      <c r="B1540" s="6"/>
      <c r="C1540" s="1144">
        <v>35</v>
      </c>
      <c r="D1540" s="1144">
        <v>27680.314860734499</v>
      </c>
      <c r="E1540" s="1145">
        <v>8351.8147968406302</v>
      </c>
      <c r="F1540" s="1146">
        <v>8.9285729982868406E-2</v>
      </c>
      <c r="G1540" s="1147">
        <v>2.6906381934307801E-2</v>
      </c>
    </row>
    <row r="1541" spans="1:7" x14ac:dyDescent="0.25">
      <c r="A1541" s="11" t="s">
        <v>1131</v>
      </c>
      <c r="B1541" s="11"/>
      <c r="C1541" s="1148">
        <v>13</v>
      </c>
      <c r="D1541" s="1148">
        <v>20617.884652254299</v>
      </c>
      <c r="E1541" s="1149">
        <v>9365.9595613511101</v>
      </c>
      <c r="F1541" s="1150">
        <v>6.6505127963355101E-2</v>
      </c>
      <c r="G1541" s="1151">
        <v>3.0230203113159899E-2</v>
      </c>
    </row>
    <row r="1542" spans="1:7" x14ac:dyDescent="0.25">
      <c r="A1542" s="6" t="s">
        <v>3172</v>
      </c>
      <c r="B1542" s="6"/>
      <c r="C1542" s="1144">
        <v>16</v>
      </c>
      <c r="D1542" s="1144">
        <v>18772.8749833931</v>
      </c>
      <c r="E1542" s="1145">
        <v>7290.7445570660402</v>
      </c>
      <c r="F1542" s="1146">
        <v>6.0553857685595201E-2</v>
      </c>
      <c r="G1542" s="1147">
        <v>2.3462527983959099E-2</v>
      </c>
    </row>
    <row r="1543" spans="1:7" x14ac:dyDescent="0.25">
      <c r="A1543" s="11" t="s">
        <v>3201</v>
      </c>
      <c r="B1543" s="11"/>
      <c r="C1543" s="1148">
        <v>4</v>
      </c>
      <c r="D1543" s="1148">
        <v>9249.2085648827597</v>
      </c>
      <c r="E1543" s="1149">
        <v>5672.0732955646899</v>
      </c>
      <c r="F1543" s="1150">
        <v>2.98342826891328E-2</v>
      </c>
      <c r="G1543" s="1151">
        <v>1.82991662803785E-2</v>
      </c>
    </row>
    <row r="1544" spans="1:7" x14ac:dyDescent="0.25">
      <c r="A1544" s="6" t="s">
        <v>1187</v>
      </c>
      <c r="B1544" s="6"/>
      <c r="C1544" s="1144">
        <v>3</v>
      </c>
      <c r="D1544" s="1144">
        <v>8784.2413344090201</v>
      </c>
      <c r="E1544" s="1145">
        <v>6370.1104905226903</v>
      </c>
      <c r="F1544" s="1146">
        <v>2.8334482603771399E-2</v>
      </c>
      <c r="G1544" s="1147">
        <v>2.0550465867077101E-2</v>
      </c>
    </row>
    <row r="1545" spans="1:7" x14ac:dyDescent="0.25">
      <c r="A1545" s="11" t="s">
        <v>1129</v>
      </c>
      <c r="B1545" s="11"/>
      <c r="C1545" s="1148">
        <v>11</v>
      </c>
      <c r="D1545" s="1148">
        <v>6764.3151971764901</v>
      </c>
      <c r="E1545" s="1149">
        <v>2850.5179311879801</v>
      </c>
      <c r="F1545" s="1150">
        <v>2.18190010934756E-2</v>
      </c>
      <c r="G1545" s="1151">
        <v>9.1936099547313601E-3</v>
      </c>
    </row>
    <row r="1546" spans="1:7" x14ac:dyDescent="0.25">
      <c r="A1546" s="6" t="s">
        <v>1137</v>
      </c>
      <c r="B1546" s="6"/>
      <c r="C1546" s="1144">
        <v>6</v>
      </c>
      <c r="D1546" s="1144">
        <v>5369.8632301745702</v>
      </c>
      <c r="E1546" s="1145">
        <v>2286.3884689555398</v>
      </c>
      <c r="F1546" s="1146">
        <v>1.7321051470206399E-2</v>
      </c>
      <c r="G1546" s="1147">
        <v>7.3820455714406503E-3</v>
      </c>
    </row>
    <row r="1547" spans="1:7" x14ac:dyDescent="0.25">
      <c r="A1547" s="11" t="s">
        <v>1299</v>
      </c>
      <c r="B1547" s="11"/>
      <c r="C1547" s="1148">
        <v>11</v>
      </c>
      <c r="D1547" s="1148">
        <v>5248.1110102805796</v>
      </c>
      <c r="E1547" s="1149">
        <v>2481.9559694035802</v>
      </c>
      <c r="F1547" s="1150">
        <v>1.6928327041854901E-2</v>
      </c>
      <c r="G1547" s="1151">
        <v>8.0031320314876107E-3</v>
      </c>
    </row>
    <row r="1548" spans="1:7" x14ac:dyDescent="0.25">
      <c r="A1548" s="6" t="s">
        <v>1125</v>
      </c>
      <c r="B1548" s="6"/>
      <c r="C1548" s="1144">
        <v>10</v>
      </c>
      <c r="D1548" s="1144">
        <v>3722.7245302717502</v>
      </c>
      <c r="E1548" s="1145">
        <v>2433.0188499393398</v>
      </c>
      <c r="F1548" s="1146">
        <v>1.2008034550284199E-2</v>
      </c>
      <c r="G1548" s="1147">
        <v>7.8522412431467608E-3</v>
      </c>
    </row>
    <row r="1549" spans="1:7" x14ac:dyDescent="0.25">
      <c r="A1549" s="11" t="s">
        <v>3361</v>
      </c>
      <c r="B1549" s="11"/>
      <c r="C1549" s="1148">
        <v>1</v>
      </c>
      <c r="D1549" s="1148">
        <v>2975.1605915805799</v>
      </c>
      <c r="E1549" s="1149">
        <v>2987.6000044684802</v>
      </c>
      <c r="F1549" s="1150">
        <v>9.5966894369526705E-3</v>
      </c>
      <c r="G1549" s="1151">
        <v>9.6360503521275599E-3</v>
      </c>
    </row>
    <row r="1550" spans="1:7" x14ac:dyDescent="0.25">
      <c r="A1550" s="6" t="s">
        <v>1189</v>
      </c>
      <c r="B1550" s="6"/>
      <c r="C1550" s="1144">
        <v>5</v>
      </c>
      <c r="D1550" s="1144">
        <v>2634.4016358742101</v>
      </c>
      <c r="E1550" s="1145">
        <v>2305.0268231361401</v>
      </c>
      <c r="F1550" s="1146">
        <v>8.4975360399802396E-3</v>
      </c>
      <c r="G1550" s="1147">
        <v>7.43429399792098E-3</v>
      </c>
    </row>
    <row r="1551" spans="1:7" x14ac:dyDescent="0.25">
      <c r="A1551" s="11" t="s">
        <v>1139</v>
      </c>
      <c r="B1551" s="11"/>
      <c r="C1551" s="1148">
        <v>7</v>
      </c>
      <c r="D1551" s="1148">
        <v>2289.5974053812301</v>
      </c>
      <c r="E1551" s="1149">
        <v>1350.85447852367</v>
      </c>
      <c r="F1551" s="1150">
        <v>7.3853341891111602E-3</v>
      </c>
      <c r="G1551" s="1151">
        <v>4.3592687573078904E-3</v>
      </c>
    </row>
    <row r="1552" spans="1:7" x14ac:dyDescent="0.25">
      <c r="A1552" s="6" t="s">
        <v>1301</v>
      </c>
      <c r="B1552" s="6"/>
      <c r="C1552" s="1144">
        <v>3</v>
      </c>
      <c r="D1552" s="1144">
        <v>2083.5707684111799</v>
      </c>
      <c r="E1552" s="1145">
        <v>1600.4038358638099</v>
      </c>
      <c r="F1552" s="1146">
        <v>6.7207738771950399E-3</v>
      </c>
      <c r="G1552" s="1147">
        <v>5.1637378906033296E-3</v>
      </c>
    </row>
    <row r="1553" spans="1:7" x14ac:dyDescent="0.25">
      <c r="A1553" s="11" t="s">
        <v>3176</v>
      </c>
      <c r="B1553" s="11"/>
      <c r="C1553" s="1148">
        <v>1</v>
      </c>
      <c r="D1553" s="1148">
        <v>1484.2808310651101</v>
      </c>
      <c r="E1553" s="1149">
        <v>1496.3577731222799</v>
      </c>
      <c r="F1553" s="1150">
        <v>4.7877019523798296E-3</v>
      </c>
      <c r="G1553" s="1151">
        <v>4.8268857073274704E-3</v>
      </c>
    </row>
    <row r="1554" spans="1:7" x14ac:dyDescent="0.25">
      <c r="A1554" s="6" t="s">
        <v>1209</v>
      </c>
      <c r="B1554" s="6"/>
      <c r="C1554" s="1144">
        <v>2</v>
      </c>
      <c r="D1554" s="1144">
        <v>1455.3083526687899</v>
      </c>
      <c r="E1554" s="1145">
        <v>1353.3741183817699</v>
      </c>
      <c r="F1554" s="1146">
        <v>4.6942482147311303E-3</v>
      </c>
      <c r="G1554" s="1147">
        <v>4.3648260909056602E-3</v>
      </c>
    </row>
    <row r="1555" spans="1:7" x14ac:dyDescent="0.25">
      <c r="A1555" s="11" t="s">
        <v>1141</v>
      </c>
      <c r="B1555" s="11"/>
      <c r="C1555" s="1148">
        <v>1</v>
      </c>
      <c r="D1555" s="1148">
        <v>711.36159653040602</v>
      </c>
      <c r="E1555" s="1149">
        <v>716.68262975323898</v>
      </c>
      <c r="F1555" s="1150">
        <v>2.2945706993417699E-3</v>
      </c>
      <c r="G1555" s="1151">
        <v>2.3118459748674301E-3</v>
      </c>
    </row>
    <row r="1556" spans="1:7" x14ac:dyDescent="0.25">
      <c r="A1556" s="6" t="s">
        <v>3174</v>
      </c>
      <c r="B1556" s="6"/>
      <c r="C1556" s="1144">
        <v>5</v>
      </c>
      <c r="D1556" s="1144">
        <v>698.29174652178301</v>
      </c>
      <c r="E1556" s="1145">
        <v>700.58758694385995</v>
      </c>
      <c r="F1556" s="1146">
        <v>2.2524125409300001E-3</v>
      </c>
      <c r="G1556" s="1147">
        <v>2.2597543011440898E-3</v>
      </c>
    </row>
    <row r="1557" spans="1:7" x14ac:dyDescent="0.25">
      <c r="A1557" s="11" t="s">
        <v>3178</v>
      </c>
      <c r="B1557" s="11"/>
      <c r="C1557" s="1148">
        <v>4</v>
      </c>
      <c r="D1557" s="1148">
        <v>678.36060324960101</v>
      </c>
      <c r="E1557" s="1149">
        <v>680.85717833220599</v>
      </c>
      <c r="F1557" s="1150">
        <v>2.1881225686011798E-3</v>
      </c>
      <c r="G1557" s="1151">
        <v>2.1962684397922E-3</v>
      </c>
    </row>
    <row r="1558" spans="1:7" x14ac:dyDescent="0.25">
      <c r="A1558" s="6" t="s">
        <v>1193</v>
      </c>
      <c r="B1558" s="6"/>
      <c r="C1558" s="1144">
        <v>3</v>
      </c>
      <c r="D1558" s="1144">
        <v>568.09242490934002</v>
      </c>
      <c r="E1558" s="1145">
        <v>566.94990157202801</v>
      </c>
      <c r="F1558" s="1146">
        <v>1.83244110881557E-3</v>
      </c>
      <c r="G1558" s="1147">
        <v>1.82881683342187E-3</v>
      </c>
    </row>
    <row r="1559" spans="1:7" x14ac:dyDescent="0.25">
      <c r="A1559" s="11" t="s">
        <v>1088</v>
      </c>
      <c r="B1559" s="11" t="s">
        <v>1089</v>
      </c>
      <c r="C1559" s="1148">
        <v>7630</v>
      </c>
      <c r="D1559" s="1148">
        <v>8093871.5523033896</v>
      </c>
      <c r="E1559" s="1149">
        <v>32750.9513625158</v>
      </c>
      <c r="F1559" s="1150">
        <v>99.398255784312795</v>
      </c>
      <c r="G1559" s="1151">
        <v>0.19453785263076201</v>
      </c>
    </row>
    <row r="1560" spans="1:7" x14ac:dyDescent="0.25">
      <c r="A1560" s="6" t="s">
        <v>1084</v>
      </c>
      <c r="B1560" s="6" t="s">
        <v>1153</v>
      </c>
      <c r="C1560" s="1144">
        <v>29</v>
      </c>
      <c r="D1560" s="1144">
        <v>30391.276680015799</v>
      </c>
      <c r="E1560" s="1145">
        <v>11412.521769434201</v>
      </c>
      <c r="F1560" s="1146">
        <v>0.37322557857893701</v>
      </c>
      <c r="G1560" s="1147">
        <v>0.13992841233175901</v>
      </c>
    </row>
    <row r="1561" spans="1:7" x14ac:dyDescent="0.25">
      <c r="A1561" s="11" t="s">
        <v>1086</v>
      </c>
      <c r="B1561" s="11" t="s">
        <v>1147</v>
      </c>
      <c r="C1561" s="1148">
        <v>32</v>
      </c>
      <c r="D1561" s="1148">
        <v>17874.913822804501</v>
      </c>
      <c r="E1561" s="1149">
        <v>12288.351405281701</v>
      </c>
      <c r="F1561" s="1150">
        <v>0.219516117200555</v>
      </c>
      <c r="G1561" s="1151">
        <v>0.150685115337404</v>
      </c>
    </row>
    <row r="1562" spans="1:7" x14ac:dyDescent="0.25">
      <c r="A1562" s="6" t="s">
        <v>1102</v>
      </c>
      <c r="B1562" s="6" t="s">
        <v>1103</v>
      </c>
      <c r="C1562" s="1144">
        <v>1</v>
      </c>
      <c r="D1562" s="1144">
        <v>733.06356540633499</v>
      </c>
      <c r="E1562" s="1145">
        <v>734.64773794601604</v>
      </c>
      <c r="F1562" s="1146">
        <v>9.0025199077545092E-3</v>
      </c>
      <c r="G1562" s="1147">
        <v>9.0242908695716498E-3</v>
      </c>
    </row>
    <row r="1563" spans="1:7" x14ac:dyDescent="0.25">
      <c r="A1563" s="11" t="s">
        <v>6417</v>
      </c>
      <c r="B1563" s="11" t="s">
        <v>6418</v>
      </c>
      <c r="C1563" s="1148">
        <v>48120</v>
      </c>
      <c r="D1563" s="1148">
        <v>31001947.193628401</v>
      </c>
      <c r="E1563" s="1149">
        <v>37118.8623749209</v>
      </c>
      <c r="F1563" s="1150">
        <v>79.198087454713402</v>
      </c>
      <c r="G1563" s="1151">
        <v>9.4824460225878801E-2</v>
      </c>
    </row>
    <row r="1564" spans="1:7" x14ac:dyDescent="0.25">
      <c r="A1564" s="6" t="s">
        <v>6417</v>
      </c>
      <c r="B1564" s="6" t="s">
        <v>6419</v>
      </c>
      <c r="C1564" s="1144">
        <v>55812</v>
      </c>
      <c r="D1564" s="1144">
        <v>39144818</v>
      </c>
      <c r="E1564" s="1145">
        <v>0</v>
      </c>
      <c r="F1564" s="1146">
        <v>100</v>
      </c>
      <c r="G1564" s="1147">
        <v>0</v>
      </c>
    </row>
    <row r="1565" spans="1:7" x14ac:dyDescent="0.25">
      <c r="A1565" s="3729" t="s">
        <v>125</v>
      </c>
      <c r="B1565" s="3730"/>
      <c r="C1565" s="3730"/>
      <c r="D1565" s="3730"/>
      <c r="E1565" s="3730"/>
      <c r="F1565" s="3730"/>
      <c r="G1565" s="3730"/>
    </row>
    <row r="1566" spans="1:7" x14ac:dyDescent="0.25">
      <c r="A1566" s="11" t="s">
        <v>6427</v>
      </c>
      <c r="B1566" s="11"/>
      <c r="C1566" s="1156">
        <v>16005</v>
      </c>
      <c r="D1566" s="1156">
        <v>11346792.054484401</v>
      </c>
      <c r="E1566" s="1157">
        <v>72669.034846643699</v>
      </c>
      <c r="F1566" s="1158">
        <v>85.404442600981298</v>
      </c>
      <c r="G1566" s="1159">
        <v>0.25536515230346402</v>
      </c>
    </row>
    <row r="1567" spans="1:7" x14ac:dyDescent="0.25">
      <c r="A1567" s="6" t="s">
        <v>6426</v>
      </c>
      <c r="B1567" s="6"/>
      <c r="C1567" s="1152">
        <v>1505</v>
      </c>
      <c r="D1567" s="1152">
        <v>1309077.75226501</v>
      </c>
      <c r="E1567" s="1153">
        <v>36780.832495365401</v>
      </c>
      <c r="F1567" s="1154">
        <v>9.8530981458635303</v>
      </c>
      <c r="G1567" s="1155">
        <v>0.26851324509334701</v>
      </c>
    </row>
    <row r="1568" spans="1:7" x14ac:dyDescent="0.25">
      <c r="A1568" s="11" t="s">
        <v>6429</v>
      </c>
      <c r="B1568" s="11"/>
      <c r="C1568" s="1156">
        <v>320</v>
      </c>
      <c r="D1568" s="1156">
        <v>330401.65194590698</v>
      </c>
      <c r="E1568" s="1157">
        <v>39296.868233335998</v>
      </c>
      <c r="F1568" s="1158">
        <v>2.48684992052284</v>
      </c>
      <c r="G1568" s="1159">
        <v>0.28833704040524499</v>
      </c>
    </row>
    <row r="1569" spans="1:7" x14ac:dyDescent="0.25">
      <c r="A1569" s="6" t="s">
        <v>6430</v>
      </c>
      <c r="B1569" s="6"/>
      <c r="C1569" s="1152">
        <v>54</v>
      </c>
      <c r="D1569" s="1152">
        <v>94623.099897061897</v>
      </c>
      <c r="E1569" s="1153">
        <v>16215.606339771501</v>
      </c>
      <c r="F1569" s="1154">
        <v>0.71220421288074598</v>
      </c>
      <c r="G1569" s="1155">
        <v>0.121795669352371</v>
      </c>
    </row>
    <row r="1570" spans="1:7" x14ac:dyDescent="0.25">
      <c r="A1570" s="11" t="s">
        <v>6428</v>
      </c>
      <c r="B1570" s="11"/>
      <c r="C1570" s="1156">
        <v>87</v>
      </c>
      <c r="D1570" s="1156">
        <v>85621.899292926202</v>
      </c>
      <c r="E1570" s="1157">
        <v>20399.699791910902</v>
      </c>
      <c r="F1570" s="1158">
        <v>0.64445444566508503</v>
      </c>
      <c r="G1570" s="1159">
        <v>0.15318528725463901</v>
      </c>
    </row>
    <row r="1571" spans="1:7" x14ac:dyDescent="0.25">
      <c r="A1571" s="6" t="s">
        <v>6431</v>
      </c>
      <c r="B1571" s="6"/>
      <c r="C1571" s="1152">
        <v>21</v>
      </c>
      <c r="D1571" s="1152">
        <v>34112.880052178698</v>
      </c>
      <c r="E1571" s="1153">
        <v>12495.3114824643</v>
      </c>
      <c r="F1571" s="1154">
        <v>0.25675904629089003</v>
      </c>
      <c r="G1571" s="1155">
        <v>9.5252736684582895E-2</v>
      </c>
    </row>
    <row r="1572" spans="1:7" x14ac:dyDescent="0.25">
      <c r="A1572" s="11" t="s">
        <v>1123</v>
      </c>
      <c r="B1572" s="11"/>
      <c r="C1572" s="1156">
        <v>17</v>
      </c>
      <c r="D1572" s="1156">
        <v>23386.000171639898</v>
      </c>
      <c r="E1572" s="1157">
        <v>11606.112692016</v>
      </c>
      <c r="F1572" s="1158">
        <v>0.17602052630690601</v>
      </c>
      <c r="G1572" s="1159">
        <v>8.7199600090130003E-2</v>
      </c>
    </row>
    <row r="1573" spans="1:7" x14ac:dyDescent="0.25">
      <c r="A1573" s="6" t="s">
        <v>1295</v>
      </c>
      <c r="B1573" s="6"/>
      <c r="C1573" s="1152">
        <v>14</v>
      </c>
      <c r="D1573" s="1152">
        <v>21527.687357379102</v>
      </c>
      <c r="E1573" s="1153">
        <v>5505.5406563251299</v>
      </c>
      <c r="F1573" s="1154">
        <v>0.162033474343838</v>
      </c>
      <c r="G1573" s="1155">
        <v>4.0772238286354498E-2</v>
      </c>
    </row>
    <row r="1574" spans="1:7" x14ac:dyDescent="0.25">
      <c r="A1574" s="11" t="s">
        <v>6432</v>
      </c>
      <c r="B1574" s="11"/>
      <c r="C1574" s="1156">
        <v>10</v>
      </c>
      <c r="D1574" s="1156">
        <v>8743.0055365082499</v>
      </c>
      <c r="E1574" s="1157">
        <v>7150.11551898582</v>
      </c>
      <c r="F1574" s="1158">
        <v>6.5806398047779602E-2</v>
      </c>
      <c r="G1574" s="1159">
        <v>5.3757990002994499E-2</v>
      </c>
    </row>
    <row r="1575" spans="1:7" x14ac:dyDescent="0.25">
      <c r="A1575" s="6" t="s">
        <v>1133</v>
      </c>
      <c r="B1575" s="6"/>
      <c r="C1575" s="1152">
        <v>3</v>
      </c>
      <c r="D1575" s="1152">
        <v>7282.19580201192</v>
      </c>
      <c r="E1575" s="1153">
        <v>6740.5946116836203</v>
      </c>
      <c r="F1575" s="1154">
        <v>5.4811251532210899E-2</v>
      </c>
      <c r="G1575" s="1155">
        <v>5.0732148272543E-2</v>
      </c>
    </row>
    <row r="1576" spans="1:7" x14ac:dyDescent="0.25">
      <c r="A1576" s="11" t="s">
        <v>1139</v>
      </c>
      <c r="B1576" s="11"/>
      <c r="C1576" s="1156">
        <v>2</v>
      </c>
      <c r="D1576" s="1156">
        <v>5764.0624303794202</v>
      </c>
      <c r="E1576" s="1157">
        <v>5904.1721804252902</v>
      </c>
      <c r="F1576" s="1158">
        <v>4.3384644454576002E-2</v>
      </c>
      <c r="G1576" s="1159">
        <v>4.4418302786050801E-2</v>
      </c>
    </row>
    <row r="1577" spans="1:7" x14ac:dyDescent="0.25">
      <c r="A1577" s="6" t="s">
        <v>1127</v>
      </c>
      <c r="B1577" s="6"/>
      <c r="C1577" s="1152">
        <v>2</v>
      </c>
      <c r="D1577" s="1152">
        <v>5714.6070211323704</v>
      </c>
      <c r="E1577" s="1153">
        <v>5428.6847380852896</v>
      </c>
      <c r="F1577" s="1154">
        <v>4.3012406059788601E-2</v>
      </c>
      <c r="G1577" s="1155">
        <v>4.0870267916702799E-2</v>
      </c>
    </row>
    <row r="1578" spans="1:7" x14ac:dyDescent="0.25">
      <c r="A1578" s="11" t="s">
        <v>6433</v>
      </c>
      <c r="B1578" s="11"/>
      <c r="C1578" s="1156">
        <v>5</v>
      </c>
      <c r="D1578" s="1156">
        <v>4759.9862614725998</v>
      </c>
      <c r="E1578" s="1157">
        <v>3504.9364047037602</v>
      </c>
      <c r="F1578" s="1158">
        <v>3.5827216317825601E-2</v>
      </c>
      <c r="G1578" s="1159">
        <v>2.6331325217917999E-2</v>
      </c>
    </row>
    <row r="1579" spans="1:7" x14ac:dyDescent="0.25">
      <c r="A1579" s="6" t="s">
        <v>1129</v>
      </c>
      <c r="B1579" s="6"/>
      <c r="C1579" s="1152">
        <v>3</v>
      </c>
      <c r="D1579" s="1152">
        <v>3223.2211910770202</v>
      </c>
      <c r="E1579" s="1153">
        <v>1815.89626311286</v>
      </c>
      <c r="F1579" s="1154">
        <v>2.42603731417473E-2</v>
      </c>
      <c r="G1579" s="1155">
        <v>1.36896982726003E-2</v>
      </c>
    </row>
    <row r="1580" spans="1:7" x14ac:dyDescent="0.25">
      <c r="A1580" s="11" t="s">
        <v>1125</v>
      </c>
      <c r="B1580" s="11"/>
      <c r="C1580" s="1156">
        <v>1</v>
      </c>
      <c r="D1580" s="1156">
        <v>1356.06178633321</v>
      </c>
      <c r="E1580" s="1157">
        <v>1358.9554602800899</v>
      </c>
      <c r="F1580" s="1158">
        <v>1.02067351228586E-2</v>
      </c>
      <c r="G1580" s="1159">
        <v>1.0234283016512399E-2</v>
      </c>
    </row>
    <row r="1581" spans="1:7" x14ac:dyDescent="0.25">
      <c r="A1581" s="6" t="s">
        <v>1131</v>
      </c>
      <c r="B1581" s="6"/>
      <c r="C1581" s="1152">
        <v>2</v>
      </c>
      <c r="D1581" s="1152">
        <v>1355.6453491432201</v>
      </c>
      <c r="E1581" s="1153">
        <v>947.68479020699601</v>
      </c>
      <c r="F1581" s="1154">
        <v>1.0203600705137801E-2</v>
      </c>
      <c r="G1581" s="1155">
        <v>7.1365234373647404E-3</v>
      </c>
    </row>
    <row r="1582" spans="1:7" x14ac:dyDescent="0.25">
      <c r="A1582" s="11" t="s">
        <v>6434</v>
      </c>
      <c r="B1582" s="11"/>
      <c r="C1582" s="1156">
        <v>2</v>
      </c>
      <c r="D1582" s="1156">
        <v>1317.09523719463</v>
      </c>
      <c r="E1582" s="1157">
        <v>1328.8208390194</v>
      </c>
      <c r="F1582" s="1158">
        <v>9.91344373324962E-3</v>
      </c>
      <c r="G1582" s="1159">
        <v>9.9959100281432796E-3</v>
      </c>
    </row>
    <row r="1583" spans="1:7" x14ac:dyDescent="0.25">
      <c r="A1583" s="6" t="s">
        <v>1137</v>
      </c>
      <c r="B1583" s="6"/>
      <c r="C1583" s="1152">
        <v>2</v>
      </c>
      <c r="D1583" s="1152">
        <v>891.69428433528003</v>
      </c>
      <c r="E1583" s="1153">
        <v>913.75044362875497</v>
      </c>
      <c r="F1583" s="1154">
        <v>6.71155802965812E-3</v>
      </c>
      <c r="G1583" s="1155">
        <v>6.8767818594131702E-3</v>
      </c>
    </row>
    <row r="1584" spans="1:7" x14ac:dyDescent="0.25">
      <c r="A1584" s="11" t="s">
        <v>1102</v>
      </c>
      <c r="B1584" s="11" t="s">
        <v>1103</v>
      </c>
      <c r="C1584" s="1156">
        <v>35539</v>
      </c>
      <c r="D1584" s="1156">
        <v>23333030.128366701</v>
      </c>
      <c r="E1584" s="1157">
        <v>95685.599775743802</v>
      </c>
      <c r="F1584" s="1158">
        <v>90.232220026376098</v>
      </c>
      <c r="G1584" s="1159">
        <v>3.3682754816671601E-2</v>
      </c>
    </row>
    <row r="1585" spans="1:7" x14ac:dyDescent="0.25">
      <c r="A1585" s="6" t="s">
        <v>1088</v>
      </c>
      <c r="B1585" s="6"/>
      <c r="C1585" s="1152">
        <v>2198</v>
      </c>
      <c r="D1585" s="1152">
        <v>2507649.0021306202</v>
      </c>
      <c r="E1585" s="1153">
        <v>4.77482304698748E-3</v>
      </c>
      <c r="F1585" s="1154">
        <v>9.6974432923775193</v>
      </c>
      <c r="G1585" s="1155">
        <v>3.6695002893606603E-2</v>
      </c>
    </row>
    <row r="1586" spans="1:7" x14ac:dyDescent="0.25">
      <c r="A1586" s="11" t="s">
        <v>1084</v>
      </c>
      <c r="B1586" s="11" t="s">
        <v>1153</v>
      </c>
      <c r="C1586" s="1156">
        <v>17</v>
      </c>
      <c r="D1586" s="1156">
        <v>14067.004802902</v>
      </c>
      <c r="E1586" s="1157">
        <v>4937.8434278694904</v>
      </c>
      <c r="F1586" s="1158">
        <v>5.4399152853465797E-2</v>
      </c>
      <c r="G1586" s="1159">
        <v>1.9019524144176899E-2</v>
      </c>
    </row>
    <row r="1587" spans="1:7" x14ac:dyDescent="0.25">
      <c r="A1587" s="6" t="s">
        <v>1086</v>
      </c>
      <c r="B1587" s="6" t="s">
        <v>1147</v>
      </c>
      <c r="C1587" s="1152">
        <v>9</v>
      </c>
      <c r="D1587" s="1152">
        <v>4121.2643338929402</v>
      </c>
      <c r="E1587" s="1153">
        <v>2630.0702625263102</v>
      </c>
      <c r="F1587" s="1154">
        <v>1.5937528392876401E-2</v>
      </c>
      <c r="G1587" s="1155">
        <v>1.01688497310033E-2</v>
      </c>
    </row>
    <row r="1588" spans="1:7" x14ac:dyDescent="0.25">
      <c r="A1588" s="11" t="s">
        <v>6417</v>
      </c>
      <c r="B1588" s="11" t="s">
        <v>6418</v>
      </c>
      <c r="C1588" s="1156">
        <v>18055</v>
      </c>
      <c r="D1588" s="1156">
        <v>13285950.600366101</v>
      </c>
      <c r="E1588" s="1157">
        <v>97892.803663065904</v>
      </c>
      <c r="F1588" s="1158">
        <v>33.9405093168807</v>
      </c>
      <c r="G1588" s="1159">
        <v>0.25007857658974397</v>
      </c>
    </row>
    <row r="1589" spans="1:7" x14ac:dyDescent="0.25">
      <c r="A1589" s="6" t="s">
        <v>6417</v>
      </c>
      <c r="B1589" s="6" t="s">
        <v>6419</v>
      </c>
      <c r="C1589" s="1152">
        <v>55818</v>
      </c>
      <c r="D1589" s="1152">
        <v>39144818.000000201</v>
      </c>
      <c r="E1589" s="1153">
        <v>0</v>
      </c>
      <c r="F1589" s="1154">
        <v>100</v>
      </c>
      <c r="G1589" s="1155">
        <v>0</v>
      </c>
    </row>
    <row r="1590" spans="1:7" x14ac:dyDescent="0.25">
      <c r="A1590" s="3729" t="s">
        <v>731</v>
      </c>
      <c r="B1590" s="3730"/>
      <c r="C1590" s="3730"/>
      <c r="D1590" s="3730"/>
      <c r="E1590" s="3730"/>
      <c r="F1590" s="3730"/>
      <c r="G1590" s="3730"/>
    </row>
    <row r="1591" spans="1:7" x14ac:dyDescent="0.25">
      <c r="A1591" s="11" t="s">
        <v>1088</v>
      </c>
      <c r="B1591" s="11" t="s">
        <v>1089</v>
      </c>
      <c r="C1591" s="1164">
        <v>35531</v>
      </c>
      <c r="D1591" s="1164">
        <v>23849705.476492502</v>
      </c>
      <c r="E1591" s="1165">
        <v>91037.639557869901</v>
      </c>
      <c r="F1591" s="1166">
        <v>99.789205802741606</v>
      </c>
      <c r="G1591" s="1167">
        <v>5.5209546875958998E-2</v>
      </c>
    </row>
    <row r="1592" spans="1:7" x14ac:dyDescent="0.25">
      <c r="A1592" s="6" t="s">
        <v>1084</v>
      </c>
      <c r="B1592" s="6" t="s">
        <v>1085</v>
      </c>
      <c r="C1592" s="1160">
        <v>40</v>
      </c>
      <c r="D1592" s="1160">
        <v>45425.630582209204</v>
      </c>
      <c r="E1592" s="1161">
        <v>13722.855801874701</v>
      </c>
      <c r="F1592" s="1162">
        <v>0.190064720227063</v>
      </c>
      <c r="G1592" s="1163">
        <v>5.7296620422002197E-2</v>
      </c>
    </row>
    <row r="1593" spans="1:7" x14ac:dyDescent="0.25">
      <c r="A1593" s="11" t="s">
        <v>1086</v>
      </c>
      <c r="B1593" s="11" t="s">
        <v>1087</v>
      </c>
      <c r="C1593" s="1164">
        <v>10</v>
      </c>
      <c r="D1593" s="1164">
        <v>4954.3627279315597</v>
      </c>
      <c r="E1593" s="1165">
        <v>2582.5917835370101</v>
      </c>
      <c r="F1593" s="1166">
        <v>2.0729477031332499E-2</v>
      </c>
      <c r="G1593" s="1167">
        <v>1.07892250960569E-2</v>
      </c>
    </row>
    <row r="1594" spans="1:7" x14ac:dyDescent="0.25">
      <c r="A1594" s="6" t="s">
        <v>6417</v>
      </c>
      <c r="B1594" s="6" t="s">
        <v>6418</v>
      </c>
      <c r="C1594" s="1160">
        <v>20229</v>
      </c>
      <c r="D1594" s="1160">
        <v>15244732.5301976</v>
      </c>
      <c r="E1594" s="1161">
        <v>94002.778533248202</v>
      </c>
      <c r="F1594" s="1162">
        <v>38.944446057195897</v>
      </c>
      <c r="G1594" s="1163">
        <v>0.24014105400428101</v>
      </c>
    </row>
    <row r="1595" spans="1:7" x14ac:dyDescent="0.25">
      <c r="A1595" s="11" t="s">
        <v>6417</v>
      </c>
      <c r="B1595" s="11" t="s">
        <v>6419</v>
      </c>
      <c r="C1595" s="1164">
        <v>55810</v>
      </c>
      <c r="D1595" s="1164">
        <v>39144818.000000201</v>
      </c>
      <c r="E1595" s="1165">
        <v>0</v>
      </c>
      <c r="F1595" s="1166">
        <v>100</v>
      </c>
      <c r="G1595" s="1167">
        <v>0</v>
      </c>
    </row>
    <row r="1596" spans="1:7" x14ac:dyDescent="0.25">
      <c r="A1596" s="3729" t="s">
        <v>441</v>
      </c>
      <c r="B1596" s="3730"/>
      <c r="C1596" s="3730"/>
      <c r="D1596" s="3730"/>
      <c r="E1596" s="3730"/>
      <c r="F1596" s="3730"/>
      <c r="G1596" s="3730"/>
    </row>
    <row r="1597" spans="1:7" x14ac:dyDescent="0.25">
      <c r="A1597" s="11" t="s">
        <v>1295</v>
      </c>
      <c r="B1597" s="11"/>
      <c r="C1597" s="1172">
        <v>2341</v>
      </c>
      <c r="D1597" s="1172">
        <v>2089197.34308773</v>
      </c>
      <c r="E1597" s="1173">
        <v>74461.018393253398</v>
      </c>
      <c r="F1597" s="1174">
        <v>15.7649161359261</v>
      </c>
      <c r="G1597" s="1175">
        <v>0.50419342858046001</v>
      </c>
    </row>
    <row r="1598" spans="1:7" x14ac:dyDescent="0.25">
      <c r="A1598" s="6" t="s">
        <v>1133</v>
      </c>
      <c r="B1598" s="6"/>
      <c r="C1598" s="1168">
        <v>2805</v>
      </c>
      <c r="D1598" s="1168">
        <v>2044181.58325843</v>
      </c>
      <c r="E1598" s="1169">
        <v>59393.304624977398</v>
      </c>
      <c r="F1598" s="1170">
        <v>15.4252308109127</v>
      </c>
      <c r="G1598" s="1171">
        <v>0.387097214811434</v>
      </c>
    </row>
    <row r="1599" spans="1:7" x14ac:dyDescent="0.25">
      <c r="A1599" s="11" t="s">
        <v>1123</v>
      </c>
      <c r="B1599" s="11"/>
      <c r="C1599" s="1172">
        <v>2370</v>
      </c>
      <c r="D1599" s="1172">
        <v>1780980.5305940199</v>
      </c>
      <c r="E1599" s="1173">
        <v>48492.673500384197</v>
      </c>
      <c r="F1599" s="1174">
        <v>13.4391367083759</v>
      </c>
      <c r="G1599" s="1175">
        <v>0.35168080473574098</v>
      </c>
    </row>
    <row r="1600" spans="1:7" x14ac:dyDescent="0.25">
      <c r="A1600" s="6" t="s">
        <v>1297</v>
      </c>
      <c r="B1600" s="6"/>
      <c r="C1600" s="1168">
        <v>1234</v>
      </c>
      <c r="D1600" s="1168">
        <v>1051352.28899816</v>
      </c>
      <c r="E1600" s="1169">
        <v>61446.716905774003</v>
      </c>
      <c r="F1600" s="1170">
        <v>7.9334203253741604</v>
      </c>
      <c r="G1600" s="1171">
        <v>0.48704211238095202</v>
      </c>
    </row>
    <row r="1601" spans="1:7" x14ac:dyDescent="0.25">
      <c r="A1601" s="11" t="s">
        <v>3172</v>
      </c>
      <c r="B1601" s="11"/>
      <c r="C1601" s="1172">
        <v>1218</v>
      </c>
      <c r="D1601" s="1172">
        <v>941532.80632507498</v>
      </c>
      <c r="E1601" s="1173">
        <v>59031.811904050599</v>
      </c>
      <c r="F1601" s="1174">
        <v>7.1047312883331601</v>
      </c>
      <c r="G1601" s="1175">
        <v>0.43785406800648002</v>
      </c>
    </row>
    <row r="1602" spans="1:7" x14ac:dyDescent="0.25">
      <c r="A1602" s="6" t="s">
        <v>6430</v>
      </c>
      <c r="B1602" s="6"/>
      <c r="C1602" s="1168">
        <v>1329</v>
      </c>
      <c r="D1602" s="1168">
        <v>830572.95297546999</v>
      </c>
      <c r="E1602" s="1169">
        <v>66155.406720328494</v>
      </c>
      <c r="F1602" s="1170">
        <v>6.2674371053308802</v>
      </c>
      <c r="G1602" s="1171">
        <v>0.52645668806259405</v>
      </c>
    </row>
    <row r="1603" spans="1:7" x14ac:dyDescent="0.25">
      <c r="A1603" s="11" t="s">
        <v>3187</v>
      </c>
      <c r="B1603" s="11"/>
      <c r="C1603" s="1172">
        <v>542</v>
      </c>
      <c r="D1603" s="1172">
        <v>468065.821581861</v>
      </c>
      <c r="E1603" s="1173">
        <v>25066.589489105401</v>
      </c>
      <c r="F1603" s="1174">
        <v>3.5319872714492102</v>
      </c>
      <c r="G1603" s="1175">
        <v>0.184926503283174</v>
      </c>
    </row>
    <row r="1604" spans="1:7" x14ac:dyDescent="0.25">
      <c r="A1604" s="6" t="s">
        <v>6433</v>
      </c>
      <c r="B1604" s="6"/>
      <c r="C1604" s="1168">
        <v>631</v>
      </c>
      <c r="D1604" s="1168">
        <v>443690.80386237998</v>
      </c>
      <c r="E1604" s="1169">
        <v>25757.090920752398</v>
      </c>
      <c r="F1604" s="1170">
        <v>3.3480553363303298</v>
      </c>
      <c r="G1604" s="1171">
        <v>0.196296803431142</v>
      </c>
    </row>
    <row r="1605" spans="1:7" x14ac:dyDescent="0.25">
      <c r="A1605" s="11" t="s">
        <v>6432</v>
      </c>
      <c r="B1605" s="11"/>
      <c r="C1605" s="1172">
        <v>591</v>
      </c>
      <c r="D1605" s="1172">
        <v>398045.27698061499</v>
      </c>
      <c r="E1605" s="1173">
        <v>44598.394657819699</v>
      </c>
      <c r="F1605" s="1174">
        <v>3.0036178394839901</v>
      </c>
      <c r="G1605" s="1175">
        <v>0.33047082838226099</v>
      </c>
    </row>
    <row r="1606" spans="1:7" x14ac:dyDescent="0.25">
      <c r="A1606" s="6" t="s">
        <v>3201</v>
      </c>
      <c r="B1606" s="6"/>
      <c r="C1606" s="1168">
        <v>475</v>
      </c>
      <c r="D1606" s="1168">
        <v>387392.13016710797</v>
      </c>
      <c r="E1606" s="1169">
        <v>24639.9951904187</v>
      </c>
      <c r="F1606" s="1170">
        <v>2.9232300452651598</v>
      </c>
      <c r="G1606" s="1171">
        <v>0.19367248593231801</v>
      </c>
    </row>
    <row r="1607" spans="1:7" x14ac:dyDescent="0.25">
      <c r="A1607" s="11" t="s">
        <v>1127</v>
      </c>
      <c r="B1607" s="11"/>
      <c r="C1607" s="1172">
        <v>630</v>
      </c>
      <c r="D1607" s="1172">
        <v>324517.465272111</v>
      </c>
      <c r="E1607" s="1173">
        <v>28929.7769859373</v>
      </c>
      <c r="F1607" s="1174">
        <v>2.4487828503060101</v>
      </c>
      <c r="G1607" s="1175">
        <v>0.21945477543476</v>
      </c>
    </row>
    <row r="1608" spans="1:7" x14ac:dyDescent="0.25">
      <c r="A1608" s="6" t="s">
        <v>1299</v>
      </c>
      <c r="B1608" s="6"/>
      <c r="C1608" s="1168">
        <v>421</v>
      </c>
      <c r="D1608" s="1168">
        <v>322441.94646073901</v>
      </c>
      <c r="E1608" s="1169">
        <v>19219.0017192464</v>
      </c>
      <c r="F1608" s="1170">
        <v>2.4331211512769202</v>
      </c>
      <c r="G1608" s="1171">
        <v>0.14673213700922699</v>
      </c>
    </row>
    <row r="1609" spans="1:7" x14ac:dyDescent="0.25">
      <c r="A1609" s="11" t="s">
        <v>6429</v>
      </c>
      <c r="B1609" s="11"/>
      <c r="C1609" s="1172">
        <v>311</v>
      </c>
      <c r="D1609" s="1172">
        <v>194074.61769974901</v>
      </c>
      <c r="E1609" s="1173">
        <v>14431.3173013424</v>
      </c>
      <c r="F1609" s="1174">
        <v>1.46447155041206</v>
      </c>
      <c r="G1609" s="1175">
        <v>0.112287127852402</v>
      </c>
    </row>
    <row r="1610" spans="1:7" x14ac:dyDescent="0.25">
      <c r="A1610" s="6" t="s">
        <v>6431</v>
      </c>
      <c r="B1610" s="6"/>
      <c r="C1610" s="1168">
        <v>304</v>
      </c>
      <c r="D1610" s="1168">
        <v>179754.202521981</v>
      </c>
      <c r="E1610" s="1169">
        <v>21745.4166393708</v>
      </c>
      <c r="F1610" s="1170">
        <v>1.356410842286</v>
      </c>
      <c r="G1610" s="1171">
        <v>0.16223031146312</v>
      </c>
    </row>
    <row r="1611" spans="1:7" x14ac:dyDescent="0.25">
      <c r="A1611" s="11" t="s">
        <v>1303</v>
      </c>
      <c r="B1611" s="11"/>
      <c r="C1611" s="1172">
        <v>227</v>
      </c>
      <c r="D1611" s="1172">
        <v>152673.634506984</v>
      </c>
      <c r="E1611" s="1173">
        <v>17125.538658820202</v>
      </c>
      <c r="F1611" s="1174">
        <v>1.1520630409247801</v>
      </c>
      <c r="G1611" s="1175">
        <v>0.13059285002943899</v>
      </c>
    </row>
    <row r="1612" spans="1:7" x14ac:dyDescent="0.25">
      <c r="A1612" s="6" t="s">
        <v>1129</v>
      </c>
      <c r="B1612" s="6"/>
      <c r="C1612" s="1168">
        <v>196</v>
      </c>
      <c r="D1612" s="1168">
        <v>147229.200597188</v>
      </c>
      <c r="E1612" s="1169">
        <v>21790.789234566499</v>
      </c>
      <c r="F1612" s="1170">
        <v>1.1109797778814401</v>
      </c>
      <c r="G1612" s="1171">
        <v>0.16251246191899699</v>
      </c>
    </row>
    <row r="1613" spans="1:7" x14ac:dyDescent="0.25">
      <c r="A1613" s="11" t="s">
        <v>6426</v>
      </c>
      <c r="B1613" s="11"/>
      <c r="C1613" s="1172">
        <v>176</v>
      </c>
      <c r="D1613" s="1172">
        <v>141657.65291926099</v>
      </c>
      <c r="E1613" s="1173">
        <v>11878.284742731599</v>
      </c>
      <c r="F1613" s="1174">
        <v>1.06893732450554</v>
      </c>
      <c r="G1613" s="1175">
        <v>9.3252672253098301E-2</v>
      </c>
    </row>
    <row r="1614" spans="1:7" x14ac:dyDescent="0.25">
      <c r="A1614" s="6" t="s">
        <v>1139</v>
      </c>
      <c r="B1614" s="6"/>
      <c r="C1614" s="1168">
        <v>232</v>
      </c>
      <c r="D1614" s="1168">
        <v>136210.25897857401</v>
      </c>
      <c r="E1614" s="1169">
        <v>24821.567144743702</v>
      </c>
      <c r="F1614" s="1170">
        <v>1.0278317253057201</v>
      </c>
      <c r="G1614" s="1171">
        <v>0.18489701523767901</v>
      </c>
    </row>
    <row r="1615" spans="1:7" x14ac:dyDescent="0.25">
      <c r="A1615" s="11" t="s">
        <v>6428</v>
      </c>
      <c r="B1615" s="11"/>
      <c r="C1615" s="1172">
        <v>227</v>
      </c>
      <c r="D1615" s="1172">
        <v>124088.768820725</v>
      </c>
      <c r="E1615" s="1173">
        <v>14637.173037827401</v>
      </c>
      <c r="F1615" s="1174">
        <v>0.93636392959307502</v>
      </c>
      <c r="G1615" s="1175">
        <v>0.111287037871159</v>
      </c>
    </row>
    <row r="1616" spans="1:7" x14ac:dyDescent="0.25">
      <c r="A1616" s="6" t="s">
        <v>1301</v>
      </c>
      <c r="B1616" s="6"/>
      <c r="C1616" s="1168">
        <v>187</v>
      </c>
      <c r="D1616" s="1168">
        <v>90837.749703853697</v>
      </c>
      <c r="E1616" s="1169">
        <v>24827.664131859601</v>
      </c>
      <c r="F1616" s="1170">
        <v>0.68545439749650305</v>
      </c>
      <c r="G1616" s="1171">
        <v>0.18759358561602901</v>
      </c>
    </row>
    <row r="1617" spans="1:7" x14ac:dyDescent="0.25">
      <c r="A1617" s="11" t="s">
        <v>1137</v>
      </c>
      <c r="B1617" s="11"/>
      <c r="C1617" s="1172">
        <v>155</v>
      </c>
      <c r="D1617" s="1172">
        <v>78368.831233292702</v>
      </c>
      <c r="E1617" s="1173">
        <v>14387.8355370225</v>
      </c>
      <c r="F1617" s="1174">
        <v>0.59136493551031699</v>
      </c>
      <c r="G1617" s="1175">
        <v>0.108624424485962</v>
      </c>
    </row>
    <row r="1618" spans="1:7" x14ac:dyDescent="0.25">
      <c r="A1618" s="6" t="s">
        <v>6434</v>
      </c>
      <c r="B1618" s="6"/>
      <c r="C1618" s="1168">
        <v>138</v>
      </c>
      <c r="D1618" s="1168">
        <v>77529.450591517903</v>
      </c>
      <c r="E1618" s="1169">
        <v>11517.0784703225</v>
      </c>
      <c r="F1618" s="1170">
        <v>0.585031036289412</v>
      </c>
      <c r="G1618" s="1171">
        <v>8.5896913895505106E-2</v>
      </c>
    </row>
    <row r="1619" spans="1:7" x14ac:dyDescent="0.25">
      <c r="A1619" s="11" t="s">
        <v>1131</v>
      </c>
      <c r="B1619" s="11"/>
      <c r="C1619" s="1172">
        <v>139</v>
      </c>
      <c r="D1619" s="1172">
        <v>76570.782319109203</v>
      </c>
      <c r="E1619" s="1173">
        <v>9574.5428586655999</v>
      </c>
      <c r="F1619" s="1174">
        <v>0.57779700214385898</v>
      </c>
      <c r="G1619" s="1175">
        <v>7.3083948005320906E-2</v>
      </c>
    </row>
    <row r="1620" spans="1:7" x14ac:dyDescent="0.25">
      <c r="A1620" s="6" t="s">
        <v>6427</v>
      </c>
      <c r="B1620" s="6"/>
      <c r="C1620" s="1168">
        <v>63</v>
      </c>
      <c r="D1620" s="1168">
        <v>76096.394253471299</v>
      </c>
      <c r="E1620" s="1169">
        <v>13047.579887001501</v>
      </c>
      <c r="F1620" s="1170">
        <v>0.57421730772417701</v>
      </c>
      <c r="G1620" s="1171">
        <v>9.6275990707095402E-2</v>
      </c>
    </row>
    <row r="1621" spans="1:7" x14ac:dyDescent="0.25">
      <c r="A1621" s="11" t="s">
        <v>1189</v>
      </c>
      <c r="B1621" s="11"/>
      <c r="C1621" s="1172">
        <v>105</v>
      </c>
      <c r="D1621" s="1172">
        <v>71172.723163710805</v>
      </c>
      <c r="E1621" s="1173">
        <v>13029.3848080157</v>
      </c>
      <c r="F1621" s="1174">
        <v>0.53706367928990195</v>
      </c>
      <c r="G1621" s="1175">
        <v>9.7229015288848405E-2</v>
      </c>
    </row>
    <row r="1622" spans="1:7" x14ac:dyDescent="0.25">
      <c r="A1622" s="6" t="s">
        <v>3215</v>
      </c>
      <c r="B1622" s="6"/>
      <c r="C1622" s="1168">
        <v>80</v>
      </c>
      <c r="D1622" s="1168">
        <v>57182.2111895817</v>
      </c>
      <c r="E1622" s="1169">
        <v>8305.2854121104301</v>
      </c>
      <c r="F1622" s="1170">
        <v>0.43149239436531001</v>
      </c>
      <c r="G1622" s="1171">
        <v>6.2776270948363203E-2</v>
      </c>
    </row>
    <row r="1623" spans="1:7" x14ac:dyDescent="0.25">
      <c r="A1623" s="11" t="s">
        <v>1135</v>
      </c>
      <c r="B1623" s="11"/>
      <c r="C1623" s="1172">
        <v>75</v>
      </c>
      <c r="D1623" s="1172">
        <v>54843.298485940199</v>
      </c>
      <c r="E1623" s="1173">
        <v>18585.714058286001</v>
      </c>
      <c r="F1623" s="1174">
        <v>0.41384314608143802</v>
      </c>
      <c r="G1623" s="1175">
        <v>0.13985039135835001</v>
      </c>
    </row>
    <row r="1624" spans="1:7" x14ac:dyDescent="0.25">
      <c r="A1624" s="6" t="s">
        <v>1309</v>
      </c>
      <c r="B1624" s="6"/>
      <c r="C1624" s="1168">
        <v>62</v>
      </c>
      <c r="D1624" s="1168">
        <v>51957.862279631503</v>
      </c>
      <c r="E1624" s="1169">
        <v>15113.386992388199</v>
      </c>
      <c r="F1624" s="1170">
        <v>0.39206987513672598</v>
      </c>
      <c r="G1624" s="1171">
        <v>0.11310249614748399</v>
      </c>
    </row>
    <row r="1625" spans="1:7" x14ac:dyDescent="0.25">
      <c r="A1625" s="11" t="s">
        <v>1125</v>
      </c>
      <c r="B1625" s="11"/>
      <c r="C1625" s="1172">
        <v>97</v>
      </c>
      <c r="D1625" s="1172">
        <v>46109.341257028398</v>
      </c>
      <c r="E1625" s="1173">
        <v>9962.6512903045204</v>
      </c>
      <c r="F1625" s="1174">
        <v>0.34793740304375098</v>
      </c>
      <c r="G1625" s="1175">
        <v>7.4413432808549104E-2</v>
      </c>
    </row>
    <row r="1626" spans="1:7" x14ac:dyDescent="0.25">
      <c r="A1626" s="6" t="s">
        <v>1305</v>
      </c>
      <c r="B1626" s="6"/>
      <c r="C1626" s="1168">
        <v>49</v>
      </c>
      <c r="D1626" s="1168">
        <v>42416.189254926503</v>
      </c>
      <c r="E1626" s="1169">
        <v>12030.059153800399</v>
      </c>
      <c r="F1626" s="1170">
        <v>0.32006917327455398</v>
      </c>
      <c r="G1626" s="1171">
        <v>9.1674791819509396E-2</v>
      </c>
    </row>
    <row r="1627" spans="1:7" x14ac:dyDescent="0.25">
      <c r="A1627" s="11" t="s">
        <v>3234</v>
      </c>
      <c r="B1627" s="11"/>
      <c r="C1627" s="1172">
        <v>53</v>
      </c>
      <c r="D1627" s="1172">
        <v>40327.6274196753</v>
      </c>
      <c r="E1627" s="1173">
        <v>8043.6396652563299</v>
      </c>
      <c r="F1627" s="1174">
        <v>0.304309052629959</v>
      </c>
      <c r="G1627" s="1175">
        <v>6.0781559487887903E-2</v>
      </c>
    </row>
    <row r="1628" spans="1:7" x14ac:dyDescent="0.25">
      <c r="A1628" s="6" t="s">
        <v>1292</v>
      </c>
      <c r="B1628" s="6"/>
      <c r="C1628" s="1168">
        <v>48</v>
      </c>
      <c r="D1628" s="1168">
        <v>36847.918786155802</v>
      </c>
      <c r="E1628" s="1169">
        <v>9658.9595703921295</v>
      </c>
      <c r="F1628" s="1170">
        <v>0.27805144945695398</v>
      </c>
      <c r="G1628" s="1171">
        <v>7.3576049096896204E-2</v>
      </c>
    </row>
    <row r="1629" spans="1:7" x14ac:dyDescent="0.25">
      <c r="A1629" s="11" t="s">
        <v>1191</v>
      </c>
      <c r="B1629" s="11"/>
      <c r="C1629" s="1172">
        <v>44</v>
      </c>
      <c r="D1629" s="1172">
        <v>28886.168440031001</v>
      </c>
      <c r="E1629" s="1173">
        <v>7625.1316114593101</v>
      </c>
      <c r="F1629" s="1174">
        <v>0.21797271782486599</v>
      </c>
      <c r="G1629" s="1175">
        <v>5.69846994283221E-2</v>
      </c>
    </row>
    <row r="1630" spans="1:7" x14ac:dyDescent="0.25">
      <c r="A1630" s="6" t="s">
        <v>6524</v>
      </c>
      <c r="B1630" s="6"/>
      <c r="C1630" s="1168">
        <v>30</v>
      </c>
      <c r="D1630" s="1168">
        <v>24443.262825551501</v>
      </c>
      <c r="E1630" s="1169">
        <v>7838.26043449395</v>
      </c>
      <c r="F1630" s="1170">
        <v>0.18444690723361601</v>
      </c>
      <c r="G1630" s="1171">
        <v>5.8827393197484902E-2</v>
      </c>
    </row>
    <row r="1631" spans="1:7" x14ac:dyDescent="0.25">
      <c r="A1631" s="11" t="s">
        <v>3178</v>
      </c>
      <c r="B1631" s="11"/>
      <c r="C1631" s="1172">
        <v>41</v>
      </c>
      <c r="D1631" s="1172">
        <v>22418.584216242401</v>
      </c>
      <c r="E1631" s="1173">
        <v>6169.7552662915195</v>
      </c>
      <c r="F1631" s="1174">
        <v>0.169168844305014</v>
      </c>
      <c r="G1631" s="1175">
        <v>4.6525928332099301E-2</v>
      </c>
    </row>
    <row r="1632" spans="1:7" x14ac:dyDescent="0.25">
      <c r="A1632" s="6" t="s">
        <v>3344</v>
      </c>
      <c r="B1632" s="6"/>
      <c r="C1632" s="1168">
        <v>13</v>
      </c>
      <c r="D1632" s="1168">
        <v>20436.915080705101</v>
      </c>
      <c r="E1632" s="1169">
        <v>9956.3464411912701</v>
      </c>
      <c r="F1632" s="1170">
        <v>0.15421532742722299</v>
      </c>
      <c r="G1632" s="1171">
        <v>7.5117976613532894E-2</v>
      </c>
    </row>
    <row r="1633" spans="1:7" x14ac:dyDescent="0.25">
      <c r="A1633" s="11" t="s">
        <v>3323</v>
      </c>
      <c r="B1633" s="11"/>
      <c r="C1633" s="1172">
        <v>20</v>
      </c>
      <c r="D1633" s="1172">
        <v>20107.219491473901</v>
      </c>
      <c r="E1633" s="1173">
        <v>6966.7394978474504</v>
      </c>
      <c r="F1633" s="1174">
        <v>0.15172747086747199</v>
      </c>
      <c r="G1633" s="1175">
        <v>5.2284860742366199E-2</v>
      </c>
    </row>
    <row r="1634" spans="1:7" x14ac:dyDescent="0.25">
      <c r="A1634" s="6" t="s">
        <v>1141</v>
      </c>
      <c r="B1634" s="6"/>
      <c r="C1634" s="1168">
        <v>34</v>
      </c>
      <c r="D1634" s="1168">
        <v>17384.931178322098</v>
      </c>
      <c r="E1634" s="1169">
        <v>5646.1147067582497</v>
      </c>
      <c r="F1634" s="1170">
        <v>0.13118530088212199</v>
      </c>
      <c r="G1634" s="1171">
        <v>4.2541300252531902E-2</v>
      </c>
    </row>
    <row r="1635" spans="1:7" x14ac:dyDescent="0.25">
      <c r="A1635" s="11" t="s">
        <v>4437</v>
      </c>
      <c r="B1635" s="11"/>
      <c r="C1635" s="1172">
        <v>18</v>
      </c>
      <c r="D1635" s="1172">
        <v>17078.444544318201</v>
      </c>
      <c r="E1635" s="1173">
        <v>4766.2136887081397</v>
      </c>
      <c r="F1635" s="1174">
        <v>0.128872577243141</v>
      </c>
      <c r="G1635" s="1175">
        <v>3.6067891846877601E-2</v>
      </c>
    </row>
    <row r="1636" spans="1:7" x14ac:dyDescent="0.25">
      <c r="A1636" s="6" t="s">
        <v>1307</v>
      </c>
      <c r="B1636" s="6"/>
      <c r="C1636" s="1168">
        <v>25</v>
      </c>
      <c r="D1636" s="1168">
        <v>15167.1235869295</v>
      </c>
      <c r="E1636" s="1169">
        <v>5814.2008399442702</v>
      </c>
      <c r="F1636" s="1170">
        <v>0.114449902093872</v>
      </c>
      <c r="G1636" s="1171">
        <v>4.40649853287449E-2</v>
      </c>
    </row>
    <row r="1637" spans="1:7" x14ac:dyDescent="0.25">
      <c r="A1637" s="11" t="s">
        <v>3193</v>
      </c>
      <c r="B1637" s="11"/>
      <c r="C1637" s="1172">
        <v>18</v>
      </c>
      <c r="D1637" s="1172">
        <v>12153.992494070701</v>
      </c>
      <c r="E1637" s="1173">
        <v>7820.6900234657396</v>
      </c>
      <c r="F1637" s="1174">
        <v>9.1713055743462502E-2</v>
      </c>
      <c r="G1637" s="1175">
        <v>5.9241537196227503E-2</v>
      </c>
    </row>
    <row r="1638" spans="1:7" x14ac:dyDescent="0.25">
      <c r="A1638" s="6" t="s">
        <v>6525</v>
      </c>
      <c r="B1638" s="6"/>
      <c r="C1638" s="1168">
        <v>29</v>
      </c>
      <c r="D1638" s="1168">
        <v>11284.946007933</v>
      </c>
      <c r="E1638" s="1169">
        <v>5597.1520252903001</v>
      </c>
      <c r="F1638" s="1170">
        <v>8.51553004325485E-2</v>
      </c>
      <c r="G1638" s="1171">
        <v>4.2250077566953002E-2</v>
      </c>
    </row>
    <row r="1639" spans="1:7" x14ac:dyDescent="0.25">
      <c r="A1639" s="11" t="s">
        <v>3174</v>
      </c>
      <c r="B1639" s="11"/>
      <c r="C1639" s="1172">
        <v>21</v>
      </c>
      <c r="D1639" s="1172">
        <v>11173.2753030524</v>
      </c>
      <c r="E1639" s="1173">
        <v>5264.7041727769501</v>
      </c>
      <c r="F1639" s="1174">
        <v>8.4312642220720102E-2</v>
      </c>
      <c r="G1639" s="1175">
        <v>3.98336137966201E-2</v>
      </c>
    </row>
    <row r="1640" spans="1:7" x14ac:dyDescent="0.25">
      <c r="A1640" s="6" t="s">
        <v>3176</v>
      </c>
      <c r="B1640" s="6"/>
      <c r="C1640" s="1168">
        <v>26</v>
      </c>
      <c r="D1640" s="1168">
        <v>10637.4850329897</v>
      </c>
      <c r="E1640" s="1169">
        <v>4181.6255807031603</v>
      </c>
      <c r="F1640" s="1170">
        <v>8.0269611675075306E-2</v>
      </c>
      <c r="G1640" s="1171">
        <v>3.1308158715335703E-2</v>
      </c>
    </row>
    <row r="1641" spans="1:7" x14ac:dyDescent="0.25">
      <c r="A1641" s="11" t="s">
        <v>1193</v>
      </c>
      <c r="B1641" s="11"/>
      <c r="C1641" s="1172">
        <v>28</v>
      </c>
      <c r="D1641" s="1172">
        <v>10390.9478161034</v>
      </c>
      <c r="E1641" s="1173">
        <v>4472.5459877495296</v>
      </c>
      <c r="F1641" s="1174">
        <v>7.8409261545177106E-2</v>
      </c>
      <c r="G1641" s="1175">
        <v>3.3546987512062497E-2</v>
      </c>
    </row>
    <row r="1642" spans="1:7" x14ac:dyDescent="0.25">
      <c r="A1642" s="6" t="s">
        <v>1199</v>
      </c>
      <c r="B1642" s="6"/>
      <c r="C1642" s="1168">
        <v>12</v>
      </c>
      <c r="D1642" s="1168">
        <v>7893.3901377733901</v>
      </c>
      <c r="E1642" s="1169">
        <v>5618.2709724781398</v>
      </c>
      <c r="F1642" s="1170">
        <v>5.9562890964732502E-2</v>
      </c>
      <c r="G1642" s="1171">
        <v>4.2308027919508703E-2</v>
      </c>
    </row>
    <row r="1643" spans="1:7" x14ac:dyDescent="0.25">
      <c r="A1643" s="11" t="s">
        <v>3180</v>
      </c>
      <c r="B1643" s="11"/>
      <c r="C1643" s="1172">
        <v>4</v>
      </c>
      <c r="D1643" s="1172">
        <v>6769.9848662035802</v>
      </c>
      <c r="E1643" s="1173">
        <v>6524.8927476046101</v>
      </c>
      <c r="F1643" s="1174">
        <v>5.1085764592945997E-2</v>
      </c>
      <c r="G1643" s="1175">
        <v>4.9226878766106298E-2</v>
      </c>
    </row>
    <row r="1644" spans="1:7" x14ac:dyDescent="0.25">
      <c r="A1644" s="6" t="s">
        <v>6526</v>
      </c>
      <c r="B1644" s="6"/>
      <c r="C1644" s="1168">
        <v>3</v>
      </c>
      <c r="D1644" s="1168">
        <v>6231.4170036953301</v>
      </c>
      <c r="E1644" s="1169">
        <v>2986.6065501400299</v>
      </c>
      <c r="F1644" s="1170">
        <v>4.7021774556753902E-2</v>
      </c>
      <c r="G1644" s="1171">
        <v>2.26115405992065E-2</v>
      </c>
    </row>
    <row r="1645" spans="1:7" x14ac:dyDescent="0.25">
      <c r="A1645" s="11" t="s">
        <v>1197</v>
      </c>
      <c r="B1645" s="11"/>
      <c r="C1645" s="1172">
        <v>16</v>
      </c>
      <c r="D1645" s="1172">
        <v>6148.0418120602299</v>
      </c>
      <c r="E1645" s="1173">
        <v>3092.7014871288402</v>
      </c>
      <c r="F1645" s="1174">
        <v>4.6392632025871003E-2</v>
      </c>
      <c r="G1645" s="1175">
        <v>2.33917464968585E-2</v>
      </c>
    </row>
    <row r="1646" spans="1:7" x14ac:dyDescent="0.25">
      <c r="A1646" s="6" t="s">
        <v>1187</v>
      </c>
      <c r="B1646" s="6"/>
      <c r="C1646" s="1168">
        <v>27</v>
      </c>
      <c r="D1646" s="1168">
        <v>5353.2067483813098</v>
      </c>
      <c r="E1646" s="1169">
        <v>1995.5987830362801</v>
      </c>
      <c r="F1646" s="1170">
        <v>4.0394870176206701E-2</v>
      </c>
      <c r="G1646" s="1171">
        <v>1.4994923622745999E-2</v>
      </c>
    </row>
    <row r="1647" spans="1:7" x14ac:dyDescent="0.25">
      <c r="A1647" s="11" t="s">
        <v>6522</v>
      </c>
      <c r="B1647" s="11"/>
      <c r="C1647" s="1172">
        <v>2</v>
      </c>
      <c r="D1647" s="1172">
        <v>4835.51390589117</v>
      </c>
      <c r="E1647" s="1173">
        <v>4301.9856808906698</v>
      </c>
      <c r="F1647" s="1174">
        <v>3.6488401372276401E-2</v>
      </c>
      <c r="G1647" s="1175">
        <v>3.2448122976155902E-2</v>
      </c>
    </row>
    <row r="1648" spans="1:7" x14ac:dyDescent="0.25">
      <c r="A1648" s="6" t="s">
        <v>3191</v>
      </c>
      <c r="B1648" s="6"/>
      <c r="C1648" s="1168">
        <v>7</v>
      </c>
      <c r="D1648" s="1168">
        <v>4660.1725969018098</v>
      </c>
      <c r="E1648" s="1169">
        <v>2562.5456652300199</v>
      </c>
      <c r="F1648" s="1170">
        <v>3.5165289871811202E-2</v>
      </c>
      <c r="G1648" s="1171">
        <v>1.9302328238395498E-2</v>
      </c>
    </row>
    <row r="1649" spans="1:7" x14ac:dyDescent="0.25">
      <c r="A1649" s="11" t="s">
        <v>6527</v>
      </c>
      <c r="B1649" s="11"/>
      <c r="C1649" s="1172">
        <v>7</v>
      </c>
      <c r="D1649" s="1172">
        <v>4205.0625716330296</v>
      </c>
      <c r="E1649" s="1173">
        <v>3205.9153254756202</v>
      </c>
      <c r="F1649" s="1174">
        <v>3.1731066003625699E-2</v>
      </c>
      <c r="G1649" s="1175">
        <v>2.4170227911104399E-2</v>
      </c>
    </row>
    <row r="1650" spans="1:7" x14ac:dyDescent="0.25">
      <c r="A1650" s="6" t="s">
        <v>6528</v>
      </c>
      <c r="B1650" s="6"/>
      <c r="C1650" s="1168">
        <v>1</v>
      </c>
      <c r="D1650" s="1168">
        <v>3914.6221777206101</v>
      </c>
      <c r="E1650" s="1169">
        <v>3688.8889123500699</v>
      </c>
      <c r="F1650" s="1170">
        <v>2.95394260096042E-2</v>
      </c>
      <c r="G1650" s="1171">
        <v>2.78452598521528E-2</v>
      </c>
    </row>
    <row r="1651" spans="1:7" x14ac:dyDescent="0.25">
      <c r="A1651" s="11" t="s">
        <v>3207</v>
      </c>
      <c r="B1651" s="11"/>
      <c r="C1651" s="1172">
        <v>9</v>
      </c>
      <c r="D1651" s="1172">
        <v>3427.4917610468001</v>
      </c>
      <c r="E1651" s="1173">
        <v>1835.5594056161499</v>
      </c>
      <c r="F1651" s="1174">
        <v>2.5863578827656601E-2</v>
      </c>
      <c r="G1651" s="1175">
        <v>1.3911527074760101E-2</v>
      </c>
    </row>
    <row r="1652" spans="1:7" x14ac:dyDescent="0.25">
      <c r="A1652" s="6" t="s">
        <v>3195</v>
      </c>
      <c r="B1652" s="6"/>
      <c r="C1652" s="1168">
        <v>3</v>
      </c>
      <c r="D1652" s="1168">
        <v>2993.00674620057</v>
      </c>
      <c r="E1652" s="1169">
        <v>2747.7022703712601</v>
      </c>
      <c r="F1652" s="1170">
        <v>2.2584989639311201E-2</v>
      </c>
      <c r="G1652" s="1171">
        <v>2.07317360258364E-2</v>
      </c>
    </row>
    <row r="1653" spans="1:7" x14ac:dyDescent="0.25">
      <c r="A1653" s="11" t="s">
        <v>3205</v>
      </c>
      <c r="B1653" s="11"/>
      <c r="C1653" s="1172">
        <v>6</v>
      </c>
      <c r="D1653" s="1172">
        <v>2944.1199419025202</v>
      </c>
      <c r="E1653" s="1173">
        <v>2133.8305673496002</v>
      </c>
      <c r="F1653" s="1174">
        <v>2.2216093722196399E-2</v>
      </c>
      <c r="G1653" s="1175">
        <v>1.6099067588410801E-2</v>
      </c>
    </row>
    <row r="1654" spans="1:7" x14ac:dyDescent="0.25">
      <c r="A1654" s="6" t="s">
        <v>3314</v>
      </c>
      <c r="B1654" s="6"/>
      <c r="C1654" s="1168">
        <v>2</v>
      </c>
      <c r="D1654" s="1168">
        <v>2145.0309772240898</v>
      </c>
      <c r="E1654" s="1169">
        <v>2144.7322063132001</v>
      </c>
      <c r="F1654" s="1170">
        <v>1.6186232275656E-2</v>
      </c>
      <c r="G1654" s="1171">
        <v>1.61814255222168E-2</v>
      </c>
    </row>
    <row r="1655" spans="1:7" x14ac:dyDescent="0.25">
      <c r="A1655" s="11" t="s">
        <v>3189</v>
      </c>
      <c r="B1655" s="11"/>
      <c r="C1655" s="1172">
        <v>7</v>
      </c>
      <c r="D1655" s="1172">
        <v>2042.73378901257</v>
      </c>
      <c r="E1655" s="1173">
        <v>1356.33602186759</v>
      </c>
      <c r="F1655" s="1174">
        <v>1.54143058712733E-2</v>
      </c>
      <c r="G1655" s="1175">
        <v>1.02480709633299E-2</v>
      </c>
    </row>
    <row r="1656" spans="1:7" x14ac:dyDescent="0.25">
      <c r="A1656" s="6" t="s">
        <v>6529</v>
      </c>
      <c r="B1656" s="6"/>
      <c r="C1656" s="1168">
        <v>1</v>
      </c>
      <c r="D1656" s="1168">
        <v>1775.5730843359499</v>
      </c>
      <c r="E1656" s="1169">
        <v>1794.00049010305</v>
      </c>
      <c r="F1656" s="1170">
        <v>1.3398332551195701E-2</v>
      </c>
      <c r="G1656" s="1171">
        <v>1.35278414817904E-2</v>
      </c>
    </row>
    <row r="1657" spans="1:7" x14ac:dyDescent="0.25">
      <c r="A1657" s="11" t="s">
        <v>6530</v>
      </c>
      <c r="B1657" s="11"/>
      <c r="C1657" s="1172">
        <v>4</v>
      </c>
      <c r="D1657" s="1172">
        <v>1355.1612108442901</v>
      </c>
      <c r="E1657" s="1173">
        <v>1359.56173202729</v>
      </c>
      <c r="F1657" s="1174">
        <v>1.0225938162474101E-2</v>
      </c>
      <c r="G1657" s="1175">
        <v>1.0263607176666601E-2</v>
      </c>
    </row>
    <row r="1658" spans="1:7" x14ac:dyDescent="0.25">
      <c r="A1658" s="6" t="s">
        <v>6531</v>
      </c>
      <c r="B1658" s="6"/>
      <c r="C1658" s="1168">
        <v>8</v>
      </c>
      <c r="D1658" s="1168">
        <v>806.795132965177</v>
      </c>
      <c r="E1658" s="1169">
        <v>353.652211311543</v>
      </c>
      <c r="F1658" s="1170">
        <v>6.0880115763842502E-3</v>
      </c>
      <c r="G1658" s="1171">
        <v>2.6657163000017E-3</v>
      </c>
    </row>
    <row r="1659" spans="1:7" x14ac:dyDescent="0.25">
      <c r="A1659" s="11" t="s">
        <v>3352</v>
      </c>
      <c r="B1659" s="11"/>
      <c r="C1659" s="1172">
        <v>1</v>
      </c>
      <c r="D1659" s="1172">
        <v>788.59890348759302</v>
      </c>
      <c r="E1659" s="1173">
        <v>795.04914737505703</v>
      </c>
      <c r="F1659" s="1174">
        <v>5.9507042833928598E-3</v>
      </c>
      <c r="G1659" s="1175">
        <v>5.9969453889605097E-3</v>
      </c>
    </row>
    <row r="1660" spans="1:7" x14ac:dyDescent="0.25">
      <c r="A1660" s="6" t="s">
        <v>1201</v>
      </c>
      <c r="B1660" s="6"/>
      <c r="C1660" s="1168">
        <v>3</v>
      </c>
      <c r="D1660" s="1168">
        <v>638.10914469866896</v>
      </c>
      <c r="E1660" s="1169">
        <v>638.91190577205305</v>
      </c>
      <c r="F1660" s="1170">
        <v>4.8151205940527497E-3</v>
      </c>
      <c r="G1660" s="1171">
        <v>4.8240265158631E-3</v>
      </c>
    </row>
    <row r="1661" spans="1:7" x14ac:dyDescent="0.25">
      <c r="A1661" s="11" t="s">
        <v>1213</v>
      </c>
      <c r="B1661" s="11"/>
      <c r="C1661" s="1172">
        <v>3</v>
      </c>
      <c r="D1661" s="1172">
        <v>616.95135085510299</v>
      </c>
      <c r="E1661" s="1173">
        <v>427.300376930146</v>
      </c>
      <c r="F1661" s="1174">
        <v>4.6554655731095998E-3</v>
      </c>
      <c r="G1661" s="1175">
        <v>3.2326662477010202E-3</v>
      </c>
    </row>
    <row r="1662" spans="1:7" x14ac:dyDescent="0.25">
      <c r="A1662" s="6" t="s">
        <v>3236</v>
      </c>
      <c r="B1662" s="6"/>
      <c r="C1662" s="1168">
        <v>7</v>
      </c>
      <c r="D1662" s="1168">
        <v>553.67551415592402</v>
      </c>
      <c r="E1662" s="1169">
        <v>338.65137573974499</v>
      </c>
      <c r="F1662" s="1170">
        <v>4.1779911677866603E-3</v>
      </c>
      <c r="G1662" s="1171">
        <v>2.5559733881153602E-3</v>
      </c>
    </row>
    <row r="1663" spans="1:7" x14ac:dyDescent="0.25">
      <c r="A1663" s="11" t="s">
        <v>6532</v>
      </c>
      <c r="B1663" s="11"/>
      <c r="C1663" s="1172">
        <v>3</v>
      </c>
      <c r="D1663" s="1172">
        <v>427.63771624822903</v>
      </c>
      <c r="E1663" s="1173">
        <v>243.39239855253101</v>
      </c>
      <c r="F1663" s="1174">
        <v>3.2269200205129502E-3</v>
      </c>
      <c r="G1663" s="1175">
        <v>1.8322691474494299E-3</v>
      </c>
    </row>
    <row r="1664" spans="1:7" x14ac:dyDescent="0.25">
      <c r="A1664" s="6" t="s">
        <v>1311</v>
      </c>
      <c r="B1664" s="6"/>
      <c r="C1664" s="1168">
        <v>2</v>
      </c>
      <c r="D1664" s="1168">
        <v>421.029086110641</v>
      </c>
      <c r="E1664" s="1169">
        <v>419.320825969483</v>
      </c>
      <c r="F1664" s="1170">
        <v>3.1770518258030902E-3</v>
      </c>
      <c r="G1664" s="1171">
        <v>3.16423009861259E-3</v>
      </c>
    </row>
    <row r="1665" spans="1:7" x14ac:dyDescent="0.25">
      <c r="A1665" s="11" t="s">
        <v>6533</v>
      </c>
      <c r="B1665" s="11"/>
      <c r="C1665" s="1172">
        <v>2</v>
      </c>
      <c r="D1665" s="1172">
        <v>360.84798912856797</v>
      </c>
      <c r="E1665" s="1173">
        <v>230.40375852398699</v>
      </c>
      <c r="F1665" s="1174">
        <v>2.7229300789851502E-3</v>
      </c>
      <c r="G1665" s="1175">
        <v>1.7367885494985499E-3</v>
      </c>
    </row>
    <row r="1666" spans="1:7" x14ac:dyDescent="0.25">
      <c r="A1666" s="6" t="s">
        <v>1207</v>
      </c>
      <c r="B1666" s="6"/>
      <c r="C1666" s="1168">
        <v>4</v>
      </c>
      <c r="D1666" s="1168">
        <v>290.40374157117299</v>
      </c>
      <c r="E1666" s="1169">
        <v>146.88513719443901</v>
      </c>
      <c r="F1666" s="1170">
        <v>2.19136341838457E-3</v>
      </c>
      <c r="G1666" s="1171">
        <v>1.1099418210159201E-3</v>
      </c>
    </row>
    <row r="1667" spans="1:7" x14ac:dyDescent="0.25">
      <c r="A1667" s="11" t="s">
        <v>3335</v>
      </c>
      <c r="B1667" s="11"/>
      <c r="C1667" s="1172">
        <v>1</v>
      </c>
      <c r="D1667" s="1172">
        <v>265.12307739371198</v>
      </c>
      <c r="E1667" s="1173">
        <v>264.42493721338099</v>
      </c>
      <c r="F1667" s="1174">
        <v>2.00059754749314E-3</v>
      </c>
      <c r="G1667" s="1175">
        <v>1.9955921348122799E-3</v>
      </c>
    </row>
    <row r="1668" spans="1:7" x14ac:dyDescent="0.25">
      <c r="A1668" s="6" t="s">
        <v>1217</v>
      </c>
      <c r="B1668" s="6"/>
      <c r="C1668" s="1168">
        <v>1</v>
      </c>
      <c r="D1668" s="1168">
        <v>170.673363018673</v>
      </c>
      <c r="E1668" s="1169">
        <v>170.814778472809</v>
      </c>
      <c r="F1668" s="1170">
        <v>1.28788755333625E-3</v>
      </c>
      <c r="G1668" s="1171">
        <v>1.28970681849198E-3</v>
      </c>
    </row>
    <row r="1669" spans="1:7" x14ac:dyDescent="0.25">
      <c r="A1669" s="11" t="s">
        <v>3217</v>
      </c>
      <c r="B1669" s="11"/>
      <c r="C1669" s="1172">
        <v>1</v>
      </c>
      <c r="D1669" s="1172">
        <v>117.90050425025601</v>
      </c>
      <c r="E1669" s="1173">
        <v>118.841819370042</v>
      </c>
      <c r="F1669" s="1174">
        <v>8.8966777984774998E-4</v>
      </c>
      <c r="G1669" s="1175">
        <v>8.9673522943458403E-4</v>
      </c>
    </row>
    <row r="1670" spans="1:7" x14ac:dyDescent="0.25">
      <c r="A1670" s="6" t="s">
        <v>6534</v>
      </c>
      <c r="B1670" s="6"/>
      <c r="C1670" s="1168">
        <v>2</v>
      </c>
      <c r="D1670" s="1168">
        <v>92.737257840181499</v>
      </c>
      <c r="E1670" s="1169">
        <v>91.741478371520699</v>
      </c>
      <c r="F1670" s="1170">
        <v>6.9978793404238998E-4</v>
      </c>
      <c r="G1670" s="1171">
        <v>6.9227471005015701E-4</v>
      </c>
    </row>
    <row r="1671" spans="1:7" x14ac:dyDescent="0.25">
      <c r="A1671" s="11" t="s">
        <v>1229</v>
      </c>
      <c r="B1671" s="11"/>
      <c r="C1671" s="1172">
        <v>1</v>
      </c>
      <c r="D1671" s="1172">
        <v>79.147686287610696</v>
      </c>
      <c r="E1671" s="1173">
        <v>78.551501817023805</v>
      </c>
      <c r="F1671" s="1174">
        <v>5.9724211348682096E-4</v>
      </c>
      <c r="G1671" s="1175">
        <v>5.9265152871917502E-4</v>
      </c>
    </row>
    <row r="1672" spans="1:7" x14ac:dyDescent="0.25">
      <c r="A1672" s="6" t="s">
        <v>6535</v>
      </c>
      <c r="B1672" s="6"/>
      <c r="C1672" s="1168">
        <v>1</v>
      </c>
      <c r="D1672" s="1168">
        <v>78.600001231129596</v>
      </c>
      <c r="E1672" s="1169">
        <v>78.263900241993795</v>
      </c>
      <c r="F1672" s="1170">
        <v>5.9310932583375795E-4</v>
      </c>
      <c r="G1672" s="1171">
        <v>5.9057605134378002E-4</v>
      </c>
    </row>
    <row r="1673" spans="1:7" x14ac:dyDescent="0.25">
      <c r="A1673" s="11" t="s">
        <v>3327</v>
      </c>
      <c r="B1673" s="11"/>
      <c r="C1673" s="1172">
        <v>2</v>
      </c>
      <c r="D1673" s="1172">
        <v>77.368346496861406</v>
      </c>
      <c r="E1673" s="1173">
        <v>77.159457661963998</v>
      </c>
      <c r="F1673" s="1174">
        <v>5.8381535767014904E-4</v>
      </c>
      <c r="G1673" s="1175">
        <v>5.8224057850782404E-4</v>
      </c>
    </row>
    <row r="1674" spans="1:7" x14ac:dyDescent="0.25">
      <c r="A1674" s="6" t="s">
        <v>1205</v>
      </c>
      <c r="B1674" s="6"/>
      <c r="C1674" s="1168">
        <v>4</v>
      </c>
      <c r="D1674" s="1168">
        <v>74.828088679005404</v>
      </c>
      <c r="E1674" s="1169">
        <v>74.580757017935298</v>
      </c>
      <c r="F1674" s="1170">
        <v>5.6464677525038497E-4</v>
      </c>
      <c r="G1674" s="1171">
        <v>5.6265151346392205E-4</v>
      </c>
    </row>
    <row r="1675" spans="1:7" x14ac:dyDescent="0.25">
      <c r="A1675" s="11" t="s">
        <v>1215</v>
      </c>
      <c r="B1675" s="11"/>
      <c r="C1675" s="1172">
        <v>2</v>
      </c>
      <c r="D1675" s="1172">
        <v>53.127614178288503</v>
      </c>
      <c r="E1675" s="1173">
        <v>53.092323255435097</v>
      </c>
      <c r="F1675" s="1174">
        <v>4.0089672945146199E-4</v>
      </c>
      <c r="G1675" s="1175">
        <v>4.0070095149825398E-4</v>
      </c>
    </row>
    <row r="1676" spans="1:7" x14ac:dyDescent="0.25">
      <c r="A1676" s="6" t="s">
        <v>1195</v>
      </c>
      <c r="B1676" s="6"/>
      <c r="C1676" s="1168">
        <v>2</v>
      </c>
      <c r="D1676" s="1168">
        <v>52.457960117135798</v>
      </c>
      <c r="E1676" s="1169">
        <v>53.053747750983703</v>
      </c>
      <c r="F1676" s="1170">
        <v>3.9584357343961599E-4</v>
      </c>
      <c r="G1676" s="1171">
        <v>4.0055917627080599E-4</v>
      </c>
    </row>
    <row r="1677" spans="1:7" x14ac:dyDescent="0.25">
      <c r="A1677" s="11" t="s">
        <v>6536</v>
      </c>
      <c r="B1677" s="11"/>
      <c r="C1677" s="1172">
        <v>1</v>
      </c>
      <c r="D1677" s="1172">
        <v>50.958522608453102</v>
      </c>
      <c r="E1677" s="1173">
        <v>50.896485935769803</v>
      </c>
      <c r="F1677" s="1174">
        <v>3.84528937867417E-4</v>
      </c>
      <c r="G1677" s="1175">
        <v>3.8443265390675799E-4</v>
      </c>
    </row>
    <row r="1678" spans="1:7" x14ac:dyDescent="0.25">
      <c r="A1678" s="6" t="s">
        <v>1088</v>
      </c>
      <c r="B1678" s="6" t="s">
        <v>1089</v>
      </c>
      <c r="C1678" s="1168">
        <v>37689</v>
      </c>
      <c r="D1678" s="1168">
        <v>25817704.968288001</v>
      </c>
      <c r="E1678" s="1169">
        <v>95627.404430864393</v>
      </c>
      <c r="F1678" s="1170">
        <v>99.710656706123302</v>
      </c>
      <c r="G1678" s="1171">
        <v>4.59222003464499E-2</v>
      </c>
    </row>
    <row r="1679" spans="1:7" x14ac:dyDescent="0.25">
      <c r="A1679" s="11" t="s">
        <v>1084</v>
      </c>
      <c r="B1679" s="11" t="s">
        <v>1153</v>
      </c>
      <c r="C1679" s="1172">
        <v>44</v>
      </c>
      <c r="D1679" s="1172">
        <v>47398.188997748097</v>
      </c>
      <c r="E1679" s="1173">
        <v>15966.3165862881</v>
      </c>
      <c r="F1679" s="1174">
        <v>0.183056726283436</v>
      </c>
      <c r="G1679" s="1175">
        <v>6.1827070746102497E-2</v>
      </c>
    </row>
    <row r="1680" spans="1:7" x14ac:dyDescent="0.25">
      <c r="A1680" s="6" t="s">
        <v>1102</v>
      </c>
      <c r="B1680" s="6" t="s">
        <v>1103</v>
      </c>
      <c r="C1680" s="1168">
        <v>47</v>
      </c>
      <c r="D1680" s="1168">
        <v>22176.372816883999</v>
      </c>
      <c r="E1680" s="1169">
        <v>6170.5242487612704</v>
      </c>
      <c r="F1680" s="1170">
        <v>8.5647453933158604E-2</v>
      </c>
      <c r="G1680" s="1171">
        <v>2.3840140515931099E-2</v>
      </c>
    </row>
    <row r="1681" spans="1:7" x14ac:dyDescent="0.25">
      <c r="A1681" s="11" t="s">
        <v>1086</v>
      </c>
      <c r="B1681" s="11" t="s">
        <v>1147</v>
      </c>
      <c r="C1681" s="1172">
        <v>13</v>
      </c>
      <c r="D1681" s="1172">
        <v>5344.0080016195097</v>
      </c>
      <c r="E1681" s="1173">
        <v>2655.83785281572</v>
      </c>
      <c r="F1681" s="1174">
        <v>2.06391136601323E-2</v>
      </c>
      <c r="G1681" s="1175">
        <v>1.0237482878232699E-2</v>
      </c>
    </row>
    <row r="1682" spans="1:7" x14ac:dyDescent="0.25">
      <c r="A1682" s="6" t="s">
        <v>6417</v>
      </c>
      <c r="B1682" s="6" t="s">
        <v>6418</v>
      </c>
      <c r="C1682" s="1168">
        <v>18020</v>
      </c>
      <c r="D1682" s="1168">
        <v>13252194.4618959</v>
      </c>
      <c r="E1682" s="1169">
        <v>90560.978220992794</v>
      </c>
      <c r="F1682" s="1170">
        <v>33.854275326802799</v>
      </c>
      <c r="G1682" s="1171">
        <v>0.23134857395677599</v>
      </c>
    </row>
    <row r="1683" spans="1:7" x14ac:dyDescent="0.25">
      <c r="A1683" s="11" t="s">
        <v>6417</v>
      </c>
      <c r="B1683" s="11" t="s">
        <v>6419</v>
      </c>
      <c r="C1683" s="1172">
        <v>55813</v>
      </c>
      <c r="D1683" s="1172">
        <v>39144818.000000201</v>
      </c>
      <c r="E1683" s="1173">
        <v>0</v>
      </c>
      <c r="F1683" s="1174">
        <v>100</v>
      </c>
      <c r="G1683" s="1175">
        <v>0</v>
      </c>
    </row>
    <row r="1684" spans="1:7" x14ac:dyDescent="0.25">
      <c r="A1684" s="3729" t="s">
        <v>579</v>
      </c>
      <c r="B1684" s="3730"/>
      <c r="C1684" s="3730"/>
      <c r="D1684" s="3730"/>
      <c r="E1684" s="3730"/>
      <c r="F1684" s="3730"/>
      <c r="G1684" s="3730"/>
    </row>
    <row r="1685" spans="1:7" x14ac:dyDescent="0.25">
      <c r="A1685" s="11" t="s">
        <v>1292</v>
      </c>
      <c r="B1685" s="11"/>
      <c r="C1685" s="1180">
        <v>405</v>
      </c>
      <c r="D1685" s="1180">
        <v>413427.91914250498</v>
      </c>
      <c r="E1685" s="1181">
        <v>36625.911492730796</v>
      </c>
      <c r="F1685" s="1182">
        <v>39.113483261050803</v>
      </c>
      <c r="G1685" s="1183">
        <v>3.12246709206048</v>
      </c>
    </row>
    <row r="1686" spans="1:7" x14ac:dyDescent="0.25">
      <c r="A1686" s="6" t="s">
        <v>1123</v>
      </c>
      <c r="B1686" s="6"/>
      <c r="C1686" s="1176">
        <v>130</v>
      </c>
      <c r="D1686" s="1176">
        <v>114604.725057289</v>
      </c>
      <c r="E1686" s="1177">
        <v>11521.426189783</v>
      </c>
      <c r="F1686" s="1178">
        <v>10.8424946347673</v>
      </c>
      <c r="G1686" s="1179">
        <v>1.1419005731974301</v>
      </c>
    </row>
    <row r="1687" spans="1:7" x14ac:dyDescent="0.25">
      <c r="A1687" s="11" t="s">
        <v>6430</v>
      </c>
      <c r="B1687" s="11"/>
      <c r="C1687" s="1180">
        <v>117</v>
      </c>
      <c r="D1687" s="1180">
        <v>107733.70123942501</v>
      </c>
      <c r="E1687" s="1181">
        <v>16688.3515742995</v>
      </c>
      <c r="F1687" s="1182">
        <v>10.192442563674099</v>
      </c>
      <c r="G1687" s="1183">
        <v>1.6461624842891001</v>
      </c>
    </row>
    <row r="1688" spans="1:7" x14ac:dyDescent="0.25">
      <c r="A1688" s="6" t="s">
        <v>1133</v>
      </c>
      <c r="B1688" s="6"/>
      <c r="C1688" s="1176">
        <v>85</v>
      </c>
      <c r="D1688" s="1176">
        <v>89057.527888893106</v>
      </c>
      <c r="E1688" s="1177">
        <v>15570.3760539176</v>
      </c>
      <c r="F1688" s="1178">
        <v>8.4255319127397996</v>
      </c>
      <c r="G1688" s="1179">
        <v>1.44699651997874</v>
      </c>
    </row>
    <row r="1689" spans="1:7" x14ac:dyDescent="0.25">
      <c r="A1689" s="11" t="s">
        <v>1295</v>
      </c>
      <c r="B1689" s="11"/>
      <c r="C1689" s="1180">
        <v>60</v>
      </c>
      <c r="D1689" s="1180">
        <v>57719.157959542303</v>
      </c>
      <c r="E1689" s="1181">
        <v>12724.2389168015</v>
      </c>
      <c r="F1689" s="1182">
        <v>5.4606793933390101</v>
      </c>
      <c r="G1689" s="1183">
        <v>1.21364898688865</v>
      </c>
    </row>
    <row r="1690" spans="1:7" x14ac:dyDescent="0.25">
      <c r="A1690" s="6" t="s">
        <v>1297</v>
      </c>
      <c r="B1690" s="6"/>
      <c r="C1690" s="1176">
        <v>44</v>
      </c>
      <c r="D1690" s="1176">
        <v>53901.603668709198</v>
      </c>
      <c r="E1690" s="1177">
        <v>8916.1123541492707</v>
      </c>
      <c r="F1690" s="1178">
        <v>5.0995091894438502</v>
      </c>
      <c r="G1690" s="1179">
        <v>0.83756565198460298</v>
      </c>
    </row>
    <row r="1691" spans="1:7" x14ac:dyDescent="0.25">
      <c r="A1691" s="11" t="s">
        <v>1303</v>
      </c>
      <c r="B1691" s="11"/>
      <c r="C1691" s="1180">
        <v>37</v>
      </c>
      <c r="D1691" s="1180">
        <v>35965.478745972701</v>
      </c>
      <c r="E1691" s="1181">
        <v>9280.8313418667203</v>
      </c>
      <c r="F1691" s="1182">
        <v>3.4026128516526</v>
      </c>
      <c r="G1691" s="1183">
        <v>0.87972892294705296</v>
      </c>
    </row>
    <row r="1692" spans="1:7" x14ac:dyDescent="0.25">
      <c r="A1692" s="6" t="s">
        <v>1299</v>
      </c>
      <c r="B1692" s="6"/>
      <c r="C1692" s="1176">
        <v>18</v>
      </c>
      <c r="D1692" s="1176">
        <v>27200.1858993799</v>
      </c>
      <c r="E1692" s="1177">
        <v>10399.101079938</v>
      </c>
      <c r="F1692" s="1178">
        <v>2.5733482588198102</v>
      </c>
      <c r="G1692" s="1179">
        <v>0.95195586324272097</v>
      </c>
    </row>
    <row r="1693" spans="1:7" x14ac:dyDescent="0.25">
      <c r="A1693" s="11" t="s">
        <v>3172</v>
      </c>
      <c r="B1693" s="11"/>
      <c r="C1693" s="1180">
        <v>13</v>
      </c>
      <c r="D1693" s="1180">
        <v>22360.006645834801</v>
      </c>
      <c r="E1693" s="1181">
        <v>11163.489358435299</v>
      </c>
      <c r="F1693" s="1182">
        <v>2.1154298129473599</v>
      </c>
      <c r="G1693" s="1183">
        <v>1.0650761552049099</v>
      </c>
    </row>
    <row r="1694" spans="1:7" x14ac:dyDescent="0.25">
      <c r="A1694" s="6" t="s">
        <v>6426</v>
      </c>
      <c r="B1694" s="6"/>
      <c r="C1694" s="1176">
        <v>15</v>
      </c>
      <c r="D1694" s="1176">
        <v>20460.437408023801</v>
      </c>
      <c r="E1694" s="1177">
        <v>8205.9992408439393</v>
      </c>
      <c r="F1694" s="1178">
        <v>1.93571585037697</v>
      </c>
      <c r="G1694" s="1179">
        <v>0.75841966671065697</v>
      </c>
    </row>
    <row r="1695" spans="1:7" x14ac:dyDescent="0.25">
      <c r="A1695" s="11" t="s">
        <v>3201</v>
      </c>
      <c r="B1695" s="11"/>
      <c r="C1695" s="1180">
        <v>16</v>
      </c>
      <c r="D1695" s="1180">
        <v>19623.2756997703</v>
      </c>
      <c r="E1695" s="1181">
        <v>6720.2943597913199</v>
      </c>
      <c r="F1695" s="1182">
        <v>1.85651386873413</v>
      </c>
      <c r="G1695" s="1183">
        <v>0.61276410031105299</v>
      </c>
    </row>
    <row r="1696" spans="1:7" x14ac:dyDescent="0.25">
      <c r="A1696" s="6" t="s">
        <v>6433</v>
      </c>
      <c r="B1696" s="6"/>
      <c r="C1696" s="1176">
        <v>12</v>
      </c>
      <c r="D1696" s="1176">
        <v>17945.099919135901</v>
      </c>
      <c r="E1696" s="1177">
        <v>5599.5711859867697</v>
      </c>
      <c r="F1696" s="1178">
        <v>1.6977454419643701</v>
      </c>
      <c r="G1696" s="1179">
        <v>0.50297053987082196</v>
      </c>
    </row>
    <row r="1697" spans="1:7" x14ac:dyDescent="0.25">
      <c r="A1697" s="11" t="s">
        <v>6432</v>
      </c>
      <c r="B1697" s="11"/>
      <c r="C1697" s="1180">
        <v>10</v>
      </c>
      <c r="D1697" s="1180">
        <v>14420.1645376384</v>
      </c>
      <c r="E1697" s="1181">
        <v>5407.4734698209304</v>
      </c>
      <c r="F1697" s="1182">
        <v>1.3642592533043301</v>
      </c>
      <c r="G1697" s="1183">
        <v>0.52209399988357197</v>
      </c>
    </row>
    <row r="1698" spans="1:7" x14ac:dyDescent="0.25">
      <c r="A1698" s="6" t="s">
        <v>6429</v>
      </c>
      <c r="B1698" s="6"/>
      <c r="C1698" s="1176">
        <v>10</v>
      </c>
      <c r="D1698" s="1176">
        <v>10785.6716365257</v>
      </c>
      <c r="E1698" s="1177">
        <v>7323.8386468855697</v>
      </c>
      <c r="F1698" s="1178">
        <v>1.0204080747363</v>
      </c>
      <c r="G1698" s="1179">
        <v>0.68918334624169098</v>
      </c>
    </row>
    <row r="1699" spans="1:7" x14ac:dyDescent="0.25">
      <c r="A1699" s="11" t="s">
        <v>1301</v>
      </c>
      <c r="B1699" s="11"/>
      <c r="C1699" s="1180">
        <v>5</v>
      </c>
      <c r="D1699" s="1180">
        <v>8204.1181121191494</v>
      </c>
      <c r="E1699" s="1181">
        <v>4146.1654586857803</v>
      </c>
      <c r="F1699" s="1182">
        <v>0.77617311650267995</v>
      </c>
      <c r="G1699" s="1183">
        <v>0.386629735021149</v>
      </c>
    </row>
    <row r="1700" spans="1:7" x14ac:dyDescent="0.25">
      <c r="A1700" s="6" t="s">
        <v>6427</v>
      </c>
      <c r="B1700" s="6"/>
      <c r="C1700" s="1176">
        <v>6</v>
      </c>
      <c r="D1700" s="1176">
        <v>8088.8903229799398</v>
      </c>
      <c r="E1700" s="1177">
        <v>5425.56482639161</v>
      </c>
      <c r="F1700" s="1178">
        <v>0.76527167517996497</v>
      </c>
      <c r="G1700" s="1179">
        <v>0.51285233569182698</v>
      </c>
    </row>
    <row r="1701" spans="1:7" x14ac:dyDescent="0.25">
      <c r="A1701" s="11" t="s">
        <v>3187</v>
      </c>
      <c r="B1701" s="11"/>
      <c r="C1701" s="1180">
        <v>3</v>
      </c>
      <c r="D1701" s="1180">
        <v>6707.7816413169103</v>
      </c>
      <c r="E1701" s="1181">
        <v>4744.5055422666801</v>
      </c>
      <c r="F1701" s="1182">
        <v>0.63460809683730601</v>
      </c>
      <c r="G1701" s="1183">
        <v>0.438637232352732</v>
      </c>
    </row>
    <row r="1702" spans="1:7" x14ac:dyDescent="0.25">
      <c r="A1702" s="6" t="s">
        <v>1139</v>
      </c>
      <c r="B1702" s="6"/>
      <c r="C1702" s="1176">
        <v>3</v>
      </c>
      <c r="D1702" s="1176">
        <v>6158.2798591261799</v>
      </c>
      <c r="E1702" s="1177">
        <v>4831.85751883792</v>
      </c>
      <c r="F1702" s="1178">
        <v>0.58262097220331099</v>
      </c>
      <c r="G1702" s="1179">
        <v>0.45414233629374301</v>
      </c>
    </row>
    <row r="1703" spans="1:7" x14ac:dyDescent="0.25">
      <c r="A1703" s="11" t="s">
        <v>6434</v>
      </c>
      <c r="B1703" s="11"/>
      <c r="C1703" s="1180">
        <v>1</v>
      </c>
      <c r="D1703" s="1180">
        <v>5739.1044188718797</v>
      </c>
      <c r="E1703" s="1181">
        <v>5782.83131828571</v>
      </c>
      <c r="F1703" s="1182">
        <v>0.54296372892899103</v>
      </c>
      <c r="G1703" s="1183">
        <v>0.54574269005063303</v>
      </c>
    </row>
    <row r="1704" spans="1:7" x14ac:dyDescent="0.25">
      <c r="A1704" s="6" t="s">
        <v>6428</v>
      </c>
      <c r="B1704" s="6"/>
      <c r="C1704" s="1176">
        <v>4</v>
      </c>
      <c r="D1704" s="1176">
        <v>4065.3833074190202</v>
      </c>
      <c r="E1704" s="1177">
        <v>2704.2450267366899</v>
      </c>
      <c r="F1704" s="1178">
        <v>0.38461674836642901</v>
      </c>
      <c r="G1704" s="1179">
        <v>0.253670237712812</v>
      </c>
    </row>
    <row r="1705" spans="1:7" x14ac:dyDescent="0.25">
      <c r="A1705" s="11" t="s">
        <v>6431</v>
      </c>
      <c r="B1705" s="11"/>
      <c r="C1705" s="1180">
        <v>3</v>
      </c>
      <c r="D1705" s="1180">
        <v>3049.2982736385802</v>
      </c>
      <c r="E1705" s="1181">
        <v>2266.4649901521302</v>
      </c>
      <c r="F1705" s="1182">
        <v>0.28848723431956402</v>
      </c>
      <c r="G1705" s="1183">
        <v>0.21402613105144599</v>
      </c>
    </row>
    <row r="1706" spans="1:7" x14ac:dyDescent="0.25">
      <c r="A1706" s="6" t="s">
        <v>1129</v>
      </c>
      <c r="B1706" s="6"/>
      <c r="C1706" s="1176">
        <v>2</v>
      </c>
      <c r="D1706" s="1176">
        <v>2621.7598470119701</v>
      </c>
      <c r="E1706" s="1177">
        <v>2664.7865497019602</v>
      </c>
      <c r="F1706" s="1178">
        <v>0.24803878776085</v>
      </c>
      <c r="G1706" s="1179">
        <v>0.250061426346946</v>
      </c>
    </row>
    <row r="1707" spans="1:7" x14ac:dyDescent="0.25">
      <c r="A1707" s="11" t="s">
        <v>3215</v>
      </c>
      <c r="B1707" s="11"/>
      <c r="C1707" s="1180">
        <v>3</v>
      </c>
      <c r="D1707" s="1180">
        <v>2249.4355588306298</v>
      </c>
      <c r="E1707" s="1181">
        <v>2073.1043065153999</v>
      </c>
      <c r="F1707" s="1182">
        <v>0.21281402634737701</v>
      </c>
      <c r="G1707" s="1183">
        <v>0.195172403887725</v>
      </c>
    </row>
    <row r="1708" spans="1:7" x14ac:dyDescent="0.25">
      <c r="A1708" s="6" t="s">
        <v>1189</v>
      </c>
      <c r="B1708" s="6"/>
      <c r="C1708" s="1176">
        <v>1</v>
      </c>
      <c r="D1708" s="1176">
        <v>2044.42267974674</v>
      </c>
      <c r="E1708" s="1177">
        <v>2056.8858324694902</v>
      </c>
      <c r="F1708" s="1178">
        <v>0.19341822010628101</v>
      </c>
      <c r="G1708" s="1179">
        <v>0.19403916650224501</v>
      </c>
    </row>
    <row r="1709" spans="1:7" x14ac:dyDescent="0.25">
      <c r="A1709" s="11" t="s">
        <v>1131</v>
      </c>
      <c r="B1709" s="11"/>
      <c r="C1709" s="1180">
        <v>1</v>
      </c>
      <c r="D1709" s="1180">
        <v>1403.9835928539101</v>
      </c>
      <c r="E1709" s="1181">
        <v>1414.6163594807299</v>
      </c>
      <c r="F1709" s="1182">
        <v>0.13282772211364099</v>
      </c>
      <c r="G1709" s="1183">
        <v>0.13335672316303701</v>
      </c>
    </row>
    <row r="1710" spans="1:7" x14ac:dyDescent="0.25">
      <c r="A1710" s="6" t="s">
        <v>1127</v>
      </c>
      <c r="B1710" s="6"/>
      <c r="C1710" s="1176">
        <v>4</v>
      </c>
      <c r="D1710" s="1176">
        <v>936.63952459407403</v>
      </c>
      <c r="E1710" s="1177">
        <v>944.19985783743698</v>
      </c>
      <c r="F1710" s="1178">
        <v>8.8613353551048005E-2</v>
      </c>
      <c r="G1710" s="1179">
        <v>8.8911573229124394E-2</v>
      </c>
    </row>
    <row r="1711" spans="1:7" x14ac:dyDescent="0.25">
      <c r="A1711" s="11" t="s">
        <v>1125</v>
      </c>
      <c r="B1711" s="11"/>
      <c r="C1711" s="1180">
        <v>1</v>
      </c>
      <c r="D1711" s="1180">
        <v>521.85949566556496</v>
      </c>
      <c r="E1711" s="1181">
        <v>526.05589235544505</v>
      </c>
      <c r="F1711" s="1182">
        <v>4.93719502317881E-2</v>
      </c>
      <c r="G1711" s="1183">
        <v>4.9658453404699099E-2</v>
      </c>
    </row>
    <row r="1712" spans="1:7" x14ac:dyDescent="0.25">
      <c r="A1712" s="6" t="s">
        <v>1088</v>
      </c>
      <c r="B1712" s="6" t="s">
        <v>1089</v>
      </c>
      <c r="C1712" s="1176">
        <v>54789</v>
      </c>
      <c r="D1712" s="1176">
        <v>38054872.338961102</v>
      </c>
      <c r="E1712" s="1177">
        <v>36247.679643679701</v>
      </c>
      <c r="F1712" s="1178">
        <v>99.913490068085693</v>
      </c>
      <c r="G1712" s="1179">
        <v>2.5701973107757601E-2</v>
      </c>
    </row>
    <row r="1713" spans="1:7" x14ac:dyDescent="0.25">
      <c r="A1713" s="11" t="s">
        <v>1102</v>
      </c>
      <c r="B1713" s="11" t="s">
        <v>1103</v>
      </c>
      <c r="C1713" s="1180">
        <v>15</v>
      </c>
      <c r="D1713" s="1180">
        <v>20424.911601854299</v>
      </c>
      <c r="E1713" s="1181">
        <v>8265.2473012635492</v>
      </c>
      <c r="F1713" s="1182">
        <v>5.36258323059483E-2</v>
      </c>
      <c r="G1713" s="1183">
        <v>2.1723871298593499E-2</v>
      </c>
    </row>
    <row r="1714" spans="1:7" x14ac:dyDescent="0.25">
      <c r="A1714" s="6" t="s">
        <v>1084</v>
      </c>
      <c r="B1714" s="6" t="s">
        <v>1085</v>
      </c>
      <c r="C1714" s="1176">
        <v>6</v>
      </c>
      <c r="D1714" s="1176">
        <v>12524.837354027601</v>
      </c>
      <c r="E1714" s="1177">
        <v>7026.4082587203402</v>
      </c>
      <c r="F1714" s="1178">
        <v>3.2884099608312997E-2</v>
      </c>
      <c r="G1714" s="1179">
        <v>1.84434110809087E-2</v>
      </c>
    </row>
    <row r="1715" spans="1:7" x14ac:dyDescent="0.25">
      <c r="A1715" s="11" t="s">
        <v>6417</v>
      </c>
      <c r="B1715" s="11" t="s">
        <v>6418</v>
      </c>
      <c r="C1715" s="1180">
        <v>1009</v>
      </c>
      <c r="D1715" s="1180">
        <v>1056995.91208282</v>
      </c>
      <c r="E1715" s="1181">
        <v>32491.873437615599</v>
      </c>
      <c r="F1715" s="1182">
        <v>2.7002192527318098</v>
      </c>
      <c r="G1715" s="1183">
        <v>8.3004277699290599E-2</v>
      </c>
    </row>
    <row r="1716" spans="1:7" x14ac:dyDescent="0.25">
      <c r="A1716" s="6" t="s">
        <v>6417</v>
      </c>
      <c r="B1716" s="6" t="s">
        <v>6419</v>
      </c>
      <c r="C1716" s="1176">
        <v>55819</v>
      </c>
      <c r="D1716" s="1176">
        <v>39144817.999999799</v>
      </c>
      <c r="E1716" s="1177">
        <v>0</v>
      </c>
      <c r="F1716" s="1178">
        <v>100</v>
      </c>
      <c r="G1716" s="1179">
        <v>0</v>
      </c>
    </row>
    <row r="1717" spans="1:7" x14ac:dyDescent="0.25">
      <c r="A1717" s="3729" t="s">
        <v>1051</v>
      </c>
      <c r="B1717" s="3730"/>
      <c r="C1717" s="3730"/>
      <c r="D1717" s="3730"/>
      <c r="E1717" s="3730"/>
      <c r="F1717" s="3730"/>
      <c r="G1717" s="3730"/>
    </row>
    <row r="1718" spans="1:7" x14ac:dyDescent="0.25">
      <c r="A1718" s="11" t="s">
        <v>1088</v>
      </c>
      <c r="B1718" s="11" t="s">
        <v>1089</v>
      </c>
      <c r="C1718" s="1188">
        <v>31353</v>
      </c>
      <c r="D1718" s="1188">
        <v>21370202.0483592</v>
      </c>
      <c r="E1718" s="1189">
        <v>124630.18148607</v>
      </c>
      <c r="F1718" s="1190">
        <v>98.317938900409303</v>
      </c>
      <c r="G1718" s="1191">
        <v>0.240241320181865</v>
      </c>
    </row>
    <row r="1719" spans="1:7" x14ac:dyDescent="0.25">
      <c r="A1719" s="6" t="s">
        <v>1084</v>
      </c>
      <c r="B1719" s="6" t="s">
        <v>1153</v>
      </c>
      <c r="C1719" s="1184">
        <v>318</v>
      </c>
      <c r="D1719" s="1184">
        <v>223001.71969906101</v>
      </c>
      <c r="E1719" s="1185">
        <v>33150.257017532102</v>
      </c>
      <c r="F1719" s="1186">
        <v>1.0259645370897199</v>
      </c>
      <c r="G1719" s="1187">
        <v>0.15359352993660799</v>
      </c>
    </row>
    <row r="1720" spans="1:7" x14ac:dyDescent="0.25">
      <c r="A1720" s="11" t="s">
        <v>1086</v>
      </c>
      <c r="B1720" s="11" t="s">
        <v>1147</v>
      </c>
      <c r="C1720" s="1188">
        <v>162</v>
      </c>
      <c r="D1720" s="1188">
        <v>94553.339004512105</v>
      </c>
      <c r="E1720" s="1189">
        <v>17793.179196962901</v>
      </c>
      <c r="F1720" s="1190">
        <v>0.43501176947407899</v>
      </c>
      <c r="G1720" s="1191">
        <v>8.1854779807498099E-2</v>
      </c>
    </row>
    <row r="1721" spans="1:7" x14ac:dyDescent="0.25">
      <c r="A1721" s="6" t="s">
        <v>1102</v>
      </c>
      <c r="B1721" s="6" t="s">
        <v>1103</v>
      </c>
      <c r="C1721" s="1184">
        <v>57</v>
      </c>
      <c r="D1721" s="1184">
        <v>48054.574268384997</v>
      </c>
      <c r="E1721" s="1185">
        <v>9682.0680992488305</v>
      </c>
      <c r="F1721" s="1186">
        <v>0.22108479302688799</v>
      </c>
      <c r="G1721" s="1187">
        <v>4.4683447602183499E-2</v>
      </c>
    </row>
    <row r="1722" spans="1:7" x14ac:dyDescent="0.25">
      <c r="A1722" s="11" t="s">
        <v>6417</v>
      </c>
      <c r="B1722" s="11" t="s">
        <v>6418</v>
      </c>
      <c r="C1722" s="1188">
        <v>23890</v>
      </c>
      <c r="D1722" s="1188">
        <v>17409006.318668999</v>
      </c>
      <c r="E1722" s="1189">
        <v>105735.604100536</v>
      </c>
      <c r="F1722" s="1190">
        <v>44.473335700957797</v>
      </c>
      <c r="G1722" s="1191">
        <v>0.27011392440388698</v>
      </c>
    </row>
    <row r="1723" spans="1:7" x14ac:dyDescent="0.25">
      <c r="A1723" s="6" t="s">
        <v>6417</v>
      </c>
      <c r="B1723" s="6" t="s">
        <v>6419</v>
      </c>
      <c r="C1723" s="1184">
        <v>55780</v>
      </c>
      <c r="D1723" s="1184">
        <v>39144818.000000097</v>
      </c>
      <c r="E1723" s="1185">
        <v>0</v>
      </c>
      <c r="F1723" s="1186">
        <v>100</v>
      </c>
      <c r="G1723" s="1187">
        <v>0</v>
      </c>
    </row>
    <row r="1724" spans="1:7" x14ac:dyDescent="0.25">
      <c r="A1724" s="3729" t="s">
        <v>1047</v>
      </c>
      <c r="B1724" s="3730"/>
      <c r="C1724" s="3730"/>
      <c r="D1724" s="3730"/>
      <c r="E1724" s="3730"/>
      <c r="F1724" s="3730"/>
      <c r="G1724" s="3730"/>
    </row>
    <row r="1725" spans="1:7" x14ac:dyDescent="0.25">
      <c r="A1725" s="11" t="s">
        <v>1119</v>
      </c>
      <c r="B1725" s="11"/>
      <c r="C1725" s="1196">
        <v>6613</v>
      </c>
      <c r="D1725" s="1196">
        <v>4356194.5715994602</v>
      </c>
      <c r="E1725" s="1197">
        <v>122846.948578225</v>
      </c>
      <c r="F1725" s="1198">
        <v>25.022649149871199</v>
      </c>
      <c r="G1725" s="1199">
        <v>0.61557487945150102</v>
      </c>
    </row>
    <row r="1726" spans="1:7" x14ac:dyDescent="0.25">
      <c r="A1726" s="6" t="s">
        <v>1109</v>
      </c>
      <c r="B1726" s="6"/>
      <c r="C1726" s="1192">
        <v>5379</v>
      </c>
      <c r="D1726" s="1192">
        <v>3586164.5165688698</v>
      </c>
      <c r="E1726" s="1193">
        <v>72178.490914559094</v>
      </c>
      <c r="F1726" s="1194">
        <v>20.5994785166063</v>
      </c>
      <c r="G1726" s="1195">
        <v>0.37634188887532499</v>
      </c>
    </row>
    <row r="1727" spans="1:7" x14ac:dyDescent="0.25">
      <c r="A1727" s="11" t="s">
        <v>1121</v>
      </c>
      <c r="B1727" s="11"/>
      <c r="C1727" s="1196">
        <v>4057</v>
      </c>
      <c r="D1727" s="1196">
        <v>2924331.1886008498</v>
      </c>
      <c r="E1727" s="1197">
        <v>76412.987891635901</v>
      </c>
      <c r="F1727" s="1198">
        <v>16.7978064633411</v>
      </c>
      <c r="G1727" s="1199">
        <v>0.442461744967792</v>
      </c>
    </row>
    <row r="1728" spans="1:7" x14ac:dyDescent="0.25">
      <c r="A1728" s="6" t="s">
        <v>1100</v>
      </c>
      <c r="B1728" s="6"/>
      <c r="C1728" s="1192">
        <v>2606</v>
      </c>
      <c r="D1728" s="1192">
        <v>2125211.30243308</v>
      </c>
      <c r="E1728" s="1193">
        <v>59869.358032977798</v>
      </c>
      <c r="F1728" s="1194">
        <v>12.2075393823831</v>
      </c>
      <c r="G1728" s="1195">
        <v>0.38023703297172901</v>
      </c>
    </row>
    <row r="1729" spans="1:7" x14ac:dyDescent="0.25">
      <c r="A1729" s="11" t="s">
        <v>1123</v>
      </c>
      <c r="B1729" s="11"/>
      <c r="C1729" s="1196">
        <v>1693</v>
      </c>
      <c r="D1729" s="1196">
        <v>1206587.77471694</v>
      </c>
      <c r="E1729" s="1197">
        <v>46400.969951798397</v>
      </c>
      <c r="F1729" s="1198">
        <v>6.93082507198024</v>
      </c>
      <c r="G1729" s="1199">
        <v>0.28593758544123699</v>
      </c>
    </row>
    <row r="1730" spans="1:7" x14ac:dyDescent="0.25">
      <c r="A1730" s="6" t="s">
        <v>1098</v>
      </c>
      <c r="B1730" s="6"/>
      <c r="C1730" s="1192">
        <v>1076</v>
      </c>
      <c r="D1730" s="1192">
        <v>960158.90038561902</v>
      </c>
      <c r="E1730" s="1193">
        <v>73358.890662462494</v>
      </c>
      <c r="F1730" s="1194">
        <v>5.5152998557761803</v>
      </c>
      <c r="G1730" s="1195">
        <v>0.42128928603670102</v>
      </c>
    </row>
    <row r="1731" spans="1:7" x14ac:dyDescent="0.25">
      <c r="A1731" s="11" t="s">
        <v>1096</v>
      </c>
      <c r="B1731" s="11"/>
      <c r="C1731" s="1196">
        <v>527</v>
      </c>
      <c r="D1731" s="1196">
        <v>567396.22533347004</v>
      </c>
      <c r="E1731" s="1197">
        <v>40540.275298150002</v>
      </c>
      <c r="F1731" s="1198">
        <v>3.2592108644650599</v>
      </c>
      <c r="G1731" s="1199">
        <v>0.24232851335245101</v>
      </c>
    </row>
    <row r="1732" spans="1:7" x14ac:dyDescent="0.25">
      <c r="A1732" s="6" t="s">
        <v>1125</v>
      </c>
      <c r="B1732" s="6"/>
      <c r="C1732" s="1192">
        <v>596</v>
      </c>
      <c r="D1732" s="1192">
        <v>457581.66801866598</v>
      </c>
      <c r="E1732" s="1193">
        <v>28616.575215211298</v>
      </c>
      <c r="F1732" s="1194">
        <v>2.6284192195850098</v>
      </c>
      <c r="G1732" s="1195">
        <v>0.16064072531033699</v>
      </c>
    </row>
    <row r="1733" spans="1:7" x14ac:dyDescent="0.25">
      <c r="A1733" s="11" t="s">
        <v>1094</v>
      </c>
      <c r="B1733" s="11"/>
      <c r="C1733" s="1196">
        <v>335</v>
      </c>
      <c r="D1733" s="1196">
        <v>349594.83739789401</v>
      </c>
      <c r="E1733" s="1197">
        <v>26154.689613856699</v>
      </c>
      <c r="F1733" s="1198">
        <v>2.0081263169110102</v>
      </c>
      <c r="G1733" s="1199">
        <v>0.14972623643997199</v>
      </c>
    </row>
    <row r="1734" spans="1:7" x14ac:dyDescent="0.25">
      <c r="A1734" s="6" t="s">
        <v>1092</v>
      </c>
      <c r="B1734" s="6"/>
      <c r="C1734" s="1192">
        <v>371</v>
      </c>
      <c r="D1734" s="1192">
        <v>336078.68714671303</v>
      </c>
      <c r="E1734" s="1193">
        <v>43518.470247982703</v>
      </c>
      <c r="F1734" s="1194">
        <v>1.9304874786926201</v>
      </c>
      <c r="G1734" s="1195">
        <v>0.246249256726843</v>
      </c>
    </row>
    <row r="1735" spans="1:7" x14ac:dyDescent="0.25">
      <c r="A1735" s="11" t="s">
        <v>1090</v>
      </c>
      <c r="B1735" s="11"/>
      <c r="C1735" s="1196">
        <v>333</v>
      </c>
      <c r="D1735" s="1196">
        <v>284749.980771976</v>
      </c>
      <c r="E1735" s="1197">
        <v>19188.7026786766</v>
      </c>
      <c r="F1735" s="1198">
        <v>1.63564752381425</v>
      </c>
      <c r="G1735" s="1199">
        <v>0.11254466001890299</v>
      </c>
    </row>
    <row r="1736" spans="1:7" x14ac:dyDescent="0.25">
      <c r="A1736" s="6" t="s">
        <v>1127</v>
      </c>
      <c r="B1736" s="6"/>
      <c r="C1736" s="1192">
        <v>341</v>
      </c>
      <c r="D1736" s="1192">
        <v>254601.263478796</v>
      </c>
      <c r="E1736" s="1193">
        <v>42368.439513491401</v>
      </c>
      <c r="F1736" s="1194">
        <v>1.4624686717803499</v>
      </c>
      <c r="G1736" s="1195">
        <v>0.238878002890484</v>
      </c>
    </row>
    <row r="1737" spans="1:7" x14ac:dyDescent="0.25">
      <c r="A1737" s="11" t="s">
        <v>1292</v>
      </c>
      <c r="B1737" s="11"/>
      <c r="C1737" s="1196">
        <v>2</v>
      </c>
      <c r="D1737" s="1196">
        <v>355.40221670488</v>
      </c>
      <c r="E1737" s="1197">
        <v>358.537685165536</v>
      </c>
      <c r="F1737" s="1198">
        <v>2.0414847935562798E-3</v>
      </c>
      <c r="G1737" s="1199">
        <v>2.0573736722526502E-3</v>
      </c>
    </row>
    <row r="1738" spans="1:7" x14ac:dyDescent="0.25">
      <c r="A1738" s="6" t="s">
        <v>1088</v>
      </c>
      <c r="B1738" s="6" t="s">
        <v>1089</v>
      </c>
      <c r="C1738" s="1192">
        <v>31353</v>
      </c>
      <c r="D1738" s="1192">
        <v>21370202.0483592</v>
      </c>
      <c r="E1738" s="1193">
        <v>124630.18148607</v>
      </c>
      <c r="F1738" s="1194">
        <v>98.317938900409303</v>
      </c>
      <c r="G1738" s="1195">
        <v>0.240241320181865</v>
      </c>
    </row>
    <row r="1739" spans="1:7" x14ac:dyDescent="0.25">
      <c r="A1739" s="11" t="s">
        <v>1102</v>
      </c>
      <c r="B1739" s="11" t="s">
        <v>1103</v>
      </c>
      <c r="C1739" s="1196">
        <v>537</v>
      </c>
      <c r="D1739" s="1196">
        <v>365609.63297195901</v>
      </c>
      <c r="E1739" s="1197">
        <v>51930.0487175124</v>
      </c>
      <c r="F1739" s="1198">
        <v>1.68206109959068</v>
      </c>
      <c r="G1739" s="1199">
        <v>0.24024132018185501</v>
      </c>
    </row>
    <row r="1740" spans="1:7" x14ac:dyDescent="0.25">
      <c r="A1740" s="6" t="s">
        <v>6417</v>
      </c>
      <c r="B1740" s="6" t="s">
        <v>6418</v>
      </c>
      <c r="C1740" s="1192">
        <v>23929</v>
      </c>
      <c r="D1740" s="1192">
        <v>17409006.318668999</v>
      </c>
      <c r="E1740" s="1193">
        <v>105735.604100538</v>
      </c>
      <c r="F1740" s="1194">
        <v>44.473335700957797</v>
      </c>
      <c r="G1740" s="1195">
        <v>0.27011392440388599</v>
      </c>
    </row>
    <row r="1741" spans="1:7" x14ac:dyDescent="0.25">
      <c r="A1741" s="11" t="s">
        <v>6417</v>
      </c>
      <c r="B1741" s="11" t="s">
        <v>6419</v>
      </c>
      <c r="C1741" s="1196">
        <v>55819</v>
      </c>
      <c r="D1741" s="1196">
        <v>39144818.000000201</v>
      </c>
      <c r="E1741" s="1197">
        <v>0</v>
      </c>
      <c r="F1741" s="1198">
        <v>100</v>
      </c>
      <c r="G1741" s="1199">
        <v>0</v>
      </c>
    </row>
    <row r="1742" spans="1:7" x14ac:dyDescent="0.25">
      <c r="A1742" s="3729" t="s">
        <v>1049</v>
      </c>
      <c r="B1742" s="3730"/>
      <c r="C1742" s="3730"/>
      <c r="D1742" s="3730"/>
      <c r="E1742" s="3730"/>
      <c r="F1742" s="3730"/>
      <c r="G1742" s="3730"/>
    </row>
    <row r="1743" spans="1:7" x14ac:dyDescent="0.25">
      <c r="A1743" s="11" t="s">
        <v>6537</v>
      </c>
      <c r="B1743" s="11"/>
      <c r="C1743" s="1204">
        <v>12457</v>
      </c>
      <c r="D1743" s="1204">
        <v>8921332.3623257298</v>
      </c>
      <c r="E1743" s="1205">
        <v>80632.546192933107</v>
      </c>
      <c r="F1743" s="1206">
        <v>51.2455001682589</v>
      </c>
      <c r="G1743" s="1207">
        <v>0.48779944679436699</v>
      </c>
    </row>
    <row r="1744" spans="1:7" x14ac:dyDescent="0.25">
      <c r="A1744" s="6" t="s">
        <v>1297</v>
      </c>
      <c r="B1744" s="6"/>
      <c r="C1744" s="1200">
        <v>5568</v>
      </c>
      <c r="D1744" s="1200">
        <v>3796207.5547253499</v>
      </c>
      <c r="E1744" s="1201">
        <v>81790.024954354201</v>
      </c>
      <c r="F1744" s="1202">
        <v>21.805997914162301</v>
      </c>
      <c r="G1744" s="1203">
        <v>0.46915007309595402</v>
      </c>
    </row>
    <row r="1745" spans="1:7" x14ac:dyDescent="0.25">
      <c r="A1745" s="11" t="s">
        <v>3201</v>
      </c>
      <c r="B1745" s="11"/>
      <c r="C1745" s="1204">
        <v>1749</v>
      </c>
      <c r="D1745" s="1204">
        <v>1312881.0566869699</v>
      </c>
      <c r="E1745" s="1205">
        <v>56783.726111661599</v>
      </c>
      <c r="F1745" s="1206">
        <v>7.5413899716899504</v>
      </c>
      <c r="G1745" s="1207">
        <v>0.29922798079871399</v>
      </c>
    </row>
    <row r="1746" spans="1:7" x14ac:dyDescent="0.25">
      <c r="A1746" s="6" t="s">
        <v>1133</v>
      </c>
      <c r="B1746" s="6"/>
      <c r="C1746" s="1200">
        <v>1333</v>
      </c>
      <c r="D1746" s="1200">
        <v>950570.70913894998</v>
      </c>
      <c r="E1746" s="1201">
        <v>47782.718045430804</v>
      </c>
      <c r="F1746" s="1202">
        <v>5.4602238159887397</v>
      </c>
      <c r="G1746" s="1203">
        <v>0.27471729405328699</v>
      </c>
    </row>
    <row r="1747" spans="1:7" x14ac:dyDescent="0.25">
      <c r="A1747" s="11" t="s">
        <v>1301</v>
      </c>
      <c r="B1747" s="11"/>
      <c r="C1747" s="1204">
        <v>654</v>
      </c>
      <c r="D1747" s="1204">
        <v>573695.34820902103</v>
      </c>
      <c r="E1747" s="1205">
        <v>49005.926567608098</v>
      </c>
      <c r="F1747" s="1206">
        <v>3.2953939915215198</v>
      </c>
      <c r="G1747" s="1207">
        <v>0.28462144064995698</v>
      </c>
    </row>
    <row r="1748" spans="1:7" x14ac:dyDescent="0.25">
      <c r="A1748" s="6" t="s">
        <v>3215</v>
      </c>
      <c r="B1748" s="6"/>
      <c r="C1748" s="1200">
        <v>423</v>
      </c>
      <c r="D1748" s="1200">
        <v>419708.42780820001</v>
      </c>
      <c r="E1748" s="1201">
        <v>38706.702365109202</v>
      </c>
      <c r="F1748" s="1202">
        <v>2.4108695242307698</v>
      </c>
      <c r="G1748" s="1203">
        <v>0.220408374568488</v>
      </c>
    </row>
    <row r="1749" spans="1:7" x14ac:dyDescent="0.25">
      <c r="A1749" s="11" t="s">
        <v>1295</v>
      </c>
      <c r="B1749" s="11"/>
      <c r="C1749" s="1204">
        <v>430</v>
      </c>
      <c r="D1749" s="1204">
        <v>341815.472842585</v>
      </c>
      <c r="E1749" s="1205">
        <v>44940.350347886801</v>
      </c>
      <c r="F1749" s="1206">
        <v>1.9634404548180899</v>
      </c>
      <c r="G1749" s="1207">
        <v>0.25302580280557302</v>
      </c>
    </row>
    <row r="1750" spans="1:7" x14ac:dyDescent="0.25">
      <c r="A1750" s="6" t="s">
        <v>1299</v>
      </c>
      <c r="B1750" s="6"/>
      <c r="C1750" s="1200">
        <v>329</v>
      </c>
      <c r="D1750" s="1200">
        <v>265083.94479579298</v>
      </c>
      <c r="E1750" s="1201">
        <v>39328.799927181397</v>
      </c>
      <c r="F1750" s="1202">
        <v>1.5226827996008201</v>
      </c>
      <c r="G1750" s="1203">
        <v>0.22742331054663401</v>
      </c>
    </row>
    <row r="1751" spans="1:7" x14ac:dyDescent="0.25">
      <c r="A1751" s="11" t="s">
        <v>3172</v>
      </c>
      <c r="B1751" s="11"/>
      <c r="C1751" s="1204">
        <v>234</v>
      </c>
      <c r="D1751" s="1204">
        <v>214272.96269855899</v>
      </c>
      <c r="E1751" s="1205">
        <v>37370.016179338498</v>
      </c>
      <c r="F1751" s="1206">
        <v>1.2308167323069901</v>
      </c>
      <c r="G1751" s="1207">
        <v>0.213031307271496</v>
      </c>
    </row>
    <row r="1752" spans="1:7" x14ac:dyDescent="0.25">
      <c r="A1752" s="6" t="s">
        <v>1123</v>
      </c>
      <c r="B1752" s="6"/>
      <c r="C1752" s="1200">
        <v>251</v>
      </c>
      <c r="D1752" s="1200">
        <v>207124.28461210401</v>
      </c>
      <c r="E1752" s="1201">
        <v>41712.967463128298</v>
      </c>
      <c r="F1752" s="1202">
        <v>1.1897536299357301</v>
      </c>
      <c r="G1752" s="1203">
        <v>0.23573001697398699</v>
      </c>
    </row>
    <row r="1753" spans="1:7" x14ac:dyDescent="0.25">
      <c r="A1753" s="11" t="s">
        <v>3187</v>
      </c>
      <c r="B1753" s="11"/>
      <c r="C1753" s="1204">
        <v>160</v>
      </c>
      <c r="D1753" s="1204">
        <v>91417.831630003697</v>
      </c>
      <c r="E1753" s="1205">
        <v>15371.697729473201</v>
      </c>
      <c r="F1753" s="1206">
        <v>0.52511803348574504</v>
      </c>
      <c r="G1753" s="1207">
        <v>8.9370841961029998E-2</v>
      </c>
    </row>
    <row r="1754" spans="1:7" x14ac:dyDescent="0.25">
      <c r="A1754" s="6" t="s">
        <v>1098</v>
      </c>
      <c r="B1754" s="6"/>
      <c r="C1754" s="1200">
        <v>112</v>
      </c>
      <c r="D1754" s="1200">
        <v>71489.047381178607</v>
      </c>
      <c r="E1754" s="1201">
        <v>14457.2806747907</v>
      </c>
      <c r="F1754" s="1202">
        <v>0.41064404293147599</v>
      </c>
      <c r="G1754" s="1203">
        <v>8.2369173161556397E-2</v>
      </c>
    </row>
    <row r="1755" spans="1:7" x14ac:dyDescent="0.25">
      <c r="A1755" s="11" t="s">
        <v>3314</v>
      </c>
      <c r="B1755" s="11"/>
      <c r="C1755" s="1204">
        <v>33</v>
      </c>
      <c r="D1755" s="1204">
        <v>46842.966530578102</v>
      </c>
      <c r="E1755" s="1205">
        <v>20198.2574509556</v>
      </c>
      <c r="F1755" s="1206">
        <v>0.26907317783177997</v>
      </c>
      <c r="G1755" s="1207">
        <v>0.1159861474453</v>
      </c>
    </row>
    <row r="1756" spans="1:7" x14ac:dyDescent="0.25">
      <c r="A1756" s="6" t="s">
        <v>3217</v>
      </c>
      <c r="B1756" s="6"/>
      <c r="C1756" s="1200">
        <v>9</v>
      </c>
      <c r="D1756" s="1200">
        <v>14548.25334449</v>
      </c>
      <c r="E1756" s="1201">
        <v>9609.4102910207203</v>
      </c>
      <c r="F1756" s="1202">
        <v>8.3567396542838804E-2</v>
      </c>
      <c r="G1756" s="1203">
        <v>5.5278918741255699E-2</v>
      </c>
    </row>
    <row r="1757" spans="1:7" x14ac:dyDescent="0.25">
      <c r="A1757" s="11" t="s">
        <v>1139</v>
      </c>
      <c r="B1757" s="11"/>
      <c r="C1757" s="1204">
        <v>8</v>
      </c>
      <c r="D1757" s="1204">
        <v>10847.7440678242</v>
      </c>
      <c r="E1757" s="1205">
        <v>5874.9726999218701</v>
      </c>
      <c r="F1757" s="1206">
        <v>6.23111042023771E-2</v>
      </c>
      <c r="G1757" s="1207">
        <v>3.3846742950847497E-2</v>
      </c>
    </row>
    <row r="1758" spans="1:7" x14ac:dyDescent="0.25">
      <c r="A1758" s="6" t="s">
        <v>3203</v>
      </c>
      <c r="B1758" s="6"/>
      <c r="C1758" s="1200">
        <v>5</v>
      </c>
      <c r="D1758" s="1200">
        <v>9841.4511249768093</v>
      </c>
      <c r="E1758" s="1201">
        <v>5117.6933932316297</v>
      </c>
      <c r="F1758" s="1202">
        <v>5.65308033372535E-2</v>
      </c>
      <c r="G1758" s="1203">
        <v>2.94549900157648E-2</v>
      </c>
    </row>
    <row r="1759" spans="1:7" x14ac:dyDescent="0.25">
      <c r="A1759" s="11" t="s">
        <v>1211</v>
      </c>
      <c r="B1759" s="11"/>
      <c r="C1759" s="1204">
        <v>3</v>
      </c>
      <c r="D1759" s="1204">
        <v>8924.0494400350399</v>
      </c>
      <c r="E1759" s="1205">
        <v>6255.4651054514097</v>
      </c>
      <c r="F1759" s="1206">
        <v>5.1261107478978302E-2</v>
      </c>
      <c r="G1759" s="1207">
        <v>3.5995777356243999E-2</v>
      </c>
    </row>
    <row r="1760" spans="1:7" x14ac:dyDescent="0.25">
      <c r="A1760" s="6" t="s">
        <v>3191</v>
      </c>
      <c r="B1760" s="6"/>
      <c r="C1760" s="1200">
        <v>6</v>
      </c>
      <c r="D1760" s="1200">
        <v>8608.5620696018395</v>
      </c>
      <c r="E1760" s="1201">
        <v>5490.7905426907801</v>
      </c>
      <c r="F1760" s="1202">
        <v>4.9448899678841703E-2</v>
      </c>
      <c r="G1760" s="1203">
        <v>3.14914737692015E-2</v>
      </c>
    </row>
    <row r="1761" spans="1:7" x14ac:dyDescent="0.25">
      <c r="A1761" s="11" t="s">
        <v>3312</v>
      </c>
      <c r="B1761" s="11"/>
      <c r="C1761" s="1204">
        <v>17</v>
      </c>
      <c r="D1761" s="1204">
        <v>8471.7958330334004</v>
      </c>
      <c r="E1761" s="1205">
        <v>5667.8059578617604</v>
      </c>
      <c r="F1761" s="1206">
        <v>4.8663293458331702E-2</v>
      </c>
      <c r="G1761" s="1207">
        <v>3.2638739647574598E-2</v>
      </c>
    </row>
    <row r="1762" spans="1:7" x14ac:dyDescent="0.25">
      <c r="A1762" s="6" t="s">
        <v>3207</v>
      </c>
      <c r="B1762" s="6"/>
      <c r="C1762" s="1200">
        <v>5</v>
      </c>
      <c r="D1762" s="1200">
        <v>7480.4002536967901</v>
      </c>
      <c r="E1762" s="1201">
        <v>4941.3342291277404</v>
      </c>
      <c r="F1762" s="1202">
        <v>4.2968565332042997E-2</v>
      </c>
      <c r="G1762" s="1203">
        <v>2.8342489792661001E-2</v>
      </c>
    </row>
    <row r="1763" spans="1:7" x14ac:dyDescent="0.25">
      <c r="A1763" s="11" t="s">
        <v>1217</v>
      </c>
      <c r="B1763" s="11"/>
      <c r="C1763" s="1204">
        <v>5</v>
      </c>
      <c r="D1763" s="1204">
        <v>7065.3665187224497</v>
      </c>
      <c r="E1763" s="1205">
        <v>5528.3958257161203</v>
      </c>
      <c r="F1763" s="1206">
        <v>4.0584547959786298E-2</v>
      </c>
      <c r="G1763" s="1207">
        <v>3.17419707524823E-2</v>
      </c>
    </row>
    <row r="1764" spans="1:7" x14ac:dyDescent="0.25">
      <c r="A1764" s="6" t="s">
        <v>1137</v>
      </c>
      <c r="B1764" s="6"/>
      <c r="C1764" s="1200">
        <v>4</v>
      </c>
      <c r="D1764" s="1200">
        <v>6883.4744540607498</v>
      </c>
      <c r="E1764" s="1201">
        <v>6208.1384423469499</v>
      </c>
      <c r="F1764" s="1202">
        <v>3.95397320677578E-2</v>
      </c>
      <c r="G1764" s="1203">
        <v>3.5647563396172102E-2</v>
      </c>
    </row>
    <row r="1765" spans="1:7" x14ac:dyDescent="0.25">
      <c r="A1765" s="11" t="s">
        <v>1129</v>
      </c>
      <c r="B1765" s="11"/>
      <c r="C1765" s="1204">
        <v>5</v>
      </c>
      <c r="D1765" s="1204">
        <v>6355.0022344719</v>
      </c>
      <c r="E1765" s="1205">
        <v>5631.09904251015</v>
      </c>
      <c r="F1765" s="1206">
        <v>3.6504106656891397E-2</v>
      </c>
      <c r="G1765" s="1207">
        <v>3.2342788287451497E-2</v>
      </c>
    </row>
    <row r="1766" spans="1:7" x14ac:dyDescent="0.25">
      <c r="A1766" s="6" t="s">
        <v>1096</v>
      </c>
      <c r="B1766" s="6"/>
      <c r="C1766" s="1200">
        <v>3</v>
      </c>
      <c r="D1766" s="1200">
        <v>6349.1198220855404</v>
      </c>
      <c r="E1766" s="1201">
        <v>5464.0242154184998</v>
      </c>
      <c r="F1766" s="1202">
        <v>3.64703171787404E-2</v>
      </c>
      <c r="G1766" s="1203">
        <v>3.1406106981826103E-2</v>
      </c>
    </row>
    <row r="1767" spans="1:7" x14ac:dyDescent="0.25">
      <c r="A1767" s="11" t="s">
        <v>1213</v>
      </c>
      <c r="B1767" s="11"/>
      <c r="C1767" s="1204">
        <v>11</v>
      </c>
      <c r="D1767" s="1204">
        <v>6278.9767329811002</v>
      </c>
      <c r="E1767" s="1205">
        <v>4106.7019599919104</v>
      </c>
      <c r="F1767" s="1206">
        <v>3.6067404526401302E-2</v>
      </c>
      <c r="G1767" s="1207">
        <v>2.3579220869391699E-2</v>
      </c>
    </row>
    <row r="1768" spans="1:7" x14ac:dyDescent="0.25">
      <c r="A1768" s="6" t="s">
        <v>1193</v>
      </c>
      <c r="B1768" s="6"/>
      <c r="C1768" s="1200">
        <v>3</v>
      </c>
      <c r="D1768" s="1200">
        <v>6239.2001250602598</v>
      </c>
      <c r="E1768" s="1201">
        <v>5807.9247254724296</v>
      </c>
      <c r="F1768" s="1202">
        <v>3.5838921595252003E-2</v>
      </c>
      <c r="G1768" s="1203">
        <v>3.33796140115422E-2</v>
      </c>
    </row>
    <row r="1769" spans="1:7" x14ac:dyDescent="0.25">
      <c r="A1769" s="11" t="s">
        <v>1109</v>
      </c>
      <c r="B1769" s="11"/>
      <c r="C1769" s="1204">
        <v>6</v>
      </c>
      <c r="D1769" s="1204">
        <v>6006.3373000374904</v>
      </c>
      <c r="E1769" s="1205">
        <v>5728.9956229248401</v>
      </c>
      <c r="F1769" s="1206">
        <v>3.4501321845098298E-2</v>
      </c>
      <c r="G1769" s="1207">
        <v>3.2891964924030598E-2</v>
      </c>
    </row>
    <row r="1770" spans="1:7" x14ac:dyDescent="0.25">
      <c r="A1770" s="6" t="s">
        <v>3193</v>
      </c>
      <c r="B1770" s="6"/>
      <c r="C1770" s="1200">
        <v>6</v>
      </c>
      <c r="D1770" s="1200">
        <v>5864.3552289437102</v>
      </c>
      <c r="E1770" s="1201">
        <v>2410.3163262565599</v>
      </c>
      <c r="F1770" s="1202">
        <v>3.3685755071815399E-2</v>
      </c>
      <c r="G1770" s="1203">
        <v>1.3861348447197899E-2</v>
      </c>
    </row>
    <row r="1771" spans="1:7" x14ac:dyDescent="0.25">
      <c r="A1771" s="11" t="s">
        <v>1125</v>
      </c>
      <c r="B1771" s="11"/>
      <c r="C1771" s="1204">
        <v>1</v>
      </c>
      <c r="D1771" s="1204">
        <v>5625.9018086667302</v>
      </c>
      <c r="E1771" s="1205">
        <v>5589.99271426825</v>
      </c>
      <c r="F1771" s="1206">
        <v>3.2316042085834898E-2</v>
      </c>
      <c r="G1771" s="1207">
        <v>3.2116241371915703E-2</v>
      </c>
    </row>
    <row r="1772" spans="1:7" x14ac:dyDescent="0.25">
      <c r="A1772" s="6" t="s">
        <v>3189</v>
      </c>
      <c r="B1772" s="6"/>
      <c r="C1772" s="1200">
        <v>3</v>
      </c>
      <c r="D1772" s="1200">
        <v>5260.8807713491997</v>
      </c>
      <c r="E1772" s="1201">
        <v>5017.0320532982096</v>
      </c>
      <c r="F1772" s="1202">
        <v>3.0219305312719401E-2</v>
      </c>
      <c r="G1772" s="1203">
        <v>2.8794837331736298E-2</v>
      </c>
    </row>
    <row r="1773" spans="1:7" x14ac:dyDescent="0.25">
      <c r="A1773" s="11" t="s">
        <v>1131</v>
      </c>
      <c r="B1773" s="11"/>
      <c r="C1773" s="1204">
        <v>1</v>
      </c>
      <c r="D1773" s="1204">
        <v>5177.9488408222996</v>
      </c>
      <c r="E1773" s="1205">
        <v>4852.3551182442297</v>
      </c>
      <c r="F1773" s="1206">
        <v>2.9742931595524699E-2</v>
      </c>
      <c r="G1773" s="1207">
        <v>2.7891876287587301E-2</v>
      </c>
    </row>
    <row r="1774" spans="1:7" x14ac:dyDescent="0.25">
      <c r="A1774" s="6" t="s">
        <v>1094</v>
      </c>
      <c r="B1774" s="6"/>
      <c r="C1774" s="1200">
        <v>2</v>
      </c>
      <c r="D1774" s="1200">
        <v>4816.9787429179496</v>
      </c>
      <c r="E1774" s="1201">
        <v>4108.8555879148198</v>
      </c>
      <c r="F1774" s="1202">
        <v>2.76694640391527E-2</v>
      </c>
      <c r="G1774" s="1203">
        <v>2.3593134246384501E-2</v>
      </c>
    </row>
    <row r="1775" spans="1:7" x14ac:dyDescent="0.25">
      <c r="A1775" s="11" t="s">
        <v>1191</v>
      </c>
      <c r="B1775" s="11"/>
      <c r="C1775" s="1204">
        <v>8</v>
      </c>
      <c r="D1775" s="1204">
        <v>4753.3151573292498</v>
      </c>
      <c r="E1775" s="1205">
        <v>3753.44027925106</v>
      </c>
      <c r="F1775" s="1206">
        <v>2.7303770647908301E-2</v>
      </c>
      <c r="G1775" s="1207">
        <v>2.1551438163130699E-2</v>
      </c>
    </row>
    <row r="1776" spans="1:7" x14ac:dyDescent="0.25">
      <c r="A1776" s="6" t="s">
        <v>3176</v>
      </c>
      <c r="B1776" s="6"/>
      <c r="C1776" s="1200">
        <v>7</v>
      </c>
      <c r="D1776" s="1200">
        <v>4365.4942797199901</v>
      </c>
      <c r="E1776" s="1201">
        <v>2986.18631802558</v>
      </c>
      <c r="F1776" s="1202">
        <v>2.5076068098375801E-2</v>
      </c>
      <c r="G1776" s="1203">
        <v>1.71836395772802E-2</v>
      </c>
    </row>
    <row r="1777" spans="1:7" x14ac:dyDescent="0.25">
      <c r="A1777" s="11" t="s">
        <v>1215</v>
      </c>
      <c r="B1777" s="11"/>
      <c r="C1777" s="1204">
        <v>2</v>
      </c>
      <c r="D1777" s="1204">
        <v>4217.5637627220603</v>
      </c>
      <c r="E1777" s="1205">
        <v>3035.2806401828698</v>
      </c>
      <c r="F1777" s="1206">
        <v>2.4226332540296901E-2</v>
      </c>
      <c r="G1777" s="1207">
        <v>1.73831322491379E-2</v>
      </c>
    </row>
    <row r="1778" spans="1:7" x14ac:dyDescent="0.25">
      <c r="A1778" s="6" t="s">
        <v>3174</v>
      </c>
      <c r="B1778" s="6"/>
      <c r="C1778" s="1200">
        <v>4</v>
      </c>
      <c r="D1778" s="1200">
        <v>4084.0552636011498</v>
      </c>
      <c r="E1778" s="1201">
        <v>3203.66656343766</v>
      </c>
      <c r="F1778" s="1202">
        <v>2.3459439262891801E-2</v>
      </c>
      <c r="G1778" s="1203">
        <v>1.8412832530466799E-2</v>
      </c>
    </row>
    <row r="1779" spans="1:7" x14ac:dyDescent="0.25">
      <c r="A1779" s="11" t="s">
        <v>1119</v>
      </c>
      <c r="B1779" s="11"/>
      <c r="C1779" s="1204">
        <v>3</v>
      </c>
      <c r="D1779" s="1204">
        <v>3779.1770890288699</v>
      </c>
      <c r="E1779" s="1205">
        <v>3718.4649282138098</v>
      </c>
      <c r="F1779" s="1206">
        <v>2.1708172309502598E-2</v>
      </c>
      <c r="G1779" s="1207">
        <v>2.1360738117472602E-2</v>
      </c>
    </row>
    <row r="1780" spans="1:7" x14ac:dyDescent="0.25">
      <c r="A1780" s="6" t="s">
        <v>3180</v>
      </c>
      <c r="B1780" s="6"/>
      <c r="C1780" s="1200">
        <v>1</v>
      </c>
      <c r="D1780" s="1200">
        <v>3772.0851489585898</v>
      </c>
      <c r="E1780" s="1201">
        <v>3789.6911336565399</v>
      </c>
      <c r="F1780" s="1202">
        <v>2.1667435118990701E-2</v>
      </c>
      <c r="G1780" s="1203">
        <v>2.1768094933212901E-2</v>
      </c>
    </row>
    <row r="1781" spans="1:7" x14ac:dyDescent="0.25">
      <c r="A1781" s="11" t="s">
        <v>3209</v>
      </c>
      <c r="B1781" s="11"/>
      <c r="C1781" s="1204">
        <v>4</v>
      </c>
      <c r="D1781" s="1204">
        <v>3612.9747323504798</v>
      </c>
      <c r="E1781" s="1205">
        <v>2360.0717509471401</v>
      </c>
      <c r="F1781" s="1206">
        <v>2.0753480504375602E-2</v>
      </c>
      <c r="G1781" s="1207">
        <v>1.3546801040912399E-2</v>
      </c>
    </row>
    <row r="1782" spans="1:7" x14ac:dyDescent="0.25">
      <c r="A1782" s="6" t="s">
        <v>3178</v>
      </c>
      <c r="B1782" s="6"/>
      <c r="C1782" s="1200">
        <v>8</v>
      </c>
      <c r="D1782" s="1200">
        <v>3109.3078078785102</v>
      </c>
      <c r="E1782" s="1201">
        <v>1276.0310316768901</v>
      </c>
      <c r="F1782" s="1202">
        <v>1.7860340509751899E-2</v>
      </c>
      <c r="G1782" s="1203">
        <v>7.3145277622519199E-3</v>
      </c>
    </row>
    <row r="1783" spans="1:7" x14ac:dyDescent="0.25">
      <c r="A1783" s="11" t="s">
        <v>1092</v>
      </c>
      <c r="B1783" s="11"/>
      <c r="C1783" s="1204">
        <v>7</v>
      </c>
      <c r="D1783" s="1204">
        <v>2423.3046371476999</v>
      </c>
      <c r="E1783" s="1205">
        <v>1066.90346669582</v>
      </c>
      <c r="F1783" s="1206">
        <v>1.3919833175940701E-2</v>
      </c>
      <c r="G1783" s="1207">
        <v>6.1474929791836604E-3</v>
      </c>
    </row>
    <row r="1784" spans="1:7" x14ac:dyDescent="0.25">
      <c r="A1784" s="6" t="s">
        <v>1199</v>
      </c>
      <c r="B1784" s="6"/>
      <c r="C1784" s="1200">
        <v>2</v>
      </c>
      <c r="D1784" s="1200">
        <v>2389.4331311204301</v>
      </c>
      <c r="E1784" s="1201">
        <v>2444.2300742841098</v>
      </c>
      <c r="F1784" s="1202">
        <v>1.3725270054948901E-2</v>
      </c>
      <c r="G1784" s="1203">
        <v>1.4036192668114299E-2</v>
      </c>
    </row>
    <row r="1785" spans="1:7" x14ac:dyDescent="0.25">
      <c r="A1785" s="11" t="s">
        <v>1187</v>
      </c>
      <c r="B1785" s="11"/>
      <c r="C1785" s="1204">
        <v>2</v>
      </c>
      <c r="D1785" s="1204">
        <v>2384.7569590568201</v>
      </c>
      <c r="E1785" s="1205">
        <v>1988.88411705924</v>
      </c>
      <c r="F1785" s="1206">
        <v>1.36984094060524E-2</v>
      </c>
      <c r="G1785" s="1207">
        <v>1.14293826900608E-2</v>
      </c>
    </row>
    <row r="1786" spans="1:7" x14ac:dyDescent="0.25">
      <c r="A1786" s="6" t="s">
        <v>1100</v>
      </c>
      <c r="B1786" s="6"/>
      <c r="C1786" s="1200">
        <v>2</v>
      </c>
      <c r="D1786" s="1200">
        <v>2230.4997039024902</v>
      </c>
      <c r="E1786" s="1201">
        <v>1674.36588512086</v>
      </c>
      <c r="F1786" s="1202">
        <v>1.2812332094512199E-2</v>
      </c>
      <c r="G1786" s="1203">
        <v>9.6083439722952808E-3</v>
      </c>
    </row>
    <row r="1787" spans="1:7" x14ac:dyDescent="0.25">
      <c r="A1787" s="11" t="s">
        <v>1207</v>
      </c>
      <c r="B1787" s="11"/>
      <c r="C1787" s="1204">
        <v>2</v>
      </c>
      <c r="D1787" s="1204">
        <v>2039.63593267284</v>
      </c>
      <c r="E1787" s="1205">
        <v>1733.3339677546601</v>
      </c>
      <c r="F1787" s="1206">
        <v>1.17159813451592E-2</v>
      </c>
      <c r="G1787" s="1207">
        <v>9.9469396405511695E-3</v>
      </c>
    </row>
    <row r="1788" spans="1:7" x14ac:dyDescent="0.25">
      <c r="A1788" s="6" t="s">
        <v>1205</v>
      </c>
      <c r="B1788" s="6"/>
      <c r="C1788" s="1200">
        <v>4</v>
      </c>
      <c r="D1788" s="1200">
        <v>1878.9725703628601</v>
      </c>
      <c r="E1788" s="1201">
        <v>1229.4563670601999</v>
      </c>
      <c r="F1788" s="1202">
        <v>1.07931063724636E-2</v>
      </c>
      <c r="G1788" s="1203">
        <v>7.0681810028934899E-3</v>
      </c>
    </row>
    <row r="1789" spans="1:7" x14ac:dyDescent="0.25">
      <c r="A1789" s="11" t="s">
        <v>3205</v>
      </c>
      <c r="B1789" s="11"/>
      <c r="C1789" s="1204">
        <v>5</v>
      </c>
      <c r="D1789" s="1204">
        <v>1695.0619468791001</v>
      </c>
      <c r="E1789" s="1205">
        <v>866.22299757070095</v>
      </c>
      <c r="F1789" s="1206">
        <v>9.7366955692431301E-3</v>
      </c>
      <c r="G1789" s="1207">
        <v>4.9933339540688699E-3</v>
      </c>
    </row>
    <row r="1790" spans="1:7" x14ac:dyDescent="0.25">
      <c r="A1790" s="6" t="s">
        <v>1141</v>
      </c>
      <c r="B1790" s="6"/>
      <c r="C1790" s="1200">
        <v>1</v>
      </c>
      <c r="D1790" s="1200">
        <v>1618.6041861828201</v>
      </c>
      <c r="E1790" s="1201">
        <v>1619.1872463335501</v>
      </c>
      <c r="F1790" s="1202">
        <v>9.2975104756385096E-3</v>
      </c>
      <c r="G1790" s="1203">
        <v>9.29651151467226E-3</v>
      </c>
    </row>
    <row r="1791" spans="1:7" x14ac:dyDescent="0.25">
      <c r="A1791" s="11" t="s">
        <v>1189</v>
      </c>
      <c r="B1791" s="11"/>
      <c r="C1791" s="1204">
        <v>4</v>
      </c>
      <c r="D1791" s="1204">
        <v>1599.29936150307</v>
      </c>
      <c r="E1791" s="1205">
        <v>1445.2943514352501</v>
      </c>
      <c r="F1791" s="1206">
        <v>9.1866206044627294E-3</v>
      </c>
      <c r="G1791" s="1207">
        <v>8.2932358348305497E-3</v>
      </c>
    </row>
    <row r="1792" spans="1:7" x14ac:dyDescent="0.25">
      <c r="A1792" s="6" t="s">
        <v>1090</v>
      </c>
      <c r="B1792" s="6"/>
      <c r="C1792" s="1200">
        <v>6</v>
      </c>
      <c r="D1792" s="1200">
        <v>1559.69872038319</v>
      </c>
      <c r="E1792" s="1201">
        <v>976.69850322124501</v>
      </c>
      <c r="F1792" s="1202">
        <v>8.9591484535829196E-3</v>
      </c>
      <c r="G1792" s="1203">
        <v>5.6211742723046602E-3</v>
      </c>
    </row>
    <row r="1793" spans="1:7" x14ac:dyDescent="0.25">
      <c r="A1793" s="11" t="s">
        <v>1209</v>
      </c>
      <c r="B1793" s="11"/>
      <c r="C1793" s="1204">
        <v>5</v>
      </c>
      <c r="D1793" s="1204">
        <v>1474.1821641741799</v>
      </c>
      <c r="E1793" s="1205">
        <v>1038.4270337534499</v>
      </c>
      <c r="F1793" s="1206">
        <v>8.4679282504096908E-3</v>
      </c>
      <c r="G1793" s="1207">
        <v>5.9582209511919899E-3</v>
      </c>
    </row>
    <row r="1794" spans="1:7" x14ac:dyDescent="0.25">
      <c r="A1794" s="6" t="s">
        <v>3316</v>
      </c>
      <c r="B1794" s="6"/>
      <c r="C1794" s="1200">
        <v>7</v>
      </c>
      <c r="D1794" s="1200">
        <v>1375.35451373256</v>
      </c>
      <c r="E1794" s="1201">
        <v>1117.35376436449</v>
      </c>
      <c r="F1794" s="1202">
        <v>7.9002470822109195E-3</v>
      </c>
      <c r="G1794" s="1203">
        <v>6.4182406167760898E-3</v>
      </c>
    </row>
    <row r="1795" spans="1:7" x14ac:dyDescent="0.25">
      <c r="A1795" s="11" t="s">
        <v>1135</v>
      </c>
      <c r="B1795" s="11"/>
      <c r="C1795" s="1204">
        <v>2</v>
      </c>
      <c r="D1795" s="1204">
        <v>803.37491052050598</v>
      </c>
      <c r="E1795" s="1205">
        <v>804.60076591404095</v>
      </c>
      <c r="F1795" s="1206">
        <v>4.6147085928677396E-3</v>
      </c>
      <c r="G1795" s="1207">
        <v>4.6201780561327399E-3</v>
      </c>
    </row>
    <row r="1796" spans="1:7" x14ac:dyDescent="0.25">
      <c r="A1796" s="6" t="s">
        <v>1195</v>
      </c>
      <c r="B1796" s="6"/>
      <c r="C1796" s="1200">
        <v>1</v>
      </c>
      <c r="D1796" s="1200">
        <v>521.44822022376502</v>
      </c>
      <c r="E1796" s="1201">
        <v>527.91501817425501</v>
      </c>
      <c r="F1796" s="1202">
        <v>2.99527848217607E-3</v>
      </c>
      <c r="G1796" s="1203">
        <v>3.03297793489057E-3</v>
      </c>
    </row>
    <row r="1797" spans="1:7" x14ac:dyDescent="0.25">
      <c r="A1797" s="11" t="s">
        <v>1197</v>
      </c>
      <c r="B1797" s="11"/>
      <c r="C1797" s="1204">
        <v>2</v>
      </c>
      <c r="D1797" s="1204">
        <v>99.037987632503302</v>
      </c>
      <c r="E1797" s="1205">
        <v>99.579181267795605</v>
      </c>
      <c r="F1797" s="1206">
        <v>5.6888937725467601E-4</v>
      </c>
      <c r="G1797" s="1207">
        <v>5.7169389915744497E-4</v>
      </c>
    </row>
    <row r="1798" spans="1:7" x14ac:dyDescent="0.25">
      <c r="A1798" s="6" t="s">
        <v>1203</v>
      </c>
      <c r="B1798" s="6"/>
      <c r="C1798" s="1200">
        <v>1</v>
      </c>
      <c r="D1798" s="1200">
        <v>95.283951649952499</v>
      </c>
      <c r="E1798" s="1201">
        <v>95.748469179611703</v>
      </c>
      <c r="F1798" s="1202">
        <v>5.47325619313334E-4</v>
      </c>
      <c r="G1798" s="1203">
        <v>5.5025918278647095E-4</v>
      </c>
    </row>
    <row r="1799" spans="1:7" x14ac:dyDescent="0.25">
      <c r="A1799" s="11" t="s">
        <v>1127</v>
      </c>
      <c r="B1799" s="11"/>
      <c r="C1799" s="1204">
        <v>1</v>
      </c>
      <c r="D1799" s="1204">
        <v>36.628431460715497</v>
      </c>
      <c r="E1799" s="1205">
        <v>36.574275343535902</v>
      </c>
      <c r="F1799" s="1206">
        <v>2.1039932314480299E-4</v>
      </c>
      <c r="G1799" s="1207">
        <v>2.1024035849438299E-4</v>
      </c>
    </row>
    <row r="1800" spans="1:7" x14ac:dyDescent="0.25">
      <c r="A1800" s="6" t="s">
        <v>1088</v>
      </c>
      <c r="B1800" s="6" t="s">
        <v>1089</v>
      </c>
      <c r="C1800" s="1200">
        <v>31353</v>
      </c>
      <c r="D1800" s="1200">
        <v>21370202.0483592</v>
      </c>
      <c r="E1800" s="1201">
        <v>124630.18148607</v>
      </c>
      <c r="F1800" s="1202">
        <v>98.317938900409303</v>
      </c>
      <c r="G1800" s="1203">
        <v>0.240241320181865</v>
      </c>
    </row>
    <row r="1801" spans="1:7" x14ac:dyDescent="0.25">
      <c r="A1801" s="11" t="s">
        <v>1102</v>
      </c>
      <c r="B1801" s="11" t="s">
        <v>1103</v>
      </c>
      <c r="C1801" s="1204">
        <v>537</v>
      </c>
      <c r="D1801" s="1204">
        <v>365609.63297195901</v>
      </c>
      <c r="E1801" s="1205">
        <v>51930.0487175124</v>
      </c>
      <c r="F1801" s="1206">
        <v>1.68206109959068</v>
      </c>
      <c r="G1801" s="1207">
        <v>0.24024132018185501</v>
      </c>
    </row>
    <row r="1802" spans="1:7" x14ac:dyDescent="0.25">
      <c r="A1802" s="6" t="s">
        <v>6417</v>
      </c>
      <c r="B1802" s="6" t="s">
        <v>6418</v>
      </c>
      <c r="C1802" s="1200">
        <v>23927</v>
      </c>
      <c r="D1802" s="1200">
        <v>17409006.318668999</v>
      </c>
      <c r="E1802" s="1201">
        <v>105735.60410054099</v>
      </c>
      <c r="F1802" s="1202">
        <v>44.473335700957797</v>
      </c>
      <c r="G1802" s="1203">
        <v>0.27011392440389698</v>
      </c>
    </row>
    <row r="1803" spans="1:7" x14ac:dyDescent="0.25">
      <c r="A1803" s="11" t="s">
        <v>6417</v>
      </c>
      <c r="B1803" s="11" t="s">
        <v>6419</v>
      </c>
      <c r="C1803" s="1204">
        <v>55817</v>
      </c>
      <c r="D1803" s="1204">
        <v>39144818.000000097</v>
      </c>
      <c r="E1803" s="1205">
        <v>0</v>
      </c>
      <c r="F1803" s="1206">
        <v>100</v>
      </c>
      <c r="G1803" s="1207">
        <v>0</v>
      </c>
    </row>
    <row r="1804" spans="1:7" x14ac:dyDescent="0.25">
      <c r="A1804" s="3729" t="s">
        <v>1040</v>
      </c>
      <c r="B1804" s="3730"/>
      <c r="C1804" s="3730"/>
      <c r="D1804" s="3730"/>
      <c r="E1804" s="3730"/>
      <c r="F1804" s="3730"/>
      <c r="G1804" s="3730"/>
    </row>
    <row r="1805" spans="1:7" x14ac:dyDescent="0.25">
      <c r="A1805" s="11" t="s">
        <v>6538</v>
      </c>
      <c r="B1805" s="11"/>
      <c r="C1805" s="1212">
        <v>21612</v>
      </c>
      <c r="D1805" s="1212">
        <v>15238703.3925969</v>
      </c>
      <c r="E1805" s="1213">
        <v>146442.47710604401</v>
      </c>
      <c r="F1805" s="1214">
        <v>87.533447421724603</v>
      </c>
      <c r="G1805" s="1215">
        <v>0.639708832521797</v>
      </c>
    </row>
    <row r="1806" spans="1:7" x14ac:dyDescent="0.25">
      <c r="A1806" s="6" t="s">
        <v>6539</v>
      </c>
      <c r="B1806" s="6"/>
      <c r="C1806" s="1208">
        <v>2317</v>
      </c>
      <c r="D1806" s="1208">
        <v>2170302.92607215</v>
      </c>
      <c r="E1806" s="1209">
        <v>111650.167023492</v>
      </c>
      <c r="F1806" s="1210">
        <v>12.466552578275399</v>
      </c>
      <c r="G1806" s="1211">
        <v>0.63970883252178301</v>
      </c>
    </row>
    <row r="1807" spans="1:7" x14ac:dyDescent="0.25">
      <c r="A1807" s="11" t="s">
        <v>1088</v>
      </c>
      <c r="B1807" s="11" t="s">
        <v>1089</v>
      </c>
      <c r="C1807" s="1212">
        <v>31410</v>
      </c>
      <c r="D1807" s="1212">
        <v>21418256.622627601</v>
      </c>
      <c r="E1807" s="1213">
        <v>120469.169433299</v>
      </c>
      <c r="F1807" s="1214">
        <v>98.539023693436206</v>
      </c>
      <c r="G1807" s="1215">
        <v>0.203617577467299</v>
      </c>
    </row>
    <row r="1808" spans="1:7" x14ac:dyDescent="0.25">
      <c r="A1808" s="6" t="s">
        <v>1102</v>
      </c>
      <c r="B1808" s="6" t="s">
        <v>1103</v>
      </c>
      <c r="C1808" s="1208">
        <v>480</v>
      </c>
      <c r="D1808" s="1208">
        <v>317555.05870357301</v>
      </c>
      <c r="E1808" s="1209">
        <v>44001.776198630097</v>
      </c>
      <c r="F1808" s="1210">
        <v>1.46097630656379</v>
      </c>
      <c r="G1808" s="1211">
        <v>0.203617577467295</v>
      </c>
    </row>
    <row r="1809" spans="1:7" x14ac:dyDescent="0.25">
      <c r="A1809" s="11" t="s">
        <v>6417</v>
      </c>
      <c r="B1809" s="11" t="s">
        <v>6418</v>
      </c>
      <c r="C1809" s="1212">
        <v>23929</v>
      </c>
      <c r="D1809" s="1212">
        <v>17409006.318668999</v>
      </c>
      <c r="E1809" s="1213">
        <v>105735.60410066</v>
      </c>
      <c r="F1809" s="1214">
        <v>44.473335700957797</v>
      </c>
      <c r="G1809" s="1215">
        <v>0.27011392440406001</v>
      </c>
    </row>
    <row r="1810" spans="1:7" x14ac:dyDescent="0.25">
      <c r="A1810" s="6" t="s">
        <v>6417</v>
      </c>
      <c r="B1810" s="6" t="s">
        <v>6419</v>
      </c>
      <c r="C1810" s="1208">
        <v>55819</v>
      </c>
      <c r="D1810" s="1208">
        <v>39144818.000000201</v>
      </c>
      <c r="E1810" s="1209">
        <v>0</v>
      </c>
      <c r="F1810" s="1210">
        <v>100</v>
      </c>
      <c r="G1810" s="1211">
        <v>0</v>
      </c>
    </row>
    <row r="1811" spans="1:7" x14ac:dyDescent="0.25">
      <c r="A1811" s="3729" t="s">
        <v>1027</v>
      </c>
      <c r="B1811" s="3730"/>
      <c r="C1811" s="3730"/>
      <c r="D1811" s="3730"/>
      <c r="E1811" s="3730"/>
      <c r="F1811" s="3730"/>
      <c r="G1811" s="3730"/>
    </row>
    <row r="1812" spans="1:7" x14ac:dyDescent="0.25">
      <c r="A1812" s="11" t="s">
        <v>1092</v>
      </c>
      <c r="B1812" s="11" t="s">
        <v>1180</v>
      </c>
      <c r="C1812" s="1220">
        <v>16558</v>
      </c>
      <c r="D1812" s="1220">
        <v>12848749.3771889</v>
      </c>
      <c r="E1812" s="1221">
        <v>112460.831722092</v>
      </c>
      <c r="F1812" s="1222">
        <v>84.141400203869594</v>
      </c>
      <c r="G1812" s="1223">
        <v>0.50157974871695898</v>
      </c>
    </row>
    <row r="1813" spans="1:7" x14ac:dyDescent="0.25">
      <c r="A1813" s="6" t="s">
        <v>1090</v>
      </c>
      <c r="B1813" s="6" t="s">
        <v>1179</v>
      </c>
      <c r="C1813" s="1216">
        <v>3708</v>
      </c>
      <c r="D1813" s="1216">
        <v>2421675.58134179</v>
      </c>
      <c r="E1813" s="1217">
        <v>77595.475308116598</v>
      </c>
      <c r="F1813" s="1218">
        <v>15.858599796130401</v>
      </c>
      <c r="G1813" s="1219">
        <v>0.501579748716943</v>
      </c>
    </row>
    <row r="1814" spans="1:7" x14ac:dyDescent="0.25">
      <c r="A1814" s="11" t="s">
        <v>1088</v>
      </c>
      <c r="B1814" s="11" t="s">
        <v>1089</v>
      </c>
      <c r="C1814" s="1220">
        <v>35531</v>
      </c>
      <c r="D1814" s="1220">
        <v>23849705.476492502</v>
      </c>
      <c r="E1814" s="1221">
        <v>91037.639557869901</v>
      </c>
      <c r="F1814" s="1222">
        <v>99.896593957659505</v>
      </c>
      <c r="G1814" s="1223">
        <v>4.9986844935355199E-2</v>
      </c>
    </row>
    <row r="1815" spans="1:7" x14ac:dyDescent="0.25">
      <c r="A1815" s="6" t="s">
        <v>1084</v>
      </c>
      <c r="B1815" s="6" t="s">
        <v>1153</v>
      </c>
      <c r="C1815" s="1216">
        <v>11</v>
      </c>
      <c r="D1815" s="1216">
        <v>18886.353798036202</v>
      </c>
      <c r="E1815" s="1217">
        <v>11099.0194190616</v>
      </c>
      <c r="F1815" s="1218">
        <v>7.9107157887661705E-2</v>
      </c>
      <c r="G1815" s="1219">
        <v>4.6431119004606503E-2</v>
      </c>
    </row>
    <row r="1816" spans="1:7" x14ac:dyDescent="0.25">
      <c r="A1816" s="11" t="s">
        <v>1086</v>
      </c>
      <c r="B1816" s="11" t="s">
        <v>1147</v>
      </c>
      <c r="C1816" s="1220">
        <v>11</v>
      </c>
      <c r="D1816" s="1220">
        <v>5801.2111789699402</v>
      </c>
      <c r="E1816" s="1221">
        <v>4046.14091250507</v>
      </c>
      <c r="F1816" s="1222">
        <v>2.4298884452866799E-2</v>
      </c>
      <c r="G1816" s="1223">
        <v>1.6938424633832501E-2</v>
      </c>
    </row>
    <row r="1817" spans="1:7" x14ac:dyDescent="0.25">
      <c r="A1817" s="6" t="s">
        <v>6417</v>
      </c>
      <c r="B1817" s="6" t="s">
        <v>6418</v>
      </c>
      <c r="C1817" s="1216">
        <v>20266</v>
      </c>
      <c r="D1817" s="1216">
        <v>15270424.9585307</v>
      </c>
      <c r="E1817" s="1217">
        <v>95385.204353903595</v>
      </c>
      <c r="F1817" s="1218">
        <v>39.010080359884697</v>
      </c>
      <c r="G1817" s="1219">
        <v>0.24367262188800101</v>
      </c>
    </row>
    <row r="1818" spans="1:7" x14ac:dyDescent="0.25">
      <c r="A1818" s="11" t="s">
        <v>6417</v>
      </c>
      <c r="B1818" s="11" t="s">
        <v>6419</v>
      </c>
      <c r="C1818" s="1220">
        <v>55819</v>
      </c>
      <c r="D1818" s="1220">
        <v>39144818.000000097</v>
      </c>
      <c r="E1818" s="1221">
        <v>0</v>
      </c>
      <c r="F1818" s="1222">
        <v>100</v>
      </c>
      <c r="G1818" s="1223">
        <v>0</v>
      </c>
    </row>
    <row r="1819" spans="1:7" x14ac:dyDescent="0.25">
      <c r="A1819" s="3729" t="s">
        <v>225</v>
      </c>
      <c r="B1819" s="3730"/>
      <c r="C1819" s="3730"/>
      <c r="D1819" s="3730"/>
      <c r="E1819" s="3730"/>
      <c r="F1819" s="3730"/>
      <c r="G1819" s="3730"/>
    </row>
    <row r="1820" spans="1:7" x14ac:dyDescent="0.25">
      <c r="A1820" s="11" t="s">
        <v>1092</v>
      </c>
      <c r="B1820" s="11" t="s">
        <v>1271</v>
      </c>
      <c r="C1820" s="1228">
        <v>11657</v>
      </c>
      <c r="D1820" s="1228">
        <v>9720036.4906179197</v>
      </c>
      <c r="E1820" s="1229">
        <v>138071.28843264401</v>
      </c>
      <c r="F1820" s="1230">
        <v>54.828064315361303</v>
      </c>
      <c r="G1820" s="1231">
        <v>0.73500326041179398</v>
      </c>
    </row>
    <row r="1821" spans="1:7" x14ac:dyDescent="0.25">
      <c r="A1821" s="6" t="s">
        <v>1090</v>
      </c>
      <c r="B1821" s="6" t="s">
        <v>1179</v>
      </c>
      <c r="C1821" s="1224">
        <v>12742</v>
      </c>
      <c r="D1821" s="1224">
        <v>8008177.3575128298</v>
      </c>
      <c r="E1821" s="1225">
        <v>150619.48520808999</v>
      </c>
      <c r="F1821" s="1226">
        <v>45.171935684638697</v>
      </c>
      <c r="G1821" s="1227">
        <v>0.73500326041179298</v>
      </c>
    </row>
    <row r="1822" spans="1:7" x14ac:dyDescent="0.25">
      <c r="A1822" s="11" t="s">
        <v>1088</v>
      </c>
      <c r="B1822" s="11" t="s">
        <v>1089</v>
      </c>
      <c r="C1822" s="1228">
        <v>31353</v>
      </c>
      <c r="D1822" s="1228">
        <v>21370202.0483592</v>
      </c>
      <c r="E1822" s="1229">
        <v>124630.18148607</v>
      </c>
      <c r="F1822" s="1230">
        <v>99.783335849226404</v>
      </c>
      <c r="G1822" s="1231">
        <v>5.8749962333940697E-2</v>
      </c>
    </row>
    <row r="1823" spans="1:7" x14ac:dyDescent="0.25">
      <c r="A1823" s="6" t="s">
        <v>1084</v>
      </c>
      <c r="B1823" s="6" t="s">
        <v>1153</v>
      </c>
      <c r="C1823" s="1224">
        <v>31</v>
      </c>
      <c r="D1823" s="1224">
        <v>34489.475520557797</v>
      </c>
      <c r="E1823" s="1225">
        <v>11991.461625898301</v>
      </c>
      <c r="F1823" s="1226">
        <v>0.16104082269993</v>
      </c>
      <c r="G1823" s="1227">
        <v>5.5745894784141298E-2</v>
      </c>
    </row>
    <row r="1824" spans="1:7" x14ac:dyDescent="0.25">
      <c r="A1824" s="11" t="s">
        <v>1086</v>
      </c>
      <c r="B1824" s="11" t="s">
        <v>1147</v>
      </c>
      <c r="C1824" s="1228">
        <v>36</v>
      </c>
      <c r="D1824" s="1228">
        <v>11912.6279896298</v>
      </c>
      <c r="E1824" s="1229">
        <v>4328.6525440059804</v>
      </c>
      <c r="F1824" s="1230">
        <v>5.5623328073652799E-2</v>
      </c>
      <c r="G1824" s="1231">
        <v>2.0150772351795201E-2</v>
      </c>
    </row>
    <row r="1825" spans="1:7" x14ac:dyDescent="0.25">
      <c r="A1825" s="6" t="s">
        <v>6417</v>
      </c>
      <c r="B1825" s="6" t="s">
        <v>6418</v>
      </c>
      <c r="C1825" s="1224">
        <v>24399</v>
      </c>
      <c r="D1825" s="1224">
        <v>17728213.848130699</v>
      </c>
      <c r="E1825" s="1225">
        <v>128748.912971967</v>
      </c>
      <c r="F1825" s="1226">
        <v>45.288788539343102</v>
      </c>
      <c r="G1825" s="1227">
        <v>0.32890410417024801</v>
      </c>
    </row>
    <row r="1826" spans="1:7" x14ac:dyDescent="0.25">
      <c r="A1826" s="11" t="s">
        <v>6417</v>
      </c>
      <c r="B1826" s="11" t="s">
        <v>6419</v>
      </c>
      <c r="C1826" s="1228">
        <v>55819</v>
      </c>
      <c r="D1826" s="1228">
        <v>39144818.000000097</v>
      </c>
      <c r="E1826" s="1229">
        <v>0</v>
      </c>
      <c r="F1826" s="1230">
        <v>100</v>
      </c>
      <c r="G1826" s="1231">
        <v>0</v>
      </c>
    </row>
    <row r="1827" spans="1:7" x14ac:dyDescent="0.25">
      <c r="A1827" s="3729" t="s">
        <v>989</v>
      </c>
      <c r="B1827" s="3730"/>
      <c r="C1827" s="3730"/>
      <c r="D1827" s="3730"/>
      <c r="E1827" s="3730"/>
      <c r="F1827" s="3730"/>
      <c r="G1827" s="3730"/>
    </row>
    <row r="1828" spans="1:7" x14ac:dyDescent="0.25">
      <c r="A1828" s="11" t="s">
        <v>1292</v>
      </c>
      <c r="B1828" s="11"/>
      <c r="C1828" s="1236">
        <v>831</v>
      </c>
      <c r="D1828" s="1236">
        <v>580331.59072840901</v>
      </c>
      <c r="E1828" s="1237">
        <v>34223.465787300796</v>
      </c>
      <c r="F1828" s="1238">
        <v>24.0586842462668</v>
      </c>
      <c r="G1828" s="1239">
        <v>1.3916109248525499</v>
      </c>
    </row>
    <row r="1829" spans="1:7" x14ac:dyDescent="0.25">
      <c r="A1829" s="6" t="s">
        <v>6426</v>
      </c>
      <c r="B1829" s="6"/>
      <c r="C1829" s="1232">
        <v>466</v>
      </c>
      <c r="D1829" s="1232">
        <v>319962.94744477997</v>
      </c>
      <c r="E1829" s="1233">
        <v>22043.859172309301</v>
      </c>
      <c r="F1829" s="1234">
        <v>13.2646363666274</v>
      </c>
      <c r="G1829" s="1235">
        <v>1.02017520910314</v>
      </c>
    </row>
    <row r="1830" spans="1:7" x14ac:dyDescent="0.25">
      <c r="A1830" s="11" t="s">
        <v>6427</v>
      </c>
      <c r="B1830" s="11"/>
      <c r="C1830" s="1236">
        <v>373</v>
      </c>
      <c r="D1830" s="1236">
        <v>253067.04299038101</v>
      </c>
      <c r="E1830" s="1237">
        <v>20359.0580215747</v>
      </c>
      <c r="F1830" s="1238">
        <v>10.4913469776822</v>
      </c>
      <c r="G1830" s="1239">
        <v>0.75562569672840696</v>
      </c>
    </row>
    <row r="1831" spans="1:7" x14ac:dyDescent="0.25">
      <c r="A1831" s="6" t="s">
        <v>6430</v>
      </c>
      <c r="B1831" s="6"/>
      <c r="C1831" s="1232">
        <v>367</v>
      </c>
      <c r="D1831" s="1232">
        <v>233661.55921931399</v>
      </c>
      <c r="E1831" s="1233">
        <v>27873.964759023202</v>
      </c>
      <c r="F1831" s="1234">
        <v>9.6868579335683496</v>
      </c>
      <c r="G1831" s="1235">
        <v>1.1275462252672199</v>
      </c>
    </row>
    <row r="1832" spans="1:7" x14ac:dyDescent="0.25">
      <c r="A1832" s="11" t="s">
        <v>6428</v>
      </c>
      <c r="B1832" s="11"/>
      <c r="C1832" s="1236">
        <v>364</v>
      </c>
      <c r="D1832" s="1236">
        <v>218946.40739738601</v>
      </c>
      <c r="E1832" s="1237">
        <v>23475.786438652602</v>
      </c>
      <c r="F1832" s="1238">
        <v>9.0768149909202105</v>
      </c>
      <c r="G1832" s="1239">
        <v>0.81618791367945798</v>
      </c>
    </row>
    <row r="1833" spans="1:7" x14ac:dyDescent="0.25">
      <c r="A1833" s="6" t="s">
        <v>6429</v>
      </c>
      <c r="B1833" s="6"/>
      <c r="C1833" s="1232">
        <v>295</v>
      </c>
      <c r="D1833" s="1232">
        <v>166638.29738677299</v>
      </c>
      <c r="E1833" s="1233">
        <v>15863.017271253901</v>
      </c>
      <c r="F1833" s="1234">
        <v>6.9082887166831703</v>
      </c>
      <c r="G1833" s="1235">
        <v>0.65573300589012895</v>
      </c>
    </row>
    <row r="1834" spans="1:7" x14ac:dyDescent="0.25">
      <c r="A1834" s="11" t="s">
        <v>1123</v>
      </c>
      <c r="B1834" s="11"/>
      <c r="C1834" s="1236">
        <v>211</v>
      </c>
      <c r="D1834" s="1236">
        <v>130072.538819589</v>
      </c>
      <c r="E1834" s="1237">
        <v>15898.2677676767</v>
      </c>
      <c r="F1834" s="1238">
        <v>5.3923897829564904</v>
      </c>
      <c r="G1834" s="1239">
        <v>0.69444166899275295</v>
      </c>
    </row>
    <row r="1835" spans="1:7" x14ac:dyDescent="0.25">
      <c r="A1835" s="6" t="s">
        <v>6431</v>
      </c>
      <c r="B1835" s="6"/>
      <c r="C1835" s="1232">
        <v>143</v>
      </c>
      <c r="D1835" s="1232">
        <v>91945.577361902397</v>
      </c>
      <c r="E1835" s="1233">
        <v>14734.5073427569</v>
      </c>
      <c r="F1835" s="1234">
        <v>3.8117683905750801</v>
      </c>
      <c r="G1835" s="1235">
        <v>0.61369597770513795</v>
      </c>
    </row>
    <row r="1836" spans="1:7" x14ac:dyDescent="0.25">
      <c r="A1836" s="11" t="s">
        <v>6433</v>
      </c>
      <c r="B1836" s="11"/>
      <c r="C1836" s="1236">
        <v>145</v>
      </c>
      <c r="D1836" s="1236">
        <v>73003.052537847703</v>
      </c>
      <c r="E1836" s="1237">
        <v>7750.8204485127198</v>
      </c>
      <c r="F1836" s="1238">
        <v>3.02647213779486</v>
      </c>
      <c r="G1836" s="1239">
        <v>0.27788502876342602</v>
      </c>
    </row>
    <row r="1837" spans="1:7" x14ac:dyDescent="0.25">
      <c r="A1837" s="6" t="s">
        <v>6432</v>
      </c>
      <c r="B1837" s="6"/>
      <c r="C1837" s="1232">
        <v>84</v>
      </c>
      <c r="D1837" s="1232">
        <v>72779.6825607309</v>
      </c>
      <c r="E1837" s="1233">
        <v>18879.649728313201</v>
      </c>
      <c r="F1837" s="1234">
        <v>3.0172119358079201</v>
      </c>
      <c r="G1837" s="1235">
        <v>0.72926870357677998</v>
      </c>
    </row>
    <row r="1838" spans="1:7" x14ac:dyDescent="0.25">
      <c r="A1838" s="11" t="s">
        <v>1133</v>
      </c>
      <c r="B1838" s="11"/>
      <c r="C1838" s="1236">
        <v>119</v>
      </c>
      <c r="D1838" s="1236">
        <v>56834.628146680298</v>
      </c>
      <c r="E1838" s="1237">
        <v>12175.1953770984</v>
      </c>
      <c r="F1838" s="1238">
        <v>2.35618118103601</v>
      </c>
      <c r="G1838" s="1239">
        <v>0.44977915265796597</v>
      </c>
    </row>
    <row r="1839" spans="1:7" x14ac:dyDescent="0.25">
      <c r="A1839" s="6" t="s">
        <v>1295</v>
      </c>
      <c r="B1839" s="6"/>
      <c r="C1839" s="1232">
        <v>72</v>
      </c>
      <c r="D1839" s="1232">
        <v>50359.5384556676</v>
      </c>
      <c r="E1839" s="1233">
        <v>13638.774990989999</v>
      </c>
      <c r="F1839" s="1234">
        <v>2.0877447546357102</v>
      </c>
      <c r="G1839" s="1235">
        <v>0.55487608399010002</v>
      </c>
    </row>
    <row r="1840" spans="1:7" x14ac:dyDescent="0.25">
      <c r="A1840" s="11" t="s">
        <v>1297</v>
      </c>
      <c r="B1840" s="11"/>
      <c r="C1840" s="1236">
        <v>44</v>
      </c>
      <c r="D1840" s="1236">
        <v>49753.931954438602</v>
      </c>
      <c r="E1840" s="1237">
        <v>14004.7256987484</v>
      </c>
      <c r="F1840" s="1238">
        <v>2.0626382537604702</v>
      </c>
      <c r="G1840" s="1239">
        <v>0.55958504423891997</v>
      </c>
    </row>
    <row r="1841" spans="1:7" x14ac:dyDescent="0.25">
      <c r="A1841" s="6" t="s">
        <v>1127</v>
      </c>
      <c r="B1841" s="6"/>
      <c r="C1841" s="1232">
        <v>64</v>
      </c>
      <c r="D1841" s="1232">
        <v>38320.292500584997</v>
      </c>
      <c r="E1841" s="1233">
        <v>6779.8624321203497</v>
      </c>
      <c r="F1841" s="1234">
        <v>1.58863627661383</v>
      </c>
      <c r="G1841" s="1235">
        <v>0.28924261060103501</v>
      </c>
    </row>
    <row r="1842" spans="1:7" x14ac:dyDescent="0.25">
      <c r="A1842" s="11" t="s">
        <v>6434</v>
      </c>
      <c r="B1842" s="11"/>
      <c r="C1842" s="1236">
        <v>24</v>
      </c>
      <c r="D1842" s="1236">
        <v>18165.072590358901</v>
      </c>
      <c r="E1842" s="1237">
        <v>7194.6881066789401</v>
      </c>
      <c r="F1842" s="1238">
        <v>0.75306557965149001</v>
      </c>
      <c r="G1842" s="1239">
        <v>0.29821618775109499</v>
      </c>
    </row>
    <row r="1843" spans="1:7" x14ac:dyDescent="0.25">
      <c r="A1843" s="6" t="s">
        <v>3172</v>
      </c>
      <c r="B1843" s="6"/>
      <c r="C1843" s="1232">
        <v>9</v>
      </c>
      <c r="D1843" s="1232">
        <v>10289.7558501805</v>
      </c>
      <c r="E1843" s="1233">
        <v>6028.9548875175296</v>
      </c>
      <c r="F1843" s="1234">
        <v>0.42658023606804601</v>
      </c>
      <c r="G1843" s="1235">
        <v>0.24550724711053201</v>
      </c>
    </row>
    <row r="1844" spans="1:7" x14ac:dyDescent="0.25">
      <c r="A1844" s="11" t="s">
        <v>1135</v>
      </c>
      <c r="B1844" s="11"/>
      <c r="C1844" s="1236">
        <v>18</v>
      </c>
      <c r="D1844" s="1236">
        <v>9072.1098433777606</v>
      </c>
      <c r="E1844" s="1237">
        <v>3287.3488211492099</v>
      </c>
      <c r="F1844" s="1238">
        <v>0.37610054261447201</v>
      </c>
      <c r="G1844" s="1239">
        <v>0.13659442464218299</v>
      </c>
    </row>
    <row r="1845" spans="1:7" x14ac:dyDescent="0.25">
      <c r="A1845" s="6" t="s">
        <v>1139</v>
      </c>
      <c r="B1845" s="6"/>
      <c r="C1845" s="1232">
        <v>9</v>
      </c>
      <c r="D1845" s="1232">
        <v>6847.84818085594</v>
      </c>
      <c r="E1845" s="1233">
        <v>3502.5367619642898</v>
      </c>
      <c r="F1845" s="1234">
        <v>0.28388979642276102</v>
      </c>
      <c r="G1845" s="1235">
        <v>0.148875797496755</v>
      </c>
    </row>
    <row r="1846" spans="1:7" x14ac:dyDescent="0.25">
      <c r="A1846" s="11" t="s">
        <v>3174</v>
      </c>
      <c r="B1846" s="11"/>
      <c r="C1846" s="1236">
        <v>5</v>
      </c>
      <c r="D1846" s="1236">
        <v>5897.3170438365696</v>
      </c>
      <c r="E1846" s="1237">
        <v>4858.2225841848403</v>
      </c>
      <c r="F1846" s="1238">
        <v>0.24448382773666899</v>
      </c>
      <c r="G1846" s="1239">
        <v>0.199851503760796</v>
      </c>
    </row>
    <row r="1847" spans="1:7" x14ac:dyDescent="0.25">
      <c r="A1847" s="6" t="s">
        <v>1191</v>
      </c>
      <c r="B1847" s="6"/>
      <c r="C1847" s="1232">
        <v>3</v>
      </c>
      <c r="D1847" s="1232">
        <v>5161.3605904352698</v>
      </c>
      <c r="E1847" s="1233">
        <v>3223.7497806374499</v>
      </c>
      <c r="F1847" s="1234">
        <v>0.21397343641166799</v>
      </c>
      <c r="G1847" s="1235">
        <v>0.13416578887904701</v>
      </c>
    </row>
    <row r="1848" spans="1:7" x14ac:dyDescent="0.25">
      <c r="A1848" s="11" t="s">
        <v>1131</v>
      </c>
      <c r="B1848" s="11"/>
      <c r="C1848" s="1236">
        <v>15</v>
      </c>
      <c r="D1848" s="1236">
        <v>4489.0667339375404</v>
      </c>
      <c r="E1848" s="1237">
        <v>1835.9542501829201</v>
      </c>
      <c r="F1848" s="1238">
        <v>0.186102291927042</v>
      </c>
      <c r="G1848" s="1239">
        <v>7.6884139157159206E-2</v>
      </c>
    </row>
    <row r="1849" spans="1:7" x14ac:dyDescent="0.25">
      <c r="A1849" s="6" t="s">
        <v>1189</v>
      </c>
      <c r="B1849" s="6"/>
      <c r="C1849" s="1232">
        <v>5</v>
      </c>
      <c r="D1849" s="1232">
        <v>3482.82842474177</v>
      </c>
      <c r="E1849" s="1233">
        <v>2496.5872129719701</v>
      </c>
      <c r="F1849" s="1234">
        <v>0.144386882764063</v>
      </c>
      <c r="G1849" s="1235">
        <v>0.102524966857601</v>
      </c>
    </row>
    <row r="1850" spans="1:7" x14ac:dyDescent="0.25">
      <c r="A1850" s="11" t="s">
        <v>1129</v>
      </c>
      <c r="B1850" s="11"/>
      <c r="C1850" s="1236">
        <v>6</v>
      </c>
      <c r="D1850" s="1236">
        <v>3474.12804059891</v>
      </c>
      <c r="E1850" s="1237">
        <v>2899.5122559986698</v>
      </c>
      <c r="F1850" s="1238">
        <v>0.14402619277534201</v>
      </c>
      <c r="G1850" s="1239">
        <v>0.120387031979935</v>
      </c>
    </row>
    <row r="1851" spans="1:7" x14ac:dyDescent="0.25">
      <c r="A1851" s="6" t="s">
        <v>1125</v>
      </c>
      <c r="B1851" s="6"/>
      <c r="C1851" s="1232">
        <v>12</v>
      </c>
      <c r="D1851" s="1232">
        <v>3023.0961327784898</v>
      </c>
      <c r="E1851" s="1233">
        <v>1448.2448881934099</v>
      </c>
      <c r="F1851" s="1234">
        <v>0.12532785818765799</v>
      </c>
      <c r="G1851" s="1235">
        <v>5.9552939410799602E-2</v>
      </c>
    </row>
    <row r="1852" spans="1:7" x14ac:dyDescent="0.25">
      <c r="A1852" s="11" t="s">
        <v>1137</v>
      </c>
      <c r="B1852" s="11"/>
      <c r="C1852" s="1236">
        <v>3</v>
      </c>
      <c r="D1852" s="1236">
        <v>2887.3373554694999</v>
      </c>
      <c r="E1852" s="1237">
        <v>2327.3101038417099</v>
      </c>
      <c r="F1852" s="1238">
        <v>0.119699735216036</v>
      </c>
      <c r="G1852" s="1239">
        <v>9.5869971462907697E-2</v>
      </c>
    </row>
    <row r="1853" spans="1:7" x14ac:dyDescent="0.25">
      <c r="A1853" s="6" t="s">
        <v>3178</v>
      </c>
      <c r="B1853" s="6"/>
      <c r="C1853" s="1232">
        <v>4</v>
      </c>
      <c r="D1853" s="1232">
        <v>1526.68775742717</v>
      </c>
      <c r="E1853" s="1233">
        <v>777.09075683696597</v>
      </c>
      <c r="F1853" s="1234">
        <v>6.3291572069132399E-2</v>
      </c>
      <c r="G1853" s="1235">
        <v>3.2588413849528701E-2</v>
      </c>
    </row>
    <row r="1854" spans="1:7" x14ac:dyDescent="0.25">
      <c r="A1854" s="11" t="s">
        <v>1187</v>
      </c>
      <c r="B1854" s="11"/>
      <c r="C1854" s="1236">
        <v>3</v>
      </c>
      <c r="D1854" s="1236">
        <v>1233.63780072895</v>
      </c>
      <c r="E1854" s="1237">
        <v>982.84140785896705</v>
      </c>
      <c r="F1854" s="1238">
        <v>5.1142661878433901E-2</v>
      </c>
      <c r="G1854" s="1239">
        <v>4.0450430797281202E-2</v>
      </c>
    </row>
    <row r="1855" spans="1:7" x14ac:dyDescent="0.25">
      <c r="A1855" s="6" t="s">
        <v>3176</v>
      </c>
      <c r="B1855" s="6"/>
      <c r="C1855" s="1232">
        <v>1</v>
      </c>
      <c r="D1855" s="1232">
        <v>744.61454567800297</v>
      </c>
      <c r="E1855" s="1233">
        <v>755.22706213872505</v>
      </c>
      <c r="F1855" s="1234">
        <v>3.0869328028755E-2</v>
      </c>
      <c r="G1855" s="1235">
        <v>3.11941544274397E-2</v>
      </c>
    </row>
    <row r="1856" spans="1:7" x14ac:dyDescent="0.25">
      <c r="A1856" s="11" t="s">
        <v>1195</v>
      </c>
      <c r="B1856" s="11"/>
      <c r="C1856" s="1236">
        <v>1</v>
      </c>
      <c r="D1856" s="1236">
        <v>110.80020076129</v>
      </c>
      <c r="E1856" s="1237">
        <v>111.248298082074</v>
      </c>
      <c r="F1856" s="1238">
        <v>4.5934205325492503E-3</v>
      </c>
      <c r="G1856" s="1239">
        <v>4.6073408311362403E-3</v>
      </c>
    </row>
    <row r="1857" spans="1:7" x14ac:dyDescent="0.25">
      <c r="A1857" s="6" t="s">
        <v>3180</v>
      </c>
      <c r="B1857" s="6"/>
      <c r="C1857" s="1232">
        <v>2</v>
      </c>
      <c r="D1857" s="1232">
        <v>67.412186563960702</v>
      </c>
      <c r="E1857" s="1233">
        <v>68.195499850514693</v>
      </c>
      <c r="F1857" s="1234">
        <v>2.7946927873719199E-3</v>
      </c>
      <c r="G1857" s="1235">
        <v>2.8084851788386001E-3</v>
      </c>
    </row>
    <row r="1858" spans="1:7" x14ac:dyDescent="0.25">
      <c r="A1858" s="11" t="s">
        <v>1088</v>
      </c>
      <c r="B1858" s="11" t="s">
        <v>1089</v>
      </c>
      <c r="C1858" s="1236">
        <v>52110</v>
      </c>
      <c r="D1858" s="1236">
        <v>36722558.0719935</v>
      </c>
      <c r="E1858" s="1237">
        <v>77442.761753313796</v>
      </c>
      <c r="F1858" s="1238">
        <v>99.972477449042302</v>
      </c>
      <c r="G1858" s="1239">
        <v>9.8774187202445903E-3</v>
      </c>
    </row>
    <row r="1859" spans="1:7" x14ac:dyDescent="0.25">
      <c r="A1859" s="6" t="s">
        <v>1084</v>
      </c>
      <c r="B1859" s="6" t="s">
        <v>1153</v>
      </c>
      <c r="C1859" s="1232">
        <v>9</v>
      </c>
      <c r="D1859" s="1232">
        <v>7991.58219070021</v>
      </c>
      <c r="E1859" s="1233">
        <v>3349.897987412</v>
      </c>
      <c r="F1859" s="1234">
        <v>2.1756062548138701E-2</v>
      </c>
      <c r="G1859" s="1235">
        <v>9.1305305320505906E-3</v>
      </c>
    </row>
    <row r="1860" spans="1:7" x14ac:dyDescent="0.25">
      <c r="A1860" s="11" t="s">
        <v>1086</v>
      </c>
      <c r="B1860" s="11" t="s">
        <v>1147</v>
      </c>
      <c r="C1860" s="1236">
        <v>2</v>
      </c>
      <c r="D1860" s="1236">
        <v>2118.1850334607698</v>
      </c>
      <c r="E1860" s="1237">
        <v>2117.1994969622601</v>
      </c>
      <c r="F1860" s="1238">
        <v>5.7664884095330804E-3</v>
      </c>
      <c r="G1860" s="1239">
        <v>5.7629593186626499E-3</v>
      </c>
    </row>
    <row r="1861" spans="1:7" x14ac:dyDescent="0.25">
      <c r="A1861" s="6" t="s">
        <v>6417</v>
      </c>
      <c r="B1861" s="6" t="s">
        <v>6418</v>
      </c>
      <c r="C1861" s="1232">
        <v>3698</v>
      </c>
      <c r="D1861" s="1232">
        <v>2412150.1607822101</v>
      </c>
      <c r="E1861" s="1233">
        <v>78072.9414562374</v>
      </c>
      <c r="F1861" s="1234">
        <v>6.1621187273938096</v>
      </c>
      <c r="G1861" s="1235">
        <v>0.199446428531669</v>
      </c>
    </row>
    <row r="1862" spans="1:7" x14ac:dyDescent="0.25">
      <c r="A1862" s="11" t="s">
        <v>6417</v>
      </c>
      <c r="B1862" s="11" t="s">
        <v>6419</v>
      </c>
      <c r="C1862" s="1236">
        <v>55819</v>
      </c>
      <c r="D1862" s="1236">
        <v>39144817.999999799</v>
      </c>
      <c r="E1862" s="1237">
        <v>0</v>
      </c>
      <c r="F1862" s="1238">
        <v>100</v>
      </c>
      <c r="G1862" s="1239">
        <v>0</v>
      </c>
    </row>
    <row r="1863" spans="1:7" x14ac:dyDescent="0.25">
      <c r="A1863" s="3729" t="s">
        <v>672</v>
      </c>
      <c r="B1863" s="3730"/>
      <c r="C1863" s="3730"/>
      <c r="D1863" s="3730"/>
      <c r="E1863" s="3730"/>
      <c r="F1863" s="3730"/>
      <c r="G1863" s="3730"/>
    </row>
    <row r="1864" spans="1:7" x14ac:dyDescent="0.25">
      <c r="A1864" s="11" t="s">
        <v>1094</v>
      </c>
      <c r="B1864" s="11" t="s">
        <v>6178</v>
      </c>
      <c r="C1864" s="1244">
        <v>2855</v>
      </c>
      <c r="D1864" s="1244">
        <v>2883649.6842752802</v>
      </c>
      <c r="E1864" s="1245">
        <v>112348.58110998401</v>
      </c>
      <c r="F1864" s="1246">
        <v>46.9238194457456</v>
      </c>
      <c r="G1864" s="1247">
        <v>1.8762532984615701</v>
      </c>
    </row>
    <row r="1865" spans="1:7" x14ac:dyDescent="0.25">
      <c r="A1865" s="6" t="s">
        <v>1090</v>
      </c>
      <c r="B1865" s="6" t="s">
        <v>927</v>
      </c>
      <c r="C1865" s="1240">
        <v>833</v>
      </c>
      <c r="D1865" s="1240">
        <v>1092638.60288363</v>
      </c>
      <c r="E1865" s="1241">
        <v>67048.817289346305</v>
      </c>
      <c r="F1865" s="1242">
        <v>17.779821453606498</v>
      </c>
      <c r="G1865" s="1243">
        <v>1.10857077470165</v>
      </c>
    </row>
    <row r="1866" spans="1:7" x14ac:dyDescent="0.25">
      <c r="A1866" s="11" t="s">
        <v>1096</v>
      </c>
      <c r="B1866" s="11" t="s">
        <v>6179</v>
      </c>
      <c r="C1866" s="1244">
        <v>799</v>
      </c>
      <c r="D1866" s="1244">
        <v>789563.20021517004</v>
      </c>
      <c r="E1866" s="1245">
        <v>68530.754517396897</v>
      </c>
      <c r="F1866" s="1246">
        <v>12.848065855548899</v>
      </c>
      <c r="G1866" s="1247">
        <v>1.07294155495766</v>
      </c>
    </row>
    <row r="1867" spans="1:7" x14ac:dyDescent="0.25">
      <c r="A1867" s="6" t="s">
        <v>1123</v>
      </c>
      <c r="B1867" s="6" t="s">
        <v>6184</v>
      </c>
      <c r="C1867" s="1240">
        <v>566</v>
      </c>
      <c r="D1867" s="1240">
        <v>555640.71750017302</v>
      </c>
      <c r="E1867" s="1241">
        <v>62180.589287945797</v>
      </c>
      <c r="F1867" s="1242">
        <v>9.0415922734509593</v>
      </c>
      <c r="G1867" s="1243">
        <v>1.0338932593258601</v>
      </c>
    </row>
    <row r="1868" spans="1:7" x14ac:dyDescent="0.25">
      <c r="A1868" s="11" t="s">
        <v>1098</v>
      </c>
      <c r="B1868" s="11" t="s">
        <v>4632</v>
      </c>
      <c r="C1868" s="1244">
        <v>320</v>
      </c>
      <c r="D1868" s="1244">
        <v>314169.24914475897</v>
      </c>
      <c r="E1868" s="1245">
        <v>27480.186564976098</v>
      </c>
      <c r="F1868" s="1246">
        <v>5.1122787912357399</v>
      </c>
      <c r="G1868" s="1247">
        <v>0.44927907143232398</v>
      </c>
    </row>
    <row r="1869" spans="1:7" x14ac:dyDescent="0.25">
      <c r="A1869" s="6" t="s">
        <v>1100</v>
      </c>
      <c r="B1869" s="6" t="s">
        <v>6180</v>
      </c>
      <c r="C1869" s="1240">
        <v>239</v>
      </c>
      <c r="D1869" s="1240">
        <v>195510.163550347</v>
      </c>
      <c r="E1869" s="1241">
        <v>42124.239854575702</v>
      </c>
      <c r="F1869" s="1242">
        <v>3.1814140477158199</v>
      </c>
      <c r="G1869" s="1243">
        <v>0.67291218559692401</v>
      </c>
    </row>
    <row r="1870" spans="1:7" x14ac:dyDescent="0.25">
      <c r="A1870" s="11" t="s">
        <v>1092</v>
      </c>
      <c r="B1870" s="11" t="s">
        <v>1107</v>
      </c>
      <c r="C1870" s="1244">
        <v>213</v>
      </c>
      <c r="D1870" s="1244">
        <v>129206.04342194799</v>
      </c>
      <c r="E1870" s="1245">
        <v>16813.016854158799</v>
      </c>
      <c r="F1870" s="1246">
        <v>2.10248876134008</v>
      </c>
      <c r="G1870" s="1247">
        <v>0.264896677008855</v>
      </c>
    </row>
    <row r="1871" spans="1:7" x14ac:dyDescent="0.25">
      <c r="A1871" s="6" t="s">
        <v>1125</v>
      </c>
      <c r="B1871" s="6" t="s">
        <v>6185</v>
      </c>
      <c r="C1871" s="1240">
        <v>71</v>
      </c>
      <c r="D1871" s="1240">
        <v>112955.942403943</v>
      </c>
      <c r="E1871" s="1241">
        <v>8442.1663663031504</v>
      </c>
      <c r="F1871" s="1242">
        <v>1.83806107780348</v>
      </c>
      <c r="G1871" s="1243">
        <v>0.13207437101946301</v>
      </c>
    </row>
    <row r="1872" spans="1:7" x14ac:dyDescent="0.25">
      <c r="A1872" s="11" t="s">
        <v>1111</v>
      </c>
      <c r="B1872" s="11" t="s">
        <v>1112</v>
      </c>
      <c r="C1872" s="1244">
        <v>38</v>
      </c>
      <c r="D1872" s="1244">
        <v>39403.811410300703</v>
      </c>
      <c r="E1872" s="1245">
        <v>18436.409536723</v>
      </c>
      <c r="F1872" s="1246">
        <v>0.64119346471721195</v>
      </c>
      <c r="G1872" s="1247">
        <v>0.300226613604963</v>
      </c>
    </row>
    <row r="1873" spans="1:7" x14ac:dyDescent="0.25">
      <c r="A1873" s="6" t="s">
        <v>1129</v>
      </c>
      <c r="B1873" s="6" t="s">
        <v>6187</v>
      </c>
      <c r="C1873" s="1240">
        <v>11</v>
      </c>
      <c r="D1873" s="1240">
        <v>13702.863501237</v>
      </c>
      <c r="E1873" s="1241">
        <v>6836.6139964582999</v>
      </c>
      <c r="F1873" s="1242">
        <v>0.222978087916855</v>
      </c>
      <c r="G1873" s="1243">
        <v>0.11189315274133101</v>
      </c>
    </row>
    <row r="1874" spans="1:7" x14ac:dyDescent="0.25">
      <c r="A1874" s="11" t="s">
        <v>1135</v>
      </c>
      <c r="B1874" s="11" t="s">
        <v>6190</v>
      </c>
      <c r="C1874" s="1244">
        <v>8</v>
      </c>
      <c r="D1874" s="1244">
        <v>8706.9150147908404</v>
      </c>
      <c r="E1874" s="1245">
        <v>5769.7425106394803</v>
      </c>
      <c r="F1874" s="1246">
        <v>0.14168215727153299</v>
      </c>
      <c r="G1874" s="1247">
        <v>9.3719828302669797E-2</v>
      </c>
    </row>
    <row r="1875" spans="1:7" x14ac:dyDescent="0.25">
      <c r="A1875" s="6" t="s">
        <v>1141</v>
      </c>
      <c r="B1875" s="6" t="s">
        <v>6193</v>
      </c>
      <c r="C1875" s="1240">
        <v>2</v>
      </c>
      <c r="D1875" s="1240">
        <v>5452.0773528149602</v>
      </c>
      <c r="E1875" s="1241">
        <v>5489.1877220987499</v>
      </c>
      <c r="F1875" s="1242">
        <v>8.8718229091001299E-2</v>
      </c>
      <c r="G1875" s="1243">
        <v>8.9306348981822006E-2</v>
      </c>
    </row>
    <row r="1876" spans="1:7" x14ac:dyDescent="0.25">
      <c r="A1876" s="11" t="s">
        <v>1139</v>
      </c>
      <c r="B1876" s="11" t="s">
        <v>6192</v>
      </c>
      <c r="C1876" s="1244">
        <v>1</v>
      </c>
      <c r="D1876" s="1244">
        <v>1840.9258417436299</v>
      </c>
      <c r="E1876" s="1245">
        <v>1849.32421415628</v>
      </c>
      <c r="F1876" s="1246">
        <v>2.9956229524702199E-2</v>
      </c>
      <c r="G1876" s="1247">
        <v>3.0119885429068499E-2</v>
      </c>
    </row>
    <row r="1877" spans="1:7" x14ac:dyDescent="0.25">
      <c r="A1877" s="6" t="s">
        <v>1133</v>
      </c>
      <c r="B1877" s="6" t="s">
        <v>6189</v>
      </c>
      <c r="C1877" s="1240">
        <v>1</v>
      </c>
      <c r="D1877" s="1240">
        <v>1826.0262114188799</v>
      </c>
      <c r="E1877" s="1241">
        <v>1824.4200613123401</v>
      </c>
      <c r="F1877" s="1242">
        <v>2.97137772022237E-2</v>
      </c>
      <c r="G1877" s="1243">
        <v>2.9665043465665501E-2</v>
      </c>
    </row>
    <row r="1878" spans="1:7" x14ac:dyDescent="0.25">
      <c r="A1878" s="11" t="s">
        <v>1109</v>
      </c>
      <c r="B1878" s="11" t="s">
        <v>6181</v>
      </c>
      <c r="C1878" s="1244">
        <v>2</v>
      </c>
      <c r="D1878" s="1244">
        <v>570.84498700397501</v>
      </c>
      <c r="E1878" s="1245">
        <v>573.50815322607798</v>
      </c>
      <c r="F1878" s="1246">
        <v>9.2890017978780395E-3</v>
      </c>
      <c r="G1878" s="1247">
        <v>9.3294611433068393E-3</v>
      </c>
    </row>
    <row r="1879" spans="1:7" x14ac:dyDescent="0.25">
      <c r="A1879" s="6" t="s">
        <v>1119</v>
      </c>
      <c r="B1879" s="6" t="s">
        <v>6182</v>
      </c>
      <c r="C1879" s="1240">
        <v>5</v>
      </c>
      <c r="D1879" s="1240">
        <v>548.61984529680603</v>
      </c>
      <c r="E1879" s="1241">
        <v>546.90787269861596</v>
      </c>
      <c r="F1879" s="1242">
        <v>8.9273460314684607E-3</v>
      </c>
      <c r="G1879" s="1243">
        <v>8.8958544510411401E-3</v>
      </c>
    </row>
    <row r="1880" spans="1:7" x14ac:dyDescent="0.25">
      <c r="A1880" s="11" t="s">
        <v>1088</v>
      </c>
      <c r="B1880" s="11" t="s">
        <v>1089</v>
      </c>
      <c r="C1880" s="1244">
        <v>49848</v>
      </c>
      <c r="D1880" s="1244">
        <v>32995039.717517901</v>
      </c>
      <c r="E1880" s="1245">
        <v>38508.886390430001</v>
      </c>
      <c r="F1880" s="1246">
        <v>99.986688877309803</v>
      </c>
      <c r="G1880" s="1247">
        <v>1.16664838909289E-2</v>
      </c>
    </row>
    <row r="1881" spans="1:7" x14ac:dyDescent="0.25">
      <c r="A1881" s="6" t="s">
        <v>1086</v>
      </c>
      <c r="B1881" s="6" t="s">
        <v>1087</v>
      </c>
      <c r="C1881" s="1240">
        <v>5</v>
      </c>
      <c r="D1881" s="1240">
        <v>4392.5949221720102</v>
      </c>
      <c r="E1881" s="1241">
        <v>3850.0862592427202</v>
      </c>
      <c r="F1881" s="1242">
        <v>1.33111226901806E-2</v>
      </c>
      <c r="G1881" s="1243">
        <v>1.1666483890922501E-2</v>
      </c>
    </row>
    <row r="1882" spans="1:7" x14ac:dyDescent="0.25">
      <c r="A1882" s="11" t="s">
        <v>6417</v>
      </c>
      <c r="B1882" s="11" t="s">
        <v>6418</v>
      </c>
      <c r="C1882" s="1244">
        <v>5964</v>
      </c>
      <c r="D1882" s="1244">
        <v>6145385.6875598598</v>
      </c>
      <c r="E1882" s="1245">
        <v>38399.1677649946</v>
      </c>
      <c r="F1882" s="1246">
        <v>15.6991039977753</v>
      </c>
      <c r="G1882" s="1247">
        <v>9.8095149567416301E-2</v>
      </c>
    </row>
    <row r="1883" spans="1:7" x14ac:dyDescent="0.25">
      <c r="A1883" s="6" t="s">
        <v>6417</v>
      </c>
      <c r="B1883" s="6" t="s">
        <v>6419</v>
      </c>
      <c r="C1883" s="1240">
        <v>55817</v>
      </c>
      <c r="D1883" s="1240">
        <v>39144818</v>
      </c>
      <c r="E1883" s="1241">
        <v>0</v>
      </c>
      <c r="F1883" s="1242">
        <v>100</v>
      </c>
      <c r="G1883" s="1243">
        <v>0</v>
      </c>
    </row>
    <row r="1884" spans="1:7" x14ac:dyDescent="0.25">
      <c r="A1884" s="3729" t="s">
        <v>675</v>
      </c>
      <c r="B1884" s="3730"/>
      <c r="C1884" s="3730"/>
      <c r="D1884" s="3730"/>
      <c r="E1884" s="3730"/>
      <c r="F1884" s="3730"/>
      <c r="G1884" s="3730"/>
    </row>
    <row r="1885" spans="1:7" x14ac:dyDescent="0.25">
      <c r="A1885" s="11" t="s">
        <v>6512</v>
      </c>
      <c r="B1885" s="11"/>
      <c r="C1885" s="1252">
        <v>22</v>
      </c>
      <c r="D1885" s="1252">
        <v>28906.3262845053</v>
      </c>
      <c r="E1885" s="1253">
        <v>17398.723519846098</v>
      </c>
      <c r="F1885" s="1254">
        <v>80.024369817359499</v>
      </c>
      <c r="G1885" s="1255">
        <v>10.0302848742898</v>
      </c>
    </row>
    <row r="1886" spans="1:7" x14ac:dyDescent="0.25">
      <c r="A1886" s="6" t="s">
        <v>6540</v>
      </c>
      <c r="B1886" s="6"/>
      <c r="C1886" s="1248">
        <v>9</v>
      </c>
      <c r="D1886" s="1248">
        <v>6771.4637775156298</v>
      </c>
      <c r="E1886" s="1249">
        <v>2745.67039250077</v>
      </c>
      <c r="F1886" s="1250">
        <v>18.746142840961099</v>
      </c>
      <c r="G1886" s="1251">
        <v>8.6208084119183397</v>
      </c>
    </row>
    <row r="1887" spans="1:7" x14ac:dyDescent="0.25">
      <c r="A1887" s="11" t="s">
        <v>6513</v>
      </c>
      <c r="B1887" s="11"/>
      <c r="C1887" s="1252">
        <v>3</v>
      </c>
      <c r="D1887" s="1252">
        <v>444.11424097894502</v>
      </c>
      <c r="E1887" s="1253">
        <v>316.78201957517098</v>
      </c>
      <c r="F1887" s="1254">
        <v>1.2294873416794401</v>
      </c>
      <c r="G1887" s="1255">
        <v>1.6859950976681899</v>
      </c>
    </row>
    <row r="1888" spans="1:7" x14ac:dyDescent="0.25">
      <c r="A1888" s="6" t="s">
        <v>1088</v>
      </c>
      <c r="B1888" s="6" t="s">
        <v>1089</v>
      </c>
      <c r="C1888" s="1248">
        <v>55781</v>
      </c>
      <c r="D1888" s="1248">
        <v>39105414.188589498</v>
      </c>
      <c r="E1888" s="1249">
        <v>18436.4095367759</v>
      </c>
      <c r="F1888" s="1250">
        <v>99.991608242066505</v>
      </c>
      <c r="G1888" s="1251">
        <v>6.27747254868835E-3</v>
      </c>
    </row>
    <row r="1889" spans="1:7" x14ac:dyDescent="0.25">
      <c r="A1889" s="11" t="s">
        <v>1102</v>
      </c>
      <c r="B1889" s="11"/>
      <c r="C1889" s="1252">
        <v>4</v>
      </c>
      <c r="D1889" s="1252">
        <v>3281.9071073008299</v>
      </c>
      <c r="E1889" s="1253">
        <v>2455.27217291954</v>
      </c>
      <c r="F1889" s="1254">
        <v>8.3917579335045702E-3</v>
      </c>
      <c r="G1889" s="1255">
        <v>6.2774725486826896E-3</v>
      </c>
    </row>
    <row r="1890" spans="1:7" x14ac:dyDescent="0.25">
      <c r="A1890" s="6" t="s">
        <v>6417</v>
      </c>
      <c r="B1890" s="6" t="s">
        <v>6418</v>
      </c>
      <c r="C1890" s="1248">
        <v>34</v>
      </c>
      <c r="D1890" s="1248">
        <v>36121.904302999901</v>
      </c>
      <c r="E1890" s="1249">
        <v>19001.367200033699</v>
      </c>
      <c r="F1890" s="1250">
        <v>9.2277614633436394E-2</v>
      </c>
      <c r="G1890" s="1251">
        <v>4.8541207165744803E-2</v>
      </c>
    </row>
    <row r="1891" spans="1:7" x14ac:dyDescent="0.25">
      <c r="A1891" s="11" t="s">
        <v>6417</v>
      </c>
      <c r="B1891" s="11" t="s">
        <v>6419</v>
      </c>
      <c r="C1891" s="1252">
        <v>55819</v>
      </c>
      <c r="D1891" s="1252">
        <v>39144817.999999799</v>
      </c>
      <c r="E1891" s="1253">
        <v>0</v>
      </c>
      <c r="F1891" s="1254">
        <v>100</v>
      </c>
      <c r="G1891" s="1255">
        <v>0</v>
      </c>
    </row>
    <row r="1892" spans="1:7" x14ac:dyDescent="0.25">
      <c r="A1892" s="3729" t="s">
        <v>678</v>
      </c>
      <c r="B1892" s="3730"/>
      <c r="C1892" s="3730"/>
      <c r="D1892" s="3730"/>
      <c r="E1892" s="3730"/>
      <c r="F1892" s="3730"/>
      <c r="G1892" s="3730"/>
    </row>
    <row r="1893" spans="1:7" x14ac:dyDescent="0.25">
      <c r="A1893" s="11" t="s">
        <v>1094</v>
      </c>
      <c r="B1893" s="11" t="s">
        <v>6178</v>
      </c>
      <c r="C1893" s="1260">
        <v>2721</v>
      </c>
      <c r="D1893" s="1260">
        <v>2762111.3482515402</v>
      </c>
      <c r="E1893" s="1261">
        <v>105671.51472809</v>
      </c>
      <c r="F1893" s="1262">
        <v>44.944124851698703</v>
      </c>
      <c r="G1893" s="1263">
        <v>1.76429934916227</v>
      </c>
    </row>
    <row r="1894" spans="1:7" x14ac:dyDescent="0.25">
      <c r="A1894" s="6" t="s">
        <v>1090</v>
      </c>
      <c r="B1894" s="6" t="s">
        <v>927</v>
      </c>
      <c r="C1894" s="1256">
        <v>976</v>
      </c>
      <c r="D1894" s="1256">
        <v>1277258.0501348199</v>
      </c>
      <c r="E1894" s="1257">
        <v>69368.764421175598</v>
      </c>
      <c r="F1894" s="1258">
        <v>20.7831032262458</v>
      </c>
      <c r="G1894" s="1259">
        <v>1.14389574640542</v>
      </c>
    </row>
    <row r="1895" spans="1:7" x14ac:dyDescent="0.25">
      <c r="A1895" s="11" t="s">
        <v>1096</v>
      </c>
      <c r="B1895" s="11" t="s">
        <v>6179</v>
      </c>
      <c r="C1895" s="1260">
        <v>751</v>
      </c>
      <c r="D1895" s="1260">
        <v>715912.14558004797</v>
      </c>
      <c r="E1895" s="1261">
        <v>63169.436880405097</v>
      </c>
      <c r="F1895" s="1262">
        <v>11.649075941187199</v>
      </c>
      <c r="G1895" s="1263">
        <v>0.98604237042300402</v>
      </c>
    </row>
    <row r="1896" spans="1:7" x14ac:dyDescent="0.25">
      <c r="A1896" s="6" t="s">
        <v>1123</v>
      </c>
      <c r="B1896" s="6" t="s">
        <v>6184</v>
      </c>
      <c r="C1896" s="1256">
        <v>628</v>
      </c>
      <c r="D1896" s="1256">
        <v>589941.22800328</v>
      </c>
      <c r="E1896" s="1257">
        <v>52580.497953728598</v>
      </c>
      <c r="F1896" s="1258">
        <v>9.5993205427174004</v>
      </c>
      <c r="G1896" s="1259">
        <v>0.87847633785067003</v>
      </c>
    </row>
    <row r="1897" spans="1:7" x14ac:dyDescent="0.25">
      <c r="A1897" s="11" t="s">
        <v>1098</v>
      </c>
      <c r="B1897" s="11" t="s">
        <v>4632</v>
      </c>
      <c r="C1897" s="1260">
        <v>313</v>
      </c>
      <c r="D1897" s="1260">
        <v>299458.88866611698</v>
      </c>
      <c r="E1897" s="1261">
        <v>32762.082539760198</v>
      </c>
      <c r="F1897" s="1262">
        <v>4.8726919313664201</v>
      </c>
      <c r="G1897" s="1263">
        <v>0.53553530746436295</v>
      </c>
    </row>
    <row r="1898" spans="1:7" x14ac:dyDescent="0.25">
      <c r="A1898" s="6" t="s">
        <v>1100</v>
      </c>
      <c r="B1898" s="6" t="s">
        <v>6180</v>
      </c>
      <c r="C1898" s="1256">
        <v>207</v>
      </c>
      <c r="D1898" s="1256">
        <v>167027.163318123</v>
      </c>
      <c r="E1898" s="1257">
        <v>26956.010791733599</v>
      </c>
      <c r="F1898" s="1258">
        <v>2.7178084933276798</v>
      </c>
      <c r="G1898" s="1259">
        <v>0.426171036222185</v>
      </c>
    </row>
    <row r="1899" spans="1:7" x14ac:dyDescent="0.25">
      <c r="A1899" s="11" t="s">
        <v>1092</v>
      </c>
      <c r="B1899" s="11" t="s">
        <v>1107</v>
      </c>
      <c r="C1899" s="1260">
        <v>212</v>
      </c>
      <c r="D1899" s="1260">
        <v>133815.635382618</v>
      </c>
      <c r="E1899" s="1261">
        <v>16534.805720667999</v>
      </c>
      <c r="F1899" s="1262">
        <v>2.17740194563584</v>
      </c>
      <c r="G1899" s="1263">
        <v>0.262281273883539</v>
      </c>
    </row>
    <row r="1900" spans="1:7" x14ac:dyDescent="0.25">
      <c r="A1900" s="6" t="s">
        <v>1125</v>
      </c>
      <c r="B1900" s="6" t="s">
        <v>6185</v>
      </c>
      <c r="C1900" s="1256">
        <v>83</v>
      </c>
      <c r="D1900" s="1256">
        <v>121078.91041971</v>
      </c>
      <c r="E1900" s="1257">
        <v>21164.341394906001</v>
      </c>
      <c r="F1900" s="1258">
        <v>1.9701543423496799</v>
      </c>
      <c r="G1900" s="1259">
        <v>0.34363263287830598</v>
      </c>
    </row>
    <row r="1901" spans="1:7" x14ac:dyDescent="0.25">
      <c r="A1901" s="11" t="s">
        <v>1111</v>
      </c>
      <c r="B1901" s="11" t="s">
        <v>1112</v>
      </c>
      <c r="C1901" s="1260">
        <v>38</v>
      </c>
      <c r="D1901" s="1260">
        <v>48552.382940335599</v>
      </c>
      <c r="E1901" s="1261">
        <v>21821.636553722601</v>
      </c>
      <c r="F1901" s="1262">
        <v>0.79002765840677003</v>
      </c>
      <c r="G1901" s="1263">
        <v>0.35384864296483798</v>
      </c>
    </row>
    <row r="1902" spans="1:7" x14ac:dyDescent="0.25">
      <c r="A1902" s="6" t="s">
        <v>1129</v>
      </c>
      <c r="B1902" s="6" t="s">
        <v>6187</v>
      </c>
      <c r="C1902" s="1256">
        <v>13</v>
      </c>
      <c r="D1902" s="1256">
        <v>11271.0283063929</v>
      </c>
      <c r="E1902" s="1257">
        <v>6018.9287883243696</v>
      </c>
      <c r="F1902" s="1258">
        <v>0.18339829193715099</v>
      </c>
      <c r="G1902" s="1259">
        <v>9.84792237743745E-2</v>
      </c>
    </row>
    <row r="1903" spans="1:7" x14ac:dyDescent="0.25">
      <c r="A1903" s="11" t="s">
        <v>1135</v>
      </c>
      <c r="B1903" s="11" t="s">
        <v>6190</v>
      </c>
      <c r="C1903" s="1260">
        <v>7</v>
      </c>
      <c r="D1903" s="1260">
        <v>9942.4921803982306</v>
      </c>
      <c r="E1903" s="1261">
        <v>5620.7346547807902</v>
      </c>
      <c r="F1903" s="1262">
        <v>0.16178080951578</v>
      </c>
      <c r="G1903" s="1263">
        <v>9.1339962369573105E-2</v>
      </c>
    </row>
    <row r="1904" spans="1:7" x14ac:dyDescent="0.25">
      <c r="A1904" s="6" t="s">
        <v>1137</v>
      </c>
      <c r="B1904" s="6" t="s">
        <v>6191</v>
      </c>
      <c r="C1904" s="1256">
        <v>2</v>
      </c>
      <c r="D1904" s="1256">
        <v>3811.7667122071598</v>
      </c>
      <c r="E1904" s="1257">
        <v>3866.9391956454801</v>
      </c>
      <c r="F1904" s="1258">
        <v>6.2023755533039501E-2</v>
      </c>
      <c r="G1904" s="1259">
        <v>6.2927222894356802E-2</v>
      </c>
    </row>
    <row r="1905" spans="1:7" x14ac:dyDescent="0.25">
      <c r="A1905" s="11" t="s">
        <v>1119</v>
      </c>
      <c r="B1905" s="11" t="s">
        <v>6182</v>
      </c>
      <c r="C1905" s="1260">
        <v>7</v>
      </c>
      <c r="D1905" s="1260">
        <v>2333.1462876829601</v>
      </c>
      <c r="E1905" s="1261">
        <v>1307.9089839011899</v>
      </c>
      <c r="F1905" s="1262">
        <v>3.7964153080678298E-2</v>
      </c>
      <c r="G1905" s="1263">
        <v>2.1265461501299401E-2</v>
      </c>
    </row>
    <row r="1906" spans="1:7" x14ac:dyDescent="0.25">
      <c r="A1906" s="6" t="s">
        <v>1109</v>
      </c>
      <c r="B1906" s="6" t="s">
        <v>6181</v>
      </c>
      <c r="C1906" s="1256">
        <v>4</v>
      </c>
      <c r="D1906" s="1256">
        <v>1847.39064919869</v>
      </c>
      <c r="E1906" s="1257">
        <v>1331.2454257775501</v>
      </c>
      <c r="F1906" s="1258">
        <v>3.0060104579058802E-2</v>
      </c>
      <c r="G1906" s="1259">
        <v>2.1588198168132199E-2</v>
      </c>
    </row>
    <row r="1907" spans="1:7" x14ac:dyDescent="0.25">
      <c r="A1907" s="11" t="s">
        <v>1133</v>
      </c>
      <c r="B1907" s="11" t="s">
        <v>6189</v>
      </c>
      <c r="C1907" s="1260">
        <v>1</v>
      </c>
      <c r="D1907" s="1260">
        <v>764.62207970084296</v>
      </c>
      <c r="E1907" s="1261">
        <v>775.67235160822702</v>
      </c>
      <c r="F1907" s="1262">
        <v>1.24416672181568E-2</v>
      </c>
      <c r="G1907" s="1263">
        <v>1.26297583802871E-2</v>
      </c>
    </row>
    <row r="1908" spans="1:7" x14ac:dyDescent="0.25">
      <c r="A1908" s="6" t="s">
        <v>1295</v>
      </c>
      <c r="B1908" s="6" t="s">
        <v>6194</v>
      </c>
      <c r="C1908" s="1256">
        <v>1</v>
      </c>
      <c r="D1908" s="1256">
        <v>529.89599595384698</v>
      </c>
      <c r="E1908" s="1257">
        <v>533.56644767636897</v>
      </c>
      <c r="F1908" s="1258">
        <v>8.6222852006457504E-3</v>
      </c>
      <c r="G1908" s="1259">
        <v>8.6884055919154504E-3</v>
      </c>
    </row>
    <row r="1909" spans="1:7" x14ac:dyDescent="0.25">
      <c r="A1909" s="11" t="s">
        <v>1088</v>
      </c>
      <c r="B1909" s="11" t="s">
        <v>1089</v>
      </c>
      <c r="C1909" s="1260">
        <v>49848</v>
      </c>
      <c r="D1909" s="1260">
        <v>32995039.717517901</v>
      </c>
      <c r="E1909" s="1261">
        <v>38508.886390430001</v>
      </c>
      <c r="F1909" s="1262">
        <v>99.987508205251501</v>
      </c>
      <c r="G1909" s="1263">
        <v>1.1797274317760301E-2</v>
      </c>
    </row>
    <row r="1910" spans="1:7" x14ac:dyDescent="0.25">
      <c r="A1910" s="6" t="s">
        <v>1086</v>
      </c>
      <c r="B1910" s="6" t="s">
        <v>1087</v>
      </c>
      <c r="C1910" s="1256">
        <v>4</v>
      </c>
      <c r="D1910" s="1256">
        <v>4122.1875738989302</v>
      </c>
      <c r="E1910" s="1257">
        <v>3893.0704897067899</v>
      </c>
      <c r="F1910" s="1258">
        <v>1.2491794748468701E-2</v>
      </c>
      <c r="G1910" s="1259">
        <v>1.1797274317763701E-2</v>
      </c>
    </row>
    <row r="1911" spans="1:7" x14ac:dyDescent="0.25">
      <c r="A1911" s="11" t="s">
        <v>6417</v>
      </c>
      <c r="B1911" s="11" t="s">
        <v>6418</v>
      </c>
      <c r="C1911" s="1260">
        <v>5964</v>
      </c>
      <c r="D1911" s="1260">
        <v>6145656.0949081304</v>
      </c>
      <c r="E1911" s="1261">
        <v>38313.436055167702</v>
      </c>
      <c r="F1911" s="1262">
        <v>15.6997947848631</v>
      </c>
      <c r="G1911" s="1263">
        <v>9.7876137922435796E-2</v>
      </c>
    </row>
    <row r="1912" spans="1:7" x14ac:dyDescent="0.25">
      <c r="A1912" s="6" t="s">
        <v>6417</v>
      </c>
      <c r="B1912" s="6" t="s">
        <v>6419</v>
      </c>
      <c r="C1912" s="1256">
        <v>55816</v>
      </c>
      <c r="D1912" s="1256">
        <v>39144818</v>
      </c>
      <c r="E1912" s="1257">
        <v>0</v>
      </c>
      <c r="F1912" s="1258">
        <v>100</v>
      </c>
      <c r="G1912" s="1259">
        <v>0</v>
      </c>
    </row>
    <row r="1913" spans="1:7" x14ac:dyDescent="0.25">
      <c r="A1913" s="3729" t="s">
        <v>681</v>
      </c>
      <c r="B1913" s="3730"/>
      <c r="C1913" s="3730"/>
      <c r="D1913" s="3730"/>
      <c r="E1913" s="3730"/>
      <c r="F1913" s="3730"/>
      <c r="G1913" s="3730"/>
    </row>
    <row r="1914" spans="1:7" x14ac:dyDescent="0.25">
      <c r="A1914" s="11" t="s">
        <v>6512</v>
      </c>
      <c r="B1914" s="11"/>
      <c r="C1914" s="1268">
        <v>24</v>
      </c>
      <c r="D1914" s="1268">
        <v>41412.9321889731</v>
      </c>
      <c r="E1914" s="1269">
        <v>20248.3856168643</v>
      </c>
      <c r="F1914" s="1270">
        <v>85.295364884281796</v>
      </c>
      <c r="G1914" s="1271">
        <v>5.9643759893967498</v>
      </c>
    </row>
    <row r="1915" spans="1:7" x14ac:dyDescent="0.25">
      <c r="A1915" s="6" t="s">
        <v>6540</v>
      </c>
      <c r="B1915" s="6"/>
      <c r="C1915" s="1264">
        <v>9</v>
      </c>
      <c r="D1915" s="1264">
        <v>6586.6013975638998</v>
      </c>
      <c r="E1915" s="1265">
        <v>2811.6701620807398</v>
      </c>
      <c r="F1915" s="1266">
        <v>13.565969368914301</v>
      </c>
      <c r="G1915" s="1267">
        <v>5.2582932770430704</v>
      </c>
    </row>
    <row r="1916" spans="1:7" x14ac:dyDescent="0.25">
      <c r="A1916" s="11" t="s">
        <v>6513</v>
      </c>
      <c r="B1916" s="11"/>
      <c r="C1916" s="1268">
        <v>4</v>
      </c>
      <c r="D1916" s="1268">
        <v>444.11424097894502</v>
      </c>
      <c r="E1916" s="1269">
        <v>316.78201957517098</v>
      </c>
      <c r="F1916" s="1270">
        <v>0.91471152203734696</v>
      </c>
      <c r="G1916" s="1271">
        <v>1.12381832318515</v>
      </c>
    </row>
    <row r="1917" spans="1:7" x14ac:dyDescent="0.25">
      <c r="A1917" s="6" t="s">
        <v>6520</v>
      </c>
      <c r="B1917" s="6"/>
      <c r="C1917" s="1264">
        <v>1</v>
      </c>
      <c r="D1917" s="1264">
        <v>108.735112819718</v>
      </c>
      <c r="E1917" s="1265">
        <v>109.03349831212699</v>
      </c>
      <c r="F1917" s="1266">
        <v>0.22395422476655499</v>
      </c>
      <c r="G1917" s="1267">
        <v>0.21501246256158299</v>
      </c>
    </row>
    <row r="1918" spans="1:7" x14ac:dyDescent="0.25">
      <c r="A1918" s="11" t="s">
        <v>1088</v>
      </c>
      <c r="B1918" s="11" t="s">
        <v>1089</v>
      </c>
      <c r="C1918" s="1268">
        <v>55781</v>
      </c>
      <c r="D1918" s="1268">
        <v>39096265.617059499</v>
      </c>
      <c r="E1918" s="1269">
        <v>21821.636553893899</v>
      </c>
      <c r="F1918" s="1270">
        <v>100</v>
      </c>
      <c r="G1918" s="1271">
        <v>0</v>
      </c>
    </row>
    <row r="1919" spans="1:7" x14ac:dyDescent="0.25">
      <c r="A1919" s="6" t="s">
        <v>6417</v>
      </c>
      <c r="B1919" s="6" t="s">
        <v>6418</v>
      </c>
      <c r="C1919" s="1264">
        <v>38</v>
      </c>
      <c r="D1919" s="1264">
        <v>48552.382940335599</v>
      </c>
      <c r="E1919" s="1265">
        <v>21821.636553722601</v>
      </c>
      <c r="F1919" s="1266">
        <v>0.124032721113522</v>
      </c>
      <c r="G1919" s="1267">
        <v>5.5745913938653899E-2</v>
      </c>
    </row>
    <row r="1920" spans="1:7" x14ac:dyDescent="0.25">
      <c r="A1920" s="11" t="s">
        <v>6417</v>
      </c>
      <c r="B1920" s="11" t="s">
        <v>6419</v>
      </c>
      <c r="C1920" s="1268">
        <v>55819</v>
      </c>
      <c r="D1920" s="1268">
        <v>39144817.999999799</v>
      </c>
      <c r="E1920" s="1269">
        <v>0</v>
      </c>
      <c r="F1920" s="1270">
        <v>100</v>
      </c>
      <c r="G1920" s="1271">
        <v>0</v>
      </c>
    </row>
    <row r="1921" spans="1:7" x14ac:dyDescent="0.25">
      <c r="A1921" s="3729" t="s">
        <v>177</v>
      </c>
      <c r="B1921" s="3730"/>
      <c r="C1921" s="3730"/>
      <c r="D1921" s="3730"/>
      <c r="E1921" s="3730"/>
      <c r="F1921" s="3730"/>
      <c r="G1921" s="3730"/>
    </row>
    <row r="1922" spans="1:7" x14ac:dyDescent="0.25">
      <c r="A1922" s="11" t="s">
        <v>1090</v>
      </c>
      <c r="B1922" s="11" t="s">
        <v>1179</v>
      </c>
      <c r="C1922" s="1276">
        <v>38315</v>
      </c>
      <c r="D1922" s="1276">
        <v>25825383.926835399</v>
      </c>
      <c r="E1922" s="1277">
        <v>175707.51321116701</v>
      </c>
      <c r="F1922" s="1278">
        <v>70.548559354154904</v>
      </c>
      <c r="G1922" s="1279">
        <v>0.46815145079331399</v>
      </c>
    </row>
    <row r="1923" spans="1:7" x14ac:dyDescent="0.25">
      <c r="A1923" s="6" t="s">
        <v>1092</v>
      </c>
      <c r="B1923" s="6" t="s">
        <v>1271</v>
      </c>
      <c r="C1923" s="1272">
        <v>15262</v>
      </c>
      <c r="D1923" s="1272">
        <v>10781152.2848986</v>
      </c>
      <c r="E1923" s="1273">
        <v>169618.92853760201</v>
      </c>
      <c r="F1923" s="1274">
        <v>29.4514406458451</v>
      </c>
      <c r="G1923" s="1275">
        <v>0.468151450793303</v>
      </c>
    </row>
    <row r="1924" spans="1:7" x14ac:dyDescent="0.25">
      <c r="A1924" s="11" t="s">
        <v>1088</v>
      </c>
      <c r="B1924" s="11"/>
      <c r="C1924" s="1276">
        <v>2198</v>
      </c>
      <c r="D1924" s="1276">
        <v>2507649.0021306202</v>
      </c>
      <c r="E1924" s="1277">
        <v>4.77482304698748E-3</v>
      </c>
      <c r="F1924" s="1278">
        <v>98.793168422944106</v>
      </c>
      <c r="G1924" s="1279">
        <v>0.362794167540757</v>
      </c>
    </row>
    <row r="1925" spans="1:7" x14ac:dyDescent="0.25">
      <c r="A1925" s="6" t="s">
        <v>1084</v>
      </c>
      <c r="B1925" s="6" t="s">
        <v>1153</v>
      </c>
      <c r="C1925" s="1272">
        <v>31</v>
      </c>
      <c r="D1925" s="1272">
        <v>22040.9494148903</v>
      </c>
      <c r="E1925" s="1273">
        <v>6115.8262836219501</v>
      </c>
      <c r="F1925" s="1274">
        <v>0.86834131327659703</v>
      </c>
      <c r="G1925" s="1275">
        <v>0.23876242908970399</v>
      </c>
    </row>
    <row r="1926" spans="1:7" x14ac:dyDescent="0.25">
      <c r="A1926" s="11" t="s">
        <v>1086</v>
      </c>
      <c r="B1926" s="11" t="s">
        <v>1147</v>
      </c>
      <c r="C1926" s="1276">
        <v>12</v>
      </c>
      <c r="D1926" s="1276">
        <v>7858.7731551582101</v>
      </c>
      <c r="E1926" s="1277">
        <v>6647.1219969728099</v>
      </c>
      <c r="F1926" s="1278">
        <v>0.309609957077564</v>
      </c>
      <c r="G1926" s="1279">
        <v>0.261614718212477</v>
      </c>
    </row>
    <row r="1927" spans="1:7" x14ac:dyDescent="0.25">
      <c r="A1927" s="6" t="s">
        <v>1102</v>
      </c>
      <c r="B1927" s="6" t="s">
        <v>1103</v>
      </c>
      <c r="C1927" s="1272">
        <v>1</v>
      </c>
      <c r="D1927" s="1272">
        <v>733.06356540633499</v>
      </c>
      <c r="E1927" s="1273">
        <v>734.64773794601604</v>
      </c>
      <c r="F1927" s="1274">
        <v>2.8880306701766899E-2</v>
      </c>
      <c r="G1927" s="1275">
        <v>2.8950571055279699E-2</v>
      </c>
    </row>
    <row r="1928" spans="1:7" x14ac:dyDescent="0.25">
      <c r="A1928" s="11" t="s">
        <v>6417</v>
      </c>
      <c r="B1928" s="11" t="s">
        <v>6418</v>
      </c>
      <c r="C1928" s="1276">
        <v>53577</v>
      </c>
      <c r="D1928" s="1276">
        <v>36606536.211733997</v>
      </c>
      <c r="E1928" s="1277">
        <v>9309.7592895780599</v>
      </c>
      <c r="F1928" s="1278">
        <v>93.515663329266005</v>
      </c>
      <c r="G1928" s="1279">
        <v>2.3782865178888599E-2</v>
      </c>
    </row>
    <row r="1929" spans="1:7" x14ac:dyDescent="0.25">
      <c r="A1929" s="6" t="s">
        <v>6417</v>
      </c>
      <c r="B1929" s="6" t="s">
        <v>6419</v>
      </c>
      <c r="C1929" s="1272">
        <v>55819</v>
      </c>
      <c r="D1929" s="1272">
        <v>39144818.000000097</v>
      </c>
      <c r="E1929" s="1273">
        <v>0</v>
      </c>
      <c r="F1929" s="1274">
        <v>100</v>
      </c>
      <c r="G1929" s="1275">
        <v>0</v>
      </c>
    </row>
    <row r="1930" spans="1:7" x14ac:dyDescent="0.25">
      <c r="A1930" s="3729" t="s">
        <v>180</v>
      </c>
      <c r="B1930" s="3730"/>
      <c r="C1930" s="3730"/>
      <c r="D1930" s="3730"/>
      <c r="E1930" s="3730"/>
      <c r="F1930" s="3730"/>
      <c r="G1930" s="3730"/>
    </row>
    <row r="1931" spans="1:7" x14ac:dyDescent="0.25">
      <c r="A1931" s="11" t="s">
        <v>1090</v>
      </c>
      <c r="B1931" s="11" t="s">
        <v>1179</v>
      </c>
      <c r="C1931" s="1284">
        <v>36366</v>
      </c>
      <c r="D1931" s="1284">
        <v>24168882.953072</v>
      </c>
      <c r="E1931" s="1285">
        <v>190592.626474939</v>
      </c>
      <c r="F1931" s="1286">
        <v>93.590128141365099</v>
      </c>
      <c r="G1931" s="1287">
        <v>0.37965007704173098</v>
      </c>
    </row>
    <row r="1932" spans="1:7" x14ac:dyDescent="0.25">
      <c r="A1932" s="6" t="s">
        <v>1092</v>
      </c>
      <c r="B1932" s="6" t="s">
        <v>1180</v>
      </c>
      <c r="C1932" s="1280">
        <v>1943</v>
      </c>
      <c r="D1932" s="1280">
        <v>1655296.83281912</v>
      </c>
      <c r="E1932" s="1281">
        <v>98736.570470635503</v>
      </c>
      <c r="F1932" s="1282">
        <v>6.4098718586349204</v>
      </c>
      <c r="G1932" s="1283">
        <v>0.37965007704173398</v>
      </c>
    </row>
    <row r="1933" spans="1:7" x14ac:dyDescent="0.25">
      <c r="A1933" s="11" t="s">
        <v>1088</v>
      </c>
      <c r="B1933" s="11" t="s">
        <v>1089</v>
      </c>
      <c r="C1933" s="1284">
        <v>17504</v>
      </c>
      <c r="D1933" s="1284">
        <v>13319434.0731647</v>
      </c>
      <c r="E1933" s="1285">
        <v>175707.51321117001</v>
      </c>
      <c r="F1933" s="1286">
        <v>99.990960335946497</v>
      </c>
      <c r="G1933" s="1287">
        <v>5.7497234310978302E-3</v>
      </c>
    </row>
    <row r="1934" spans="1:7" x14ac:dyDescent="0.25">
      <c r="A1934" s="6" t="s">
        <v>1084</v>
      </c>
      <c r="B1934" s="6" t="s">
        <v>1153</v>
      </c>
      <c r="C1934" s="1280">
        <v>4</v>
      </c>
      <c r="D1934" s="1280">
        <v>1085.8584875010899</v>
      </c>
      <c r="E1934" s="1281">
        <v>779.41885157329705</v>
      </c>
      <c r="F1934" s="1282">
        <v>8.1517001666703993E-3</v>
      </c>
      <c r="G1934" s="1283">
        <v>5.83444693985189E-3</v>
      </c>
    </row>
    <row r="1935" spans="1:7" x14ac:dyDescent="0.25">
      <c r="A1935" s="11" t="s">
        <v>1086</v>
      </c>
      <c r="B1935" s="11" t="s">
        <v>1147</v>
      </c>
      <c r="C1935" s="1284">
        <v>2</v>
      </c>
      <c r="D1935" s="1284">
        <v>118.28245683417499</v>
      </c>
      <c r="E1935" s="1285">
        <v>78.338043783474404</v>
      </c>
      <c r="F1935" s="1286">
        <v>8.8796388681205399E-4</v>
      </c>
      <c r="G1935" s="1287">
        <v>5.9337082369422195E-4</v>
      </c>
    </row>
    <row r="1936" spans="1:7" x14ac:dyDescent="0.25">
      <c r="A1936" s="6" t="s">
        <v>6417</v>
      </c>
      <c r="B1936" s="6" t="s">
        <v>6418</v>
      </c>
      <c r="C1936" s="1280">
        <v>38309</v>
      </c>
      <c r="D1936" s="1280">
        <v>25824179.785891101</v>
      </c>
      <c r="E1936" s="1281">
        <v>175923.315530555</v>
      </c>
      <c r="F1936" s="1282">
        <v>65.970877130891196</v>
      </c>
      <c r="G1936" s="1283">
        <v>0.44941661379171199</v>
      </c>
    </row>
    <row r="1937" spans="1:7" x14ac:dyDescent="0.25">
      <c r="A1937" s="11" t="s">
        <v>6417</v>
      </c>
      <c r="B1937" s="11" t="s">
        <v>6419</v>
      </c>
      <c r="C1937" s="1284">
        <v>55819</v>
      </c>
      <c r="D1937" s="1284">
        <v>39144818.000000201</v>
      </c>
      <c r="E1937" s="1285">
        <v>0</v>
      </c>
      <c r="F1937" s="1286">
        <v>100</v>
      </c>
      <c r="G1937" s="1287">
        <v>0</v>
      </c>
    </row>
    <row r="1938" spans="1:7" x14ac:dyDescent="0.25">
      <c r="A1938" s="3729" t="s">
        <v>172</v>
      </c>
      <c r="B1938" s="3730"/>
      <c r="C1938" s="3730"/>
      <c r="D1938" s="3730"/>
      <c r="E1938" s="3730"/>
      <c r="F1938" s="3730"/>
      <c r="G1938" s="3730"/>
    </row>
    <row r="1939" spans="1:7" x14ac:dyDescent="0.25">
      <c r="A1939" s="11" t="s">
        <v>1292</v>
      </c>
      <c r="B1939" s="11"/>
      <c r="C1939" s="1292">
        <v>18698</v>
      </c>
      <c r="D1939" s="1292">
        <v>13891788.7997426</v>
      </c>
      <c r="E1939" s="1293">
        <v>211879.398087646</v>
      </c>
      <c r="F1939" s="1294">
        <v>44.905382797839501</v>
      </c>
      <c r="G1939" s="1295">
        <v>0.70048432710278097</v>
      </c>
    </row>
    <row r="1940" spans="1:7" x14ac:dyDescent="0.25">
      <c r="A1940" s="6" t="s">
        <v>6427</v>
      </c>
      <c r="B1940" s="6"/>
      <c r="C1940" s="1288">
        <v>5906</v>
      </c>
      <c r="D1940" s="1288">
        <v>3488069.7046053</v>
      </c>
      <c r="E1940" s="1289">
        <v>83164.224096187798</v>
      </c>
      <c r="F1940" s="1290">
        <v>11.2752293868555</v>
      </c>
      <c r="G1940" s="1291">
        <v>0.27082606302352102</v>
      </c>
    </row>
    <row r="1941" spans="1:7" x14ac:dyDescent="0.25">
      <c r="A1941" s="11" t="s">
        <v>6426</v>
      </c>
      <c r="B1941" s="11"/>
      <c r="C1941" s="1292">
        <v>5801</v>
      </c>
      <c r="D1941" s="1292">
        <v>3332515.6627827901</v>
      </c>
      <c r="E1941" s="1293">
        <v>95278.982793747695</v>
      </c>
      <c r="F1941" s="1294">
        <v>10.7723989814637</v>
      </c>
      <c r="G1941" s="1295">
        <v>0.30268764666221798</v>
      </c>
    </row>
    <row r="1942" spans="1:7" x14ac:dyDescent="0.25">
      <c r="A1942" s="6" t="s">
        <v>6429</v>
      </c>
      <c r="B1942" s="6"/>
      <c r="C1942" s="1288">
        <v>4207</v>
      </c>
      <c r="D1942" s="1288">
        <v>2472238.0121742198</v>
      </c>
      <c r="E1942" s="1289">
        <v>91451.166597048898</v>
      </c>
      <c r="F1942" s="1290">
        <v>7.9915406075069297</v>
      </c>
      <c r="G1942" s="1291">
        <v>0.30076011003277903</v>
      </c>
    </row>
    <row r="1943" spans="1:7" x14ac:dyDescent="0.25">
      <c r="A1943" s="11" t="s">
        <v>6430</v>
      </c>
      <c r="B1943" s="11"/>
      <c r="C1943" s="1292">
        <v>3618</v>
      </c>
      <c r="D1943" s="1292">
        <v>2169983.1155027701</v>
      </c>
      <c r="E1943" s="1293">
        <v>75107.320800071204</v>
      </c>
      <c r="F1943" s="1294">
        <v>7.0144978354627296</v>
      </c>
      <c r="G1943" s="1295">
        <v>0.23531512570988</v>
      </c>
    </row>
    <row r="1944" spans="1:7" x14ac:dyDescent="0.25">
      <c r="A1944" s="6" t="s">
        <v>6428</v>
      </c>
      <c r="B1944" s="6"/>
      <c r="C1944" s="1288">
        <v>2638</v>
      </c>
      <c r="D1944" s="1288">
        <v>1442094.94610216</v>
      </c>
      <c r="E1944" s="1289">
        <v>60361.769784317199</v>
      </c>
      <c r="F1944" s="1290">
        <v>4.6615901320603896</v>
      </c>
      <c r="G1944" s="1291">
        <v>0.192916984035748</v>
      </c>
    </row>
    <row r="1945" spans="1:7" x14ac:dyDescent="0.25">
      <c r="A1945" s="11" t="s">
        <v>1123</v>
      </c>
      <c r="B1945" s="11"/>
      <c r="C1945" s="1292">
        <v>2110</v>
      </c>
      <c r="D1945" s="1292">
        <v>1222169.7830067701</v>
      </c>
      <c r="E1945" s="1293">
        <v>37970.176226740703</v>
      </c>
      <c r="F1945" s="1294">
        <v>3.950679263918</v>
      </c>
      <c r="G1945" s="1295">
        <v>0.12426510667226499</v>
      </c>
    </row>
    <row r="1946" spans="1:7" x14ac:dyDescent="0.25">
      <c r="A1946" s="6" t="s">
        <v>6431</v>
      </c>
      <c r="B1946" s="6"/>
      <c r="C1946" s="1288">
        <v>1404</v>
      </c>
      <c r="D1946" s="1288">
        <v>722755.67564169096</v>
      </c>
      <c r="E1946" s="1289">
        <v>37742.114408378198</v>
      </c>
      <c r="F1946" s="1290">
        <v>2.3363168524850102</v>
      </c>
      <c r="G1946" s="1291">
        <v>0.120772369725485</v>
      </c>
    </row>
    <row r="1947" spans="1:7" x14ac:dyDescent="0.25">
      <c r="A1947" s="11" t="s">
        <v>1133</v>
      </c>
      <c r="B1947" s="11"/>
      <c r="C1947" s="1292">
        <v>737</v>
      </c>
      <c r="D1947" s="1292">
        <v>446972.02813172998</v>
      </c>
      <c r="E1947" s="1293">
        <v>39963.5390796707</v>
      </c>
      <c r="F1947" s="1294">
        <v>1.4448427277813101</v>
      </c>
      <c r="G1947" s="1295">
        <v>0.12875467709892399</v>
      </c>
    </row>
    <row r="1948" spans="1:7" x14ac:dyDescent="0.25">
      <c r="A1948" s="6" t="s">
        <v>6433</v>
      </c>
      <c r="B1948" s="6"/>
      <c r="C1948" s="1288">
        <v>697</v>
      </c>
      <c r="D1948" s="1288">
        <v>440318.78330958303</v>
      </c>
      <c r="E1948" s="1289">
        <v>39183.943144736797</v>
      </c>
      <c r="F1948" s="1290">
        <v>1.4233360298395901</v>
      </c>
      <c r="G1948" s="1291">
        <v>0.12715842518579301</v>
      </c>
    </row>
    <row r="1949" spans="1:7" x14ac:dyDescent="0.25">
      <c r="A1949" s="11" t="s">
        <v>6432</v>
      </c>
      <c r="B1949" s="11"/>
      <c r="C1949" s="1292">
        <v>536</v>
      </c>
      <c r="D1949" s="1292">
        <v>337149.70593051502</v>
      </c>
      <c r="E1949" s="1293">
        <v>23214.707236055201</v>
      </c>
      <c r="F1949" s="1294">
        <v>1.08984068381959</v>
      </c>
      <c r="G1949" s="1295">
        <v>7.4553690703718103E-2</v>
      </c>
    </row>
    <row r="1950" spans="1:7" x14ac:dyDescent="0.25">
      <c r="A1950" s="6" t="s">
        <v>1295</v>
      </c>
      <c r="B1950" s="6"/>
      <c r="C1950" s="1288">
        <v>518</v>
      </c>
      <c r="D1950" s="1288">
        <v>298254.89519127598</v>
      </c>
      <c r="E1950" s="1289">
        <v>20874.4089201471</v>
      </c>
      <c r="F1950" s="1290">
        <v>0.96411271672528498</v>
      </c>
      <c r="G1950" s="1291">
        <v>6.7119561630092306E-2</v>
      </c>
    </row>
    <row r="1951" spans="1:7" x14ac:dyDescent="0.25">
      <c r="A1951" s="11" t="s">
        <v>1127</v>
      </c>
      <c r="B1951" s="11"/>
      <c r="C1951" s="1292">
        <v>436</v>
      </c>
      <c r="D1951" s="1292">
        <v>187818.938604928</v>
      </c>
      <c r="E1951" s="1293">
        <v>22517.793646272399</v>
      </c>
      <c r="F1951" s="1294">
        <v>0.60712709186123504</v>
      </c>
      <c r="G1951" s="1295">
        <v>7.2784066511182605E-2</v>
      </c>
    </row>
    <row r="1952" spans="1:7" x14ac:dyDescent="0.25">
      <c r="A1952" s="6" t="s">
        <v>6434</v>
      </c>
      <c r="B1952" s="6"/>
      <c r="C1952" s="1288">
        <v>133</v>
      </c>
      <c r="D1952" s="1288">
        <v>90832.124906276207</v>
      </c>
      <c r="E1952" s="1289">
        <v>16661.166996954598</v>
      </c>
      <c r="F1952" s="1290">
        <v>0.293615991292142</v>
      </c>
      <c r="G1952" s="1291">
        <v>5.3739446703908102E-2</v>
      </c>
    </row>
    <row r="1953" spans="1:7" x14ac:dyDescent="0.25">
      <c r="A1953" s="11" t="s">
        <v>1297</v>
      </c>
      <c r="B1953" s="11"/>
      <c r="C1953" s="1292">
        <v>105</v>
      </c>
      <c r="D1953" s="1292">
        <v>59792.440686668502</v>
      </c>
      <c r="E1953" s="1293">
        <v>12228.154296421</v>
      </c>
      <c r="F1953" s="1294">
        <v>0.19327981991071599</v>
      </c>
      <c r="G1953" s="1295">
        <v>3.9687175601234699E-2</v>
      </c>
    </row>
    <row r="1954" spans="1:7" x14ac:dyDescent="0.25">
      <c r="A1954" s="6" t="s">
        <v>3172</v>
      </c>
      <c r="B1954" s="6"/>
      <c r="C1954" s="1288">
        <v>85</v>
      </c>
      <c r="D1954" s="1288">
        <v>54502.980902035502</v>
      </c>
      <c r="E1954" s="1289">
        <v>17177.455614441798</v>
      </c>
      <c r="F1954" s="1290">
        <v>0.17618157433221099</v>
      </c>
      <c r="G1954" s="1291">
        <v>5.5423877063393599E-2</v>
      </c>
    </row>
    <row r="1955" spans="1:7" x14ac:dyDescent="0.25">
      <c r="A1955" s="11" t="s">
        <v>1125</v>
      </c>
      <c r="B1955" s="11"/>
      <c r="C1955" s="1292">
        <v>77</v>
      </c>
      <c r="D1955" s="1292">
        <v>32490.287215770699</v>
      </c>
      <c r="E1955" s="1293">
        <v>5508.8507000795298</v>
      </c>
      <c r="F1955" s="1294">
        <v>0.105025263892794</v>
      </c>
      <c r="G1955" s="1295">
        <v>1.7708093641189498E-2</v>
      </c>
    </row>
    <row r="1956" spans="1:7" x14ac:dyDescent="0.25">
      <c r="A1956" s="6" t="s">
        <v>1299</v>
      </c>
      <c r="B1956" s="6"/>
      <c r="C1956" s="1288">
        <v>18</v>
      </c>
      <c r="D1956" s="1288">
        <v>25536.320661677601</v>
      </c>
      <c r="E1956" s="1289">
        <v>11344.3540310642</v>
      </c>
      <c r="F1956" s="1290">
        <v>8.2546479153372695E-2</v>
      </c>
      <c r="G1956" s="1291">
        <v>3.6683962993215802E-2</v>
      </c>
    </row>
    <row r="1957" spans="1:7" x14ac:dyDescent="0.25">
      <c r="A1957" s="11" t="s">
        <v>3361</v>
      </c>
      <c r="B1957" s="11"/>
      <c r="C1957" s="1292">
        <v>13</v>
      </c>
      <c r="D1957" s="1292">
        <v>23188.891266544601</v>
      </c>
      <c r="E1957" s="1293">
        <v>19648.758554998702</v>
      </c>
      <c r="F1957" s="1294">
        <v>7.4958383977228094E-2</v>
      </c>
      <c r="G1957" s="1295">
        <v>6.3518510271009201E-2</v>
      </c>
    </row>
    <row r="1958" spans="1:7" x14ac:dyDescent="0.25">
      <c r="A1958" s="6" t="s">
        <v>1139</v>
      </c>
      <c r="B1958" s="6"/>
      <c r="C1958" s="1288">
        <v>33</v>
      </c>
      <c r="D1958" s="1288">
        <v>22887.165059236999</v>
      </c>
      <c r="E1958" s="1289">
        <v>7176.7110677861501</v>
      </c>
      <c r="F1958" s="1290">
        <v>7.3983050200231701E-2</v>
      </c>
      <c r="G1958" s="1291">
        <v>2.3184425364641398E-2</v>
      </c>
    </row>
    <row r="1959" spans="1:7" x14ac:dyDescent="0.25">
      <c r="A1959" s="11" t="s">
        <v>1187</v>
      </c>
      <c r="B1959" s="11"/>
      <c r="C1959" s="1292">
        <v>13</v>
      </c>
      <c r="D1959" s="1292">
        <v>22885.819241068799</v>
      </c>
      <c r="E1959" s="1293">
        <v>8961.3467058675506</v>
      </c>
      <c r="F1959" s="1294">
        <v>7.3978699826000596E-2</v>
      </c>
      <c r="G1959" s="1295">
        <v>2.9016511933637499E-2</v>
      </c>
    </row>
    <row r="1960" spans="1:7" x14ac:dyDescent="0.25">
      <c r="A1960" s="6" t="s">
        <v>1131</v>
      </c>
      <c r="B1960" s="6"/>
      <c r="C1960" s="1288">
        <v>49</v>
      </c>
      <c r="D1960" s="1288">
        <v>20810.707737768302</v>
      </c>
      <c r="E1960" s="1289">
        <v>4656.01158145094</v>
      </c>
      <c r="F1960" s="1290">
        <v>6.7270875675547404E-2</v>
      </c>
      <c r="G1960" s="1291">
        <v>1.49887770848073E-2</v>
      </c>
    </row>
    <row r="1961" spans="1:7" x14ac:dyDescent="0.25">
      <c r="A1961" s="11" t="s">
        <v>1135</v>
      </c>
      <c r="B1961" s="11"/>
      <c r="C1961" s="1292">
        <v>45</v>
      </c>
      <c r="D1961" s="1292">
        <v>18243.691270267798</v>
      </c>
      <c r="E1961" s="1293">
        <v>6813.8062242506003</v>
      </c>
      <c r="F1961" s="1294">
        <v>5.8972962513809499E-2</v>
      </c>
      <c r="G1961" s="1295">
        <v>2.2002559026028101E-2</v>
      </c>
    </row>
    <row r="1962" spans="1:7" x14ac:dyDescent="0.25">
      <c r="A1962" s="6" t="s">
        <v>1137</v>
      </c>
      <c r="B1962" s="6"/>
      <c r="C1962" s="1288">
        <v>30</v>
      </c>
      <c r="D1962" s="1288">
        <v>18035.895000106098</v>
      </c>
      <c r="E1962" s="1289">
        <v>7940.6826695728296</v>
      </c>
      <c r="F1962" s="1290">
        <v>5.8301258445306099E-2</v>
      </c>
      <c r="G1962" s="1291">
        <v>2.5636861375321E-2</v>
      </c>
    </row>
    <row r="1963" spans="1:7" x14ac:dyDescent="0.25">
      <c r="A1963" s="11" t="s">
        <v>1129</v>
      </c>
      <c r="B1963" s="11"/>
      <c r="C1963" s="1292">
        <v>34</v>
      </c>
      <c r="D1963" s="1292">
        <v>14961.176866403201</v>
      </c>
      <c r="E1963" s="1293">
        <v>5623.9929842482497</v>
      </c>
      <c r="F1963" s="1294">
        <v>4.8362193233492203E-2</v>
      </c>
      <c r="G1963" s="1295">
        <v>1.8201262541690001E-2</v>
      </c>
    </row>
    <row r="1964" spans="1:7" x14ac:dyDescent="0.25">
      <c r="A1964" s="6" t="s">
        <v>1301</v>
      </c>
      <c r="B1964" s="6"/>
      <c r="C1964" s="1288">
        <v>18</v>
      </c>
      <c r="D1964" s="1288">
        <v>14185.3414301553</v>
      </c>
      <c r="E1964" s="1289">
        <v>4601.0551397298696</v>
      </c>
      <c r="F1964" s="1290">
        <v>4.5854295384261501E-2</v>
      </c>
      <c r="G1964" s="1291">
        <v>1.4854524274131699E-2</v>
      </c>
    </row>
    <row r="1965" spans="1:7" x14ac:dyDescent="0.25">
      <c r="A1965" s="11" t="s">
        <v>1193</v>
      </c>
      <c r="B1965" s="11"/>
      <c r="C1965" s="1292">
        <v>16</v>
      </c>
      <c r="D1965" s="1292">
        <v>11735.2324075305</v>
      </c>
      <c r="E1965" s="1293">
        <v>6025.2337753026304</v>
      </c>
      <c r="F1965" s="1294">
        <v>3.7934287015041E-2</v>
      </c>
      <c r="G1965" s="1295">
        <v>1.9478871255292102E-2</v>
      </c>
    </row>
    <row r="1966" spans="1:7" x14ac:dyDescent="0.25">
      <c r="A1966" s="6" t="s">
        <v>1189</v>
      </c>
      <c r="B1966" s="6"/>
      <c r="C1966" s="1288">
        <v>18</v>
      </c>
      <c r="D1966" s="1288">
        <v>10610.879000029399</v>
      </c>
      <c r="E1966" s="1289">
        <v>5475.5016273539804</v>
      </c>
      <c r="F1966" s="1290">
        <v>3.4299800420713601E-2</v>
      </c>
      <c r="G1966" s="1291">
        <v>1.7709139031569999E-2</v>
      </c>
    </row>
    <row r="1967" spans="1:7" x14ac:dyDescent="0.25">
      <c r="A1967" s="11" t="s">
        <v>1191</v>
      </c>
      <c r="B1967" s="11"/>
      <c r="C1967" s="1292">
        <v>19</v>
      </c>
      <c r="D1967" s="1292">
        <v>8796.8202657248494</v>
      </c>
      <c r="E1967" s="1293">
        <v>2983.1725813615199</v>
      </c>
      <c r="F1967" s="1294">
        <v>2.8435832644064199E-2</v>
      </c>
      <c r="G1967" s="1295">
        <v>9.6264607494269405E-3</v>
      </c>
    </row>
    <row r="1968" spans="1:7" x14ac:dyDescent="0.25">
      <c r="A1968" s="6" t="s">
        <v>3176</v>
      </c>
      <c r="B1968" s="6"/>
      <c r="C1968" s="1288">
        <v>5</v>
      </c>
      <c r="D1968" s="1288">
        <v>6225.4612687429099</v>
      </c>
      <c r="E1968" s="1289">
        <v>5788.2510768932298</v>
      </c>
      <c r="F1968" s="1290">
        <v>2.0123882200915901E-2</v>
      </c>
      <c r="G1968" s="1291">
        <v>1.8710277268985699E-2</v>
      </c>
    </row>
    <row r="1969" spans="1:7" x14ac:dyDescent="0.25">
      <c r="A1969" s="11" t="s">
        <v>3178</v>
      </c>
      <c r="B1969" s="11"/>
      <c r="C1969" s="1292">
        <v>7</v>
      </c>
      <c r="D1969" s="1292">
        <v>5456.0047285996598</v>
      </c>
      <c r="E1969" s="1293">
        <v>4913.1323462268801</v>
      </c>
      <c r="F1969" s="1294">
        <v>1.7636604213931699E-2</v>
      </c>
      <c r="G1969" s="1295">
        <v>1.5882095200166299E-2</v>
      </c>
    </row>
    <row r="1970" spans="1:7" x14ac:dyDescent="0.25">
      <c r="A1970" s="6" t="s">
        <v>1303</v>
      </c>
      <c r="B1970" s="6"/>
      <c r="C1970" s="1288">
        <v>5</v>
      </c>
      <c r="D1970" s="1288">
        <v>5445.0857822333701</v>
      </c>
      <c r="E1970" s="1289">
        <v>3611.66024502352</v>
      </c>
      <c r="F1970" s="1290">
        <v>1.76013085818576E-2</v>
      </c>
      <c r="G1970" s="1291">
        <v>1.16743018194592E-2</v>
      </c>
    </row>
    <row r="1971" spans="1:7" x14ac:dyDescent="0.25">
      <c r="A1971" s="11" t="s">
        <v>3174</v>
      </c>
      <c r="B1971" s="11"/>
      <c r="C1971" s="1292">
        <v>4</v>
      </c>
      <c r="D1971" s="1292">
        <v>4489.24442549372</v>
      </c>
      <c r="E1971" s="1293">
        <v>3979.53688890581</v>
      </c>
      <c r="F1971" s="1294">
        <v>1.4511539320522701E-2</v>
      </c>
      <c r="G1971" s="1295">
        <v>1.28650318689455E-2</v>
      </c>
    </row>
    <row r="1972" spans="1:7" x14ac:dyDescent="0.25">
      <c r="A1972" s="6" t="s">
        <v>3201</v>
      </c>
      <c r="B1972" s="6"/>
      <c r="C1972" s="1288">
        <v>9</v>
      </c>
      <c r="D1972" s="1288">
        <v>4487.9936828584596</v>
      </c>
      <c r="E1972" s="1289">
        <v>3138.0638510794502</v>
      </c>
      <c r="F1972" s="1290">
        <v>1.45074962791529E-2</v>
      </c>
      <c r="G1972" s="1291">
        <v>1.0146723203640001E-2</v>
      </c>
    </row>
    <row r="1973" spans="1:7" x14ac:dyDescent="0.25">
      <c r="A1973" s="11" t="s">
        <v>1141</v>
      </c>
      <c r="B1973" s="11"/>
      <c r="C1973" s="1292">
        <v>13</v>
      </c>
      <c r="D1973" s="1292">
        <v>3263.1820001843698</v>
      </c>
      <c r="E1973" s="1293">
        <v>1714.5206192179401</v>
      </c>
      <c r="F1973" s="1294">
        <v>1.0548277041183701E-2</v>
      </c>
      <c r="G1973" s="1295">
        <v>5.5393043326033998E-3</v>
      </c>
    </row>
    <row r="1974" spans="1:7" x14ac:dyDescent="0.25">
      <c r="A1974" s="6" t="s">
        <v>3350</v>
      </c>
      <c r="B1974" s="6"/>
      <c r="C1974" s="1288">
        <v>1</v>
      </c>
      <c r="D1974" s="1288">
        <v>3062.4713267141001</v>
      </c>
      <c r="E1974" s="1289">
        <v>3138.54612339409</v>
      </c>
      <c r="F1974" s="1290">
        <v>9.8994772535018604E-3</v>
      </c>
      <c r="G1974" s="1291">
        <v>1.01443939763242E-2</v>
      </c>
    </row>
    <row r="1975" spans="1:7" x14ac:dyDescent="0.25">
      <c r="A1975" s="11" t="s">
        <v>3189</v>
      </c>
      <c r="B1975" s="11"/>
      <c r="C1975" s="1292">
        <v>2</v>
      </c>
      <c r="D1975" s="1292">
        <v>392.286858630371</v>
      </c>
      <c r="E1975" s="1293">
        <v>394.10222796142699</v>
      </c>
      <c r="F1975" s="1294">
        <v>1.2680722265001E-3</v>
      </c>
      <c r="G1975" s="1295">
        <v>1.2739173260011599E-3</v>
      </c>
    </row>
    <row r="1976" spans="1:7" x14ac:dyDescent="0.25">
      <c r="A1976" s="6" t="s">
        <v>1207</v>
      </c>
      <c r="B1976" s="6"/>
      <c r="C1976" s="1288">
        <v>1</v>
      </c>
      <c r="D1976" s="1288">
        <v>386.80546338783302</v>
      </c>
      <c r="E1976" s="1289">
        <v>393.10890817807899</v>
      </c>
      <c r="F1976" s="1290">
        <v>1.2503535471290899E-3</v>
      </c>
      <c r="G1976" s="1291">
        <v>1.27059575307353E-3</v>
      </c>
    </row>
    <row r="1977" spans="1:7" x14ac:dyDescent="0.25">
      <c r="A1977" s="11" t="s">
        <v>1197</v>
      </c>
      <c r="B1977" s="11"/>
      <c r="C1977" s="1292">
        <v>1</v>
      </c>
      <c r="D1977" s="1292">
        <v>287.00707179813799</v>
      </c>
      <c r="E1977" s="1293">
        <v>290.247739030209</v>
      </c>
      <c r="F1977" s="1294">
        <v>9.2775398550697596E-4</v>
      </c>
      <c r="G1977" s="1295">
        <v>9.3820160724435804E-4</v>
      </c>
    </row>
    <row r="1978" spans="1:7" x14ac:dyDescent="0.25">
      <c r="A1978" s="6" t="s">
        <v>3234</v>
      </c>
      <c r="B1978" s="6"/>
      <c r="C1978" s="1288">
        <v>1</v>
      </c>
      <c r="D1978" s="1288">
        <v>192.82689688898901</v>
      </c>
      <c r="E1978" s="1289">
        <v>194.05565144189401</v>
      </c>
      <c r="F1978" s="1290">
        <v>6.2331538028277504E-4</v>
      </c>
      <c r="G1978" s="1291">
        <v>6.2711848554230999E-4</v>
      </c>
    </row>
    <row r="1979" spans="1:7" x14ac:dyDescent="0.25">
      <c r="A1979" s="11" t="s">
        <v>1195</v>
      </c>
      <c r="B1979" s="11"/>
      <c r="C1979" s="1292">
        <v>1</v>
      </c>
      <c r="D1979" s="1292">
        <v>124.84477085757899</v>
      </c>
      <c r="E1979" s="1293">
        <v>122.900379349535</v>
      </c>
      <c r="F1979" s="1294">
        <v>4.03562299030346E-4</v>
      </c>
      <c r="G1979" s="1295">
        <v>3.9724049389724199E-4</v>
      </c>
    </row>
    <row r="1980" spans="1:7" x14ac:dyDescent="0.25">
      <c r="A1980" s="6" t="s">
        <v>3187</v>
      </c>
      <c r="B1980" s="6"/>
      <c r="C1980" s="1288">
        <v>4</v>
      </c>
      <c r="D1980" s="1288">
        <v>99.4248620397275</v>
      </c>
      <c r="E1980" s="1289">
        <v>62.761282301892997</v>
      </c>
      <c r="F1980" s="1290">
        <v>3.21392122632836E-4</v>
      </c>
      <c r="G1980" s="1291">
        <v>2.03036149377847E-4</v>
      </c>
    </row>
    <row r="1981" spans="1:7" x14ac:dyDescent="0.25">
      <c r="A1981" s="11" t="s">
        <v>1307</v>
      </c>
      <c r="B1981" s="11"/>
      <c r="C1981" s="1292">
        <v>2</v>
      </c>
      <c r="D1981" s="1292">
        <v>68.566443661479397</v>
      </c>
      <c r="E1981" s="1293">
        <v>68.443026845637704</v>
      </c>
      <c r="F1981" s="1294">
        <v>2.2164189537363801E-4</v>
      </c>
      <c r="G1981" s="1295">
        <v>2.2123116088471501E-4</v>
      </c>
    </row>
    <row r="1982" spans="1:7" x14ac:dyDescent="0.25">
      <c r="A1982" s="6" t="s">
        <v>1223</v>
      </c>
      <c r="B1982" s="6"/>
      <c r="C1982" s="1288">
        <v>1</v>
      </c>
      <c r="D1982" s="1288">
        <v>41.199846465336101</v>
      </c>
      <c r="E1982" s="1289">
        <v>40.934061590874599</v>
      </c>
      <c r="F1982" s="1290">
        <v>1.3317902419970599E-4</v>
      </c>
      <c r="G1982" s="1291">
        <v>1.32313793485128E-4</v>
      </c>
    </row>
    <row r="1983" spans="1:7" x14ac:dyDescent="0.25">
      <c r="A1983" s="11" t="s">
        <v>1241</v>
      </c>
      <c r="B1983" s="11"/>
      <c r="C1983" s="1292">
        <v>1</v>
      </c>
      <c r="D1983" s="1292">
        <v>39.062211618929098</v>
      </c>
      <c r="E1983" s="1293">
        <v>38.702734946767897</v>
      </c>
      <c r="F1983" s="1294">
        <v>1.26269092552769E-4</v>
      </c>
      <c r="G1983" s="1295">
        <v>1.2510520114513999E-4</v>
      </c>
    </row>
    <row r="1984" spans="1:7" x14ac:dyDescent="0.25">
      <c r="A1984" s="6" t="s">
        <v>1088</v>
      </c>
      <c r="B1984" s="6" t="s">
        <v>1089</v>
      </c>
      <c r="C1984" s="1288">
        <v>7630</v>
      </c>
      <c r="D1984" s="1288">
        <v>8093871.5523033896</v>
      </c>
      <c r="E1984" s="1289">
        <v>32750.9513625158</v>
      </c>
      <c r="F1984" s="1290">
        <v>98.595963939221306</v>
      </c>
      <c r="G1984" s="1291">
        <v>0.377298739879872</v>
      </c>
    </row>
    <row r="1985" spans="1:7" x14ac:dyDescent="0.25">
      <c r="A1985" s="11" t="s">
        <v>1084</v>
      </c>
      <c r="B1985" s="11" t="s">
        <v>1153</v>
      </c>
      <c r="C1985" s="1292">
        <v>74</v>
      </c>
      <c r="D1985" s="1292">
        <v>68284.376108768702</v>
      </c>
      <c r="E1985" s="1293">
        <v>17914.680201509698</v>
      </c>
      <c r="F1985" s="1294">
        <v>0.83181007271067997</v>
      </c>
      <c r="G1985" s="1295">
        <v>0.217508309646609</v>
      </c>
    </row>
    <row r="1986" spans="1:7" x14ac:dyDescent="0.25">
      <c r="A1986" s="6" t="s">
        <v>1086</v>
      </c>
      <c r="B1986" s="6" t="s">
        <v>1147</v>
      </c>
      <c r="C1986" s="1288">
        <v>41</v>
      </c>
      <c r="D1986" s="1288">
        <v>46241.7157386174</v>
      </c>
      <c r="E1986" s="1289">
        <v>27091.881025060498</v>
      </c>
      <c r="F1986" s="1290">
        <v>0.56329613189314298</v>
      </c>
      <c r="G1986" s="1291">
        <v>0.329187176765318</v>
      </c>
    </row>
    <row r="1987" spans="1:7" x14ac:dyDescent="0.25">
      <c r="A1987" s="11" t="s">
        <v>1102</v>
      </c>
      <c r="B1987" s="11" t="s">
        <v>1103</v>
      </c>
      <c r="C1987" s="1292">
        <v>1</v>
      </c>
      <c r="D1987" s="1292">
        <v>733.06356540633499</v>
      </c>
      <c r="E1987" s="1293">
        <v>734.64773794601604</v>
      </c>
      <c r="F1987" s="1294">
        <v>8.9298561748723405E-3</v>
      </c>
      <c r="G1987" s="1295">
        <v>8.9562096306877708E-3</v>
      </c>
    </row>
    <row r="1988" spans="1:7" x14ac:dyDescent="0.25">
      <c r="A1988" s="6" t="s">
        <v>6417</v>
      </c>
      <c r="B1988" s="6" t="s">
        <v>6418</v>
      </c>
      <c r="C1988" s="1288">
        <v>48070</v>
      </c>
      <c r="D1988" s="1288">
        <v>30935687.292283799</v>
      </c>
      <c r="E1988" s="1289">
        <v>43473.838795965203</v>
      </c>
      <c r="F1988" s="1290">
        <v>79.028818813984103</v>
      </c>
      <c r="G1988" s="1291">
        <v>0.11105898818075501</v>
      </c>
    </row>
    <row r="1989" spans="1:7" x14ac:dyDescent="0.25">
      <c r="A1989" s="11" t="s">
        <v>6417</v>
      </c>
      <c r="B1989" s="11" t="s">
        <v>6419</v>
      </c>
      <c r="C1989" s="1292">
        <v>55816</v>
      </c>
      <c r="D1989" s="1292">
        <v>39144818</v>
      </c>
      <c r="E1989" s="1293">
        <v>0</v>
      </c>
      <c r="F1989" s="1294">
        <v>100</v>
      </c>
      <c r="G1989" s="1295">
        <v>0</v>
      </c>
    </row>
    <row r="1990" spans="1:7" x14ac:dyDescent="0.25">
      <c r="A1990" s="3729" t="s">
        <v>422</v>
      </c>
      <c r="B1990" s="3730"/>
      <c r="C1990" s="3730"/>
      <c r="D1990" s="3730"/>
      <c r="E1990" s="3730"/>
      <c r="F1990" s="3730"/>
      <c r="G1990" s="3730"/>
    </row>
    <row r="1991" spans="1:7" x14ac:dyDescent="0.25">
      <c r="A1991" s="11" t="s">
        <v>1092</v>
      </c>
      <c r="B1991" s="11" t="s">
        <v>1180</v>
      </c>
      <c r="C1991" s="1300">
        <v>48006</v>
      </c>
      <c r="D1991" s="1300">
        <v>33494556.563058</v>
      </c>
      <c r="E1991" s="1301">
        <v>91420.851251171698</v>
      </c>
      <c r="F1991" s="1302">
        <v>91.503024497056401</v>
      </c>
      <c r="G1991" s="1303">
        <v>0.247441894365898</v>
      </c>
    </row>
    <row r="1992" spans="1:7" x14ac:dyDescent="0.25">
      <c r="A1992" s="6" t="s">
        <v>1090</v>
      </c>
      <c r="B1992" s="6" t="s">
        <v>1179</v>
      </c>
      <c r="C1992" s="1296">
        <v>5582</v>
      </c>
      <c r="D1992" s="1296">
        <v>3110306.22389339</v>
      </c>
      <c r="E1992" s="1297">
        <v>90550.363578985794</v>
      </c>
      <c r="F1992" s="1298">
        <v>8.4969755029436502</v>
      </c>
      <c r="G1992" s="1299">
        <v>0.24744189436589301</v>
      </c>
    </row>
    <row r="1993" spans="1:7" x14ac:dyDescent="0.25">
      <c r="A1993" s="11" t="s">
        <v>1088</v>
      </c>
      <c r="B1993" s="11"/>
      <c r="C1993" s="1300">
        <v>2198</v>
      </c>
      <c r="D1993" s="1300">
        <v>2507649.0021306202</v>
      </c>
      <c r="E1993" s="1301">
        <v>4.77482304698748E-3</v>
      </c>
      <c r="F1993" s="1302">
        <v>98.728079505020403</v>
      </c>
      <c r="G1993" s="1303">
        <v>0.43309477779156202</v>
      </c>
    </row>
    <row r="1994" spans="1:7" x14ac:dyDescent="0.25">
      <c r="A1994" s="6" t="s">
        <v>1086</v>
      </c>
      <c r="B1994" s="6" t="s">
        <v>1147</v>
      </c>
      <c r="C1994" s="1296">
        <v>24</v>
      </c>
      <c r="D1994" s="1296">
        <v>23345.0773499065</v>
      </c>
      <c r="E1994" s="1297">
        <v>9565.9328817327605</v>
      </c>
      <c r="F1994" s="1298">
        <v>0.91911373987912404</v>
      </c>
      <c r="G1994" s="1299">
        <v>0.37342317358494798</v>
      </c>
    </row>
    <row r="1995" spans="1:7" x14ac:dyDescent="0.25">
      <c r="A1995" s="11" t="s">
        <v>1084</v>
      </c>
      <c r="B1995" s="11" t="s">
        <v>1153</v>
      </c>
      <c r="C1995" s="1300">
        <v>8</v>
      </c>
      <c r="D1995" s="1300">
        <v>8228.0700027564508</v>
      </c>
      <c r="E1995" s="1301">
        <v>5504.6979277212104</v>
      </c>
      <c r="F1995" s="1302">
        <v>0.32394547590783601</v>
      </c>
      <c r="G1995" s="1303">
        <v>0.216421811547613</v>
      </c>
    </row>
    <row r="1996" spans="1:7" x14ac:dyDescent="0.25">
      <c r="A1996" s="6" t="s">
        <v>1102</v>
      </c>
      <c r="B1996" s="6" t="s">
        <v>1103</v>
      </c>
      <c r="C1996" s="1296">
        <v>1</v>
      </c>
      <c r="D1996" s="1296">
        <v>733.06356540633499</v>
      </c>
      <c r="E1996" s="1297">
        <v>734.64773794601604</v>
      </c>
      <c r="F1996" s="1298">
        <v>2.88612791926534E-2</v>
      </c>
      <c r="G1996" s="1299">
        <v>2.89353764640299E-2</v>
      </c>
    </row>
    <row r="1997" spans="1:7" x14ac:dyDescent="0.25">
      <c r="A1997" s="11" t="s">
        <v>6417</v>
      </c>
      <c r="B1997" s="11" t="s">
        <v>6418</v>
      </c>
      <c r="C1997" s="1300">
        <v>53588</v>
      </c>
      <c r="D1997" s="1300">
        <v>36604862.7869514</v>
      </c>
      <c r="E1997" s="1301">
        <v>11128.9652811836</v>
      </c>
      <c r="F1997" s="1302">
        <v>93.511388370617297</v>
      </c>
      <c r="G1997" s="1303">
        <v>2.8430238917890701E-2</v>
      </c>
    </row>
    <row r="1998" spans="1:7" x14ac:dyDescent="0.25">
      <c r="A1998" s="6" t="s">
        <v>6417</v>
      </c>
      <c r="B1998" s="6" t="s">
        <v>6419</v>
      </c>
      <c r="C1998" s="1296">
        <v>55819</v>
      </c>
      <c r="D1998" s="1296">
        <v>39144818.000000097</v>
      </c>
      <c r="E1998" s="1297">
        <v>0</v>
      </c>
      <c r="F1998" s="1298">
        <v>100</v>
      </c>
      <c r="G1998" s="1299">
        <v>0</v>
      </c>
    </row>
    <row r="1999" spans="1:7" x14ac:dyDescent="0.25">
      <c r="A1999" s="3729" t="s">
        <v>425</v>
      </c>
      <c r="B1999" s="3730"/>
      <c r="C1999" s="3730"/>
      <c r="D1999" s="3730"/>
      <c r="E1999" s="3730"/>
      <c r="F1999" s="3730"/>
      <c r="G1999" s="3730"/>
    </row>
    <row r="2000" spans="1:7" x14ac:dyDescent="0.25">
      <c r="A2000" s="11" t="s">
        <v>1092</v>
      </c>
      <c r="B2000" s="11" t="s">
        <v>3373</v>
      </c>
      <c r="C2000" s="1308">
        <v>4579</v>
      </c>
      <c r="D2000" s="1308">
        <v>2423296.3812853401</v>
      </c>
      <c r="E2000" s="1309">
        <v>82392.648602782298</v>
      </c>
      <c r="F2000" s="1310">
        <v>78.068924084759303</v>
      </c>
      <c r="G2000" s="1311">
        <v>1.06830913479829</v>
      </c>
    </row>
    <row r="2001" spans="1:7" x14ac:dyDescent="0.25">
      <c r="A2001" s="6" t="s">
        <v>1094</v>
      </c>
      <c r="B2001" s="6" t="s">
        <v>3374</v>
      </c>
      <c r="C2001" s="1304">
        <v>542</v>
      </c>
      <c r="D2001" s="1304">
        <v>413537.78895939997</v>
      </c>
      <c r="E2001" s="1305">
        <v>35428.035745351597</v>
      </c>
      <c r="F2001" s="1306">
        <v>13.3225347513318</v>
      </c>
      <c r="G2001" s="1307">
        <v>1.0907113254307801</v>
      </c>
    </row>
    <row r="2002" spans="1:7" x14ac:dyDescent="0.25">
      <c r="A2002" s="11" t="s">
        <v>1090</v>
      </c>
      <c r="B2002" s="11" t="s">
        <v>3372</v>
      </c>
      <c r="C2002" s="1308">
        <v>446</v>
      </c>
      <c r="D2002" s="1308">
        <v>267213.19520168402</v>
      </c>
      <c r="E2002" s="1309">
        <v>15064.164287551001</v>
      </c>
      <c r="F2002" s="1310">
        <v>8.6085411639088605</v>
      </c>
      <c r="G2002" s="1311">
        <v>0.46910619648980101</v>
      </c>
    </row>
    <row r="2003" spans="1:7" x14ac:dyDescent="0.25">
      <c r="A2003" s="6" t="s">
        <v>1088</v>
      </c>
      <c r="B2003" s="6" t="s">
        <v>1089</v>
      </c>
      <c r="C2003" s="1304">
        <v>50237</v>
      </c>
      <c r="D2003" s="1304">
        <v>36034511.776106499</v>
      </c>
      <c r="E2003" s="1305">
        <v>90550.363579169702</v>
      </c>
      <c r="F2003" s="1306">
        <v>99.982633949450104</v>
      </c>
      <c r="G2003" s="1307">
        <v>1.05660240755853E-2</v>
      </c>
    </row>
    <row r="2004" spans="1:7" x14ac:dyDescent="0.25">
      <c r="A2004" s="11" t="s">
        <v>1086</v>
      </c>
      <c r="B2004" s="11" t="s">
        <v>1087</v>
      </c>
      <c r="C2004" s="1308">
        <v>11</v>
      </c>
      <c r="D2004" s="1308">
        <v>5465.41924764747</v>
      </c>
      <c r="E2004" s="1309">
        <v>3857.83637328744</v>
      </c>
      <c r="F2004" s="1310">
        <v>1.51645460166926E-2</v>
      </c>
      <c r="G2004" s="1311">
        <v>1.0701155407603099E-2</v>
      </c>
    </row>
    <row r="2005" spans="1:7" x14ac:dyDescent="0.25">
      <c r="A2005" s="6" t="s">
        <v>1084</v>
      </c>
      <c r="B2005" s="6" t="s">
        <v>1085</v>
      </c>
      <c r="C2005" s="1304">
        <v>4</v>
      </c>
      <c r="D2005" s="1304">
        <v>793.43919932565302</v>
      </c>
      <c r="E2005" s="1305">
        <v>453.41884043742402</v>
      </c>
      <c r="F2005" s="1306">
        <v>2.2015045332159401E-3</v>
      </c>
      <c r="G2005" s="1307">
        <v>1.2604880526274E-3</v>
      </c>
    </row>
    <row r="2006" spans="1:7" x14ac:dyDescent="0.25">
      <c r="A2006" s="11" t="s">
        <v>6417</v>
      </c>
      <c r="B2006" s="11" t="s">
        <v>6418</v>
      </c>
      <c r="C2006" s="1308">
        <v>5567</v>
      </c>
      <c r="D2006" s="1308">
        <v>3104047.3654464199</v>
      </c>
      <c r="E2006" s="1309">
        <v>90731.496366026695</v>
      </c>
      <c r="F2006" s="1310">
        <v>7.9296507789266899</v>
      </c>
      <c r="G2006" s="1311">
        <v>0.231784182432627</v>
      </c>
    </row>
    <row r="2007" spans="1:7" x14ac:dyDescent="0.25">
      <c r="A2007" s="6" t="s">
        <v>6417</v>
      </c>
      <c r="B2007" s="6" t="s">
        <v>6419</v>
      </c>
      <c r="C2007" s="1304">
        <v>55819</v>
      </c>
      <c r="D2007" s="1304">
        <v>39144817.999999903</v>
      </c>
      <c r="E2007" s="1305">
        <v>0</v>
      </c>
      <c r="F2007" s="1306">
        <v>100</v>
      </c>
      <c r="G2007" s="1307">
        <v>0</v>
      </c>
    </row>
    <row r="2008" spans="1:7" x14ac:dyDescent="0.25">
      <c r="A2008" s="3729" t="s">
        <v>261</v>
      </c>
      <c r="B2008" s="3730"/>
      <c r="C2008" s="3730"/>
      <c r="D2008" s="3730"/>
      <c r="E2008" s="3730"/>
      <c r="F2008" s="3730"/>
      <c r="G2008" s="3730"/>
    </row>
    <row r="2009" spans="1:7" x14ac:dyDescent="0.25">
      <c r="A2009" s="11" t="s">
        <v>1092</v>
      </c>
      <c r="B2009" s="11" t="s">
        <v>1329</v>
      </c>
      <c r="C2009" s="1316">
        <v>18667</v>
      </c>
      <c r="D2009" s="1316">
        <v>12007359.698594101</v>
      </c>
      <c r="E2009" s="1317">
        <v>220562.266109652</v>
      </c>
      <c r="F2009" s="1318">
        <v>32.845317130511603</v>
      </c>
      <c r="G2009" s="1319">
        <v>0.60819607408919796</v>
      </c>
    </row>
    <row r="2010" spans="1:7" x14ac:dyDescent="0.25">
      <c r="A2010" s="6" t="s">
        <v>1090</v>
      </c>
      <c r="B2010" s="6" t="s">
        <v>1328</v>
      </c>
      <c r="C2010" s="1312">
        <v>16249</v>
      </c>
      <c r="D2010" s="1312">
        <v>11953589.0377052</v>
      </c>
      <c r="E2010" s="1313">
        <v>243114.74583810501</v>
      </c>
      <c r="F2010" s="1314">
        <v>32.698231138791002</v>
      </c>
      <c r="G2010" s="1315">
        <v>0.653980481791402</v>
      </c>
    </row>
    <row r="2011" spans="1:7" x14ac:dyDescent="0.25">
      <c r="A2011" s="11" t="s">
        <v>1094</v>
      </c>
      <c r="B2011" s="11" t="s">
        <v>1330</v>
      </c>
      <c r="C2011" s="1316">
        <v>12791</v>
      </c>
      <c r="D2011" s="1316">
        <v>8665745.6680745892</v>
      </c>
      <c r="E2011" s="1317">
        <v>164584.47798306501</v>
      </c>
      <c r="F2011" s="1318">
        <v>23.7045588526505</v>
      </c>
      <c r="G2011" s="1319">
        <v>0.45241866919398399</v>
      </c>
    </row>
    <row r="2012" spans="1:7" x14ac:dyDescent="0.25">
      <c r="A2012" s="6" t="s">
        <v>1096</v>
      </c>
      <c r="B2012" s="6" t="s">
        <v>1331</v>
      </c>
      <c r="C2012" s="1312">
        <v>4578</v>
      </c>
      <c r="D2012" s="1312">
        <v>3082555.0056377202</v>
      </c>
      <c r="E2012" s="1313">
        <v>110573.71935638299</v>
      </c>
      <c r="F2012" s="1314">
        <v>8.4321199059499907</v>
      </c>
      <c r="G2012" s="1315">
        <v>0.303886974560655</v>
      </c>
    </row>
    <row r="2013" spans="1:7" x14ac:dyDescent="0.25">
      <c r="A2013" s="11" t="s">
        <v>1098</v>
      </c>
      <c r="B2013" s="11" t="s">
        <v>1332</v>
      </c>
      <c r="C2013" s="1316">
        <v>1269</v>
      </c>
      <c r="D2013" s="1316">
        <v>848046.26438418403</v>
      </c>
      <c r="E2013" s="1317">
        <v>58184.776355226801</v>
      </c>
      <c r="F2013" s="1318">
        <v>2.31977297209691</v>
      </c>
      <c r="G2013" s="1319">
        <v>0.15932339448160701</v>
      </c>
    </row>
    <row r="2014" spans="1:7" x14ac:dyDescent="0.25">
      <c r="A2014" s="6" t="s">
        <v>1088</v>
      </c>
      <c r="B2014" s="6"/>
      <c r="C2014" s="1312">
        <v>2198</v>
      </c>
      <c r="D2014" s="1312">
        <v>2507649.0021306202</v>
      </c>
      <c r="E2014" s="1313">
        <v>4.77482304698748E-3</v>
      </c>
      <c r="F2014" s="1314">
        <v>96.913134905800803</v>
      </c>
      <c r="G2014" s="1315">
        <v>1.07924373611115</v>
      </c>
    </row>
    <row r="2015" spans="1:7" x14ac:dyDescent="0.25">
      <c r="A2015" s="11" t="s">
        <v>1086</v>
      </c>
      <c r="B2015" s="11" t="s">
        <v>1147</v>
      </c>
      <c r="C2015" s="1316">
        <v>49</v>
      </c>
      <c r="D2015" s="1316">
        <v>66507.381009171702</v>
      </c>
      <c r="E2015" s="1317">
        <v>27006.866380105301</v>
      </c>
      <c r="F2015" s="1318">
        <v>2.5703113882752402</v>
      </c>
      <c r="G2015" s="1319">
        <v>1.02187369161047</v>
      </c>
    </row>
    <row r="2016" spans="1:7" x14ac:dyDescent="0.25">
      <c r="A2016" s="6" t="s">
        <v>1084</v>
      </c>
      <c r="B2016" s="6" t="s">
        <v>1085</v>
      </c>
      <c r="C2016" s="1312">
        <v>17</v>
      </c>
      <c r="D2016" s="1312">
        <v>12632.8788991119</v>
      </c>
      <c r="E2016" s="1313">
        <v>7700.2929411450896</v>
      </c>
      <c r="F2016" s="1314">
        <v>0.488222991318985</v>
      </c>
      <c r="G2016" s="1315">
        <v>0.29649759377247498</v>
      </c>
    </row>
    <row r="2017" spans="1:7" x14ac:dyDescent="0.25">
      <c r="A2017" s="11" t="s">
        <v>1102</v>
      </c>
      <c r="B2017" s="11" t="s">
        <v>1103</v>
      </c>
      <c r="C2017" s="1316">
        <v>1</v>
      </c>
      <c r="D2017" s="1316">
        <v>733.06356540633499</v>
      </c>
      <c r="E2017" s="1317">
        <v>734.64773794601604</v>
      </c>
      <c r="F2017" s="1318">
        <v>2.8330714604950499E-2</v>
      </c>
      <c r="G2017" s="1319">
        <v>2.8458060633512999E-2</v>
      </c>
    </row>
    <row r="2018" spans="1:7" x14ac:dyDescent="0.25">
      <c r="A2018" s="6" t="s">
        <v>6417</v>
      </c>
      <c r="B2018" s="6" t="s">
        <v>6418</v>
      </c>
      <c r="C2018" s="1312">
        <v>53554</v>
      </c>
      <c r="D2018" s="1312">
        <v>36557295.674395703</v>
      </c>
      <c r="E2018" s="1313">
        <v>28687.0784514726</v>
      </c>
      <c r="F2018" s="1314">
        <v>93.389872637537096</v>
      </c>
      <c r="G2018" s="1315">
        <v>7.3284485449640502E-2</v>
      </c>
    </row>
    <row r="2019" spans="1:7" x14ac:dyDescent="0.25">
      <c r="A2019" s="11" t="s">
        <v>6417</v>
      </c>
      <c r="B2019" s="11" t="s">
        <v>6419</v>
      </c>
      <c r="C2019" s="1316">
        <v>55819</v>
      </c>
      <c r="D2019" s="1316">
        <v>39144818.000000097</v>
      </c>
      <c r="E2019" s="1317">
        <v>0</v>
      </c>
      <c r="F2019" s="1318">
        <v>100</v>
      </c>
      <c r="G2019" s="1319">
        <v>0</v>
      </c>
    </row>
    <row r="2020" spans="1:7" x14ac:dyDescent="0.25">
      <c r="A2020" s="3729" t="s">
        <v>525</v>
      </c>
      <c r="B2020" s="3730"/>
      <c r="C2020" s="3730"/>
      <c r="D2020" s="3730"/>
      <c r="E2020" s="3730"/>
      <c r="F2020" s="3730"/>
      <c r="G2020" s="3730"/>
    </row>
    <row r="2021" spans="1:7" x14ac:dyDescent="0.25">
      <c r="A2021" s="11" t="s">
        <v>1092</v>
      </c>
      <c r="B2021" s="11" t="s">
        <v>6115</v>
      </c>
      <c r="C2021" s="1324">
        <v>32386</v>
      </c>
      <c r="D2021" s="1324">
        <v>21691139.644637302</v>
      </c>
      <c r="E2021" s="1325">
        <v>147103.76899188501</v>
      </c>
      <c r="F2021" s="1326">
        <v>59.364549794495403</v>
      </c>
      <c r="G2021" s="1327">
        <v>0.41551044858650199</v>
      </c>
    </row>
    <row r="2022" spans="1:7" x14ac:dyDescent="0.25">
      <c r="A2022" s="6" t="s">
        <v>1094</v>
      </c>
      <c r="B2022" s="6" t="s">
        <v>6116</v>
      </c>
      <c r="C2022" s="1320">
        <v>15402</v>
      </c>
      <c r="D2022" s="1320">
        <v>9687018.4267305899</v>
      </c>
      <c r="E2022" s="1321">
        <v>151143.150826386</v>
      </c>
      <c r="F2022" s="1322">
        <v>26.511538682386199</v>
      </c>
      <c r="G2022" s="1323">
        <v>0.40975581620673102</v>
      </c>
    </row>
    <row r="2023" spans="1:7" x14ac:dyDescent="0.25">
      <c r="A2023" s="11" t="s">
        <v>1090</v>
      </c>
      <c r="B2023" s="11" t="s">
        <v>6114</v>
      </c>
      <c r="C2023" s="1324">
        <v>5726</v>
      </c>
      <c r="D2023" s="1324">
        <v>5160718.6146785403</v>
      </c>
      <c r="E2023" s="1325">
        <v>174905.87712327001</v>
      </c>
      <c r="F2023" s="1326">
        <v>14.1239115231184</v>
      </c>
      <c r="G2023" s="1327">
        <v>0.47719647418467898</v>
      </c>
    </row>
    <row r="2024" spans="1:7" x14ac:dyDescent="0.25">
      <c r="A2024" s="6" t="s">
        <v>1088</v>
      </c>
      <c r="B2024" s="6"/>
      <c r="C2024" s="1320">
        <v>2198</v>
      </c>
      <c r="D2024" s="1320">
        <v>2507649.0021306202</v>
      </c>
      <c r="E2024" s="1321">
        <v>4.77482304698748E-3</v>
      </c>
      <c r="F2024" s="1322">
        <v>96.228145611082297</v>
      </c>
      <c r="G2024" s="1323">
        <v>0.92981912728809701</v>
      </c>
    </row>
    <row r="2025" spans="1:7" x14ac:dyDescent="0.25">
      <c r="A2025" s="11" t="s">
        <v>1086</v>
      </c>
      <c r="B2025" s="11" t="s">
        <v>1087</v>
      </c>
      <c r="C2025" s="1324">
        <v>61</v>
      </c>
      <c r="D2025" s="1324">
        <v>69130.786701156801</v>
      </c>
      <c r="E2025" s="1325">
        <v>26344.5334626568</v>
      </c>
      <c r="F2025" s="1326">
        <v>2.6528144103243601</v>
      </c>
      <c r="G2025" s="1327">
        <v>0.99219043207618995</v>
      </c>
    </row>
    <row r="2026" spans="1:7" x14ac:dyDescent="0.25">
      <c r="A2026" s="6" t="s">
        <v>1084</v>
      </c>
      <c r="B2026" s="6" t="s">
        <v>1085</v>
      </c>
      <c r="C2026" s="1320">
        <v>45</v>
      </c>
      <c r="D2026" s="1320">
        <v>28428.461556414699</v>
      </c>
      <c r="E2026" s="1321">
        <v>10204.015908302499</v>
      </c>
      <c r="F2026" s="1322">
        <v>1.09090950760071</v>
      </c>
      <c r="G2026" s="1323">
        <v>0.39086199454139697</v>
      </c>
    </row>
    <row r="2027" spans="1:7" x14ac:dyDescent="0.25">
      <c r="A2027" s="11" t="s">
        <v>1102</v>
      </c>
      <c r="B2027" s="11" t="s">
        <v>1103</v>
      </c>
      <c r="C2027" s="1324">
        <v>1</v>
      </c>
      <c r="D2027" s="1324">
        <v>733.06356540633499</v>
      </c>
      <c r="E2027" s="1325">
        <v>734.64773794601604</v>
      </c>
      <c r="F2027" s="1326">
        <v>2.81304709926169E-2</v>
      </c>
      <c r="G2027" s="1327">
        <v>2.82555472253599E-2</v>
      </c>
    </row>
    <row r="2028" spans="1:7" x14ac:dyDescent="0.25">
      <c r="A2028" s="6" t="s">
        <v>6417</v>
      </c>
      <c r="B2028" s="6" t="s">
        <v>6418</v>
      </c>
      <c r="C2028" s="1320">
        <v>53514</v>
      </c>
      <c r="D2028" s="1320">
        <v>36538876.686046399</v>
      </c>
      <c r="E2028" s="1321">
        <v>25104.575468669402</v>
      </c>
      <c r="F2028" s="1322">
        <v>93.342819185023203</v>
      </c>
      <c r="G2028" s="1323">
        <v>6.41325640309683E-2</v>
      </c>
    </row>
    <row r="2029" spans="1:7" x14ac:dyDescent="0.25">
      <c r="A2029" s="11" t="s">
        <v>6417</v>
      </c>
      <c r="B2029" s="11" t="s">
        <v>6419</v>
      </c>
      <c r="C2029" s="1324">
        <v>55819</v>
      </c>
      <c r="D2029" s="1324">
        <v>39144818</v>
      </c>
      <c r="E2029" s="1325">
        <v>0</v>
      </c>
      <c r="F2029" s="1326">
        <v>100</v>
      </c>
      <c r="G2029" s="1327">
        <v>0</v>
      </c>
    </row>
    <row r="2030" spans="1:7" x14ac:dyDescent="0.25">
      <c r="A2030" s="3729" t="s">
        <v>922</v>
      </c>
      <c r="B2030" s="3730"/>
      <c r="C2030" s="3730"/>
      <c r="D2030" s="3730"/>
      <c r="E2030" s="3730"/>
      <c r="F2030" s="3730"/>
      <c r="G2030" s="3730"/>
    </row>
    <row r="2031" spans="1:7" x14ac:dyDescent="0.25">
      <c r="A2031" s="11" t="s">
        <v>6430</v>
      </c>
      <c r="B2031" s="11"/>
      <c r="C2031" s="1332">
        <v>4002</v>
      </c>
      <c r="D2031" s="1332">
        <v>2758022.18247526</v>
      </c>
      <c r="E2031" s="1333">
        <v>68413.975356714494</v>
      </c>
      <c r="F2031" s="1334">
        <v>28.534059667741801</v>
      </c>
      <c r="G2031" s="1335">
        <v>0.50882647339727305</v>
      </c>
    </row>
    <row r="2032" spans="1:7" x14ac:dyDescent="0.25">
      <c r="A2032" s="6" t="s">
        <v>6429</v>
      </c>
      <c r="B2032" s="6"/>
      <c r="C2032" s="1328">
        <v>2816</v>
      </c>
      <c r="D2032" s="1328">
        <v>1677639.7079032699</v>
      </c>
      <c r="E2032" s="1329">
        <v>63680.729252306002</v>
      </c>
      <c r="F2032" s="1330">
        <v>17.356594095020199</v>
      </c>
      <c r="G2032" s="1331">
        <v>0.490828913016923</v>
      </c>
    </row>
    <row r="2033" spans="1:7" x14ac:dyDescent="0.25">
      <c r="A2033" s="11" t="s">
        <v>6428</v>
      </c>
      <c r="B2033" s="11"/>
      <c r="C2033" s="1332">
        <v>2669</v>
      </c>
      <c r="D2033" s="1332">
        <v>1598440.2900376299</v>
      </c>
      <c r="E2033" s="1333">
        <v>63304.035996703002</v>
      </c>
      <c r="F2033" s="1334">
        <v>16.537209490578601</v>
      </c>
      <c r="G2033" s="1335">
        <v>0.56308442572252104</v>
      </c>
    </row>
    <row r="2034" spans="1:7" x14ac:dyDescent="0.25">
      <c r="A2034" s="6" t="s">
        <v>6432</v>
      </c>
      <c r="B2034" s="6"/>
      <c r="C2034" s="1328">
        <v>2053</v>
      </c>
      <c r="D2034" s="1328">
        <v>1321524.5524284099</v>
      </c>
      <c r="E2034" s="1329">
        <v>63234.383821048199</v>
      </c>
      <c r="F2034" s="1330">
        <v>13.672283229257999</v>
      </c>
      <c r="G2034" s="1331">
        <v>0.70945716787210999</v>
      </c>
    </row>
    <row r="2035" spans="1:7" x14ac:dyDescent="0.25">
      <c r="A2035" s="11" t="s">
        <v>6431</v>
      </c>
      <c r="B2035" s="11"/>
      <c r="C2035" s="1332">
        <v>1469</v>
      </c>
      <c r="D2035" s="1332">
        <v>857934.46709257597</v>
      </c>
      <c r="E2035" s="1333">
        <v>34283.592570234301</v>
      </c>
      <c r="F2035" s="1334">
        <v>8.8760538006483003</v>
      </c>
      <c r="G2035" s="1335">
        <v>0.360967433345313</v>
      </c>
    </row>
    <row r="2036" spans="1:7" x14ac:dyDescent="0.25">
      <c r="A2036" s="6" t="s">
        <v>6426</v>
      </c>
      <c r="B2036" s="6"/>
      <c r="C2036" s="1328">
        <v>1109</v>
      </c>
      <c r="D2036" s="1328">
        <v>731549.52612954599</v>
      </c>
      <c r="E2036" s="1329">
        <v>40436.667410970796</v>
      </c>
      <c r="F2036" s="1330">
        <v>7.5684952648766401</v>
      </c>
      <c r="G2036" s="1331">
        <v>0.36348823690170701</v>
      </c>
    </row>
    <row r="2037" spans="1:7" x14ac:dyDescent="0.25">
      <c r="A2037" s="11" t="s">
        <v>6427</v>
      </c>
      <c r="B2037" s="11"/>
      <c r="C2037" s="1332">
        <v>275</v>
      </c>
      <c r="D2037" s="1332">
        <v>174809.094614314</v>
      </c>
      <c r="E2037" s="1333">
        <v>14305.0883357318</v>
      </c>
      <c r="F2037" s="1334">
        <v>1.80854714218148</v>
      </c>
      <c r="G2037" s="1335">
        <v>0.151773702268414</v>
      </c>
    </row>
    <row r="2038" spans="1:7" x14ac:dyDescent="0.25">
      <c r="A2038" s="6" t="s">
        <v>1123</v>
      </c>
      <c r="B2038" s="6"/>
      <c r="C2038" s="1328">
        <v>237</v>
      </c>
      <c r="D2038" s="1328">
        <v>153769.008359631</v>
      </c>
      <c r="E2038" s="1329">
        <v>23905.0516789557</v>
      </c>
      <c r="F2038" s="1330">
        <v>1.59086974987466</v>
      </c>
      <c r="G2038" s="1331">
        <v>0.23734332568108399</v>
      </c>
    </row>
    <row r="2039" spans="1:7" x14ac:dyDescent="0.25">
      <c r="A2039" s="11" t="s">
        <v>1131</v>
      </c>
      <c r="B2039" s="11"/>
      <c r="C2039" s="1332">
        <v>123</v>
      </c>
      <c r="D2039" s="1332">
        <v>85912.254771052205</v>
      </c>
      <c r="E2039" s="1333">
        <v>13538.8938379797</v>
      </c>
      <c r="F2039" s="1334">
        <v>0.88883454941154405</v>
      </c>
      <c r="G2039" s="1335">
        <v>0.14521198113317699</v>
      </c>
    </row>
    <row r="2040" spans="1:7" x14ac:dyDescent="0.25">
      <c r="A2040" s="6" t="s">
        <v>1292</v>
      </c>
      <c r="B2040" s="6"/>
      <c r="C2040" s="1328">
        <v>133</v>
      </c>
      <c r="D2040" s="1328">
        <v>61744.672676412301</v>
      </c>
      <c r="E2040" s="1329">
        <v>11899.4485466445</v>
      </c>
      <c r="F2040" s="1330">
        <v>0.638800581630108</v>
      </c>
      <c r="G2040" s="1331">
        <v>0.119976600731937</v>
      </c>
    </row>
    <row r="2041" spans="1:7" x14ac:dyDescent="0.25">
      <c r="A2041" s="11" t="s">
        <v>1187</v>
      </c>
      <c r="B2041" s="11"/>
      <c r="C2041" s="1332">
        <v>125</v>
      </c>
      <c r="D2041" s="1332">
        <v>54984.407673580499</v>
      </c>
      <c r="E2041" s="1333">
        <v>10327.3003679881</v>
      </c>
      <c r="F2041" s="1334">
        <v>0.568859953093383</v>
      </c>
      <c r="G2041" s="1335">
        <v>0.106497335224792</v>
      </c>
    </row>
    <row r="2042" spans="1:7" x14ac:dyDescent="0.25">
      <c r="A2042" s="6" t="s">
        <v>1295</v>
      </c>
      <c r="B2042" s="6"/>
      <c r="C2042" s="1328">
        <v>60</v>
      </c>
      <c r="D2042" s="1328">
        <v>52035.078612867001</v>
      </c>
      <c r="E2042" s="1329">
        <v>11139.2096835053</v>
      </c>
      <c r="F2042" s="1330">
        <v>0.53834666283308696</v>
      </c>
      <c r="G2042" s="1331">
        <v>0.12013457964249</v>
      </c>
    </row>
    <row r="2043" spans="1:7" x14ac:dyDescent="0.25">
      <c r="A2043" s="11" t="s">
        <v>1127</v>
      </c>
      <c r="B2043" s="11"/>
      <c r="C2043" s="1332">
        <v>65</v>
      </c>
      <c r="D2043" s="1332">
        <v>38010.789991565398</v>
      </c>
      <c r="E2043" s="1333">
        <v>12877.891940838599</v>
      </c>
      <c r="F2043" s="1334">
        <v>0.393253599093219</v>
      </c>
      <c r="G2043" s="1335">
        <v>0.13048409052650101</v>
      </c>
    </row>
    <row r="2044" spans="1:7" x14ac:dyDescent="0.25">
      <c r="A2044" s="6" t="s">
        <v>6433</v>
      </c>
      <c r="B2044" s="6"/>
      <c r="C2044" s="1328">
        <v>94</v>
      </c>
      <c r="D2044" s="1328">
        <v>37210.308572448703</v>
      </c>
      <c r="E2044" s="1329">
        <v>14433.1646604958</v>
      </c>
      <c r="F2044" s="1330">
        <v>0.384971945406339</v>
      </c>
      <c r="G2044" s="1331">
        <v>0.14942107506507701</v>
      </c>
    </row>
    <row r="2045" spans="1:7" x14ac:dyDescent="0.25">
      <c r="A2045" s="11" t="s">
        <v>1133</v>
      </c>
      <c r="B2045" s="11"/>
      <c r="C2045" s="1332">
        <v>66</v>
      </c>
      <c r="D2045" s="1332">
        <v>31744.852333343599</v>
      </c>
      <c r="E2045" s="1333">
        <v>8133.1713871741404</v>
      </c>
      <c r="F2045" s="1334">
        <v>0.32842720279005799</v>
      </c>
      <c r="G2045" s="1335">
        <v>8.6633654130135601E-2</v>
      </c>
    </row>
    <row r="2046" spans="1:7" x14ac:dyDescent="0.25">
      <c r="A2046" s="6" t="s">
        <v>6434</v>
      </c>
      <c r="B2046" s="6"/>
      <c r="C2046" s="1328">
        <v>48</v>
      </c>
      <c r="D2046" s="1328">
        <v>18754.798039199501</v>
      </c>
      <c r="E2046" s="1329">
        <v>7797.4005142262404</v>
      </c>
      <c r="F2046" s="1330">
        <v>0.19403416321571501</v>
      </c>
      <c r="G2046" s="1331">
        <v>8.2100193971604493E-2</v>
      </c>
    </row>
    <row r="2047" spans="1:7" x14ac:dyDescent="0.25">
      <c r="A2047" s="11" t="s">
        <v>1139</v>
      </c>
      <c r="B2047" s="11"/>
      <c r="C2047" s="1332">
        <v>4</v>
      </c>
      <c r="D2047" s="1332">
        <v>3377.2718716408599</v>
      </c>
      <c r="E2047" s="1333">
        <v>2409.2537692227702</v>
      </c>
      <c r="F2047" s="1334">
        <v>3.4940718646830897E-2</v>
      </c>
      <c r="G2047" s="1335">
        <v>2.4732796752132798E-2</v>
      </c>
    </row>
    <row r="2048" spans="1:7" x14ac:dyDescent="0.25">
      <c r="A2048" s="6" t="s">
        <v>1125</v>
      </c>
      <c r="B2048" s="6"/>
      <c r="C2048" s="1328">
        <v>8</v>
      </c>
      <c r="D2048" s="1328">
        <v>2443.3120002842602</v>
      </c>
      <c r="E2048" s="1329">
        <v>1749.0462856204499</v>
      </c>
      <c r="F2048" s="1330">
        <v>2.5278118082593101E-2</v>
      </c>
      <c r="G2048" s="1331">
        <v>1.7969740230207899E-2</v>
      </c>
    </row>
    <row r="2049" spans="1:7" x14ac:dyDescent="0.25">
      <c r="A2049" s="11" t="s">
        <v>1137</v>
      </c>
      <c r="B2049" s="11"/>
      <c r="C2049" s="1332">
        <v>3</v>
      </c>
      <c r="D2049" s="1332">
        <v>2374.8685294945299</v>
      </c>
      <c r="E2049" s="1333">
        <v>2400.4156442084</v>
      </c>
      <c r="F2049" s="1334">
        <v>2.45700127991073E-2</v>
      </c>
      <c r="G2049" s="1335">
        <v>2.4817271646656199E-2</v>
      </c>
    </row>
    <row r="2050" spans="1:7" x14ac:dyDescent="0.25">
      <c r="A2050" s="6" t="s">
        <v>1141</v>
      </c>
      <c r="B2050" s="6"/>
      <c r="C2050" s="1328">
        <v>1</v>
      </c>
      <c r="D2050" s="1328">
        <v>1617.5900792815801</v>
      </c>
      <c r="E2050" s="1329">
        <v>1614.45169741366</v>
      </c>
      <c r="F2050" s="1330">
        <v>1.67353301700944E-2</v>
      </c>
      <c r="G2050" s="1331">
        <v>1.66783634647414E-2</v>
      </c>
    </row>
    <row r="2051" spans="1:7" x14ac:dyDescent="0.25">
      <c r="A2051" s="11" t="s">
        <v>1135</v>
      </c>
      <c r="B2051" s="11"/>
      <c r="C2051" s="1332">
        <v>3</v>
      </c>
      <c r="D2051" s="1332">
        <v>1094.23298343908</v>
      </c>
      <c r="E2051" s="1333">
        <v>878.02241876722701</v>
      </c>
      <c r="F2051" s="1334">
        <v>1.13207607387116E-2</v>
      </c>
      <c r="G2051" s="1335">
        <v>9.0853410236884802E-3</v>
      </c>
    </row>
    <row r="2052" spans="1:7" x14ac:dyDescent="0.25">
      <c r="A2052" s="6" t="s">
        <v>1129</v>
      </c>
      <c r="B2052" s="6"/>
      <c r="C2052" s="1328">
        <v>2</v>
      </c>
      <c r="D2052" s="1328">
        <v>726.27848493013505</v>
      </c>
      <c r="E2052" s="1329">
        <v>565.76538710900195</v>
      </c>
      <c r="F2052" s="1330">
        <v>7.5139619093979202E-3</v>
      </c>
      <c r="G2052" s="1331">
        <v>5.8690510748130101E-3</v>
      </c>
    </row>
    <row r="2053" spans="1:7" x14ac:dyDescent="0.25">
      <c r="A2053" s="11" t="s">
        <v>1088</v>
      </c>
      <c r="B2053" s="11" t="s">
        <v>1089</v>
      </c>
      <c r="C2053" s="1332">
        <v>40417</v>
      </c>
      <c r="D2053" s="1332">
        <v>29457799.573269598</v>
      </c>
      <c r="E2053" s="1333">
        <v>151143.15082652401</v>
      </c>
      <c r="F2053" s="1334">
        <v>99.927749211518702</v>
      </c>
      <c r="G2053" s="1335">
        <v>2.6149561519489498E-2</v>
      </c>
    </row>
    <row r="2054" spans="1:7" x14ac:dyDescent="0.25">
      <c r="A2054" s="6" t="s">
        <v>1084</v>
      </c>
      <c r="B2054" s="6" t="s">
        <v>1153</v>
      </c>
      <c r="C2054" s="1328">
        <v>30</v>
      </c>
      <c r="D2054" s="1328">
        <v>20466.003767087601</v>
      </c>
      <c r="E2054" s="1329">
        <v>7762.8037333038001</v>
      </c>
      <c r="F2054" s="1330">
        <v>6.9425473776910995E-2</v>
      </c>
      <c r="G2054" s="1331">
        <v>2.6327660869429899E-2</v>
      </c>
    </row>
    <row r="2055" spans="1:7" x14ac:dyDescent="0.25">
      <c r="A2055" s="11" t="s">
        <v>1086</v>
      </c>
      <c r="B2055" s="11" t="s">
        <v>1147</v>
      </c>
      <c r="C2055" s="1332">
        <v>7</v>
      </c>
      <c r="D2055" s="1332">
        <v>832.87730334322498</v>
      </c>
      <c r="E2055" s="1333">
        <v>480.45896537970799</v>
      </c>
      <c r="F2055" s="1334">
        <v>2.8253147043599798E-3</v>
      </c>
      <c r="G2055" s="1335">
        <v>1.6285616786592E-3</v>
      </c>
    </row>
    <row r="2056" spans="1:7" x14ac:dyDescent="0.25">
      <c r="A2056" s="6" t="s">
        <v>6417</v>
      </c>
      <c r="B2056" s="6" t="s">
        <v>6418</v>
      </c>
      <c r="C2056" s="1328">
        <v>15365</v>
      </c>
      <c r="D2056" s="1328">
        <v>9665719.5456601791</v>
      </c>
      <c r="E2056" s="1329">
        <v>151532.79644937499</v>
      </c>
      <c r="F2056" s="1330">
        <v>24.692207141338901</v>
      </c>
      <c r="G2056" s="1331">
        <v>0.38710819002763103</v>
      </c>
    </row>
    <row r="2057" spans="1:7" x14ac:dyDescent="0.25">
      <c r="A2057" s="11" t="s">
        <v>6417</v>
      </c>
      <c r="B2057" s="11" t="s">
        <v>6419</v>
      </c>
      <c r="C2057" s="1332">
        <v>55819</v>
      </c>
      <c r="D2057" s="1332">
        <v>39144818.000000201</v>
      </c>
      <c r="E2057" s="1333">
        <v>0</v>
      </c>
      <c r="F2057" s="1334">
        <v>100</v>
      </c>
      <c r="G2057" s="1335">
        <v>0</v>
      </c>
    </row>
    <row r="2058" spans="1:7" x14ac:dyDescent="0.25">
      <c r="A2058" s="3729" t="s">
        <v>401</v>
      </c>
      <c r="B2058" s="3730"/>
      <c r="C2058" s="3730"/>
      <c r="D2058" s="3730"/>
      <c r="E2058" s="3730"/>
      <c r="F2058" s="3730"/>
      <c r="G2058" s="3730"/>
    </row>
    <row r="2059" spans="1:7" x14ac:dyDescent="0.25">
      <c r="A2059" s="11" t="s">
        <v>6429</v>
      </c>
      <c r="B2059" s="11"/>
      <c r="C2059" s="1340">
        <v>6950</v>
      </c>
      <c r="D2059" s="1340">
        <v>4769124.0923803896</v>
      </c>
      <c r="E2059" s="1341">
        <v>123189.14330888601</v>
      </c>
      <c r="F2059" s="1342">
        <v>22.094864447949199</v>
      </c>
      <c r="G2059" s="1343">
        <v>0.52258974069172404</v>
      </c>
    </row>
    <row r="2060" spans="1:7" x14ac:dyDescent="0.25">
      <c r="A2060" s="6" t="s">
        <v>6430</v>
      </c>
      <c r="B2060" s="6"/>
      <c r="C2060" s="1336">
        <v>5606</v>
      </c>
      <c r="D2060" s="1336">
        <v>3867883.5116802598</v>
      </c>
      <c r="E2060" s="1337">
        <v>100187.688536855</v>
      </c>
      <c r="F2060" s="1338">
        <v>17.919508957121199</v>
      </c>
      <c r="G2060" s="1339">
        <v>0.55060545473163902</v>
      </c>
    </row>
    <row r="2061" spans="1:7" x14ac:dyDescent="0.25">
      <c r="A2061" s="11" t="s">
        <v>6426</v>
      </c>
      <c r="B2061" s="11"/>
      <c r="C2061" s="1340">
        <v>4972</v>
      </c>
      <c r="D2061" s="1340">
        <v>3713968.9734181101</v>
      </c>
      <c r="E2061" s="1341">
        <v>129926.127220651</v>
      </c>
      <c r="F2061" s="1342">
        <v>17.206438633599099</v>
      </c>
      <c r="G2061" s="1343">
        <v>0.56010298498329902</v>
      </c>
    </row>
    <row r="2062" spans="1:7" x14ac:dyDescent="0.25">
      <c r="A2062" s="6" t="s">
        <v>6428</v>
      </c>
      <c r="B2062" s="6"/>
      <c r="C2062" s="1336">
        <v>3886</v>
      </c>
      <c r="D2062" s="1336">
        <v>2757237.1308507202</v>
      </c>
      <c r="E2062" s="1337">
        <v>43806.462915557197</v>
      </c>
      <c r="F2062" s="1338">
        <v>12.7739977985332</v>
      </c>
      <c r="G2062" s="1339">
        <v>0.21127118896000899</v>
      </c>
    </row>
    <row r="2063" spans="1:7" x14ac:dyDescent="0.25">
      <c r="A2063" s="11" t="s">
        <v>6432</v>
      </c>
      <c r="B2063" s="11"/>
      <c r="C2063" s="1340">
        <v>3921</v>
      </c>
      <c r="D2063" s="1340">
        <v>2079180.3221606901</v>
      </c>
      <c r="E2063" s="1341">
        <v>139511.45982349201</v>
      </c>
      <c r="F2063" s="1342">
        <v>9.6326299108845994</v>
      </c>
      <c r="G2063" s="1343">
        <v>0.64018798914078701</v>
      </c>
    </row>
    <row r="2064" spans="1:7" x14ac:dyDescent="0.25">
      <c r="A2064" s="6" t="s">
        <v>1292</v>
      </c>
      <c r="B2064" s="6"/>
      <c r="C2064" s="1336">
        <v>2261</v>
      </c>
      <c r="D2064" s="1336">
        <v>1486128.7721422799</v>
      </c>
      <c r="E2064" s="1337">
        <v>56855.084686481801</v>
      </c>
      <c r="F2064" s="1338">
        <v>6.8850826979198496</v>
      </c>
      <c r="G2064" s="1339">
        <v>0.26352492102581998</v>
      </c>
    </row>
    <row r="2065" spans="1:7" x14ac:dyDescent="0.25">
      <c r="A2065" s="11" t="s">
        <v>6427</v>
      </c>
      <c r="B2065" s="11"/>
      <c r="C2065" s="1340">
        <v>1847</v>
      </c>
      <c r="D2065" s="1340">
        <v>1482313.4226435299</v>
      </c>
      <c r="E2065" s="1341">
        <v>70707.436493527202</v>
      </c>
      <c r="F2065" s="1342">
        <v>6.8674065736748702</v>
      </c>
      <c r="G2065" s="1343">
        <v>0.33402735666175298</v>
      </c>
    </row>
    <row r="2066" spans="1:7" x14ac:dyDescent="0.25">
      <c r="A2066" s="6" t="s">
        <v>6431</v>
      </c>
      <c r="B2066" s="6"/>
      <c r="C2066" s="1336">
        <v>1405</v>
      </c>
      <c r="D2066" s="1336">
        <v>732855.78477898997</v>
      </c>
      <c r="E2066" s="1337">
        <v>42488.397263813902</v>
      </c>
      <c r="F2066" s="1338">
        <v>3.3952459426370698</v>
      </c>
      <c r="G2066" s="1339">
        <v>0.180675155103908</v>
      </c>
    </row>
    <row r="2067" spans="1:7" x14ac:dyDescent="0.25">
      <c r="A2067" s="11" t="s">
        <v>1123</v>
      </c>
      <c r="B2067" s="11"/>
      <c r="C2067" s="1340">
        <v>358</v>
      </c>
      <c r="D2067" s="1340">
        <v>163380.65390582799</v>
      </c>
      <c r="E2067" s="1341">
        <v>21168.125766999201</v>
      </c>
      <c r="F2067" s="1342">
        <v>0.756925869728163</v>
      </c>
      <c r="G2067" s="1343">
        <v>9.6277281330663295E-2</v>
      </c>
    </row>
    <row r="2068" spans="1:7" x14ac:dyDescent="0.25">
      <c r="A2068" s="6" t="s">
        <v>1131</v>
      </c>
      <c r="B2068" s="6"/>
      <c r="C2068" s="1336">
        <v>252</v>
      </c>
      <c r="D2068" s="1336">
        <v>136563.78884704801</v>
      </c>
      <c r="E2068" s="1337">
        <v>10472.2909062616</v>
      </c>
      <c r="F2068" s="1338">
        <v>0.63268607497437701</v>
      </c>
      <c r="G2068" s="1339">
        <v>4.7150551706348597E-2</v>
      </c>
    </row>
    <row r="2069" spans="1:7" x14ac:dyDescent="0.25">
      <c r="A2069" s="11" t="s">
        <v>1295</v>
      </c>
      <c r="B2069" s="11"/>
      <c r="C2069" s="1340">
        <v>124</v>
      </c>
      <c r="D2069" s="1340">
        <v>83049.852987211707</v>
      </c>
      <c r="E2069" s="1341">
        <v>20140.127469232899</v>
      </c>
      <c r="F2069" s="1342">
        <v>0.38476148001816202</v>
      </c>
      <c r="G2069" s="1343">
        <v>9.2449160100326999E-2</v>
      </c>
    </row>
    <row r="2070" spans="1:7" x14ac:dyDescent="0.25">
      <c r="A2070" s="6" t="s">
        <v>1187</v>
      </c>
      <c r="B2070" s="6"/>
      <c r="C2070" s="1336">
        <v>168</v>
      </c>
      <c r="D2070" s="1336">
        <v>75619.444155221601</v>
      </c>
      <c r="E2070" s="1337">
        <v>19652.7470285528</v>
      </c>
      <c r="F2070" s="1338">
        <v>0.35033715539260502</v>
      </c>
      <c r="G2070" s="1339">
        <v>9.0185230294451801E-2</v>
      </c>
    </row>
    <row r="2071" spans="1:7" x14ac:dyDescent="0.25">
      <c r="A2071" s="11" t="s">
        <v>6433</v>
      </c>
      <c r="B2071" s="11"/>
      <c r="C2071" s="1340">
        <v>112</v>
      </c>
      <c r="D2071" s="1340">
        <v>67597.138136098001</v>
      </c>
      <c r="E2071" s="1341">
        <v>16177.4115256159</v>
      </c>
      <c r="F2071" s="1342">
        <v>0.313170631599337</v>
      </c>
      <c r="G2071" s="1343">
        <v>7.4404215694107406E-2</v>
      </c>
    </row>
    <row r="2072" spans="1:7" x14ac:dyDescent="0.25">
      <c r="A2072" s="6" t="s">
        <v>1127</v>
      </c>
      <c r="B2072" s="6"/>
      <c r="C2072" s="1336">
        <v>107</v>
      </c>
      <c r="D2072" s="1336">
        <v>63640.081726197299</v>
      </c>
      <c r="E2072" s="1337">
        <v>7874.2058383427302</v>
      </c>
      <c r="F2072" s="1338">
        <v>0.29483799371949398</v>
      </c>
      <c r="G2072" s="1339">
        <v>3.5949661637180698E-2</v>
      </c>
    </row>
    <row r="2073" spans="1:7" x14ac:dyDescent="0.25">
      <c r="A2073" s="11" t="s">
        <v>1133</v>
      </c>
      <c r="B2073" s="11"/>
      <c r="C2073" s="1340">
        <v>103</v>
      </c>
      <c r="D2073" s="1340">
        <v>50060.503358820402</v>
      </c>
      <c r="E2073" s="1341">
        <v>10385.1778318591</v>
      </c>
      <c r="F2073" s="1342">
        <v>0.231925195168735</v>
      </c>
      <c r="G2073" s="1343">
        <v>4.8166092979764201E-2</v>
      </c>
    </row>
    <row r="2074" spans="1:7" x14ac:dyDescent="0.25">
      <c r="A2074" s="6" t="s">
        <v>6434</v>
      </c>
      <c r="B2074" s="6"/>
      <c r="C2074" s="1336">
        <v>56</v>
      </c>
      <c r="D2074" s="1336">
        <v>26515.367782087898</v>
      </c>
      <c r="E2074" s="1337">
        <v>5097.7031366105302</v>
      </c>
      <c r="F2074" s="1338">
        <v>0.122842988688167</v>
      </c>
      <c r="G2074" s="1339">
        <v>2.3606032542769401E-2</v>
      </c>
    </row>
    <row r="2075" spans="1:7" x14ac:dyDescent="0.25">
      <c r="A2075" s="11" t="s">
        <v>1135</v>
      </c>
      <c r="B2075" s="11"/>
      <c r="C2075" s="1340">
        <v>28</v>
      </c>
      <c r="D2075" s="1340">
        <v>9470.0510835243804</v>
      </c>
      <c r="E2075" s="1341">
        <v>3170.5968852251899</v>
      </c>
      <c r="F2075" s="1342">
        <v>4.3873778696580101E-2</v>
      </c>
      <c r="G2075" s="1343">
        <v>1.48249679217361E-2</v>
      </c>
    </row>
    <row r="2076" spans="1:7" x14ac:dyDescent="0.25">
      <c r="A2076" s="6" t="s">
        <v>1125</v>
      </c>
      <c r="B2076" s="6"/>
      <c r="C2076" s="1336">
        <v>15</v>
      </c>
      <c r="D2076" s="1336">
        <v>6947.4548854736604</v>
      </c>
      <c r="E2076" s="1337">
        <v>4327.5256825063598</v>
      </c>
      <c r="F2076" s="1338">
        <v>3.2186848356081599E-2</v>
      </c>
      <c r="G2076" s="1339">
        <v>2.0047011952420399E-2</v>
      </c>
    </row>
    <row r="2077" spans="1:7" x14ac:dyDescent="0.25">
      <c r="A2077" s="11" t="s">
        <v>1129</v>
      </c>
      <c r="B2077" s="11"/>
      <c r="C2077" s="1340">
        <v>9</v>
      </c>
      <c r="D2077" s="1340">
        <v>6484.23155752603</v>
      </c>
      <c r="E2077" s="1341">
        <v>5294.0219292931397</v>
      </c>
      <c r="F2077" s="1342">
        <v>3.00407820256871E-2</v>
      </c>
      <c r="G2077" s="1343">
        <v>2.4529438327104799E-2</v>
      </c>
    </row>
    <row r="2078" spans="1:7" x14ac:dyDescent="0.25">
      <c r="A2078" s="6" t="s">
        <v>1139</v>
      </c>
      <c r="B2078" s="6"/>
      <c r="C2078" s="1336">
        <v>7</v>
      </c>
      <c r="D2078" s="1336">
        <v>2644.3494041464</v>
      </c>
      <c r="E2078" s="1337">
        <v>1526.92819429574</v>
      </c>
      <c r="F2078" s="1338">
        <v>1.2251000499437101E-2</v>
      </c>
      <c r="G2078" s="1339">
        <v>7.1045100807317499E-3</v>
      </c>
    </row>
    <row r="2079" spans="1:7" x14ac:dyDescent="0.25">
      <c r="A2079" s="11" t="s">
        <v>1137</v>
      </c>
      <c r="B2079" s="11"/>
      <c r="C2079" s="1340">
        <v>4</v>
      </c>
      <c r="D2079" s="1340">
        <v>2250.34604086029</v>
      </c>
      <c r="E2079" s="1341">
        <v>1598.85588315518</v>
      </c>
      <c r="F2079" s="1342">
        <v>1.04256231900584E-2</v>
      </c>
      <c r="G2079" s="1343">
        <v>7.4125943047092897E-3</v>
      </c>
    </row>
    <row r="2080" spans="1:7" x14ac:dyDescent="0.25">
      <c r="A2080" s="6" t="s">
        <v>1141</v>
      </c>
      <c r="B2080" s="6"/>
      <c r="C2080" s="1336">
        <v>3</v>
      </c>
      <c r="D2080" s="1336">
        <v>1717.3096498345201</v>
      </c>
      <c r="E2080" s="1337">
        <v>1299.9767149573499</v>
      </c>
      <c r="F2080" s="1338">
        <v>7.9561200743070108E-3</v>
      </c>
      <c r="G2080" s="1339">
        <v>6.0269050007432604E-3</v>
      </c>
    </row>
    <row r="2081" spans="1:7" x14ac:dyDescent="0.25">
      <c r="A2081" s="11" t="s">
        <v>3172</v>
      </c>
      <c r="B2081" s="11"/>
      <c r="C2081" s="1340">
        <v>1</v>
      </c>
      <c r="D2081" s="1340">
        <v>130.26308318934801</v>
      </c>
      <c r="E2081" s="1341">
        <v>131.21606751089399</v>
      </c>
      <c r="F2081" s="1342">
        <v>6.0349554968363499E-4</v>
      </c>
      <c r="G2081" s="1343">
        <v>6.0763095221149103E-4</v>
      </c>
    </row>
    <row r="2082" spans="1:7" x14ac:dyDescent="0.25">
      <c r="A2082" s="6" t="s">
        <v>1088</v>
      </c>
      <c r="B2082" s="6" t="s">
        <v>1089</v>
      </c>
      <c r="C2082" s="1336">
        <v>23433</v>
      </c>
      <c r="D2082" s="1336">
        <v>17453678.3553629</v>
      </c>
      <c r="E2082" s="1337">
        <v>147103.768992022</v>
      </c>
      <c r="F2082" s="1338">
        <v>99.394211481397505</v>
      </c>
      <c r="G2082" s="1339">
        <v>0.14449469766499301</v>
      </c>
    </row>
    <row r="2083" spans="1:7" x14ac:dyDescent="0.25">
      <c r="A2083" s="11" t="s">
        <v>1084</v>
      </c>
      <c r="B2083" s="11" t="s">
        <v>1153</v>
      </c>
      <c r="C2083" s="1340">
        <v>167</v>
      </c>
      <c r="D2083" s="1340">
        <v>99219.077620976503</v>
      </c>
      <c r="E2083" s="1341">
        <v>24852.553325200599</v>
      </c>
      <c r="F2083" s="1342">
        <v>0.56502714117098296</v>
      </c>
      <c r="G2083" s="1343">
        <v>0.143034089149323</v>
      </c>
    </row>
    <row r="2084" spans="1:7" x14ac:dyDescent="0.25">
      <c r="A2084" s="6" t="s">
        <v>1086</v>
      </c>
      <c r="B2084" s="6" t="s">
        <v>1147</v>
      </c>
      <c r="C2084" s="1336">
        <v>24</v>
      </c>
      <c r="D2084" s="1336">
        <v>7157.7203582337197</v>
      </c>
      <c r="E2084" s="1337">
        <v>2548.3478838215901</v>
      </c>
      <c r="F2084" s="1338">
        <v>4.0761377431502301E-2</v>
      </c>
      <c r="G2084" s="1339">
        <v>1.4622233422951001E-2</v>
      </c>
    </row>
    <row r="2085" spans="1:7" x14ac:dyDescent="0.25">
      <c r="A2085" s="11" t="s">
        <v>6417</v>
      </c>
      <c r="B2085" s="11" t="s">
        <v>6418</v>
      </c>
      <c r="C2085" s="1340">
        <v>32195</v>
      </c>
      <c r="D2085" s="1340">
        <v>21584762.846657999</v>
      </c>
      <c r="E2085" s="1341">
        <v>134490.456315471</v>
      </c>
      <c r="F2085" s="1342">
        <v>55.140792445779098</v>
      </c>
      <c r="G2085" s="1343">
        <v>0.34357154583143101</v>
      </c>
    </row>
    <row r="2086" spans="1:7" x14ac:dyDescent="0.25">
      <c r="A2086" s="6" t="s">
        <v>6417</v>
      </c>
      <c r="B2086" s="6" t="s">
        <v>6419</v>
      </c>
      <c r="C2086" s="1336">
        <v>55819</v>
      </c>
      <c r="D2086" s="1336">
        <v>39144818.000000097</v>
      </c>
      <c r="E2086" s="1337">
        <v>0</v>
      </c>
      <c r="F2086" s="1338">
        <v>100</v>
      </c>
      <c r="G2086" s="1339">
        <v>0</v>
      </c>
    </row>
    <row r="2087" spans="1:7" x14ac:dyDescent="0.25">
      <c r="A2087" s="3729" t="s">
        <v>116</v>
      </c>
      <c r="B2087" s="3730"/>
      <c r="C2087" s="3730"/>
      <c r="D2087" s="3730"/>
      <c r="E2087" s="3730"/>
      <c r="F2087" s="3730"/>
      <c r="G2087" s="3730"/>
    </row>
    <row r="2088" spans="1:7" x14ac:dyDescent="0.25">
      <c r="A2088" s="11" t="s">
        <v>1090</v>
      </c>
      <c r="B2088" s="11" t="s">
        <v>1179</v>
      </c>
      <c r="C2088" s="1348">
        <v>45067</v>
      </c>
      <c r="D2088" s="1348">
        <v>27376399.333145</v>
      </c>
      <c r="E2088" s="1349">
        <v>165345.364820916</v>
      </c>
      <c r="F2088" s="1350">
        <v>74.853929380323706</v>
      </c>
      <c r="G2088" s="1351">
        <v>0.46017842590337898</v>
      </c>
    </row>
    <row r="2089" spans="1:7" x14ac:dyDescent="0.25">
      <c r="A2089" s="6" t="s">
        <v>1092</v>
      </c>
      <c r="B2089" s="6" t="s">
        <v>1180</v>
      </c>
      <c r="C2089" s="1344">
        <v>8501</v>
      </c>
      <c r="D2089" s="1344">
        <v>9196696.5080216508</v>
      </c>
      <c r="E2089" s="1345">
        <v>169606.62928943199</v>
      </c>
      <c r="F2089" s="1346">
        <v>25.146070619676301</v>
      </c>
      <c r="G2089" s="1347">
        <v>0.46017842590338798</v>
      </c>
    </row>
    <row r="2090" spans="1:7" x14ac:dyDescent="0.25">
      <c r="A2090" s="11" t="s">
        <v>1088</v>
      </c>
      <c r="B2090" s="11"/>
      <c r="C2090" s="1348">
        <v>2198</v>
      </c>
      <c r="D2090" s="1348">
        <v>2507649.0021306202</v>
      </c>
      <c r="E2090" s="1349">
        <v>4.77482304698748E-3</v>
      </c>
      <c r="F2090" s="1350">
        <v>97.508550584175197</v>
      </c>
      <c r="G2090" s="1351">
        <v>0.83295451959127698</v>
      </c>
    </row>
    <row r="2091" spans="1:7" x14ac:dyDescent="0.25">
      <c r="A2091" s="6" t="s">
        <v>1086</v>
      </c>
      <c r="B2091" s="6" t="s">
        <v>1147</v>
      </c>
      <c r="C2091" s="1344">
        <v>46</v>
      </c>
      <c r="D2091" s="1344">
        <v>55110.505846853099</v>
      </c>
      <c r="E2091" s="1345">
        <v>17037.7656624589</v>
      </c>
      <c r="F2091" s="1346">
        <v>2.1429416726669399</v>
      </c>
      <c r="G2091" s="1347">
        <v>0.64635050493853097</v>
      </c>
    </row>
    <row r="2092" spans="1:7" x14ac:dyDescent="0.25">
      <c r="A2092" s="11" t="s">
        <v>1084</v>
      </c>
      <c r="B2092" s="11" t="s">
        <v>1153</v>
      </c>
      <c r="C2092" s="1348">
        <v>6</v>
      </c>
      <c r="D2092" s="1348">
        <v>8229.5872906355708</v>
      </c>
      <c r="E2092" s="1349">
        <v>5685.3780067219104</v>
      </c>
      <c r="F2092" s="1350">
        <v>0.32000297008633199</v>
      </c>
      <c r="G2092" s="1351">
        <v>0.21940589901987301</v>
      </c>
    </row>
    <row r="2093" spans="1:7" x14ac:dyDescent="0.25">
      <c r="A2093" s="6" t="s">
        <v>1102</v>
      </c>
      <c r="B2093" s="6" t="s">
        <v>1103</v>
      </c>
      <c r="C2093" s="1344">
        <v>1</v>
      </c>
      <c r="D2093" s="1344">
        <v>733.06356540633499</v>
      </c>
      <c r="E2093" s="1345">
        <v>734.64773794601604</v>
      </c>
      <c r="F2093" s="1346">
        <v>2.8504773071553E-2</v>
      </c>
      <c r="G2093" s="1347">
        <v>2.8597001688726399E-2</v>
      </c>
    </row>
    <row r="2094" spans="1:7" x14ac:dyDescent="0.25">
      <c r="A2094" s="11" t="s">
        <v>6417</v>
      </c>
      <c r="B2094" s="11" t="s">
        <v>6418</v>
      </c>
      <c r="C2094" s="1348">
        <v>53568</v>
      </c>
      <c r="D2094" s="1348">
        <v>36573095.841166601</v>
      </c>
      <c r="E2094" s="1349">
        <v>21899.085819513501</v>
      </c>
      <c r="F2094" s="1350">
        <v>93.430236005099104</v>
      </c>
      <c r="G2094" s="1351">
        <v>5.5943767115233398E-2</v>
      </c>
    </row>
    <row r="2095" spans="1:7" x14ac:dyDescent="0.25">
      <c r="A2095" s="6" t="s">
        <v>6417</v>
      </c>
      <c r="B2095" s="6" t="s">
        <v>6419</v>
      </c>
      <c r="C2095" s="1344">
        <v>55819</v>
      </c>
      <c r="D2095" s="1344">
        <v>39144818.000000201</v>
      </c>
      <c r="E2095" s="1345">
        <v>0</v>
      </c>
      <c r="F2095" s="1346">
        <v>100</v>
      </c>
      <c r="G2095" s="1347">
        <v>0</v>
      </c>
    </row>
    <row r="2096" spans="1:7" x14ac:dyDescent="0.25">
      <c r="A2096" s="3729" t="s">
        <v>1073</v>
      </c>
      <c r="B2096" s="3730"/>
      <c r="C2096" s="3730"/>
      <c r="D2096" s="3730"/>
      <c r="E2096" s="3730"/>
      <c r="F2096" s="3730"/>
      <c r="G2096" s="3730"/>
    </row>
    <row r="2097" spans="1:7" x14ac:dyDescent="0.25">
      <c r="A2097" s="11" t="s">
        <v>6541</v>
      </c>
      <c r="B2097" s="11"/>
      <c r="C2097" s="1356">
        <v>253</v>
      </c>
      <c r="D2097" s="1356">
        <v>368442.951553469</v>
      </c>
      <c r="E2097" s="1357">
        <v>21010.800587891299</v>
      </c>
      <c r="F2097" s="1358">
        <v>4.10540969422496</v>
      </c>
      <c r="G2097" s="1359">
        <v>0.21497610528532399</v>
      </c>
    </row>
    <row r="2098" spans="1:7" x14ac:dyDescent="0.25">
      <c r="A2098" s="6" t="s">
        <v>6542</v>
      </c>
      <c r="B2098" s="6"/>
      <c r="C2098" s="1352">
        <v>201</v>
      </c>
      <c r="D2098" s="1352">
        <v>279016.35663654801</v>
      </c>
      <c r="E2098" s="1353">
        <v>26907.738073731602</v>
      </c>
      <c r="F2098" s="1354">
        <v>3.1089655821975501</v>
      </c>
      <c r="G2098" s="1355">
        <v>0.30931838211920998</v>
      </c>
    </row>
    <row r="2099" spans="1:7" x14ac:dyDescent="0.25">
      <c r="A2099" s="11" t="s">
        <v>6543</v>
      </c>
      <c r="B2099" s="11"/>
      <c r="C2099" s="1356">
        <v>174</v>
      </c>
      <c r="D2099" s="1356">
        <v>268398.392897963</v>
      </c>
      <c r="E2099" s="1357">
        <v>38536.5546218362</v>
      </c>
      <c r="F2099" s="1358">
        <v>2.99065393834191</v>
      </c>
      <c r="G2099" s="1359">
        <v>0.39845302448273701</v>
      </c>
    </row>
    <row r="2100" spans="1:7" x14ac:dyDescent="0.25">
      <c r="A2100" s="6" t="s">
        <v>6544</v>
      </c>
      <c r="B2100" s="6"/>
      <c r="C2100" s="1352">
        <v>203</v>
      </c>
      <c r="D2100" s="1352">
        <v>265088.48772343301</v>
      </c>
      <c r="E2100" s="1353">
        <v>48048.4675902499</v>
      </c>
      <c r="F2100" s="1354">
        <v>2.9537730135387998</v>
      </c>
      <c r="G2100" s="1355">
        <v>0.53776117664632905</v>
      </c>
    </row>
    <row r="2101" spans="1:7" x14ac:dyDescent="0.25">
      <c r="A2101" s="11" t="s">
        <v>6545</v>
      </c>
      <c r="B2101" s="11"/>
      <c r="C2101" s="1356">
        <v>172</v>
      </c>
      <c r="D2101" s="1356">
        <v>250769.13669108399</v>
      </c>
      <c r="E2101" s="1357">
        <v>36368.970706245098</v>
      </c>
      <c r="F2101" s="1358">
        <v>2.7942183191272099</v>
      </c>
      <c r="G2101" s="1359">
        <v>0.39120083414046503</v>
      </c>
    </row>
    <row r="2102" spans="1:7" x14ac:dyDescent="0.25">
      <c r="A2102" s="6" t="s">
        <v>6546</v>
      </c>
      <c r="B2102" s="6"/>
      <c r="C2102" s="1352">
        <v>197</v>
      </c>
      <c r="D2102" s="1352">
        <v>242443.018563288</v>
      </c>
      <c r="E2102" s="1353">
        <v>38369.810532719901</v>
      </c>
      <c r="F2102" s="1354">
        <v>2.7014437771445401</v>
      </c>
      <c r="G2102" s="1355">
        <v>0.40133854942932701</v>
      </c>
    </row>
    <row r="2103" spans="1:7" x14ac:dyDescent="0.25">
      <c r="A2103" s="11" t="s">
        <v>6547</v>
      </c>
      <c r="B2103" s="11"/>
      <c r="C2103" s="1356">
        <v>152</v>
      </c>
      <c r="D2103" s="1356">
        <v>230185.34715707699</v>
      </c>
      <c r="E2103" s="1357">
        <v>22472.886399040599</v>
      </c>
      <c r="F2103" s="1358">
        <v>2.5648615388156299</v>
      </c>
      <c r="G2103" s="1359">
        <v>0.250292680055898</v>
      </c>
    </row>
    <row r="2104" spans="1:7" x14ac:dyDescent="0.25">
      <c r="A2104" s="6" t="s">
        <v>6548</v>
      </c>
      <c r="B2104" s="6"/>
      <c r="C2104" s="1352">
        <v>176</v>
      </c>
      <c r="D2104" s="1352">
        <v>225757.26300778601</v>
      </c>
      <c r="E2104" s="1353">
        <v>40059.4661281964</v>
      </c>
      <c r="F2104" s="1354">
        <v>2.5155212012770898</v>
      </c>
      <c r="G2104" s="1355">
        <v>0.45649893890693999</v>
      </c>
    </row>
    <row r="2105" spans="1:7" x14ac:dyDescent="0.25">
      <c r="A2105" s="11" t="s">
        <v>6549</v>
      </c>
      <c r="B2105" s="11"/>
      <c r="C2105" s="1356">
        <v>152</v>
      </c>
      <c r="D2105" s="1356">
        <v>222871.64472249101</v>
      </c>
      <c r="E2105" s="1357">
        <v>57895.314998052199</v>
      </c>
      <c r="F2105" s="1358">
        <v>2.4833679324132598</v>
      </c>
      <c r="G2105" s="1359">
        <v>0.61393210569686796</v>
      </c>
    </row>
    <row r="2106" spans="1:7" x14ac:dyDescent="0.25">
      <c r="A2106" s="6" t="s">
        <v>6550</v>
      </c>
      <c r="B2106" s="6"/>
      <c r="C2106" s="1352">
        <v>172</v>
      </c>
      <c r="D2106" s="1352">
        <v>221491.26483560199</v>
      </c>
      <c r="E2106" s="1353">
        <v>39466.086300407798</v>
      </c>
      <c r="F2106" s="1354">
        <v>2.46798692174267</v>
      </c>
      <c r="G2106" s="1355">
        <v>0.41264201286429902</v>
      </c>
    </row>
    <row r="2107" spans="1:7" x14ac:dyDescent="0.25">
      <c r="A2107" s="11" t="s">
        <v>6551</v>
      </c>
      <c r="B2107" s="11"/>
      <c r="C2107" s="1356">
        <v>145</v>
      </c>
      <c r="D2107" s="1356">
        <v>207436.151836951</v>
      </c>
      <c r="E2107" s="1357">
        <v>26524.451173054</v>
      </c>
      <c r="F2107" s="1358">
        <v>2.3113765240819202</v>
      </c>
      <c r="G2107" s="1359">
        <v>0.31748691069664198</v>
      </c>
    </row>
    <row r="2108" spans="1:7" x14ac:dyDescent="0.25">
      <c r="A2108" s="6" t="s">
        <v>6552</v>
      </c>
      <c r="B2108" s="6"/>
      <c r="C2108" s="1352">
        <v>167</v>
      </c>
      <c r="D2108" s="1352">
        <v>206389.64056725599</v>
      </c>
      <c r="E2108" s="1353">
        <v>38913.004722661397</v>
      </c>
      <c r="F2108" s="1354">
        <v>2.2997156753844301</v>
      </c>
      <c r="G2108" s="1355">
        <v>0.443746964219282</v>
      </c>
    </row>
    <row r="2109" spans="1:7" x14ac:dyDescent="0.25">
      <c r="A2109" s="11" t="s">
        <v>6553</v>
      </c>
      <c r="B2109" s="11"/>
      <c r="C2109" s="1356">
        <v>180</v>
      </c>
      <c r="D2109" s="1356">
        <v>201002.86112143999</v>
      </c>
      <c r="E2109" s="1357">
        <v>28592.564256011901</v>
      </c>
      <c r="F2109" s="1358">
        <v>2.2396929867585298</v>
      </c>
      <c r="G2109" s="1359">
        <v>0.29436993223629598</v>
      </c>
    </row>
    <row r="2110" spans="1:7" x14ac:dyDescent="0.25">
      <c r="A2110" s="6" t="s">
        <v>3398</v>
      </c>
      <c r="B2110" s="6"/>
      <c r="C2110" s="1352">
        <v>174</v>
      </c>
      <c r="D2110" s="1352">
        <v>199698.02369474299</v>
      </c>
      <c r="E2110" s="1353">
        <v>24982.034008451999</v>
      </c>
      <c r="F2110" s="1354">
        <v>2.2251537149435401</v>
      </c>
      <c r="G2110" s="1355">
        <v>0.280577249317851</v>
      </c>
    </row>
    <row r="2111" spans="1:7" x14ac:dyDescent="0.25">
      <c r="A2111" s="11" t="s">
        <v>6554</v>
      </c>
      <c r="B2111" s="11"/>
      <c r="C2111" s="1356">
        <v>161</v>
      </c>
      <c r="D2111" s="1356">
        <v>192935.114299604</v>
      </c>
      <c r="E2111" s="1357">
        <v>24402.626620137002</v>
      </c>
      <c r="F2111" s="1358">
        <v>2.1497973709697802</v>
      </c>
      <c r="G2111" s="1359">
        <v>0.274844663315432</v>
      </c>
    </row>
    <row r="2112" spans="1:7" x14ac:dyDescent="0.25">
      <c r="A2112" s="6" t="s">
        <v>6555</v>
      </c>
      <c r="B2112" s="6"/>
      <c r="C2112" s="1352">
        <v>173</v>
      </c>
      <c r="D2112" s="1352">
        <v>192616.06048713301</v>
      </c>
      <c r="E2112" s="1353">
        <v>21790.1369885924</v>
      </c>
      <c r="F2112" s="1354">
        <v>2.1462422843297202</v>
      </c>
      <c r="G2112" s="1355">
        <v>0.25789456949252099</v>
      </c>
    </row>
    <row r="2113" spans="1:7" x14ac:dyDescent="0.25">
      <c r="A2113" s="11" t="s">
        <v>6556</v>
      </c>
      <c r="B2113" s="11"/>
      <c r="C2113" s="1356">
        <v>165</v>
      </c>
      <c r="D2113" s="1356">
        <v>185885.50002561201</v>
      </c>
      <c r="E2113" s="1357">
        <v>28085.1851476835</v>
      </c>
      <c r="F2113" s="1358">
        <v>2.0712463913433101</v>
      </c>
      <c r="G2113" s="1359">
        <v>0.31474462898850197</v>
      </c>
    </row>
    <row r="2114" spans="1:7" x14ac:dyDescent="0.25">
      <c r="A2114" s="6" t="s">
        <v>6557</v>
      </c>
      <c r="B2114" s="6"/>
      <c r="C2114" s="1352">
        <v>142</v>
      </c>
      <c r="D2114" s="1352">
        <v>179204.28308632199</v>
      </c>
      <c r="E2114" s="1353">
        <v>37844.095926419599</v>
      </c>
      <c r="F2114" s="1354">
        <v>1.9968003131210801</v>
      </c>
      <c r="G2114" s="1355">
        <v>0.40461337887397197</v>
      </c>
    </row>
    <row r="2115" spans="1:7" x14ac:dyDescent="0.25">
      <c r="A2115" s="11" t="s">
        <v>6558</v>
      </c>
      <c r="B2115" s="11"/>
      <c r="C2115" s="1356">
        <v>158</v>
      </c>
      <c r="D2115" s="1356">
        <v>178365.24164566601</v>
      </c>
      <c r="E2115" s="1357">
        <v>35672.395507467198</v>
      </c>
      <c r="F2115" s="1358">
        <v>1.9874512161990101</v>
      </c>
      <c r="G2115" s="1359">
        <v>0.41160284631857402</v>
      </c>
    </row>
    <row r="2116" spans="1:7" x14ac:dyDescent="0.25">
      <c r="A2116" s="6" t="s">
        <v>6559</v>
      </c>
      <c r="B2116" s="6"/>
      <c r="C2116" s="1352">
        <v>156</v>
      </c>
      <c r="D2116" s="1352">
        <v>176212.651822885</v>
      </c>
      <c r="E2116" s="1353">
        <v>32883.940568822502</v>
      </c>
      <c r="F2116" s="1354">
        <v>1.9634657848347501</v>
      </c>
      <c r="G2116" s="1355">
        <v>0.375817910980909</v>
      </c>
    </row>
    <row r="2117" spans="1:7" x14ac:dyDescent="0.25">
      <c r="A2117" s="11" t="s">
        <v>6560</v>
      </c>
      <c r="B2117" s="11"/>
      <c r="C2117" s="1356">
        <v>146</v>
      </c>
      <c r="D2117" s="1356">
        <v>174765.58206345499</v>
      </c>
      <c r="E2117" s="1357">
        <v>31542.949632563901</v>
      </c>
      <c r="F2117" s="1358">
        <v>1.9473416760859199</v>
      </c>
      <c r="G2117" s="1359">
        <v>0.36880781830158998</v>
      </c>
    </row>
    <row r="2118" spans="1:7" x14ac:dyDescent="0.25">
      <c r="A2118" s="6" t="s">
        <v>6561</v>
      </c>
      <c r="B2118" s="6"/>
      <c r="C2118" s="1352">
        <v>134</v>
      </c>
      <c r="D2118" s="1352">
        <v>169751.28018546899</v>
      </c>
      <c r="E2118" s="1353">
        <v>19103.683562926399</v>
      </c>
      <c r="F2118" s="1354">
        <v>1.8914693532395901</v>
      </c>
      <c r="G2118" s="1355">
        <v>0.219528126851183</v>
      </c>
    </row>
    <row r="2119" spans="1:7" x14ac:dyDescent="0.25">
      <c r="A2119" s="11" t="s">
        <v>6562</v>
      </c>
      <c r="B2119" s="11"/>
      <c r="C2119" s="1356">
        <v>152</v>
      </c>
      <c r="D2119" s="1356">
        <v>166358.15394539901</v>
      </c>
      <c r="E2119" s="1357">
        <v>47183.643198286103</v>
      </c>
      <c r="F2119" s="1358">
        <v>1.8536611300099699</v>
      </c>
      <c r="G2119" s="1359">
        <v>0.50173698644826004</v>
      </c>
    </row>
    <row r="2120" spans="1:7" x14ac:dyDescent="0.25">
      <c r="A2120" s="6" t="s">
        <v>6563</v>
      </c>
      <c r="B2120" s="6"/>
      <c r="C2120" s="1352">
        <v>127</v>
      </c>
      <c r="D2120" s="1352">
        <v>166309.404015776</v>
      </c>
      <c r="E2120" s="1353">
        <v>23532.511708213598</v>
      </c>
      <c r="F2120" s="1354">
        <v>1.8531179294064</v>
      </c>
      <c r="G2120" s="1355">
        <v>0.24461575633174301</v>
      </c>
    </row>
    <row r="2121" spans="1:7" x14ac:dyDescent="0.25">
      <c r="A2121" s="11" t="s">
        <v>6564</v>
      </c>
      <c r="B2121" s="11"/>
      <c r="C2121" s="1356">
        <v>126</v>
      </c>
      <c r="D2121" s="1356">
        <v>165952.85140075901</v>
      </c>
      <c r="E2121" s="1357">
        <v>33038.381959959101</v>
      </c>
      <c r="F2121" s="1358">
        <v>1.8491450088876999</v>
      </c>
      <c r="G2121" s="1359">
        <v>0.38173397972143402</v>
      </c>
    </row>
    <row r="2122" spans="1:7" x14ac:dyDescent="0.25">
      <c r="A2122" s="6" t="s">
        <v>6565</v>
      </c>
      <c r="B2122" s="6"/>
      <c r="C2122" s="1352">
        <v>143</v>
      </c>
      <c r="D2122" s="1352">
        <v>156321.98446701199</v>
      </c>
      <c r="E2122" s="1353">
        <v>21976.273960688199</v>
      </c>
      <c r="F2122" s="1354">
        <v>1.7418321825549199</v>
      </c>
      <c r="G2122" s="1355">
        <v>0.26656555603748699</v>
      </c>
    </row>
    <row r="2123" spans="1:7" x14ac:dyDescent="0.25">
      <c r="A2123" s="11" t="s">
        <v>6566</v>
      </c>
      <c r="B2123" s="11"/>
      <c r="C2123" s="1356">
        <v>131</v>
      </c>
      <c r="D2123" s="1356">
        <v>154156.26842061701</v>
      </c>
      <c r="E2123" s="1357">
        <v>26939.454206886599</v>
      </c>
      <c r="F2123" s="1358">
        <v>1.7177004910289499</v>
      </c>
      <c r="G2123" s="1359">
        <v>0.29685790517413102</v>
      </c>
    </row>
    <row r="2124" spans="1:7" x14ac:dyDescent="0.25">
      <c r="A2124" s="6" t="s">
        <v>6567</v>
      </c>
      <c r="B2124" s="6"/>
      <c r="C2124" s="1352">
        <v>156</v>
      </c>
      <c r="D2124" s="1352">
        <v>154113.31133949201</v>
      </c>
      <c r="E2124" s="1353">
        <v>26683.8685707718</v>
      </c>
      <c r="F2124" s="1354">
        <v>1.717221837776</v>
      </c>
      <c r="G2124" s="1355">
        <v>0.29525172698559898</v>
      </c>
    </row>
    <row r="2125" spans="1:7" x14ac:dyDescent="0.25">
      <c r="A2125" s="11" t="s">
        <v>6568</v>
      </c>
      <c r="B2125" s="11"/>
      <c r="C2125" s="1356">
        <v>137</v>
      </c>
      <c r="D2125" s="1356">
        <v>151221.64434636699</v>
      </c>
      <c r="E2125" s="1357">
        <v>23410.9742648389</v>
      </c>
      <c r="F2125" s="1358">
        <v>1.6850011706252499</v>
      </c>
      <c r="G2125" s="1359">
        <v>0.25365414185476798</v>
      </c>
    </row>
    <row r="2126" spans="1:7" x14ac:dyDescent="0.25">
      <c r="A2126" s="6" t="s">
        <v>6569</v>
      </c>
      <c r="B2126" s="6"/>
      <c r="C2126" s="1352">
        <v>159</v>
      </c>
      <c r="D2126" s="1352">
        <v>148983.51408026699</v>
      </c>
      <c r="E2126" s="1353">
        <v>23613.929396124098</v>
      </c>
      <c r="F2126" s="1354">
        <v>1.66006259695287</v>
      </c>
      <c r="G2126" s="1355">
        <v>0.26751886110992601</v>
      </c>
    </row>
    <row r="2127" spans="1:7" x14ac:dyDescent="0.25">
      <c r="A2127" s="11" t="s">
        <v>6570</v>
      </c>
      <c r="B2127" s="11"/>
      <c r="C2127" s="1356">
        <v>140</v>
      </c>
      <c r="D2127" s="1356">
        <v>145300.36539912099</v>
      </c>
      <c r="E2127" s="1357">
        <v>26669.248786918899</v>
      </c>
      <c r="F2127" s="1358">
        <v>1.6190227718263599</v>
      </c>
      <c r="G2127" s="1359">
        <v>0.29875144384503399</v>
      </c>
    </row>
    <row r="2128" spans="1:7" x14ac:dyDescent="0.25">
      <c r="A2128" s="6" t="s">
        <v>6571</v>
      </c>
      <c r="B2128" s="6"/>
      <c r="C2128" s="1352">
        <v>130</v>
      </c>
      <c r="D2128" s="1352">
        <v>142790.11733817001</v>
      </c>
      <c r="E2128" s="1353">
        <v>30489.013254782902</v>
      </c>
      <c r="F2128" s="1354">
        <v>1.5910521004350699</v>
      </c>
      <c r="G2128" s="1355">
        <v>0.34761413734558899</v>
      </c>
    </row>
    <row r="2129" spans="1:7" x14ac:dyDescent="0.25">
      <c r="A2129" s="11" t="s">
        <v>6572</v>
      </c>
      <c r="B2129" s="11"/>
      <c r="C2129" s="1356">
        <v>107</v>
      </c>
      <c r="D2129" s="1356">
        <v>142032.644601173</v>
      </c>
      <c r="E2129" s="1357">
        <v>38213.842632209198</v>
      </c>
      <c r="F2129" s="1358">
        <v>1.5826118903442901</v>
      </c>
      <c r="G2129" s="1359">
        <v>0.42235689269194299</v>
      </c>
    </row>
    <row r="2130" spans="1:7" x14ac:dyDescent="0.25">
      <c r="A2130" s="6" t="s">
        <v>6573</v>
      </c>
      <c r="B2130" s="6"/>
      <c r="C2130" s="1352">
        <v>123</v>
      </c>
      <c r="D2130" s="1352">
        <v>140543.36737619099</v>
      </c>
      <c r="E2130" s="1353">
        <v>19492.036961616199</v>
      </c>
      <c r="F2130" s="1354">
        <v>1.56601748100344</v>
      </c>
      <c r="G2130" s="1355">
        <v>0.19899955564928801</v>
      </c>
    </row>
    <row r="2131" spans="1:7" x14ac:dyDescent="0.25">
      <c r="A2131" s="11" t="s">
        <v>6574</v>
      </c>
      <c r="B2131" s="11"/>
      <c r="C2131" s="1356">
        <v>127</v>
      </c>
      <c r="D2131" s="1356">
        <v>140095.648486808</v>
      </c>
      <c r="E2131" s="1357">
        <v>23477.5345742889</v>
      </c>
      <c r="F2131" s="1358">
        <v>1.5610287318334299</v>
      </c>
      <c r="G2131" s="1359">
        <v>0.26212549019856501</v>
      </c>
    </row>
    <row r="2132" spans="1:7" x14ac:dyDescent="0.25">
      <c r="A2132" s="6" t="s">
        <v>6575</v>
      </c>
      <c r="B2132" s="6"/>
      <c r="C2132" s="1352">
        <v>136</v>
      </c>
      <c r="D2132" s="1352">
        <v>137051.15844579801</v>
      </c>
      <c r="E2132" s="1353">
        <v>28132.238961012201</v>
      </c>
      <c r="F2132" s="1354">
        <v>1.52710521972487</v>
      </c>
      <c r="G2132" s="1355">
        <v>0.29496693414934499</v>
      </c>
    </row>
    <row r="2133" spans="1:7" x14ac:dyDescent="0.25">
      <c r="A2133" s="11" t="s">
        <v>6576</v>
      </c>
      <c r="B2133" s="11"/>
      <c r="C2133" s="1356">
        <v>129</v>
      </c>
      <c r="D2133" s="1356">
        <v>134691.827849956</v>
      </c>
      <c r="E2133" s="1357">
        <v>24397.1881442708</v>
      </c>
      <c r="F2133" s="1358">
        <v>1.5008161601589001</v>
      </c>
      <c r="G2133" s="1359">
        <v>0.28546620978960702</v>
      </c>
    </row>
    <row r="2134" spans="1:7" x14ac:dyDescent="0.25">
      <c r="A2134" s="6" t="s">
        <v>6577</v>
      </c>
      <c r="B2134" s="6"/>
      <c r="C2134" s="1352">
        <v>125</v>
      </c>
      <c r="D2134" s="1352">
        <v>122681.81918603501</v>
      </c>
      <c r="E2134" s="1353">
        <v>24300.905076886898</v>
      </c>
      <c r="F2134" s="1354">
        <v>1.36699352686195</v>
      </c>
      <c r="G2134" s="1355">
        <v>0.25645449908925699</v>
      </c>
    </row>
    <row r="2135" spans="1:7" x14ac:dyDescent="0.25">
      <c r="A2135" s="11" t="s">
        <v>6578</v>
      </c>
      <c r="B2135" s="11"/>
      <c r="C2135" s="1356">
        <v>106</v>
      </c>
      <c r="D2135" s="1356">
        <v>120484.967640273</v>
      </c>
      <c r="E2135" s="1357">
        <v>17872.151337830299</v>
      </c>
      <c r="F2135" s="1358">
        <v>1.3425149051520799</v>
      </c>
      <c r="G2135" s="1359">
        <v>0.18650163597657499</v>
      </c>
    </row>
    <row r="2136" spans="1:7" x14ac:dyDescent="0.25">
      <c r="A2136" s="6" t="s">
        <v>6579</v>
      </c>
      <c r="B2136" s="6"/>
      <c r="C2136" s="1352">
        <v>121</v>
      </c>
      <c r="D2136" s="1352">
        <v>112722.448885424</v>
      </c>
      <c r="E2136" s="1353">
        <v>14909.2782533306</v>
      </c>
      <c r="F2136" s="1354">
        <v>1.25602032135453</v>
      </c>
      <c r="G2136" s="1355">
        <v>0.16992369186824499</v>
      </c>
    </row>
    <row r="2137" spans="1:7" x14ac:dyDescent="0.25">
      <c r="A2137" s="11" t="s">
        <v>6580</v>
      </c>
      <c r="B2137" s="11"/>
      <c r="C2137" s="1356">
        <v>109</v>
      </c>
      <c r="D2137" s="1356">
        <v>111839.53704302599</v>
      </c>
      <c r="E2137" s="1357">
        <v>13153.380045907301</v>
      </c>
      <c r="F2137" s="1358">
        <v>1.2461823944199999</v>
      </c>
      <c r="G2137" s="1359">
        <v>0.130027377738092</v>
      </c>
    </row>
    <row r="2138" spans="1:7" x14ac:dyDescent="0.25">
      <c r="A2138" s="6" t="s">
        <v>6581</v>
      </c>
      <c r="B2138" s="6"/>
      <c r="C2138" s="1352">
        <v>136</v>
      </c>
      <c r="D2138" s="1352">
        <v>111269.27205106799</v>
      </c>
      <c r="E2138" s="1353">
        <v>16804.927957340198</v>
      </c>
      <c r="F2138" s="1354">
        <v>1.23982816395801</v>
      </c>
      <c r="G2138" s="1355">
        <v>0.19962638175724101</v>
      </c>
    </row>
    <row r="2139" spans="1:7" x14ac:dyDescent="0.25">
      <c r="A2139" s="11" t="s">
        <v>6582</v>
      </c>
      <c r="B2139" s="11"/>
      <c r="C2139" s="1356">
        <v>144</v>
      </c>
      <c r="D2139" s="1356">
        <v>108310.33320818401</v>
      </c>
      <c r="E2139" s="1357">
        <v>26267.829445326501</v>
      </c>
      <c r="F2139" s="1358">
        <v>1.2068579139940101</v>
      </c>
      <c r="G2139" s="1359">
        <v>0.298685742701986</v>
      </c>
    </row>
    <row r="2140" spans="1:7" x14ac:dyDescent="0.25">
      <c r="A2140" s="6" t="s">
        <v>6583</v>
      </c>
      <c r="B2140" s="6"/>
      <c r="C2140" s="1352">
        <v>124</v>
      </c>
      <c r="D2140" s="1352">
        <v>103233.27320398801</v>
      </c>
      <c r="E2140" s="1353">
        <v>23455.6915218002</v>
      </c>
      <c r="F2140" s="1354">
        <v>1.1502863029168899</v>
      </c>
      <c r="G2140" s="1355">
        <v>0.27784434309260603</v>
      </c>
    </row>
    <row r="2141" spans="1:7" x14ac:dyDescent="0.25">
      <c r="A2141" s="11" t="s">
        <v>6584</v>
      </c>
      <c r="B2141" s="11"/>
      <c r="C2141" s="1356">
        <v>91</v>
      </c>
      <c r="D2141" s="1356">
        <v>86874.780070462206</v>
      </c>
      <c r="E2141" s="1357">
        <v>14030.2315067776</v>
      </c>
      <c r="F2141" s="1358">
        <v>0.96801027888079705</v>
      </c>
      <c r="G2141" s="1359">
        <v>0.15372530387543301</v>
      </c>
    </row>
    <row r="2142" spans="1:7" x14ac:dyDescent="0.25">
      <c r="A2142" s="6" t="s">
        <v>6585</v>
      </c>
      <c r="B2142" s="6"/>
      <c r="C2142" s="1352">
        <v>100</v>
      </c>
      <c r="D2142" s="1352">
        <v>84867.620866057594</v>
      </c>
      <c r="E2142" s="1353">
        <v>13894.7074583061</v>
      </c>
      <c r="F2142" s="1354">
        <v>0.945645321644209</v>
      </c>
      <c r="G2142" s="1355">
        <v>0.16126914968345099</v>
      </c>
    </row>
    <row r="2143" spans="1:7" x14ac:dyDescent="0.25">
      <c r="A2143" s="11" t="s">
        <v>6586</v>
      </c>
      <c r="B2143" s="11"/>
      <c r="C2143" s="1356">
        <v>116</v>
      </c>
      <c r="D2143" s="1356">
        <v>84761.68847814</v>
      </c>
      <c r="E2143" s="1357">
        <v>16019.936224682901</v>
      </c>
      <c r="F2143" s="1358">
        <v>0.94446496020574</v>
      </c>
      <c r="G2143" s="1359">
        <v>0.18048943230963799</v>
      </c>
    </row>
    <row r="2144" spans="1:7" x14ac:dyDescent="0.25">
      <c r="A2144" s="6" t="s">
        <v>6587</v>
      </c>
      <c r="B2144" s="6"/>
      <c r="C2144" s="1352">
        <v>77</v>
      </c>
      <c r="D2144" s="1352">
        <v>74009.288773143198</v>
      </c>
      <c r="E2144" s="1353">
        <v>15040.967340226</v>
      </c>
      <c r="F2144" s="1354">
        <v>0.82465535114969901</v>
      </c>
      <c r="G2144" s="1355">
        <v>0.17388534406001899</v>
      </c>
    </row>
    <row r="2145" spans="1:7" x14ac:dyDescent="0.25">
      <c r="A2145" s="11" t="s">
        <v>6588</v>
      </c>
      <c r="B2145" s="11"/>
      <c r="C2145" s="1356">
        <v>82</v>
      </c>
      <c r="D2145" s="1356">
        <v>67187.108819011803</v>
      </c>
      <c r="E2145" s="1357">
        <v>16252.4049853994</v>
      </c>
      <c r="F2145" s="1358">
        <v>0.74863857948573098</v>
      </c>
      <c r="G2145" s="1359">
        <v>0.181906091060964</v>
      </c>
    </row>
    <row r="2146" spans="1:7" x14ac:dyDescent="0.25">
      <c r="A2146" s="6" t="s">
        <v>6589</v>
      </c>
      <c r="B2146" s="6"/>
      <c r="C2146" s="1352">
        <v>96</v>
      </c>
      <c r="D2146" s="1352">
        <v>64004.280567782502</v>
      </c>
      <c r="E2146" s="1353">
        <v>12429.763549984</v>
      </c>
      <c r="F2146" s="1354">
        <v>0.71317362106392801</v>
      </c>
      <c r="G2146" s="1355">
        <v>0.14749274269957499</v>
      </c>
    </row>
    <row r="2147" spans="1:7" x14ac:dyDescent="0.25">
      <c r="A2147" s="11" t="s">
        <v>6590</v>
      </c>
      <c r="B2147" s="11"/>
      <c r="C2147" s="1356">
        <v>78</v>
      </c>
      <c r="D2147" s="1356">
        <v>50773.306464209898</v>
      </c>
      <c r="E2147" s="1357">
        <v>7386.4518040432304</v>
      </c>
      <c r="F2147" s="1358">
        <v>0.56574626733162703</v>
      </c>
      <c r="G2147" s="1359">
        <v>7.9709923401389104E-2</v>
      </c>
    </row>
    <row r="2148" spans="1:7" x14ac:dyDescent="0.25">
      <c r="A2148" s="6" t="s">
        <v>6591</v>
      </c>
      <c r="B2148" s="6"/>
      <c r="C2148" s="1352">
        <v>88</v>
      </c>
      <c r="D2148" s="1352">
        <v>48267.248947433203</v>
      </c>
      <c r="E2148" s="1353">
        <v>19016.757340663899</v>
      </c>
      <c r="F2148" s="1354">
        <v>0.53782228946671895</v>
      </c>
      <c r="G2148" s="1355">
        <v>0.21514695893949301</v>
      </c>
    </row>
    <row r="2149" spans="1:7" x14ac:dyDescent="0.25">
      <c r="A2149" s="11" t="s">
        <v>6592</v>
      </c>
      <c r="B2149" s="11"/>
      <c r="C2149" s="1356">
        <v>67</v>
      </c>
      <c r="D2149" s="1356">
        <v>47300.9434066127</v>
      </c>
      <c r="E2149" s="1357">
        <v>12247.320881515099</v>
      </c>
      <c r="F2149" s="1358">
        <v>0.527055140527809</v>
      </c>
      <c r="G2149" s="1359">
        <v>0.14007283504968199</v>
      </c>
    </row>
    <row r="2150" spans="1:7" x14ac:dyDescent="0.25">
      <c r="A2150" s="6" t="s">
        <v>6593</v>
      </c>
      <c r="B2150" s="6"/>
      <c r="C2150" s="1352">
        <v>90</v>
      </c>
      <c r="D2150" s="1352">
        <v>46456.804631059502</v>
      </c>
      <c r="E2150" s="1353">
        <v>7731.1252586352903</v>
      </c>
      <c r="F2150" s="1354">
        <v>0.51764924607979301</v>
      </c>
      <c r="G2150" s="1355">
        <v>8.1993879518413304E-2</v>
      </c>
    </row>
    <row r="2151" spans="1:7" x14ac:dyDescent="0.25">
      <c r="A2151" s="11" t="s">
        <v>6594</v>
      </c>
      <c r="B2151" s="11"/>
      <c r="C2151" s="1356">
        <v>73</v>
      </c>
      <c r="D2151" s="1356">
        <v>45060.447448487503</v>
      </c>
      <c r="E2151" s="1357">
        <v>8519.7528708350201</v>
      </c>
      <c r="F2151" s="1358">
        <v>0.50209020691304795</v>
      </c>
      <c r="G2151" s="1359">
        <v>9.9581986369086994E-2</v>
      </c>
    </row>
    <row r="2152" spans="1:7" x14ac:dyDescent="0.25">
      <c r="A2152" s="6" t="s">
        <v>6595</v>
      </c>
      <c r="B2152" s="6"/>
      <c r="C2152" s="1352">
        <v>68</v>
      </c>
      <c r="D2152" s="1352">
        <v>44474.503512410403</v>
      </c>
      <c r="E2152" s="1353">
        <v>11588.292966974899</v>
      </c>
      <c r="F2152" s="1354">
        <v>0.49556127236483499</v>
      </c>
      <c r="G2152" s="1355">
        <v>0.12619306454169901</v>
      </c>
    </row>
    <row r="2153" spans="1:7" x14ac:dyDescent="0.25">
      <c r="A2153" s="11" t="s">
        <v>6596</v>
      </c>
      <c r="B2153" s="11"/>
      <c r="C2153" s="1356">
        <v>81</v>
      </c>
      <c r="D2153" s="1356">
        <v>42608.249174627999</v>
      </c>
      <c r="E2153" s="1357">
        <v>11943.629414545399</v>
      </c>
      <c r="F2153" s="1358">
        <v>0.47476636064806299</v>
      </c>
      <c r="G2153" s="1359">
        <v>0.129433917512667</v>
      </c>
    </row>
    <row r="2154" spans="1:7" x14ac:dyDescent="0.25">
      <c r="A2154" s="6" t="s">
        <v>6597</v>
      </c>
      <c r="B2154" s="6"/>
      <c r="C2154" s="1352">
        <v>53</v>
      </c>
      <c r="D2154" s="1352">
        <v>33805.791216609301</v>
      </c>
      <c r="E2154" s="1353">
        <v>16423.209391757198</v>
      </c>
      <c r="F2154" s="1354">
        <v>0.37668415801264699</v>
      </c>
      <c r="G2154" s="1355">
        <v>0.181942488088016</v>
      </c>
    </row>
    <row r="2155" spans="1:7" x14ac:dyDescent="0.25">
      <c r="A2155" s="11" t="s">
        <v>6598</v>
      </c>
      <c r="B2155" s="11"/>
      <c r="C2155" s="1356">
        <v>64</v>
      </c>
      <c r="D2155" s="1356">
        <v>33078.003645429497</v>
      </c>
      <c r="E2155" s="1357">
        <v>9747.1879225822995</v>
      </c>
      <c r="F2155" s="1358">
        <v>0.368574717629923</v>
      </c>
      <c r="G2155" s="1359">
        <v>0.10823118839597801</v>
      </c>
    </row>
    <row r="2156" spans="1:7" x14ac:dyDescent="0.25">
      <c r="A2156" s="6" t="s">
        <v>6599</v>
      </c>
      <c r="B2156" s="6"/>
      <c r="C2156" s="1352">
        <v>36</v>
      </c>
      <c r="D2156" s="1352">
        <v>29169.492562369502</v>
      </c>
      <c r="E2156" s="1353">
        <v>10996.8355026929</v>
      </c>
      <c r="F2156" s="1354">
        <v>0.325023771078427</v>
      </c>
      <c r="G2156" s="1355">
        <v>0.123430177347003</v>
      </c>
    </row>
    <row r="2157" spans="1:7" x14ac:dyDescent="0.25">
      <c r="A2157" s="11" t="s">
        <v>6600</v>
      </c>
      <c r="B2157" s="11"/>
      <c r="C2157" s="1356">
        <v>65</v>
      </c>
      <c r="D2157" s="1356">
        <v>28033.204381039301</v>
      </c>
      <c r="E2157" s="1357">
        <v>8070.3394363201596</v>
      </c>
      <c r="F2157" s="1358">
        <v>0.312362574832448</v>
      </c>
      <c r="G2157" s="1359">
        <v>9.0248028197256594E-2</v>
      </c>
    </row>
    <row r="2158" spans="1:7" x14ac:dyDescent="0.25">
      <c r="A2158" s="6" t="s">
        <v>6601</v>
      </c>
      <c r="B2158" s="6"/>
      <c r="C2158" s="1352">
        <v>41</v>
      </c>
      <c r="D2158" s="1352">
        <v>27994.931151590499</v>
      </c>
      <c r="E2158" s="1353">
        <v>7532.8175166335004</v>
      </c>
      <c r="F2158" s="1354">
        <v>0.311936111830385</v>
      </c>
      <c r="G2158" s="1355">
        <v>8.2322485136768403E-2</v>
      </c>
    </row>
    <row r="2159" spans="1:7" x14ac:dyDescent="0.25">
      <c r="A2159" s="11" t="s">
        <v>6602</v>
      </c>
      <c r="B2159" s="11"/>
      <c r="C2159" s="1356">
        <v>63</v>
      </c>
      <c r="D2159" s="1356">
        <v>24099.982397689</v>
      </c>
      <c r="E2159" s="1357">
        <v>5121.99597286059</v>
      </c>
      <c r="F2159" s="1358">
        <v>0.26853628478699498</v>
      </c>
      <c r="G2159" s="1359">
        <v>5.5374326600119497E-2</v>
      </c>
    </row>
    <row r="2160" spans="1:7" x14ac:dyDescent="0.25">
      <c r="A2160" s="6" t="s">
        <v>6603</v>
      </c>
      <c r="B2160" s="6"/>
      <c r="C2160" s="1352">
        <v>49</v>
      </c>
      <c r="D2160" s="1352">
        <v>16532.5001635812</v>
      </c>
      <c r="E2160" s="1353">
        <v>4881.0271102865099</v>
      </c>
      <c r="F2160" s="1354">
        <v>0.184214913476211</v>
      </c>
      <c r="G2160" s="1355">
        <v>5.3912096134409698E-2</v>
      </c>
    </row>
    <row r="2161" spans="1:7" x14ac:dyDescent="0.25">
      <c r="A2161" s="11" t="s">
        <v>6604</v>
      </c>
      <c r="B2161" s="11"/>
      <c r="C2161" s="1356">
        <v>33</v>
      </c>
      <c r="D2161" s="1356">
        <v>16311.675555399799</v>
      </c>
      <c r="E2161" s="1357">
        <v>6571.46479619826</v>
      </c>
      <c r="F2161" s="1358">
        <v>0.18175435483794999</v>
      </c>
      <c r="G2161" s="1359">
        <v>7.2277657038832793E-2</v>
      </c>
    </row>
    <row r="2162" spans="1:7" x14ac:dyDescent="0.25">
      <c r="A2162" s="6" t="s">
        <v>6605</v>
      </c>
      <c r="B2162" s="6"/>
      <c r="C2162" s="1352">
        <v>33</v>
      </c>
      <c r="D2162" s="1352">
        <v>15927.412019695699</v>
      </c>
      <c r="E2162" s="1353">
        <v>4759.9995605955701</v>
      </c>
      <c r="F2162" s="1354">
        <v>0.17747266282032501</v>
      </c>
      <c r="G2162" s="1355">
        <v>5.4271884110826799E-2</v>
      </c>
    </row>
    <row r="2163" spans="1:7" x14ac:dyDescent="0.25">
      <c r="A2163" s="11" t="s">
        <v>6606</v>
      </c>
      <c r="B2163" s="11"/>
      <c r="C2163" s="1356">
        <v>8</v>
      </c>
      <c r="D2163" s="1356">
        <v>15358.817213915199</v>
      </c>
      <c r="E2163" s="1357">
        <v>11312.562178704</v>
      </c>
      <c r="F2163" s="1358">
        <v>0.171137042562439</v>
      </c>
      <c r="G2163" s="1359">
        <v>0.125822376421238</v>
      </c>
    </row>
    <row r="2164" spans="1:7" x14ac:dyDescent="0.25">
      <c r="A2164" s="6" t="s">
        <v>6607</v>
      </c>
      <c r="B2164" s="6"/>
      <c r="C2164" s="1352">
        <v>26</v>
      </c>
      <c r="D2164" s="1352">
        <v>14468.776938606599</v>
      </c>
      <c r="E2164" s="1353">
        <v>7465.6019428076997</v>
      </c>
      <c r="F2164" s="1354">
        <v>0.16121968640432499</v>
      </c>
      <c r="G2164" s="1355">
        <v>8.3619844965891907E-2</v>
      </c>
    </row>
    <row r="2165" spans="1:7" x14ac:dyDescent="0.25">
      <c r="A2165" s="11" t="s">
        <v>6608</v>
      </c>
      <c r="B2165" s="11"/>
      <c r="C2165" s="1356">
        <v>34</v>
      </c>
      <c r="D2165" s="1356">
        <v>12757.3880794417</v>
      </c>
      <c r="E2165" s="1357">
        <v>4848.8296289027803</v>
      </c>
      <c r="F2165" s="1358">
        <v>0.14215037761885199</v>
      </c>
      <c r="G2165" s="1359">
        <v>5.3488450938280099E-2</v>
      </c>
    </row>
    <row r="2166" spans="1:7" x14ac:dyDescent="0.25">
      <c r="A2166" s="6" t="s">
        <v>6609</v>
      </c>
      <c r="B2166" s="6"/>
      <c r="C2166" s="1352">
        <v>22</v>
      </c>
      <c r="D2166" s="1352">
        <v>11735.841593765201</v>
      </c>
      <c r="E2166" s="1353">
        <v>5382.2958298613703</v>
      </c>
      <c r="F2166" s="1354">
        <v>0.13076770133826299</v>
      </c>
      <c r="G2166" s="1355">
        <v>6.0684128780487401E-2</v>
      </c>
    </row>
    <row r="2167" spans="1:7" x14ac:dyDescent="0.25">
      <c r="A2167" s="11" t="s">
        <v>6610</v>
      </c>
      <c r="B2167" s="11"/>
      <c r="C2167" s="1356">
        <v>20</v>
      </c>
      <c r="D2167" s="1356">
        <v>10138.897216966499</v>
      </c>
      <c r="E2167" s="1357">
        <v>4141.0429778562902</v>
      </c>
      <c r="F2167" s="1358">
        <v>0.11297360079161201</v>
      </c>
      <c r="G2167" s="1359">
        <v>4.5214503839272599E-2</v>
      </c>
    </row>
    <row r="2168" spans="1:7" x14ac:dyDescent="0.25">
      <c r="A2168" s="6" t="s">
        <v>6611</v>
      </c>
      <c r="B2168" s="6"/>
      <c r="C2168" s="1352">
        <v>10</v>
      </c>
      <c r="D2168" s="1352">
        <v>9287.93439886548</v>
      </c>
      <c r="E2168" s="1353">
        <v>3710.5982051584901</v>
      </c>
      <c r="F2168" s="1354">
        <v>0.10349166881781</v>
      </c>
      <c r="G2168" s="1355">
        <v>4.2503928454869798E-2</v>
      </c>
    </row>
    <row r="2169" spans="1:7" x14ac:dyDescent="0.25">
      <c r="A2169" s="11" t="s">
        <v>6612</v>
      </c>
      <c r="B2169" s="11"/>
      <c r="C2169" s="1356">
        <v>14</v>
      </c>
      <c r="D2169" s="1356">
        <v>2738.78629779318</v>
      </c>
      <c r="E2169" s="1357">
        <v>1185.5594657173999</v>
      </c>
      <c r="F2169" s="1358">
        <v>3.05171798509461E-2</v>
      </c>
      <c r="G2169" s="1359">
        <v>1.3180141999801401E-2</v>
      </c>
    </row>
    <row r="2170" spans="1:7" x14ac:dyDescent="0.25">
      <c r="A2170" s="6" t="s">
        <v>6613</v>
      </c>
      <c r="B2170" s="6"/>
      <c r="C2170" s="1352">
        <v>5</v>
      </c>
      <c r="D2170" s="1352">
        <v>2211.7256743224402</v>
      </c>
      <c r="E2170" s="1353">
        <v>1180.2467727697599</v>
      </c>
      <c r="F2170" s="1354">
        <v>2.4644358064241301E-2</v>
      </c>
      <c r="G2170" s="1355">
        <v>1.31703321482224E-2</v>
      </c>
    </row>
    <row r="2171" spans="1:7" x14ac:dyDescent="0.25">
      <c r="A2171" s="11" t="s">
        <v>6614</v>
      </c>
      <c r="B2171" s="11"/>
      <c r="C2171" s="1356">
        <v>6</v>
      </c>
      <c r="D2171" s="1356">
        <v>2156.2662215202899</v>
      </c>
      <c r="E2171" s="1357">
        <v>1728.4249312926499</v>
      </c>
      <c r="F2171" s="1358">
        <v>2.4026395977545401E-2</v>
      </c>
      <c r="G2171" s="1359">
        <v>1.92854917703628E-2</v>
      </c>
    </row>
    <row r="2172" spans="1:7" x14ac:dyDescent="0.25">
      <c r="A2172" s="6" t="s">
        <v>6615</v>
      </c>
      <c r="B2172" s="6"/>
      <c r="C2172" s="1352">
        <v>5</v>
      </c>
      <c r="D2172" s="1352">
        <v>2109.7874758489102</v>
      </c>
      <c r="E2172" s="1353">
        <v>1446.74471388749</v>
      </c>
      <c r="F2172" s="1354">
        <v>2.35085022513928E-2</v>
      </c>
      <c r="G2172" s="1355">
        <v>1.6161669206465602E-2</v>
      </c>
    </row>
    <row r="2173" spans="1:7" x14ac:dyDescent="0.25">
      <c r="A2173" s="11" t="s">
        <v>6616</v>
      </c>
      <c r="B2173" s="11"/>
      <c r="C2173" s="1356">
        <v>4</v>
      </c>
      <c r="D2173" s="1356">
        <v>1364.4709436683199</v>
      </c>
      <c r="E2173" s="1357">
        <v>834.93421332816695</v>
      </c>
      <c r="F2173" s="1358">
        <v>1.52037437980715E-2</v>
      </c>
      <c r="G2173" s="1359">
        <v>9.3047382143734807E-3</v>
      </c>
    </row>
    <row r="2174" spans="1:7" x14ac:dyDescent="0.25">
      <c r="A2174" s="6" t="s">
        <v>6617</v>
      </c>
      <c r="B2174" s="6"/>
      <c r="C2174" s="1352">
        <v>5</v>
      </c>
      <c r="D2174" s="1352">
        <v>1093.8577784829499</v>
      </c>
      <c r="E2174" s="1353">
        <v>978.06749815902594</v>
      </c>
      <c r="F2174" s="1354">
        <v>1.2188411554497E-2</v>
      </c>
      <c r="G2174" s="1355">
        <v>1.0931042411189701E-2</v>
      </c>
    </row>
    <row r="2175" spans="1:7" x14ac:dyDescent="0.25">
      <c r="A2175" s="11" t="s">
        <v>6618</v>
      </c>
      <c r="B2175" s="11"/>
      <c r="C2175" s="1356">
        <v>2</v>
      </c>
      <c r="D2175" s="1356">
        <v>813.43876386973602</v>
      </c>
      <c r="E2175" s="1357">
        <v>763.65889521865904</v>
      </c>
      <c r="F2175" s="1358">
        <v>9.0638167259512806E-3</v>
      </c>
      <c r="G2175" s="1359">
        <v>8.5222816449027298E-3</v>
      </c>
    </row>
    <row r="2176" spans="1:7" x14ac:dyDescent="0.25">
      <c r="A2176" s="6" t="s">
        <v>6619</v>
      </c>
      <c r="B2176" s="6"/>
      <c r="C2176" s="1352">
        <v>5</v>
      </c>
      <c r="D2176" s="1352">
        <v>409.76367244648702</v>
      </c>
      <c r="E2176" s="1353">
        <v>272.90408178112</v>
      </c>
      <c r="F2176" s="1354">
        <v>4.5658296518094801E-3</v>
      </c>
      <c r="G2176" s="1355">
        <v>3.0648498785344801E-3</v>
      </c>
    </row>
    <row r="2177" spans="1:7" x14ac:dyDescent="0.25">
      <c r="A2177" s="11" t="s">
        <v>6620</v>
      </c>
      <c r="B2177" s="11"/>
      <c r="C2177" s="1356">
        <v>4</v>
      </c>
      <c r="D2177" s="1356">
        <v>352.478544390114</v>
      </c>
      <c r="E2177" s="1357">
        <v>320.03397545011399</v>
      </c>
      <c r="F2177" s="1358">
        <v>3.9275248095917998E-3</v>
      </c>
      <c r="G2177" s="1359">
        <v>3.5718224214919699E-3</v>
      </c>
    </row>
    <row r="2178" spans="1:7" x14ac:dyDescent="0.25">
      <c r="A2178" s="6" t="s">
        <v>6621</v>
      </c>
      <c r="B2178" s="6"/>
      <c r="C2178" s="1352">
        <v>3</v>
      </c>
      <c r="D2178" s="1352">
        <v>278.510756894633</v>
      </c>
      <c r="E2178" s="1353">
        <v>279.14702464526903</v>
      </c>
      <c r="F2178" s="1354">
        <v>3.1033318902702E-3</v>
      </c>
      <c r="G2178" s="1355">
        <v>3.1184779305631601E-3</v>
      </c>
    </row>
    <row r="2179" spans="1:7" x14ac:dyDescent="0.25">
      <c r="A2179" s="11" t="s">
        <v>6622</v>
      </c>
      <c r="B2179" s="11"/>
      <c r="C2179" s="1356">
        <v>2</v>
      </c>
      <c r="D2179" s="1356">
        <v>254.421956337274</v>
      </c>
      <c r="E2179" s="1357">
        <v>254.54156453226599</v>
      </c>
      <c r="F2179" s="1358">
        <v>2.8349202001741801E-3</v>
      </c>
      <c r="G2179" s="1359">
        <v>2.8323728761926498E-3</v>
      </c>
    </row>
    <row r="2180" spans="1:7" x14ac:dyDescent="0.25">
      <c r="A2180" s="6" t="s">
        <v>6623</v>
      </c>
      <c r="B2180" s="6"/>
      <c r="C2180" s="1352">
        <v>1</v>
      </c>
      <c r="D2180" s="1352">
        <v>161.24386743287801</v>
      </c>
      <c r="E2180" s="1353">
        <v>162.99235693655601</v>
      </c>
      <c r="F2180" s="1354">
        <v>1.7966747191178001E-3</v>
      </c>
      <c r="G2180" s="1355">
        <v>1.8184774829120699E-3</v>
      </c>
    </row>
    <row r="2181" spans="1:7" x14ac:dyDescent="0.25">
      <c r="A2181" s="11" t="s">
        <v>6624</v>
      </c>
      <c r="B2181" s="11"/>
      <c r="C2181" s="1356">
        <v>1</v>
      </c>
      <c r="D2181" s="1356">
        <v>50.199486553315502</v>
      </c>
      <c r="E2181" s="1357">
        <v>50.190736288620798</v>
      </c>
      <c r="F2181" s="1358">
        <v>5.5935242585632497E-4</v>
      </c>
      <c r="G2181" s="1359">
        <v>5.5985735325478E-4</v>
      </c>
    </row>
    <row r="2182" spans="1:7" x14ac:dyDescent="0.25">
      <c r="A2182" s="6" t="s">
        <v>6625</v>
      </c>
      <c r="B2182" s="6"/>
      <c r="C2182" s="1352">
        <v>2</v>
      </c>
      <c r="D2182" s="1352">
        <v>40.026065392671001</v>
      </c>
      <c r="E2182" s="1353">
        <v>39.830076834350699</v>
      </c>
      <c r="F2182" s="1354">
        <v>4.4599413882642102E-4</v>
      </c>
      <c r="G2182" s="1355">
        <v>4.4444882366189402E-4</v>
      </c>
    </row>
    <row r="2183" spans="1:7" x14ac:dyDescent="0.25">
      <c r="A2183" s="11" t="s">
        <v>1088</v>
      </c>
      <c r="B2183" s="11" t="s">
        <v>1089</v>
      </c>
      <c r="C2183" s="1356">
        <v>47318</v>
      </c>
      <c r="D2183" s="1356">
        <v>29948121.491978601</v>
      </c>
      <c r="E2183" s="1357">
        <v>169606.62928920001</v>
      </c>
      <c r="F2183" s="1358">
        <v>99.263763232353597</v>
      </c>
      <c r="G2183" s="1359">
        <v>0.14413940075770401</v>
      </c>
    </row>
    <row r="2184" spans="1:7" x14ac:dyDescent="0.25">
      <c r="A2184" s="6" t="s">
        <v>1084</v>
      </c>
      <c r="B2184" s="6" t="s">
        <v>1085</v>
      </c>
      <c r="C2184" s="1352">
        <v>83</v>
      </c>
      <c r="D2184" s="1352">
        <v>152912.796785349</v>
      </c>
      <c r="E2184" s="1353">
        <v>31731.744313438201</v>
      </c>
      <c r="F2184" s="1354">
        <v>0.50683311336783998</v>
      </c>
      <c r="G2184" s="1355">
        <v>0.10451577084706699</v>
      </c>
    </row>
    <row r="2185" spans="1:7" x14ac:dyDescent="0.25">
      <c r="A2185" s="11" t="s">
        <v>1086</v>
      </c>
      <c r="B2185" s="11" t="s">
        <v>1087</v>
      </c>
      <c r="C2185" s="1356">
        <v>44</v>
      </c>
      <c r="D2185" s="1356">
        <v>66858.303679893899</v>
      </c>
      <c r="E2185" s="1357">
        <v>29939.603887649999</v>
      </c>
      <c r="F2185" s="1358">
        <v>0.22160344275267299</v>
      </c>
      <c r="G2185" s="1359">
        <v>9.9259266242972002E-2</v>
      </c>
    </row>
    <row r="2186" spans="1:7" x14ac:dyDescent="0.25">
      <c r="A2186" s="6" t="s">
        <v>1102</v>
      </c>
      <c r="B2186" s="6" t="s">
        <v>1103</v>
      </c>
      <c r="C2186" s="1352">
        <v>2</v>
      </c>
      <c r="D2186" s="1352">
        <v>2353.3430008463301</v>
      </c>
      <c r="E2186" s="1353">
        <v>2370.86405999208</v>
      </c>
      <c r="F2186" s="1354">
        <v>7.80021152589137E-3</v>
      </c>
      <c r="G2186" s="1355">
        <v>7.8559042167096298E-3</v>
      </c>
    </row>
    <row r="2187" spans="1:7" x14ac:dyDescent="0.25">
      <c r="A2187" s="11" t="s">
        <v>6417</v>
      </c>
      <c r="B2187" s="11" t="s">
        <v>6418</v>
      </c>
      <c r="C2187" s="1356">
        <v>8364</v>
      </c>
      <c r="D2187" s="1356">
        <v>8974572.0645555407</v>
      </c>
      <c r="E2187" s="1357">
        <v>174467.60156531</v>
      </c>
      <c r="F2187" s="1358">
        <v>22.926590346021001</v>
      </c>
      <c r="G2187" s="1359">
        <v>0.445697822800662</v>
      </c>
    </row>
    <row r="2188" spans="1:7" x14ac:dyDescent="0.25">
      <c r="A2188" s="6" t="s">
        <v>6417</v>
      </c>
      <c r="B2188" s="6" t="s">
        <v>6419</v>
      </c>
      <c r="C2188" s="1352">
        <v>55811</v>
      </c>
      <c r="D2188" s="1352">
        <v>39144818.000000298</v>
      </c>
      <c r="E2188" s="1353">
        <v>0</v>
      </c>
      <c r="F2188" s="1354">
        <v>100</v>
      </c>
      <c r="G2188" s="1355">
        <v>0</v>
      </c>
    </row>
    <row r="2189" spans="1:7" x14ac:dyDescent="0.25">
      <c r="A2189" s="3729" t="s">
        <v>1076</v>
      </c>
      <c r="B2189" s="3730"/>
      <c r="C2189" s="3730"/>
      <c r="D2189" s="3730"/>
      <c r="E2189" s="3730"/>
      <c r="F2189" s="3730"/>
      <c r="G2189" s="3730"/>
    </row>
    <row r="2190" spans="1:7" x14ac:dyDescent="0.25">
      <c r="A2190" s="11" t="s">
        <v>1094</v>
      </c>
      <c r="B2190" s="11" t="s">
        <v>6317</v>
      </c>
      <c r="C2190" s="1364">
        <v>77</v>
      </c>
      <c r="D2190" s="1364">
        <v>150115.87915618299</v>
      </c>
      <c r="E2190" s="1365">
        <v>32228.409402659301</v>
      </c>
      <c r="F2190" s="1366">
        <v>99.9580353685609</v>
      </c>
      <c r="G2190" s="1367">
        <v>4.2276560856536097E-2</v>
      </c>
    </row>
    <row r="2191" spans="1:7" x14ac:dyDescent="0.25">
      <c r="A2191" s="6" t="s">
        <v>1092</v>
      </c>
      <c r="B2191" s="6" t="s">
        <v>6316</v>
      </c>
      <c r="C2191" s="1360">
        <v>1</v>
      </c>
      <c r="D2191" s="1360">
        <v>63.022022378803896</v>
      </c>
      <c r="E2191" s="1361">
        <v>63.032091758111399</v>
      </c>
      <c r="F2191" s="1362">
        <v>4.1964631439053497E-2</v>
      </c>
      <c r="G2191" s="1363">
        <v>4.2276560856537602E-2</v>
      </c>
    </row>
    <row r="2192" spans="1:7" x14ac:dyDescent="0.25">
      <c r="A2192" s="11" t="s">
        <v>1088</v>
      </c>
      <c r="B2192" s="11" t="s">
        <v>1089</v>
      </c>
      <c r="C2192" s="1364">
        <v>55736</v>
      </c>
      <c r="D2192" s="1364">
        <v>38991905.203214496</v>
      </c>
      <c r="E2192" s="1365">
        <v>31731.744313307001</v>
      </c>
      <c r="F2192" s="1366">
        <v>99.992989047546104</v>
      </c>
      <c r="G2192" s="1367">
        <v>5.9526950017099196E-3</v>
      </c>
    </row>
    <row r="2193" spans="1:7" x14ac:dyDescent="0.25">
      <c r="A2193" s="6" t="s">
        <v>1084</v>
      </c>
      <c r="B2193" s="6" t="s">
        <v>1085</v>
      </c>
      <c r="C2193" s="1360">
        <v>3</v>
      </c>
      <c r="D2193" s="1360">
        <v>2688.87124111616</v>
      </c>
      <c r="E2193" s="1361">
        <v>2322.29739495285</v>
      </c>
      <c r="F2193" s="1362">
        <v>6.8954894910091399E-3</v>
      </c>
      <c r="G2193" s="1363">
        <v>5.95484688863261E-3</v>
      </c>
    </row>
    <row r="2194" spans="1:7" x14ac:dyDescent="0.25">
      <c r="A2194" s="11" t="s">
        <v>1086</v>
      </c>
      <c r="B2194" s="11" t="s">
        <v>1087</v>
      </c>
      <c r="C2194" s="1364">
        <v>1</v>
      </c>
      <c r="D2194" s="1364">
        <v>45.024365670573602</v>
      </c>
      <c r="E2194" s="1365">
        <v>45.011056163898303</v>
      </c>
      <c r="F2194" s="1366">
        <v>1.1546296288695399E-4</v>
      </c>
      <c r="G2194" s="1367">
        <v>1.1542579087313999E-4</v>
      </c>
    </row>
    <row r="2195" spans="1:7" x14ac:dyDescent="0.25">
      <c r="A2195" s="6" t="s">
        <v>6417</v>
      </c>
      <c r="B2195" s="6" t="s">
        <v>6418</v>
      </c>
      <c r="C2195" s="1360">
        <v>78</v>
      </c>
      <c r="D2195" s="1360">
        <v>150178.901178562</v>
      </c>
      <c r="E2195" s="1361">
        <v>32276.007921225799</v>
      </c>
      <c r="F2195" s="1362">
        <v>0.38364950675862802</v>
      </c>
      <c r="G2195" s="1363">
        <v>8.2452824078082201E-2</v>
      </c>
    </row>
    <row r="2196" spans="1:7" x14ac:dyDescent="0.25">
      <c r="A2196" s="11" t="s">
        <v>6417</v>
      </c>
      <c r="B2196" s="11" t="s">
        <v>6419</v>
      </c>
      <c r="C2196" s="1364">
        <v>55818</v>
      </c>
      <c r="D2196" s="1364">
        <v>39144817.999999799</v>
      </c>
      <c r="E2196" s="1365">
        <v>0</v>
      </c>
      <c r="F2196" s="1366">
        <v>100</v>
      </c>
      <c r="G2196" s="1367">
        <v>0</v>
      </c>
    </row>
    <row r="2197" spans="1:7" x14ac:dyDescent="0.25">
      <c r="A2197" s="3729" t="s">
        <v>1068</v>
      </c>
      <c r="B2197" s="3730"/>
      <c r="C2197" s="3730"/>
      <c r="D2197" s="3730"/>
      <c r="E2197" s="3730"/>
      <c r="F2197" s="3730"/>
      <c r="G2197" s="3730"/>
    </row>
    <row r="2198" spans="1:7" x14ac:dyDescent="0.25">
      <c r="A2198" s="11" t="s">
        <v>1088</v>
      </c>
      <c r="B2198" s="11" t="s">
        <v>1089</v>
      </c>
      <c r="C2198" s="1372">
        <v>12026</v>
      </c>
      <c r="D2198" s="1372">
        <v>12695944.749831101</v>
      </c>
      <c r="E2198" s="1373">
        <v>112310.931814143</v>
      </c>
      <c r="F2198" s="1374">
        <v>57.778139102697402</v>
      </c>
      <c r="G2198" s="1375">
        <v>0.29845298867874998</v>
      </c>
    </row>
    <row r="2199" spans="1:7" x14ac:dyDescent="0.25">
      <c r="A2199" s="6" t="s">
        <v>1286</v>
      </c>
      <c r="B2199" s="6" t="s">
        <v>1085</v>
      </c>
      <c r="C2199" s="1368">
        <v>10737</v>
      </c>
      <c r="D2199" s="1368">
        <v>8366107.8688293202</v>
      </c>
      <c r="E2199" s="1369">
        <v>118456.221515778</v>
      </c>
      <c r="F2199" s="1370">
        <v>38.073428462251499</v>
      </c>
      <c r="G2199" s="1371">
        <v>0.44972716829755</v>
      </c>
    </row>
    <row r="2200" spans="1:7" x14ac:dyDescent="0.25">
      <c r="A2200" s="11" t="s">
        <v>1287</v>
      </c>
      <c r="B2200" s="11" t="s">
        <v>1147</v>
      </c>
      <c r="C2200" s="1372">
        <v>932</v>
      </c>
      <c r="D2200" s="1372">
        <v>863043.62706681795</v>
      </c>
      <c r="E2200" s="1373">
        <v>93973.269254158993</v>
      </c>
      <c r="F2200" s="1374">
        <v>3.92763640035741</v>
      </c>
      <c r="G2200" s="1375">
        <v>0.41323309827446097</v>
      </c>
    </row>
    <row r="2201" spans="1:7" x14ac:dyDescent="0.25">
      <c r="A2201" s="6" t="s">
        <v>1102</v>
      </c>
      <c r="B2201" s="6" t="s">
        <v>1103</v>
      </c>
      <c r="C2201" s="1368">
        <v>30</v>
      </c>
      <c r="D2201" s="1368">
        <v>27667.633862897401</v>
      </c>
      <c r="E2201" s="1369">
        <v>8821.1191654389495</v>
      </c>
      <c r="F2201" s="1370">
        <v>0.125912992650213</v>
      </c>
      <c r="G2201" s="1371">
        <v>4.0173828980299198E-2</v>
      </c>
    </row>
    <row r="2202" spans="1:7" x14ac:dyDescent="0.25">
      <c r="A2202" s="11" t="s">
        <v>1084</v>
      </c>
      <c r="B2202" s="11" t="s">
        <v>1153</v>
      </c>
      <c r="C2202" s="1372">
        <v>21</v>
      </c>
      <c r="D2202" s="1372">
        <v>14504.4739259789</v>
      </c>
      <c r="E2202" s="1373">
        <v>6573.9862075513902</v>
      </c>
      <c r="F2202" s="1374">
        <v>6.6008597912164499E-2</v>
      </c>
      <c r="G2202" s="1375">
        <v>2.9741038039020298E-2</v>
      </c>
    </row>
    <row r="2203" spans="1:7" x14ac:dyDescent="0.25">
      <c r="A2203" s="6" t="s">
        <v>1086</v>
      </c>
      <c r="B2203" s="6" t="s">
        <v>1147</v>
      </c>
      <c r="C2203" s="1368">
        <v>14</v>
      </c>
      <c r="D2203" s="1368">
        <v>6344.75864169332</v>
      </c>
      <c r="E2203" s="1369">
        <v>2827.0137282882702</v>
      </c>
      <c r="F2203" s="1370">
        <v>2.8874444131278699E-2</v>
      </c>
      <c r="G2203" s="1371">
        <v>1.29771267805087E-2</v>
      </c>
    </row>
    <row r="2204" spans="1:7" x14ac:dyDescent="0.25">
      <c r="A2204" s="11" t="s">
        <v>6417</v>
      </c>
      <c r="B2204" s="11" t="s">
        <v>6418</v>
      </c>
      <c r="C2204" s="1372">
        <v>31868</v>
      </c>
      <c r="D2204" s="1372">
        <v>17171204.887842301</v>
      </c>
      <c r="E2204" s="1373">
        <v>204652.90714434101</v>
      </c>
      <c r="F2204" s="1374">
        <v>43.865844229604697</v>
      </c>
      <c r="G2204" s="1375">
        <v>0.52280970406953098</v>
      </c>
    </row>
    <row r="2205" spans="1:7" x14ac:dyDescent="0.25">
      <c r="A2205" s="6" t="s">
        <v>6417</v>
      </c>
      <c r="B2205" s="6" t="s">
        <v>6419</v>
      </c>
      <c r="C2205" s="1368">
        <v>55628</v>
      </c>
      <c r="D2205" s="1368">
        <v>39144818.000000097</v>
      </c>
      <c r="E2205" s="1369">
        <v>0</v>
      </c>
      <c r="F2205" s="1370">
        <v>100</v>
      </c>
      <c r="G2205" s="1371">
        <v>0</v>
      </c>
    </row>
    <row r="2206" spans="1:7" x14ac:dyDescent="0.25">
      <c r="A2206" s="3729" t="s">
        <v>915</v>
      </c>
      <c r="B2206" s="3730"/>
      <c r="C2206" s="3730"/>
      <c r="D2206" s="3730"/>
      <c r="E2206" s="3730"/>
      <c r="F2206" s="3730"/>
      <c r="G2206" s="3730"/>
    </row>
    <row r="2207" spans="1:7" x14ac:dyDescent="0.25">
      <c r="A2207" s="11" t="s">
        <v>1090</v>
      </c>
      <c r="B2207" s="11" t="s">
        <v>1179</v>
      </c>
      <c r="C2207" s="1380">
        <v>4584</v>
      </c>
      <c r="D2207" s="1380">
        <v>2911522.5395842702</v>
      </c>
      <c r="E2207" s="1381">
        <v>109154.496519099</v>
      </c>
      <c r="F2207" s="1382">
        <v>99.198885576323605</v>
      </c>
      <c r="G2207" s="1383">
        <v>0.25962716236251598</v>
      </c>
    </row>
    <row r="2208" spans="1:7" x14ac:dyDescent="0.25">
      <c r="A2208" s="6" t="s">
        <v>1092</v>
      </c>
      <c r="B2208" s="6" t="s">
        <v>1180</v>
      </c>
      <c r="C2208" s="1376">
        <v>37</v>
      </c>
      <c r="D2208" s="1376">
        <v>23512.992991491701</v>
      </c>
      <c r="E2208" s="1377">
        <v>7168.2604926182403</v>
      </c>
      <c r="F2208" s="1378">
        <v>0.80111442367639596</v>
      </c>
      <c r="G2208" s="1379">
        <v>0.25962716236250799</v>
      </c>
    </row>
    <row r="2209" spans="1:7" x14ac:dyDescent="0.25">
      <c r="A2209" s="11" t="s">
        <v>1088</v>
      </c>
      <c r="B2209" s="11" t="s">
        <v>1089</v>
      </c>
      <c r="C2209" s="1380">
        <v>51196</v>
      </c>
      <c r="D2209" s="1380">
        <v>36208007.511899203</v>
      </c>
      <c r="E2209" s="1381">
        <v>103614.37117227699</v>
      </c>
      <c r="F2209" s="1382">
        <v>99.995098132592801</v>
      </c>
      <c r="G2209" s="1383">
        <v>3.1678576451859598E-3</v>
      </c>
    </row>
    <row r="2210" spans="1:7" x14ac:dyDescent="0.25">
      <c r="A2210" s="6" t="s">
        <v>1102</v>
      </c>
      <c r="B2210" s="6" t="s">
        <v>1103</v>
      </c>
      <c r="C2210" s="1376">
        <v>1</v>
      </c>
      <c r="D2210" s="1376">
        <v>957.39104927413996</v>
      </c>
      <c r="E2210" s="1377">
        <v>966.94522602928305</v>
      </c>
      <c r="F2210" s="1378">
        <v>2.6440121537196402E-3</v>
      </c>
      <c r="G2210" s="1379">
        <v>2.66981219117725E-3</v>
      </c>
    </row>
    <row r="2211" spans="1:7" x14ac:dyDescent="0.25">
      <c r="A2211" s="11" t="s">
        <v>1084</v>
      </c>
      <c r="B2211" s="11" t="s">
        <v>1153</v>
      </c>
      <c r="C2211" s="1380">
        <v>1</v>
      </c>
      <c r="D2211" s="1380">
        <v>817.56447572325897</v>
      </c>
      <c r="E2211" s="1381">
        <v>825.18674321480603</v>
      </c>
      <c r="F2211" s="1382">
        <v>2.2578552535044202E-3</v>
      </c>
      <c r="G2211" s="1383">
        <v>2.27888486752666E-3</v>
      </c>
    </row>
    <row r="2212" spans="1:7" x14ac:dyDescent="0.25">
      <c r="A2212" s="6" t="s">
        <v>6417</v>
      </c>
      <c r="B2212" s="6" t="s">
        <v>6418</v>
      </c>
      <c r="C2212" s="1376">
        <v>4621</v>
      </c>
      <c r="D2212" s="1376">
        <v>2935035.53257576</v>
      </c>
      <c r="E2212" s="1377">
        <v>104487.981270298</v>
      </c>
      <c r="F2212" s="1378">
        <v>7.4978903531388603</v>
      </c>
      <c r="G2212" s="1379">
        <v>0.26692672647070997</v>
      </c>
    </row>
    <row r="2213" spans="1:7" x14ac:dyDescent="0.25">
      <c r="A2213" s="11" t="s">
        <v>6417</v>
      </c>
      <c r="B2213" s="11" t="s">
        <v>6419</v>
      </c>
      <c r="C2213" s="1380">
        <v>55819</v>
      </c>
      <c r="D2213" s="1380">
        <v>39144817.999999903</v>
      </c>
      <c r="E2213" s="1381">
        <v>0</v>
      </c>
      <c r="F2213" s="1382">
        <v>100</v>
      </c>
      <c r="G2213" s="1383">
        <v>0</v>
      </c>
    </row>
    <row r="2214" spans="1:7" x14ac:dyDescent="0.25">
      <c r="A2214" s="3729" t="s">
        <v>1066</v>
      </c>
      <c r="B2214" s="3730"/>
      <c r="C2214" s="3730"/>
      <c r="D2214" s="3730"/>
      <c r="E2214" s="3730"/>
      <c r="F2214" s="3730"/>
      <c r="G2214" s="3730"/>
    </row>
    <row r="2215" spans="1:7" x14ac:dyDescent="0.25">
      <c r="A2215" s="11" t="s">
        <v>1090</v>
      </c>
      <c r="B2215" s="11" t="s">
        <v>1281</v>
      </c>
      <c r="C2215" s="1388">
        <v>4952</v>
      </c>
      <c r="D2215" s="1388">
        <v>3884374.0219896701</v>
      </c>
      <c r="E2215" s="1389">
        <v>113532.865494727</v>
      </c>
      <c r="F2215" s="1390">
        <v>43.279982762236898</v>
      </c>
      <c r="G2215" s="1391">
        <v>1.1813204410331399</v>
      </c>
    </row>
    <row r="2216" spans="1:7" x14ac:dyDescent="0.25">
      <c r="A2216" s="6" t="s">
        <v>1092</v>
      </c>
      <c r="B2216" s="6" t="s">
        <v>1282</v>
      </c>
      <c r="C2216" s="1384">
        <v>3239</v>
      </c>
      <c r="D2216" s="1384">
        <v>2502610.1766810799</v>
      </c>
      <c r="E2216" s="1385">
        <v>82919.555170950407</v>
      </c>
      <c r="F2216" s="1386">
        <v>27.884267759538599</v>
      </c>
      <c r="G2216" s="1387">
        <v>0.94490034943411205</v>
      </c>
    </row>
    <row r="2217" spans="1:7" x14ac:dyDescent="0.25">
      <c r="A2217" s="11" t="s">
        <v>1094</v>
      </c>
      <c r="B2217" s="11" t="s">
        <v>1283</v>
      </c>
      <c r="C2217" s="1388">
        <v>1849</v>
      </c>
      <c r="D2217" s="1388">
        <v>1465957.29535969</v>
      </c>
      <c r="E2217" s="1389">
        <v>68094.258030199897</v>
      </c>
      <c r="F2217" s="1390">
        <v>16.333804652736202</v>
      </c>
      <c r="G2217" s="1391">
        <v>0.70234227043480002</v>
      </c>
    </row>
    <row r="2218" spans="1:7" x14ac:dyDescent="0.25">
      <c r="A2218" s="6" t="s">
        <v>1096</v>
      </c>
      <c r="B2218" s="6" t="s">
        <v>1284</v>
      </c>
      <c r="C2218" s="1384">
        <v>754</v>
      </c>
      <c r="D2218" s="1384">
        <v>591329.51831504295</v>
      </c>
      <c r="E2218" s="1385">
        <v>48924.246667668798</v>
      </c>
      <c r="F2218" s="1386">
        <v>6.58863724620619</v>
      </c>
      <c r="G2218" s="1387">
        <v>0.54135649794668395</v>
      </c>
    </row>
    <row r="2219" spans="1:7" x14ac:dyDescent="0.25">
      <c r="A2219" s="11" t="s">
        <v>1098</v>
      </c>
      <c r="B2219" s="11" t="s">
        <v>6259</v>
      </c>
      <c r="C2219" s="1388">
        <v>596</v>
      </c>
      <c r="D2219" s="1388">
        <v>530718.74984754995</v>
      </c>
      <c r="E2219" s="1389">
        <v>52552.253666103097</v>
      </c>
      <c r="F2219" s="1390">
        <v>5.91330757928207</v>
      </c>
      <c r="G2219" s="1391">
        <v>0.53821483371831103</v>
      </c>
    </row>
    <row r="2220" spans="1:7" x14ac:dyDescent="0.25">
      <c r="A2220" s="6" t="s">
        <v>1088</v>
      </c>
      <c r="B2220" s="6" t="s">
        <v>1089</v>
      </c>
      <c r="C2220" s="1384">
        <v>44115</v>
      </c>
      <c r="D2220" s="1384">
        <v>29894817.271536399</v>
      </c>
      <c r="E2220" s="1385">
        <v>125313.704079556</v>
      </c>
      <c r="F2220" s="1386">
        <v>99.088456970642795</v>
      </c>
      <c r="G2220" s="1387">
        <v>0.162292859834544</v>
      </c>
    </row>
    <row r="2221" spans="1:7" x14ac:dyDescent="0.25">
      <c r="A2221" s="11" t="s">
        <v>1084</v>
      </c>
      <c r="B2221" s="11" t="s">
        <v>1085</v>
      </c>
      <c r="C2221" s="1388">
        <v>177</v>
      </c>
      <c r="D2221" s="1388">
        <v>188405.94801073699</v>
      </c>
      <c r="E2221" s="1389">
        <v>52409.876212342402</v>
      </c>
      <c r="F2221" s="1390">
        <v>0.624484655748347</v>
      </c>
      <c r="G2221" s="1391">
        <v>0.173229197574608</v>
      </c>
    </row>
    <row r="2222" spans="1:7" x14ac:dyDescent="0.25">
      <c r="A2222" s="6" t="s">
        <v>1086</v>
      </c>
      <c r="B2222" s="6" t="s">
        <v>1087</v>
      </c>
      <c r="C2222" s="1384">
        <v>136</v>
      </c>
      <c r="D2222" s="1384">
        <v>86491.439499305197</v>
      </c>
      <c r="E2222" s="1385">
        <v>25829.919248865801</v>
      </c>
      <c r="F2222" s="1386">
        <v>0.286681908884449</v>
      </c>
      <c r="G2222" s="1387">
        <v>8.5880333729991196E-2</v>
      </c>
    </row>
    <row r="2223" spans="1:7" x14ac:dyDescent="0.25">
      <c r="A2223" s="11" t="s">
        <v>1102</v>
      </c>
      <c r="B2223" s="11" t="s">
        <v>1103</v>
      </c>
      <c r="C2223" s="1388">
        <v>1</v>
      </c>
      <c r="D2223" s="1388">
        <v>113.57876074359901</v>
      </c>
      <c r="E2223" s="1389">
        <v>113.679803598509</v>
      </c>
      <c r="F2223" s="1390">
        <v>3.7646472445364602E-4</v>
      </c>
      <c r="G2223" s="1391">
        <v>3.7685042936220201E-4</v>
      </c>
    </row>
    <row r="2224" spans="1:7" x14ac:dyDescent="0.25">
      <c r="A2224" s="6" t="s">
        <v>6417</v>
      </c>
      <c r="B2224" s="6" t="s">
        <v>6418</v>
      </c>
      <c r="C2224" s="1384">
        <v>11390</v>
      </c>
      <c r="D2224" s="1384">
        <v>8974989.7621930297</v>
      </c>
      <c r="E2224" s="1385">
        <v>121788.323636678</v>
      </c>
      <c r="F2224" s="1386">
        <v>22.9276574033196</v>
      </c>
      <c r="G2224" s="1387">
        <v>0.31112246744041699</v>
      </c>
    </row>
    <row r="2225" spans="1:7" x14ac:dyDescent="0.25">
      <c r="A2225" s="11" t="s">
        <v>6417</v>
      </c>
      <c r="B2225" s="11" t="s">
        <v>6419</v>
      </c>
      <c r="C2225" s="1388">
        <v>55819</v>
      </c>
      <c r="D2225" s="1388">
        <v>39144818.000000201</v>
      </c>
      <c r="E2225" s="1389">
        <v>0</v>
      </c>
      <c r="F2225" s="1390">
        <v>100</v>
      </c>
      <c r="G2225" s="1391">
        <v>0</v>
      </c>
    </row>
    <row r="2226" spans="1:7" x14ac:dyDescent="0.25">
      <c r="A2226" s="3729" t="s">
        <v>537</v>
      </c>
      <c r="B2226" s="3730"/>
      <c r="C2226" s="3730"/>
      <c r="D2226" s="3730"/>
      <c r="E2226" s="3730"/>
      <c r="F2226" s="3730"/>
      <c r="G2226" s="3730"/>
    </row>
    <row r="2227" spans="1:7" x14ac:dyDescent="0.25">
      <c r="A2227" s="11" t="s">
        <v>1090</v>
      </c>
      <c r="B2227" s="11" t="s">
        <v>6123</v>
      </c>
      <c r="C2227" s="1396">
        <v>38820</v>
      </c>
      <c r="D2227" s="1396">
        <v>23543994.6251041</v>
      </c>
      <c r="E2227" s="1397">
        <v>184625.287038843</v>
      </c>
      <c r="F2227" s="1398">
        <v>60.145878376811098</v>
      </c>
      <c r="G2227" s="1399">
        <v>0.47164681424466298</v>
      </c>
    </row>
    <row r="2228" spans="1:7" x14ac:dyDescent="0.25">
      <c r="A2228" s="6" t="s">
        <v>1092</v>
      </c>
      <c r="B2228" s="6" t="s">
        <v>6124</v>
      </c>
      <c r="C2228" s="1392">
        <v>16999</v>
      </c>
      <c r="D2228" s="1392">
        <v>15600823.374895999</v>
      </c>
      <c r="E2228" s="1393">
        <v>184625.28703889</v>
      </c>
      <c r="F2228" s="1394">
        <v>39.854121623188902</v>
      </c>
      <c r="G2228" s="1395">
        <v>0.47164681424466098</v>
      </c>
    </row>
    <row r="2229" spans="1:7" x14ac:dyDescent="0.25">
      <c r="A2229" s="11" t="s">
        <v>6417</v>
      </c>
      <c r="B2229" s="11" t="s">
        <v>6418</v>
      </c>
      <c r="C2229" s="1396">
        <v>55819</v>
      </c>
      <c r="D2229" s="1396">
        <v>39144818</v>
      </c>
      <c r="E2229" s="1397">
        <v>4.3631585814105797E-7</v>
      </c>
      <c r="F2229" s="1398">
        <v>100</v>
      </c>
      <c r="G2229" s="1399">
        <v>2.71947991102104E-14</v>
      </c>
    </row>
    <row r="2230" spans="1:7" x14ac:dyDescent="0.25">
      <c r="A2230" s="6" t="s">
        <v>6417</v>
      </c>
      <c r="B2230" s="6" t="s">
        <v>6419</v>
      </c>
      <c r="C2230" s="1392">
        <v>55819</v>
      </c>
      <c r="D2230" s="1392">
        <v>39144818</v>
      </c>
      <c r="E2230" s="1393">
        <v>0</v>
      </c>
      <c r="F2230" s="1394">
        <v>100</v>
      </c>
      <c r="G2230" s="1395">
        <v>0</v>
      </c>
    </row>
    <row r="2231" spans="1:7" x14ac:dyDescent="0.25">
      <c r="A2231" s="3729" t="s">
        <v>969</v>
      </c>
      <c r="B2231" s="3730"/>
      <c r="C2231" s="3730"/>
      <c r="D2231" s="3730"/>
      <c r="E2231" s="3730"/>
      <c r="F2231" s="3730"/>
      <c r="G2231" s="3730"/>
    </row>
    <row r="2232" spans="1:7" x14ac:dyDescent="0.25">
      <c r="A2232" s="11" t="s">
        <v>1090</v>
      </c>
      <c r="B2232" s="11"/>
      <c r="C2232" s="1404">
        <v>40512</v>
      </c>
      <c r="D2232" s="1404">
        <v>27559568.9948439</v>
      </c>
      <c r="E2232" s="1405">
        <v>237728.490834842</v>
      </c>
      <c r="F2232" s="1406">
        <v>70.404131128783703</v>
      </c>
      <c r="G2232" s="1407">
        <v>0.60730513764275096</v>
      </c>
    </row>
    <row r="2233" spans="1:7" x14ac:dyDescent="0.25">
      <c r="A2233" s="6" t="s">
        <v>1092</v>
      </c>
      <c r="B2233" s="6"/>
      <c r="C2233" s="1400">
        <v>11848</v>
      </c>
      <c r="D2233" s="1400">
        <v>7373251.7947627902</v>
      </c>
      <c r="E2233" s="1401">
        <v>92185.487290789897</v>
      </c>
      <c r="F2233" s="1402">
        <v>18.8358310792574</v>
      </c>
      <c r="G2233" s="1403">
        <v>0.235498571715855</v>
      </c>
    </row>
    <row r="2234" spans="1:7" x14ac:dyDescent="0.25">
      <c r="A2234" s="11" t="s">
        <v>1094</v>
      </c>
      <c r="B2234" s="11"/>
      <c r="C2234" s="1404">
        <v>2385</v>
      </c>
      <c r="D2234" s="1404">
        <v>2651192.4773170599</v>
      </c>
      <c r="E2234" s="1405">
        <v>81097.186745437502</v>
      </c>
      <c r="F2234" s="1406">
        <v>6.7727801859164103</v>
      </c>
      <c r="G2234" s="1407">
        <v>0.207172215605747</v>
      </c>
    </row>
    <row r="2235" spans="1:7" x14ac:dyDescent="0.25">
      <c r="A2235" s="6" t="s">
        <v>1096</v>
      </c>
      <c r="B2235" s="6"/>
      <c r="C2235" s="1400">
        <v>742</v>
      </c>
      <c r="D2235" s="1400">
        <v>1096066.4327928999</v>
      </c>
      <c r="E2235" s="1401">
        <v>49223.817416495302</v>
      </c>
      <c r="F2235" s="1402">
        <v>2.80002945164515</v>
      </c>
      <c r="G2235" s="1403">
        <v>0.12574797874009599</v>
      </c>
    </row>
    <row r="2236" spans="1:7" x14ac:dyDescent="0.25">
      <c r="A2236" s="11" t="s">
        <v>1098</v>
      </c>
      <c r="B2236" s="11"/>
      <c r="C2236" s="1404">
        <v>215</v>
      </c>
      <c r="D2236" s="1404">
        <v>327132.02541328699</v>
      </c>
      <c r="E2236" s="1405">
        <v>47900.693746356999</v>
      </c>
      <c r="F2236" s="1406">
        <v>0.83569688691178701</v>
      </c>
      <c r="G2236" s="1407">
        <v>0.122367905111619</v>
      </c>
    </row>
    <row r="2237" spans="1:7" x14ac:dyDescent="0.25">
      <c r="A2237" s="6" t="s">
        <v>1100</v>
      </c>
      <c r="B2237" s="6"/>
      <c r="C2237" s="1400">
        <v>79</v>
      </c>
      <c r="D2237" s="1400">
        <v>97554.195696040202</v>
      </c>
      <c r="E2237" s="1401">
        <v>24651.1955299519</v>
      </c>
      <c r="F2237" s="1402">
        <v>0.24921356307248499</v>
      </c>
      <c r="G2237" s="1403">
        <v>6.29743521350698E-2</v>
      </c>
    </row>
    <row r="2238" spans="1:7" x14ac:dyDescent="0.25">
      <c r="A2238" s="11" t="s">
        <v>1109</v>
      </c>
      <c r="B2238" s="11"/>
      <c r="C2238" s="1404">
        <v>28</v>
      </c>
      <c r="D2238" s="1404">
        <v>25393.0904485213</v>
      </c>
      <c r="E2238" s="1405">
        <v>14229.3443314294</v>
      </c>
      <c r="F2238" s="1406">
        <v>6.4869609174121295E-2</v>
      </c>
      <c r="G2238" s="1407">
        <v>3.6350518557601803E-2</v>
      </c>
    </row>
    <row r="2239" spans="1:7" x14ac:dyDescent="0.25">
      <c r="A2239" s="6" t="s">
        <v>1121</v>
      </c>
      <c r="B2239" s="6"/>
      <c r="C2239" s="1400">
        <v>4</v>
      </c>
      <c r="D2239" s="1400">
        <v>13372.104226855099</v>
      </c>
      <c r="E2239" s="1401">
        <v>9873.1547008593207</v>
      </c>
      <c r="F2239" s="1402">
        <v>3.4160598797151102E-2</v>
      </c>
      <c r="G2239" s="1403">
        <v>2.5222124422342E-2</v>
      </c>
    </row>
    <row r="2240" spans="1:7" x14ac:dyDescent="0.25">
      <c r="A2240" s="11" t="s">
        <v>1119</v>
      </c>
      <c r="B2240" s="11"/>
      <c r="C2240" s="1404">
        <v>6</v>
      </c>
      <c r="D2240" s="1404">
        <v>1286.8844989178799</v>
      </c>
      <c r="E2240" s="1405">
        <v>1305.84340433685</v>
      </c>
      <c r="F2240" s="1406">
        <v>3.28749644184799E-3</v>
      </c>
      <c r="G2240" s="1407">
        <v>3.3359291754450201E-3</v>
      </c>
    </row>
    <row r="2241" spans="1:7" x14ac:dyDescent="0.25">
      <c r="A2241" s="6" t="s">
        <v>6417</v>
      </c>
      <c r="B2241" s="6" t="s">
        <v>6418</v>
      </c>
      <c r="C2241" s="1400">
        <v>55819</v>
      </c>
      <c r="D2241" s="1400">
        <v>39144818.000000298</v>
      </c>
      <c r="E2241" s="1401">
        <v>1.7942888027836501E-6</v>
      </c>
      <c r="F2241" s="1402">
        <v>100</v>
      </c>
      <c r="G2241" s="1403">
        <v>9.9123883653563901E-14</v>
      </c>
    </row>
    <row r="2242" spans="1:7" x14ac:dyDescent="0.25">
      <c r="A2242" s="11" t="s">
        <v>6417</v>
      </c>
      <c r="B2242" s="11" t="s">
        <v>6419</v>
      </c>
      <c r="C2242" s="1404">
        <v>55819</v>
      </c>
      <c r="D2242" s="1404">
        <v>39144818.000000298</v>
      </c>
      <c r="E2242" s="1405">
        <v>0</v>
      </c>
      <c r="F2242" s="1406">
        <v>100</v>
      </c>
      <c r="G2242" s="1407">
        <v>0</v>
      </c>
    </row>
    <row r="2243" spans="1:7" x14ac:dyDescent="0.25">
      <c r="A2243" s="3729" t="s">
        <v>881</v>
      </c>
      <c r="B2243" s="3730"/>
      <c r="C2243" s="3730"/>
      <c r="D2243" s="3730"/>
      <c r="E2243" s="3730"/>
      <c r="F2243" s="3730"/>
      <c r="G2243" s="3730"/>
    </row>
    <row r="2244" spans="1:7" x14ac:dyDescent="0.25">
      <c r="A2244" s="11" t="s">
        <v>1092</v>
      </c>
      <c r="B2244" s="11" t="s">
        <v>1271</v>
      </c>
      <c r="C2244" s="1412">
        <v>51234</v>
      </c>
      <c r="D2244" s="1412">
        <v>33821390.0343775</v>
      </c>
      <c r="E2244" s="1413">
        <v>109850.18479309999</v>
      </c>
      <c r="F2244" s="1414">
        <v>92.376588425212404</v>
      </c>
      <c r="G2244" s="1415">
        <v>0.28755679062131601</v>
      </c>
    </row>
    <row r="2245" spans="1:7" x14ac:dyDescent="0.25">
      <c r="A2245" s="6" t="s">
        <v>1090</v>
      </c>
      <c r="B2245" s="6" t="s">
        <v>1179</v>
      </c>
      <c r="C2245" s="1408">
        <v>2363</v>
      </c>
      <c r="D2245" s="1408">
        <v>2791122.5198819698</v>
      </c>
      <c r="E2245" s="1409">
        <v>104929.40665620699</v>
      </c>
      <c r="F2245" s="1410">
        <v>7.6234115747875704</v>
      </c>
      <c r="G2245" s="1411">
        <v>0.287556790621321</v>
      </c>
    </row>
    <row r="2246" spans="1:7" x14ac:dyDescent="0.25">
      <c r="A2246" s="11" t="s">
        <v>1088</v>
      </c>
      <c r="B2246" s="11"/>
      <c r="C2246" s="1412">
        <v>2198</v>
      </c>
      <c r="D2246" s="1412">
        <v>2507649.0021306202</v>
      </c>
      <c r="E2246" s="1413">
        <v>4.77482304698748E-3</v>
      </c>
      <c r="F2246" s="1414">
        <v>99.026324267028997</v>
      </c>
      <c r="G2246" s="1415">
        <v>0.352120911190757</v>
      </c>
    </row>
    <row r="2247" spans="1:7" x14ac:dyDescent="0.25">
      <c r="A2247" s="6" t="s">
        <v>1086</v>
      </c>
      <c r="B2247" s="6" t="s">
        <v>1147</v>
      </c>
      <c r="C2247" s="1408">
        <v>13</v>
      </c>
      <c r="D2247" s="1408">
        <v>12350.7038095647</v>
      </c>
      <c r="E2247" s="1409">
        <v>7601.0548884407299</v>
      </c>
      <c r="F2247" s="1410">
        <v>0.487725674260166</v>
      </c>
      <c r="G2247" s="1411">
        <v>0.29927492950786899</v>
      </c>
    </row>
    <row r="2248" spans="1:7" x14ac:dyDescent="0.25">
      <c r="A2248" s="11" t="s">
        <v>1084</v>
      </c>
      <c r="B2248" s="11" t="s">
        <v>1153</v>
      </c>
      <c r="C2248" s="1412">
        <v>10</v>
      </c>
      <c r="D2248" s="1412">
        <v>11572.6762349076</v>
      </c>
      <c r="E2248" s="1413">
        <v>6893.9549442342995</v>
      </c>
      <c r="F2248" s="1414">
        <v>0.457001593325704</v>
      </c>
      <c r="G2248" s="1415">
        <v>0.27158413859222902</v>
      </c>
    </row>
    <row r="2249" spans="1:7" x14ac:dyDescent="0.25">
      <c r="A2249" s="6" t="s">
        <v>1102</v>
      </c>
      <c r="B2249" s="6"/>
      <c r="C2249" s="1408">
        <v>1</v>
      </c>
      <c r="D2249" s="1408">
        <v>733.06356540633499</v>
      </c>
      <c r="E2249" s="1409">
        <v>734.64773794601604</v>
      </c>
      <c r="F2249" s="1410">
        <v>2.89484653851452E-2</v>
      </c>
      <c r="G2249" s="1411">
        <v>2.9022532657412101E-2</v>
      </c>
    </row>
    <row r="2250" spans="1:7" x14ac:dyDescent="0.25">
      <c r="A2250" s="11" t="s">
        <v>6417</v>
      </c>
      <c r="B2250" s="11" t="s">
        <v>6418</v>
      </c>
      <c r="C2250" s="1412">
        <v>53597</v>
      </c>
      <c r="D2250" s="1412">
        <v>36612512.554259397</v>
      </c>
      <c r="E2250" s="1413">
        <v>8999.8262514610196</v>
      </c>
      <c r="F2250" s="1414">
        <v>93.530930592804097</v>
      </c>
      <c r="G2250" s="1415">
        <v>2.2991105110301301E-2</v>
      </c>
    </row>
    <row r="2251" spans="1:7" x14ac:dyDescent="0.25">
      <c r="A2251" s="6" t="s">
        <v>6417</v>
      </c>
      <c r="B2251" s="6" t="s">
        <v>6419</v>
      </c>
      <c r="C2251" s="1408">
        <v>55819</v>
      </c>
      <c r="D2251" s="1408">
        <v>39144817.999999903</v>
      </c>
      <c r="E2251" s="1409">
        <v>0</v>
      </c>
      <c r="F2251" s="1410">
        <v>100</v>
      </c>
      <c r="G2251" s="1411">
        <v>0</v>
      </c>
    </row>
    <row r="2252" spans="1:7" x14ac:dyDescent="0.25">
      <c r="A2252" s="3729" t="s">
        <v>879</v>
      </c>
      <c r="B2252" s="3730"/>
      <c r="C2252" s="3730"/>
      <c r="D2252" s="3730"/>
      <c r="E2252" s="3730"/>
      <c r="F2252" s="3730"/>
      <c r="G2252" s="3730"/>
    </row>
    <row r="2253" spans="1:7" x14ac:dyDescent="0.25">
      <c r="A2253" s="11" t="s">
        <v>1092</v>
      </c>
      <c r="B2253" s="11" t="s">
        <v>1271</v>
      </c>
      <c r="C2253" s="1420">
        <v>54380</v>
      </c>
      <c r="D2253" s="1420">
        <v>37099020.145282298</v>
      </c>
      <c r="E2253" s="1421">
        <v>83073.687107411999</v>
      </c>
      <c r="F2253" s="1422">
        <v>94.773770937656494</v>
      </c>
      <c r="G2253" s="1423">
        <v>0.21222141614623899</v>
      </c>
    </row>
    <row r="2254" spans="1:7" x14ac:dyDescent="0.25">
      <c r="A2254" s="6" t="s">
        <v>1090</v>
      </c>
      <c r="B2254" s="6" t="s">
        <v>1179</v>
      </c>
      <c r="C2254" s="1416">
        <v>1439</v>
      </c>
      <c r="D2254" s="1416">
        <v>2045797.85471747</v>
      </c>
      <c r="E2254" s="1417">
        <v>83073.687107475605</v>
      </c>
      <c r="F2254" s="1418">
        <v>5.2262290623435304</v>
      </c>
      <c r="G2254" s="1419">
        <v>0.21222141614625001</v>
      </c>
    </row>
    <row r="2255" spans="1:7" x14ac:dyDescent="0.25">
      <c r="A2255" s="11" t="s">
        <v>6417</v>
      </c>
      <c r="B2255" s="11" t="s">
        <v>6418</v>
      </c>
      <c r="C2255" s="1420">
        <v>55819</v>
      </c>
      <c r="D2255" s="1420">
        <v>39144817.999999702</v>
      </c>
      <c r="E2255" s="1421">
        <v>2.1077111782061401E-6</v>
      </c>
      <c r="F2255" s="1422">
        <v>100</v>
      </c>
      <c r="G2255" s="1423">
        <v>9.8052242617805994E-14</v>
      </c>
    </row>
    <row r="2256" spans="1:7" x14ac:dyDescent="0.25">
      <c r="A2256" s="6" t="s">
        <v>6417</v>
      </c>
      <c r="B2256" s="6" t="s">
        <v>6419</v>
      </c>
      <c r="C2256" s="1416">
        <v>55819</v>
      </c>
      <c r="D2256" s="1416">
        <v>39144817.999999702</v>
      </c>
      <c r="E2256" s="1417">
        <v>0</v>
      </c>
      <c r="F2256" s="1418">
        <v>100</v>
      </c>
      <c r="G2256" s="1419">
        <v>0</v>
      </c>
    </row>
    <row r="2257" spans="1:7" x14ac:dyDescent="0.25">
      <c r="A2257" s="3729" t="s">
        <v>663</v>
      </c>
      <c r="B2257" s="3730"/>
      <c r="C2257" s="3730"/>
      <c r="D2257" s="3730"/>
      <c r="E2257" s="3730"/>
      <c r="F2257" s="3730"/>
      <c r="G2257" s="3730"/>
    </row>
    <row r="2258" spans="1:7" x14ac:dyDescent="0.25">
      <c r="A2258" s="11" t="s">
        <v>1111</v>
      </c>
      <c r="B2258" s="11" t="s">
        <v>1143</v>
      </c>
      <c r="C2258" s="1428">
        <v>2092</v>
      </c>
      <c r="D2258" s="1428">
        <v>1094610.2964214799</v>
      </c>
      <c r="E2258" s="1429">
        <v>71673.165250497201</v>
      </c>
      <c r="F2258" s="1430">
        <v>19.9667865624642</v>
      </c>
      <c r="G2258" s="1431">
        <v>1.1013336470574799</v>
      </c>
    </row>
    <row r="2259" spans="1:7" x14ac:dyDescent="0.25">
      <c r="A2259" s="6" t="s">
        <v>1092</v>
      </c>
      <c r="B2259" s="6" t="s">
        <v>6151</v>
      </c>
      <c r="C2259" s="1424">
        <v>1451</v>
      </c>
      <c r="D2259" s="1424">
        <v>889978.50924705702</v>
      </c>
      <c r="E2259" s="1425">
        <v>75942.944934485102</v>
      </c>
      <c r="F2259" s="1426">
        <v>16.234098105426298</v>
      </c>
      <c r="G2259" s="1427">
        <v>1.32946356512251</v>
      </c>
    </row>
    <row r="2260" spans="1:7" x14ac:dyDescent="0.25">
      <c r="A2260" s="11" t="s">
        <v>1109</v>
      </c>
      <c r="B2260" s="11" t="s">
        <v>6156</v>
      </c>
      <c r="C2260" s="1428">
        <v>1814</v>
      </c>
      <c r="D2260" s="1428">
        <v>756790.60221064196</v>
      </c>
      <c r="E2260" s="1429">
        <v>55220.789151940699</v>
      </c>
      <c r="F2260" s="1430">
        <v>13.8046174754785</v>
      </c>
      <c r="G2260" s="1431">
        <v>1.01368665945311</v>
      </c>
    </row>
    <row r="2261" spans="1:7" x14ac:dyDescent="0.25">
      <c r="A2261" s="6" t="s">
        <v>1090</v>
      </c>
      <c r="B2261" s="6" t="s">
        <v>6150</v>
      </c>
      <c r="C2261" s="1424">
        <v>1075</v>
      </c>
      <c r="D2261" s="1424">
        <v>714042.741553589</v>
      </c>
      <c r="E2261" s="1425">
        <v>41314.108366263099</v>
      </c>
      <c r="F2261" s="1426">
        <v>13.024853743553299</v>
      </c>
      <c r="G2261" s="1427">
        <v>0.66773817500666399</v>
      </c>
    </row>
    <row r="2262" spans="1:7" x14ac:dyDescent="0.25">
      <c r="A2262" s="11" t="s">
        <v>1096</v>
      </c>
      <c r="B2262" s="11" t="s">
        <v>6153</v>
      </c>
      <c r="C2262" s="1428">
        <v>825</v>
      </c>
      <c r="D2262" s="1428">
        <v>510986.53233297903</v>
      </c>
      <c r="E2262" s="1429">
        <v>53533.067360879599</v>
      </c>
      <c r="F2262" s="1430">
        <v>9.3209054041802197</v>
      </c>
      <c r="G2262" s="1431">
        <v>0.75498115262680998</v>
      </c>
    </row>
    <row r="2263" spans="1:7" x14ac:dyDescent="0.25">
      <c r="A2263" s="6" t="s">
        <v>1100</v>
      </c>
      <c r="B2263" s="6" t="s">
        <v>6155</v>
      </c>
      <c r="C2263" s="1424">
        <v>624</v>
      </c>
      <c r="D2263" s="1424">
        <v>415750.784305843</v>
      </c>
      <c r="E2263" s="1425">
        <v>32001.929345639499</v>
      </c>
      <c r="F2263" s="1426">
        <v>7.5837101117633399</v>
      </c>
      <c r="G2263" s="1427">
        <v>0.51427267700897705</v>
      </c>
    </row>
    <row r="2264" spans="1:7" x14ac:dyDescent="0.25">
      <c r="A2264" s="11" t="s">
        <v>1098</v>
      </c>
      <c r="B2264" s="11" t="s">
        <v>6154</v>
      </c>
      <c r="C2264" s="1428">
        <v>430</v>
      </c>
      <c r="D2264" s="1428">
        <v>307040.88979291799</v>
      </c>
      <c r="E2264" s="1429">
        <v>21434.999527665699</v>
      </c>
      <c r="F2264" s="1430">
        <v>5.6007329115088798</v>
      </c>
      <c r="G2264" s="1431">
        <v>0.37138160272361498</v>
      </c>
    </row>
    <row r="2265" spans="1:7" x14ac:dyDescent="0.25">
      <c r="A2265" s="6" t="s">
        <v>1094</v>
      </c>
      <c r="B2265" s="6" t="s">
        <v>6152</v>
      </c>
      <c r="C2265" s="1424">
        <v>338</v>
      </c>
      <c r="D2265" s="1424">
        <v>299802.82323491201</v>
      </c>
      <c r="E2265" s="1425">
        <v>37436.098917811301</v>
      </c>
      <c r="F2265" s="1426">
        <v>5.4687033384625803</v>
      </c>
      <c r="G2265" s="1427">
        <v>0.541341152406842</v>
      </c>
    </row>
    <row r="2266" spans="1:7" x14ac:dyDescent="0.25">
      <c r="A2266" s="11" t="s">
        <v>1119</v>
      </c>
      <c r="B2266" s="11" t="s">
        <v>6157</v>
      </c>
      <c r="C2266" s="1428">
        <v>631</v>
      </c>
      <c r="D2266" s="1428">
        <v>232456.773627897</v>
      </c>
      <c r="E2266" s="1429">
        <v>32991.120369336102</v>
      </c>
      <c r="F2266" s="1430">
        <v>4.2402440386327998</v>
      </c>
      <c r="G2266" s="1431">
        <v>0.62078261974626303</v>
      </c>
    </row>
    <row r="2267" spans="1:7" x14ac:dyDescent="0.25">
      <c r="A2267" s="6" t="s">
        <v>1121</v>
      </c>
      <c r="B2267" s="6" t="s">
        <v>6158</v>
      </c>
      <c r="C2267" s="1424">
        <v>285</v>
      </c>
      <c r="D2267" s="1424">
        <v>153677.731195247</v>
      </c>
      <c r="E2267" s="1425">
        <v>22331.9993844686</v>
      </c>
      <c r="F2267" s="1426">
        <v>2.80323551515154</v>
      </c>
      <c r="G2267" s="1427">
        <v>0.43451493654701601</v>
      </c>
    </row>
    <row r="2268" spans="1:7" x14ac:dyDescent="0.25">
      <c r="A2268" s="11" t="s">
        <v>1123</v>
      </c>
      <c r="B2268" s="11" t="s">
        <v>6159</v>
      </c>
      <c r="C2268" s="1428">
        <v>142</v>
      </c>
      <c r="D2268" s="1428">
        <v>107017.85972035999</v>
      </c>
      <c r="E2268" s="1429">
        <v>23027.5438393763</v>
      </c>
      <c r="F2268" s="1430">
        <v>1.9521127933784601</v>
      </c>
      <c r="G2268" s="1431">
        <v>0.43564873158991901</v>
      </c>
    </row>
    <row r="2269" spans="1:7" x14ac:dyDescent="0.25">
      <c r="A2269" s="6" t="s">
        <v>1088</v>
      </c>
      <c r="B2269" s="6" t="s">
        <v>1089</v>
      </c>
      <c r="C2269" s="1424">
        <v>46069</v>
      </c>
      <c r="D2269" s="1424">
        <v>33608932.124818303</v>
      </c>
      <c r="E2269" s="1425">
        <v>186159.41533949799</v>
      </c>
      <c r="F2269" s="1426">
        <v>99.840385971820893</v>
      </c>
      <c r="G2269" s="1427">
        <v>5.3666720954675798E-2</v>
      </c>
    </row>
    <row r="2270" spans="1:7" x14ac:dyDescent="0.25">
      <c r="A2270" s="11" t="s">
        <v>1084</v>
      </c>
      <c r="B2270" s="11" t="s">
        <v>1085</v>
      </c>
      <c r="C2270" s="1428">
        <v>16</v>
      </c>
      <c r="D2270" s="1428">
        <v>27444.894009809999</v>
      </c>
      <c r="E2270" s="1429">
        <v>14959.481986500999</v>
      </c>
      <c r="F2270" s="1430">
        <v>8.1529183989506496E-2</v>
      </c>
      <c r="G2270" s="1431">
        <v>4.4451790221855997E-2</v>
      </c>
    </row>
    <row r="2271" spans="1:7" x14ac:dyDescent="0.25">
      <c r="A2271" s="6" t="s">
        <v>1086</v>
      </c>
      <c r="B2271" s="6" t="s">
        <v>1087</v>
      </c>
      <c r="C2271" s="1424">
        <v>27</v>
      </c>
      <c r="D2271" s="1424">
        <v>26285.437529107901</v>
      </c>
      <c r="E2271" s="1425">
        <v>11384.8074135964</v>
      </c>
      <c r="F2271" s="1426">
        <v>7.8084844189571595E-2</v>
      </c>
      <c r="G2271" s="1427">
        <v>3.38238162604141E-2</v>
      </c>
    </row>
    <row r="2272" spans="1:7" x14ac:dyDescent="0.25">
      <c r="A2272" s="11" t="s">
        <v>6417</v>
      </c>
      <c r="B2272" s="11" t="s">
        <v>6418</v>
      </c>
      <c r="C2272" s="1428">
        <v>9707</v>
      </c>
      <c r="D2272" s="1428">
        <v>5482155.5436429298</v>
      </c>
      <c r="E2272" s="1429">
        <v>186303.09633899201</v>
      </c>
      <c r="F2272" s="1430">
        <v>14.004805294133501</v>
      </c>
      <c r="G2272" s="1431">
        <v>0.475932973654417</v>
      </c>
    </row>
    <row r="2273" spans="1:7" x14ac:dyDescent="0.25">
      <c r="A2273" s="6" t="s">
        <v>6417</v>
      </c>
      <c r="B2273" s="6" t="s">
        <v>6419</v>
      </c>
      <c r="C2273" s="1424">
        <v>55819</v>
      </c>
      <c r="D2273" s="1424">
        <v>39144818.000000201</v>
      </c>
      <c r="E2273" s="1425">
        <v>0</v>
      </c>
      <c r="F2273" s="1426">
        <v>100</v>
      </c>
      <c r="G2273" s="1427">
        <v>0</v>
      </c>
    </row>
    <row r="2274" spans="1:7" x14ac:dyDescent="0.25">
      <c r="A2274" s="3729" t="s">
        <v>666</v>
      </c>
      <c r="B2274" s="3730"/>
      <c r="C2274" s="3730"/>
      <c r="D2274" s="3730"/>
      <c r="E2274" s="3730"/>
      <c r="F2274" s="3730"/>
      <c r="G2274" s="3730"/>
    </row>
    <row r="2275" spans="1:7" x14ac:dyDescent="0.25">
      <c r="A2275" s="11" t="s">
        <v>6626</v>
      </c>
      <c r="B2275" s="11"/>
      <c r="C2275" s="1436">
        <v>1691</v>
      </c>
      <c r="D2275" s="1436">
        <v>804170.90754606505</v>
      </c>
      <c r="E2275" s="1437">
        <v>57297.406683719099</v>
      </c>
      <c r="F2275" s="1438">
        <v>73.466411760886402</v>
      </c>
      <c r="G2275" s="1439">
        <v>3.2840462403990802</v>
      </c>
    </row>
    <row r="2276" spans="1:7" x14ac:dyDescent="0.25">
      <c r="A2276" s="6" t="s">
        <v>6627</v>
      </c>
      <c r="B2276" s="6"/>
      <c r="C2276" s="1432">
        <v>77</v>
      </c>
      <c r="D2276" s="1432">
        <v>56401.456240956402</v>
      </c>
      <c r="E2276" s="1433">
        <v>12061.935176356599</v>
      </c>
      <c r="F2276" s="1434">
        <v>5.1526517177250204</v>
      </c>
      <c r="G2276" s="1435">
        <v>0.95372823817159202</v>
      </c>
    </row>
    <row r="2277" spans="1:7" x14ac:dyDescent="0.25">
      <c r="A2277" s="11" t="s">
        <v>6628</v>
      </c>
      <c r="B2277" s="11"/>
      <c r="C2277" s="1436">
        <v>40</v>
      </c>
      <c r="D2277" s="1436">
        <v>51268.650364782901</v>
      </c>
      <c r="E2277" s="1437">
        <v>16121.630647701601</v>
      </c>
      <c r="F2277" s="1438">
        <v>4.6837354383008396</v>
      </c>
      <c r="G2277" s="1439">
        <v>1.2808110725411701</v>
      </c>
    </row>
    <row r="2278" spans="1:7" x14ac:dyDescent="0.25">
      <c r="A2278" s="6" t="s">
        <v>6629</v>
      </c>
      <c r="B2278" s="6"/>
      <c r="C2278" s="1432">
        <v>90</v>
      </c>
      <c r="D2278" s="1432">
        <v>44397.205404789398</v>
      </c>
      <c r="E2278" s="1433">
        <v>25316.929553281301</v>
      </c>
      <c r="F2278" s="1434">
        <v>4.0559828050159501</v>
      </c>
      <c r="G2278" s="1435">
        <v>2.34323415977157</v>
      </c>
    </row>
    <row r="2279" spans="1:7" x14ac:dyDescent="0.25">
      <c r="A2279" s="11" t="s">
        <v>6630</v>
      </c>
      <c r="B2279" s="11"/>
      <c r="C2279" s="1436">
        <v>43</v>
      </c>
      <c r="D2279" s="1436">
        <v>27403.164014708698</v>
      </c>
      <c r="E2279" s="1437">
        <v>11551.0489893265</v>
      </c>
      <c r="F2279" s="1438">
        <v>2.5034630228032402</v>
      </c>
      <c r="G2279" s="1439">
        <v>0.99722385811209402</v>
      </c>
    </row>
    <row r="2280" spans="1:7" x14ac:dyDescent="0.25">
      <c r="A2280" s="6" t="s">
        <v>6631</v>
      </c>
      <c r="B2280" s="6"/>
      <c r="C2280" s="1432">
        <v>24</v>
      </c>
      <c r="D2280" s="1432">
        <v>26083.3208074426</v>
      </c>
      <c r="E2280" s="1433">
        <v>10316.402082512899</v>
      </c>
      <c r="F2280" s="1434">
        <v>2.3828864841409398</v>
      </c>
      <c r="G2280" s="1435">
        <v>0.87886889026250903</v>
      </c>
    </row>
    <row r="2281" spans="1:7" x14ac:dyDescent="0.25">
      <c r="A2281" s="11" t="s">
        <v>6632</v>
      </c>
      <c r="B2281" s="11"/>
      <c r="C2281" s="1436">
        <v>24</v>
      </c>
      <c r="D2281" s="1436">
        <v>23464.704493371799</v>
      </c>
      <c r="E2281" s="1437">
        <v>9599.4465638174206</v>
      </c>
      <c r="F2281" s="1438">
        <v>2.1436583019621702</v>
      </c>
      <c r="G2281" s="1439">
        <v>0.97851383222692101</v>
      </c>
    </row>
    <row r="2282" spans="1:7" x14ac:dyDescent="0.25">
      <c r="A2282" s="6" t="s">
        <v>6633</v>
      </c>
      <c r="B2282" s="6"/>
      <c r="C2282" s="1432">
        <v>24</v>
      </c>
      <c r="D2282" s="1432">
        <v>22019.252183092001</v>
      </c>
      <c r="E2282" s="1433">
        <v>7107.0170871652099</v>
      </c>
      <c r="F2282" s="1434">
        <v>2.0116065283761402</v>
      </c>
      <c r="G2282" s="1435">
        <v>0.72239760130535102</v>
      </c>
    </row>
    <row r="2283" spans="1:7" x14ac:dyDescent="0.25">
      <c r="A2283" s="11" t="s">
        <v>6634</v>
      </c>
      <c r="B2283" s="11"/>
      <c r="C2283" s="1436">
        <v>24</v>
      </c>
      <c r="D2283" s="1436">
        <v>12253.630379181301</v>
      </c>
      <c r="E2283" s="1437">
        <v>4572.3573231665996</v>
      </c>
      <c r="F2283" s="1438">
        <v>1.1194514083451499</v>
      </c>
      <c r="G2283" s="1439">
        <v>0.36775825738198198</v>
      </c>
    </row>
    <row r="2284" spans="1:7" x14ac:dyDescent="0.25">
      <c r="A2284" s="6" t="s">
        <v>6635</v>
      </c>
      <c r="B2284" s="6"/>
      <c r="C2284" s="1432">
        <v>18</v>
      </c>
      <c r="D2284" s="1432">
        <v>9121.5640640472502</v>
      </c>
      <c r="E2284" s="1433">
        <v>4946.85408698426</v>
      </c>
      <c r="F2284" s="1434">
        <v>0.83331612116820197</v>
      </c>
      <c r="G2284" s="1435">
        <v>0.45808586413769198</v>
      </c>
    </row>
    <row r="2285" spans="1:7" x14ac:dyDescent="0.25">
      <c r="A2285" s="11" t="s">
        <v>6636</v>
      </c>
      <c r="B2285" s="11"/>
      <c r="C2285" s="1436">
        <v>10</v>
      </c>
      <c r="D2285" s="1436">
        <v>7592.1716672113498</v>
      </c>
      <c r="E2285" s="1437">
        <v>5690.8191663652397</v>
      </c>
      <c r="F2285" s="1438">
        <v>0.69359585708555804</v>
      </c>
      <c r="G2285" s="1439">
        <v>0.52499733378902802</v>
      </c>
    </row>
    <row r="2286" spans="1:7" x14ac:dyDescent="0.25">
      <c r="A2286" s="6" t="s">
        <v>6637</v>
      </c>
      <c r="B2286" s="6"/>
      <c r="C2286" s="1432">
        <v>8</v>
      </c>
      <c r="D2286" s="1432">
        <v>6574.2138086421801</v>
      </c>
      <c r="E2286" s="1433">
        <v>6641.0612528771399</v>
      </c>
      <c r="F2286" s="1434">
        <v>0.60059857194242605</v>
      </c>
      <c r="G2286" s="1435">
        <v>0.61478921536525999</v>
      </c>
    </row>
    <row r="2287" spans="1:7" x14ac:dyDescent="0.25">
      <c r="A2287" s="11" t="s">
        <v>6638</v>
      </c>
      <c r="B2287" s="11"/>
      <c r="C2287" s="1436">
        <v>16</v>
      </c>
      <c r="D2287" s="1436">
        <v>3787.8667988648699</v>
      </c>
      <c r="E2287" s="1437">
        <v>2549.8143109081402</v>
      </c>
      <c r="F2287" s="1438">
        <v>0.34604706453504303</v>
      </c>
      <c r="G2287" s="1439">
        <v>0.237827611296376</v>
      </c>
    </row>
    <row r="2288" spans="1:7" x14ac:dyDescent="0.25">
      <c r="A2288" s="6" t="s">
        <v>6639</v>
      </c>
      <c r="B2288" s="6"/>
      <c r="C2288" s="1432">
        <v>3</v>
      </c>
      <c r="D2288" s="1432">
        <v>72.1886483259984</v>
      </c>
      <c r="E2288" s="1433">
        <v>71.329850757146701</v>
      </c>
      <c r="F2288" s="1434">
        <v>6.59491771290648E-3</v>
      </c>
      <c r="G2288" s="1435">
        <v>6.5642838359765802E-3</v>
      </c>
    </row>
    <row r="2289" spans="1:7" x14ac:dyDescent="0.25">
      <c r="A2289" s="11" t="s">
        <v>1088</v>
      </c>
      <c r="B2289" s="11" t="s">
        <v>1089</v>
      </c>
      <c r="C2289" s="1436">
        <v>53727</v>
      </c>
      <c r="D2289" s="1436">
        <v>38050207.703578398</v>
      </c>
      <c r="E2289" s="1437">
        <v>71673.165250581005</v>
      </c>
      <c r="F2289" s="1438">
        <v>100</v>
      </c>
      <c r="G2289" s="1439">
        <v>0</v>
      </c>
    </row>
    <row r="2290" spans="1:7" x14ac:dyDescent="0.25">
      <c r="A2290" s="6" t="s">
        <v>6417</v>
      </c>
      <c r="B2290" s="6" t="s">
        <v>6418</v>
      </c>
      <c r="C2290" s="1432">
        <v>2092</v>
      </c>
      <c r="D2290" s="1432">
        <v>1094610.2964214799</v>
      </c>
      <c r="E2290" s="1433">
        <v>71673.165250498903</v>
      </c>
      <c r="F2290" s="1434">
        <v>2.7963095815683299</v>
      </c>
      <c r="G2290" s="1435">
        <v>0.18309745430544899</v>
      </c>
    </row>
    <row r="2291" spans="1:7" x14ac:dyDescent="0.25">
      <c r="A2291" s="11" t="s">
        <v>6417</v>
      </c>
      <c r="B2291" s="11" t="s">
        <v>6419</v>
      </c>
      <c r="C2291" s="1436">
        <v>55819</v>
      </c>
      <c r="D2291" s="1436">
        <v>39144817.999999903</v>
      </c>
      <c r="E2291" s="1437">
        <v>0</v>
      </c>
      <c r="F2291" s="1438">
        <v>100</v>
      </c>
      <c r="G2291" s="1439">
        <v>0</v>
      </c>
    </row>
    <row r="2292" spans="1:7" x14ac:dyDescent="0.25">
      <c r="A2292" s="3729" t="s">
        <v>594</v>
      </c>
      <c r="B2292" s="3730"/>
      <c r="C2292" s="3730"/>
      <c r="D2292" s="3730"/>
      <c r="E2292" s="3730"/>
      <c r="F2292" s="3730"/>
      <c r="G2292" s="3730"/>
    </row>
    <row r="2293" spans="1:7" x14ac:dyDescent="0.25">
      <c r="A2293" s="11" t="s">
        <v>1090</v>
      </c>
      <c r="B2293" s="11" t="s">
        <v>3129</v>
      </c>
      <c r="C2293" s="1444">
        <v>44333</v>
      </c>
      <c r="D2293" s="1444">
        <v>25677957.179343499</v>
      </c>
      <c r="E2293" s="1445">
        <v>225355.17841752101</v>
      </c>
      <c r="F2293" s="1446">
        <v>100</v>
      </c>
      <c r="G2293" s="1447">
        <v>0</v>
      </c>
    </row>
    <row r="2294" spans="1:7" x14ac:dyDescent="0.25">
      <c r="A2294" s="6" t="s">
        <v>1088</v>
      </c>
      <c r="B2294" s="6" t="s">
        <v>1089</v>
      </c>
      <c r="C2294" s="1440">
        <v>11486</v>
      </c>
      <c r="D2294" s="1440">
        <v>13466860.820656501</v>
      </c>
      <c r="E2294" s="1441">
        <v>225355.178417649</v>
      </c>
      <c r="F2294" s="1442">
        <v>100</v>
      </c>
      <c r="G2294" s="1443">
        <v>0</v>
      </c>
    </row>
    <row r="2295" spans="1:7" x14ac:dyDescent="0.25">
      <c r="A2295" s="11" t="s">
        <v>6417</v>
      </c>
      <c r="B2295" s="11" t="s">
        <v>6418</v>
      </c>
      <c r="C2295" s="1444">
        <v>44333</v>
      </c>
      <c r="D2295" s="1444">
        <v>25677957.179343499</v>
      </c>
      <c r="E2295" s="1445">
        <v>225355.17841752101</v>
      </c>
      <c r="F2295" s="1446">
        <v>65.597334439882999</v>
      </c>
      <c r="G2295" s="1447">
        <v>0.575696068934618</v>
      </c>
    </row>
    <row r="2296" spans="1:7" x14ac:dyDescent="0.25">
      <c r="A2296" s="6" t="s">
        <v>6417</v>
      </c>
      <c r="B2296" s="6" t="s">
        <v>6419</v>
      </c>
      <c r="C2296" s="1440">
        <v>55819</v>
      </c>
      <c r="D2296" s="1440">
        <v>39144818</v>
      </c>
      <c r="E2296" s="1441">
        <v>0</v>
      </c>
      <c r="F2296" s="1442">
        <v>100</v>
      </c>
      <c r="G2296" s="1443">
        <v>0</v>
      </c>
    </row>
    <row r="2297" spans="1:7" x14ac:dyDescent="0.25">
      <c r="A2297" s="3729" t="s">
        <v>597</v>
      </c>
      <c r="B2297" s="3730"/>
      <c r="C2297" s="3730"/>
      <c r="D2297" s="3730"/>
      <c r="E2297" s="3730"/>
      <c r="F2297" s="3730"/>
      <c r="G2297" s="3730"/>
    </row>
    <row r="2298" spans="1:7" x14ac:dyDescent="0.25">
      <c r="A2298" s="11" t="s">
        <v>1092</v>
      </c>
      <c r="B2298" s="11" t="s">
        <v>3130</v>
      </c>
      <c r="C2298" s="1452">
        <v>2384</v>
      </c>
      <c r="D2298" s="1452">
        <v>3024283.44527777</v>
      </c>
      <c r="E2298" s="1453">
        <v>62218.093657535901</v>
      </c>
      <c r="F2298" s="1454">
        <v>100</v>
      </c>
      <c r="G2298" s="1455">
        <v>0</v>
      </c>
    </row>
    <row r="2299" spans="1:7" x14ac:dyDescent="0.25">
      <c r="A2299" s="6" t="s">
        <v>1088</v>
      </c>
      <c r="B2299" s="6" t="s">
        <v>1089</v>
      </c>
      <c r="C2299" s="1448">
        <v>53435</v>
      </c>
      <c r="D2299" s="1448">
        <v>36120534.5547221</v>
      </c>
      <c r="E2299" s="1449">
        <v>62218.093657351397</v>
      </c>
      <c r="F2299" s="1450">
        <v>100</v>
      </c>
      <c r="G2299" s="1451">
        <v>0</v>
      </c>
    </row>
    <row r="2300" spans="1:7" x14ac:dyDescent="0.25">
      <c r="A2300" s="11" t="s">
        <v>6417</v>
      </c>
      <c r="B2300" s="11" t="s">
        <v>6418</v>
      </c>
      <c r="C2300" s="1452">
        <v>2384</v>
      </c>
      <c r="D2300" s="1452">
        <v>3024283.44527777</v>
      </c>
      <c r="E2300" s="1453">
        <v>62218.093657535901</v>
      </c>
      <c r="F2300" s="1454">
        <v>7.7258845481866398</v>
      </c>
      <c r="G2300" s="1455">
        <v>0.15894337191073801</v>
      </c>
    </row>
    <row r="2301" spans="1:7" x14ac:dyDescent="0.25">
      <c r="A2301" s="6" t="s">
        <v>6417</v>
      </c>
      <c r="B2301" s="6" t="s">
        <v>6419</v>
      </c>
      <c r="C2301" s="1448">
        <v>55819</v>
      </c>
      <c r="D2301" s="1448">
        <v>39144817.999999903</v>
      </c>
      <c r="E2301" s="1449">
        <v>0</v>
      </c>
      <c r="F2301" s="1450">
        <v>100</v>
      </c>
      <c r="G2301" s="1451">
        <v>0</v>
      </c>
    </row>
    <row r="2302" spans="1:7" x14ac:dyDescent="0.25">
      <c r="A2302" s="3729" t="s">
        <v>599</v>
      </c>
      <c r="B2302" s="3730"/>
      <c r="C2302" s="3730"/>
      <c r="D2302" s="3730"/>
      <c r="E2302" s="3730"/>
      <c r="F2302" s="3730"/>
      <c r="G2302" s="3730"/>
    </row>
    <row r="2303" spans="1:7" x14ac:dyDescent="0.25">
      <c r="A2303" s="11" t="s">
        <v>1094</v>
      </c>
      <c r="B2303" s="11" t="s">
        <v>3131</v>
      </c>
      <c r="C2303" s="1460">
        <v>6542</v>
      </c>
      <c r="D2303" s="1460">
        <v>6045904.9880318297</v>
      </c>
      <c r="E2303" s="1461">
        <v>192431.96629959901</v>
      </c>
      <c r="F2303" s="1462">
        <v>100</v>
      </c>
      <c r="G2303" s="1463">
        <v>0</v>
      </c>
    </row>
    <row r="2304" spans="1:7" x14ac:dyDescent="0.25">
      <c r="A2304" s="6" t="s">
        <v>1088</v>
      </c>
      <c r="B2304" s="6" t="s">
        <v>1089</v>
      </c>
      <c r="C2304" s="1456">
        <v>49277</v>
      </c>
      <c r="D2304" s="1456">
        <v>33098913.011968199</v>
      </c>
      <c r="E2304" s="1457">
        <v>192431.96629940101</v>
      </c>
      <c r="F2304" s="1458">
        <v>100</v>
      </c>
      <c r="G2304" s="1459">
        <v>0</v>
      </c>
    </row>
    <row r="2305" spans="1:7" x14ac:dyDescent="0.25">
      <c r="A2305" s="11" t="s">
        <v>6417</v>
      </c>
      <c r="B2305" s="11" t="s">
        <v>6418</v>
      </c>
      <c r="C2305" s="1460">
        <v>6542</v>
      </c>
      <c r="D2305" s="1460">
        <v>6045904.9880318297</v>
      </c>
      <c r="E2305" s="1461">
        <v>192431.96629959901</v>
      </c>
      <c r="F2305" s="1462">
        <v>15.4449689561255</v>
      </c>
      <c r="G2305" s="1463">
        <v>0.49158988630262102</v>
      </c>
    </row>
    <row r="2306" spans="1:7" x14ac:dyDescent="0.25">
      <c r="A2306" s="6" t="s">
        <v>6417</v>
      </c>
      <c r="B2306" s="6" t="s">
        <v>6419</v>
      </c>
      <c r="C2306" s="1456">
        <v>55819</v>
      </c>
      <c r="D2306" s="1456">
        <v>39144818.000000097</v>
      </c>
      <c r="E2306" s="1457">
        <v>0</v>
      </c>
      <c r="F2306" s="1458">
        <v>100</v>
      </c>
      <c r="G2306" s="1459">
        <v>0</v>
      </c>
    </row>
    <row r="2307" spans="1:7" x14ac:dyDescent="0.25">
      <c r="A2307" s="3729" t="s">
        <v>601</v>
      </c>
      <c r="B2307" s="3730"/>
      <c r="C2307" s="3730"/>
      <c r="D2307" s="3730"/>
      <c r="E2307" s="3730"/>
      <c r="F2307" s="3730"/>
      <c r="G2307" s="3730"/>
    </row>
    <row r="2308" spans="1:7" x14ac:dyDescent="0.25">
      <c r="A2308" s="11" t="s">
        <v>1096</v>
      </c>
      <c r="B2308" s="11" t="s">
        <v>6132</v>
      </c>
      <c r="C2308" s="1468">
        <v>1639</v>
      </c>
      <c r="D2308" s="1468">
        <v>1334956.9938153301</v>
      </c>
      <c r="E2308" s="1469">
        <v>103930.61459881099</v>
      </c>
      <c r="F2308" s="1470">
        <v>100</v>
      </c>
      <c r="G2308" s="1471">
        <v>0</v>
      </c>
    </row>
    <row r="2309" spans="1:7" x14ac:dyDescent="0.25">
      <c r="A2309" s="6" t="s">
        <v>1088</v>
      </c>
      <c r="B2309" s="6" t="s">
        <v>1089</v>
      </c>
      <c r="C2309" s="1464">
        <v>54180</v>
      </c>
      <c r="D2309" s="1464">
        <v>37809861.006184503</v>
      </c>
      <c r="E2309" s="1465">
        <v>103930.61459876499</v>
      </c>
      <c r="F2309" s="1466">
        <v>100</v>
      </c>
      <c r="G2309" s="1467">
        <v>0</v>
      </c>
    </row>
    <row r="2310" spans="1:7" x14ac:dyDescent="0.25">
      <c r="A2310" s="11" t="s">
        <v>6417</v>
      </c>
      <c r="B2310" s="11" t="s">
        <v>6418</v>
      </c>
      <c r="C2310" s="1468">
        <v>1639</v>
      </c>
      <c r="D2310" s="1468">
        <v>1334956.9938153301</v>
      </c>
      <c r="E2310" s="1469">
        <v>103930.61459881099</v>
      </c>
      <c r="F2310" s="1470">
        <v>3.4103032330239298</v>
      </c>
      <c r="G2310" s="1471">
        <v>0.26550286834596898</v>
      </c>
    </row>
    <row r="2311" spans="1:7" x14ac:dyDescent="0.25">
      <c r="A2311" s="6" t="s">
        <v>6417</v>
      </c>
      <c r="B2311" s="6" t="s">
        <v>6419</v>
      </c>
      <c r="C2311" s="1464">
        <v>55819</v>
      </c>
      <c r="D2311" s="1464">
        <v>39144817.999999799</v>
      </c>
      <c r="E2311" s="1465">
        <v>0</v>
      </c>
      <c r="F2311" s="1466">
        <v>100</v>
      </c>
      <c r="G2311" s="1467">
        <v>0</v>
      </c>
    </row>
    <row r="2312" spans="1:7" x14ac:dyDescent="0.25">
      <c r="A2312" s="3729" t="s">
        <v>603</v>
      </c>
      <c r="B2312" s="3730"/>
      <c r="C2312" s="3730"/>
      <c r="D2312" s="3730"/>
      <c r="E2312" s="3730"/>
      <c r="F2312" s="3730"/>
      <c r="G2312" s="3730"/>
    </row>
    <row r="2313" spans="1:7" x14ac:dyDescent="0.25">
      <c r="A2313" s="11" t="s">
        <v>1098</v>
      </c>
      <c r="B2313" s="11" t="s">
        <v>6133</v>
      </c>
      <c r="C2313" s="1476">
        <v>715</v>
      </c>
      <c r="D2313" s="1476">
        <v>637217.886367467</v>
      </c>
      <c r="E2313" s="1477">
        <v>37758.379258089401</v>
      </c>
      <c r="F2313" s="1478">
        <v>100</v>
      </c>
      <c r="G2313" s="1479">
        <v>0</v>
      </c>
    </row>
    <row r="2314" spans="1:7" x14ac:dyDescent="0.25">
      <c r="A2314" s="6" t="s">
        <v>1088</v>
      </c>
      <c r="B2314" s="6" t="s">
        <v>1089</v>
      </c>
      <c r="C2314" s="1472">
        <v>55104</v>
      </c>
      <c r="D2314" s="1472">
        <v>38507600.113632299</v>
      </c>
      <c r="E2314" s="1473">
        <v>37758.379257954803</v>
      </c>
      <c r="F2314" s="1474">
        <v>100</v>
      </c>
      <c r="G2314" s="1475">
        <v>0</v>
      </c>
    </row>
    <row r="2315" spans="1:7" x14ac:dyDescent="0.25">
      <c r="A2315" s="11" t="s">
        <v>6417</v>
      </c>
      <c r="B2315" s="11" t="s">
        <v>6418</v>
      </c>
      <c r="C2315" s="1476">
        <v>715</v>
      </c>
      <c r="D2315" s="1476">
        <v>637217.886367467</v>
      </c>
      <c r="E2315" s="1477">
        <v>37758.379258089401</v>
      </c>
      <c r="F2315" s="1478">
        <v>1.6278473599429499</v>
      </c>
      <c r="G2315" s="1479">
        <v>9.6458180641144101E-2</v>
      </c>
    </row>
    <row r="2316" spans="1:7" x14ac:dyDescent="0.25">
      <c r="A2316" s="6" t="s">
        <v>6417</v>
      </c>
      <c r="B2316" s="6" t="s">
        <v>6419</v>
      </c>
      <c r="C2316" s="1472">
        <v>55819</v>
      </c>
      <c r="D2316" s="1472">
        <v>39144817.999999702</v>
      </c>
      <c r="E2316" s="1473">
        <v>0</v>
      </c>
      <c r="F2316" s="1474">
        <v>100</v>
      </c>
      <c r="G2316" s="1475">
        <v>0</v>
      </c>
    </row>
    <row r="2317" spans="1:7" x14ac:dyDescent="0.25">
      <c r="A2317" s="3729" t="s">
        <v>605</v>
      </c>
      <c r="B2317" s="3730"/>
      <c r="C2317" s="3730"/>
      <c r="D2317" s="3730"/>
      <c r="E2317" s="3730"/>
      <c r="F2317" s="3730"/>
      <c r="G2317" s="3730"/>
    </row>
    <row r="2318" spans="1:7" x14ac:dyDescent="0.25">
      <c r="A2318" s="11" t="s">
        <v>1088</v>
      </c>
      <c r="B2318" s="11" t="s">
        <v>1089</v>
      </c>
      <c r="C2318" s="1484">
        <v>55701</v>
      </c>
      <c r="D2318" s="1484">
        <v>38894836.174561299</v>
      </c>
      <c r="E2318" s="1485">
        <v>61922.807346438101</v>
      </c>
      <c r="F2318" s="1486">
        <v>99.361392290957994</v>
      </c>
      <c r="G2318" s="1487">
        <v>0.158189028612371</v>
      </c>
    </row>
    <row r="2319" spans="1:7" x14ac:dyDescent="0.25">
      <c r="A2319" s="6" t="s">
        <v>1084</v>
      </c>
      <c r="B2319" s="6" t="s">
        <v>1085</v>
      </c>
      <c r="C2319" s="1480">
        <v>118</v>
      </c>
      <c r="D2319" s="1480">
        <v>249981.82543846199</v>
      </c>
      <c r="E2319" s="1481">
        <v>61922.8073462756</v>
      </c>
      <c r="F2319" s="1482">
        <v>0.63860770904200803</v>
      </c>
      <c r="G2319" s="1483">
        <v>0.158189028612361</v>
      </c>
    </row>
    <row r="2320" spans="1:7" x14ac:dyDescent="0.25">
      <c r="A2320" s="11" t="s">
        <v>6417</v>
      </c>
      <c r="B2320" s="11" t="s">
        <v>6418</v>
      </c>
      <c r="C2320" s="1484">
        <v>0</v>
      </c>
      <c r="D2320" s="1484">
        <v>0</v>
      </c>
      <c r="E2320" s="1485">
        <v>0</v>
      </c>
      <c r="F2320" s="1486">
        <v>0</v>
      </c>
      <c r="G2320" s="1487">
        <v>0</v>
      </c>
    </row>
    <row r="2321" spans="1:7" x14ac:dyDescent="0.25">
      <c r="A2321" s="6" t="s">
        <v>6417</v>
      </c>
      <c r="B2321" s="6" t="s">
        <v>6419</v>
      </c>
      <c r="C2321" s="1480">
        <v>55819</v>
      </c>
      <c r="D2321" s="1480">
        <v>39144817.999999799</v>
      </c>
      <c r="E2321" s="1481">
        <v>0</v>
      </c>
      <c r="F2321" s="1482">
        <v>100</v>
      </c>
      <c r="G2321" s="1483">
        <v>0</v>
      </c>
    </row>
    <row r="2322" spans="1:7" x14ac:dyDescent="0.25">
      <c r="A2322" s="3729" t="s">
        <v>610</v>
      </c>
      <c r="B2322" s="3730"/>
      <c r="C2322" s="3730"/>
      <c r="D2322" s="3730"/>
      <c r="E2322" s="3730"/>
      <c r="F2322" s="3730"/>
      <c r="G2322" s="3730"/>
    </row>
    <row r="2323" spans="1:7" x14ac:dyDescent="0.25">
      <c r="A2323" s="11" t="s">
        <v>1088</v>
      </c>
      <c r="B2323" s="11" t="s">
        <v>1089</v>
      </c>
      <c r="C2323" s="1492">
        <v>55371</v>
      </c>
      <c r="D2323" s="1492">
        <v>38757077.5644392</v>
      </c>
      <c r="E2323" s="1493">
        <v>55924.427757834397</v>
      </c>
      <c r="F2323" s="1494">
        <v>99.009471865316797</v>
      </c>
      <c r="G2323" s="1495">
        <v>0.14286546882863299</v>
      </c>
    </row>
    <row r="2324" spans="1:7" x14ac:dyDescent="0.25">
      <c r="A2324" s="6" t="s">
        <v>1086</v>
      </c>
      <c r="B2324" s="6" t="s">
        <v>1087</v>
      </c>
      <c r="C2324" s="1488">
        <v>448</v>
      </c>
      <c r="D2324" s="1488">
        <v>387740.43556053401</v>
      </c>
      <c r="E2324" s="1489">
        <v>55924.427757814898</v>
      </c>
      <c r="F2324" s="1490">
        <v>0.990528134683207</v>
      </c>
      <c r="G2324" s="1491">
        <v>0.14286546882863299</v>
      </c>
    </row>
    <row r="2325" spans="1:7" x14ac:dyDescent="0.25">
      <c r="A2325" s="11" t="s">
        <v>6417</v>
      </c>
      <c r="B2325" s="11" t="s">
        <v>6418</v>
      </c>
      <c r="C2325" s="1492">
        <v>0</v>
      </c>
      <c r="D2325" s="1492">
        <v>0</v>
      </c>
      <c r="E2325" s="1493">
        <v>0</v>
      </c>
      <c r="F2325" s="1494">
        <v>0</v>
      </c>
      <c r="G2325" s="1495">
        <v>0</v>
      </c>
    </row>
    <row r="2326" spans="1:7" x14ac:dyDescent="0.25">
      <c r="A2326" s="6" t="s">
        <v>6417</v>
      </c>
      <c r="B2326" s="6" t="s">
        <v>6419</v>
      </c>
      <c r="C2326" s="1488">
        <v>55819</v>
      </c>
      <c r="D2326" s="1488">
        <v>39144817.999999799</v>
      </c>
      <c r="E2326" s="1489">
        <v>0</v>
      </c>
      <c r="F2326" s="1490">
        <v>100</v>
      </c>
      <c r="G2326" s="1491">
        <v>0</v>
      </c>
    </row>
    <row r="2327" spans="1:7" x14ac:dyDescent="0.25">
      <c r="A2327" s="3729" t="s">
        <v>612</v>
      </c>
      <c r="B2327" s="3730"/>
      <c r="C2327" s="3730"/>
      <c r="D2327" s="3730"/>
      <c r="E2327" s="3730"/>
      <c r="F2327" s="3730"/>
      <c r="G2327" s="3730"/>
    </row>
    <row r="2328" spans="1:7" x14ac:dyDescent="0.25">
      <c r="A2328" s="11" t="s">
        <v>1111</v>
      </c>
      <c r="B2328" s="11" t="s">
        <v>3135</v>
      </c>
      <c r="C2328" s="1500">
        <v>3181</v>
      </c>
      <c r="D2328" s="1500">
        <v>5019543.1682825098</v>
      </c>
      <c r="E2328" s="1501">
        <v>200195.21006681299</v>
      </c>
      <c r="F2328" s="1502">
        <v>100</v>
      </c>
      <c r="G2328" s="1503">
        <v>0</v>
      </c>
    </row>
    <row r="2329" spans="1:7" x14ac:dyDescent="0.25">
      <c r="A2329" s="6" t="s">
        <v>1088</v>
      </c>
      <c r="B2329" s="6" t="s">
        <v>1089</v>
      </c>
      <c r="C2329" s="1496">
        <v>52638</v>
      </c>
      <c r="D2329" s="1496">
        <v>34125274.831717499</v>
      </c>
      <c r="E2329" s="1497">
        <v>200195.21006671601</v>
      </c>
      <c r="F2329" s="1498">
        <v>100</v>
      </c>
      <c r="G2329" s="1499">
        <v>0</v>
      </c>
    </row>
    <row r="2330" spans="1:7" x14ac:dyDescent="0.25">
      <c r="A2330" s="11" t="s">
        <v>6417</v>
      </c>
      <c r="B2330" s="11" t="s">
        <v>6418</v>
      </c>
      <c r="C2330" s="1500">
        <v>3181</v>
      </c>
      <c r="D2330" s="1500">
        <v>5019543.1682825098</v>
      </c>
      <c r="E2330" s="1501">
        <v>200195.21006681299</v>
      </c>
      <c r="F2330" s="1502">
        <v>12.8230080627339</v>
      </c>
      <c r="G2330" s="1503">
        <v>0.51142199733001903</v>
      </c>
    </row>
    <row r="2331" spans="1:7" x14ac:dyDescent="0.25">
      <c r="A2331" s="6" t="s">
        <v>6417</v>
      </c>
      <c r="B2331" s="6" t="s">
        <v>6419</v>
      </c>
      <c r="C2331" s="1496">
        <v>55819</v>
      </c>
      <c r="D2331" s="1496">
        <v>39144818.000000097</v>
      </c>
      <c r="E2331" s="1497">
        <v>0</v>
      </c>
      <c r="F2331" s="1498">
        <v>100</v>
      </c>
      <c r="G2331" s="1499">
        <v>0</v>
      </c>
    </row>
    <row r="2332" spans="1:7" x14ac:dyDescent="0.25">
      <c r="A2332" s="3729" t="s">
        <v>607</v>
      </c>
      <c r="B2332" s="3730"/>
      <c r="C2332" s="3730"/>
      <c r="D2332" s="3730"/>
      <c r="E2332" s="3730"/>
      <c r="F2332" s="3730"/>
      <c r="G2332" s="3730"/>
    </row>
    <row r="2333" spans="1:7" x14ac:dyDescent="0.25">
      <c r="A2333" s="11" t="s">
        <v>1088</v>
      </c>
      <c r="B2333" s="11" t="s">
        <v>1089</v>
      </c>
      <c r="C2333" s="1508">
        <v>52679</v>
      </c>
      <c r="D2333" s="1508">
        <v>34196893.445496202</v>
      </c>
      <c r="E2333" s="1509">
        <v>202277.167536008</v>
      </c>
      <c r="F2333" s="1510">
        <v>100</v>
      </c>
      <c r="G2333" s="1511">
        <v>0</v>
      </c>
    </row>
    <row r="2334" spans="1:7" x14ac:dyDescent="0.25">
      <c r="A2334" s="6" t="s">
        <v>6417</v>
      </c>
      <c r="B2334" s="6" t="s">
        <v>6418</v>
      </c>
      <c r="C2334" s="1504">
        <v>3056</v>
      </c>
      <c r="D2334" s="1504">
        <v>4947924.5545038404</v>
      </c>
      <c r="E2334" s="1505">
        <v>202277.16753613201</v>
      </c>
      <c r="F2334" s="1506">
        <v>12.6400499665213</v>
      </c>
      <c r="G2334" s="1507">
        <v>0.51674060034233704</v>
      </c>
    </row>
    <row r="2335" spans="1:7" x14ac:dyDescent="0.25">
      <c r="A2335" s="11" t="s">
        <v>6417</v>
      </c>
      <c r="B2335" s="11" t="s">
        <v>6419</v>
      </c>
      <c r="C2335" s="1508">
        <v>55735</v>
      </c>
      <c r="D2335" s="1508">
        <v>39144818</v>
      </c>
      <c r="E2335" s="1509">
        <v>0</v>
      </c>
      <c r="F2335" s="1510">
        <v>100</v>
      </c>
      <c r="G2335" s="1511">
        <v>0</v>
      </c>
    </row>
    <row r="2336" spans="1:7" x14ac:dyDescent="0.25">
      <c r="A2336" s="3729" t="s">
        <v>16</v>
      </c>
      <c r="B2336" s="3730"/>
      <c r="C2336" s="3730"/>
      <c r="D2336" s="3730"/>
      <c r="E2336" s="3730"/>
      <c r="F2336" s="3730"/>
      <c r="G2336" s="3730"/>
    </row>
    <row r="2337" spans="1:7" x14ac:dyDescent="0.25">
      <c r="A2337" s="11" t="s">
        <v>1090</v>
      </c>
      <c r="B2337" s="11" t="s">
        <v>1104</v>
      </c>
      <c r="C2337" s="1516">
        <v>16921</v>
      </c>
      <c r="D2337" s="1516">
        <v>10519214.002506601</v>
      </c>
      <c r="E2337" s="1517">
        <v>184164.756745925</v>
      </c>
      <c r="F2337" s="1518">
        <v>100</v>
      </c>
      <c r="G2337" s="1519">
        <v>0</v>
      </c>
    </row>
    <row r="2338" spans="1:7" x14ac:dyDescent="0.25">
      <c r="A2338" s="6" t="s">
        <v>1088</v>
      </c>
      <c r="B2338" s="6" t="s">
        <v>1089</v>
      </c>
      <c r="C2338" s="1512">
        <v>38794</v>
      </c>
      <c r="D2338" s="1512">
        <v>28547979.001072999</v>
      </c>
      <c r="E2338" s="1513">
        <v>181923.65224622699</v>
      </c>
      <c r="F2338" s="1514">
        <v>99.728826695054195</v>
      </c>
      <c r="G2338" s="1515">
        <v>3.3854156202215803E-2</v>
      </c>
    </row>
    <row r="2339" spans="1:7" x14ac:dyDescent="0.25">
      <c r="A2339" s="11" t="s">
        <v>1102</v>
      </c>
      <c r="B2339" s="11" t="s">
        <v>1103</v>
      </c>
      <c r="C2339" s="1516">
        <v>104</v>
      </c>
      <c r="D2339" s="1516">
        <v>77624.996420712094</v>
      </c>
      <c r="E2339" s="1517">
        <v>9808.7298865435296</v>
      </c>
      <c r="F2339" s="1518">
        <v>0.27117330494584002</v>
      </c>
      <c r="G2339" s="1519">
        <v>3.3854156202217697E-2</v>
      </c>
    </row>
    <row r="2340" spans="1:7" x14ac:dyDescent="0.25">
      <c r="A2340" s="6" t="s">
        <v>6417</v>
      </c>
      <c r="B2340" s="6" t="s">
        <v>6418</v>
      </c>
      <c r="C2340" s="1512">
        <v>16921</v>
      </c>
      <c r="D2340" s="1512">
        <v>10519214.002506601</v>
      </c>
      <c r="E2340" s="1513">
        <v>184164.756745925</v>
      </c>
      <c r="F2340" s="1514">
        <v>26.872558208104302</v>
      </c>
      <c r="G2340" s="1515">
        <v>0.47047033593556298</v>
      </c>
    </row>
    <row r="2341" spans="1:7" x14ac:dyDescent="0.25">
      <c r="A2341" s="11" t="s">
        <v>6417</v>
      </c>
      <c r="B2341" s="11" t="s">
        <v>6419</v>
      </c>
      <c r="C2341" s="1516">
        <v>55819</v>
      </c>
      <c r="D2341" s="1516">
        <v>39144818.000000201</v>
      </c>
      <c r="E2341" s="1517">
        <v>0</v>
      </c>
      <c r="F2341" s="1518">
        <v>100</v>
      </c>
      <c r="G2341" s="1519">
        <v>0</v>
      </c>
    </row>
    <row r="2342" spans="1:7" x14ac:dyDescent="0.25">
      <c r="A2342" s="3729" t="s">
        <v>19</v>
      </c>
      <c r="B2342" s="3730"/>
      <c r="C2342" s="3730"/>
      <c r="D2342" s="3730"/>
      <c r="E2342" s="3730"/>
      <c r="F2342" s="3730"/>
      <c r="G2342" s="3730"/>
    </row>
    <row r="2343" spans="1:7" x14ac:dyDescent="0.25">
      <c r="A2343" s="11" t="s">
        <v>1092</v>
      </c>
      <c r="B2343" s="11" t="s">
        <v>1105</v>
      </c>
      <c r="C2343" s="1524">
        <v>23403</v>
      </c>
      <c r="D2343" s="1524">
        <v>12358302.036592299</v>
      </c>
      <c r="E2343" s="1525">
        <v>168026.38742747999</v>
      </c>
      <c r="F2343" s="1526">
        <v>100</v>
      </c>
      <c r="G2343" s="1527">
        <v>0</v>
      </c>
    </row>
    <row r="2344" spans="1:7" x14ac:dyDescent="0.25">
      <c r="A2344" s="6" t="s">
        <v>1088</v>
      </c>
      <c r="B2344" s="6" t="s">
        <v>1089</v>
      </c>
      <c r="C2344" s="1520">
        <v>32312</v>
      </c>
      <c r="D2344" s="1520">
        <v>26708890.966987301</v>
      </c>
      <c r="E2344" s="1521">
        <v>167418.188216065</v>
      </c>
      <c r="F2344" s="1522">
        <v>99.710208686613996</v>
      </c>
      <c r="G2344" s="1523">
        <v>3.6542652570909502E-2</v>
      </c>
    </row>
    <row r="2345" spans="1:7" x14ac:dyDescent="0.25">
      <c r="A2345" s="11" t="s">
        <v>1102</v>
      </c>
      <c r="B2345" s="11" t="s">
        <v>1103</v>
      </c>
      <c r="C2345" s="1524">
        <v>104</v>
      </c>
      <c r="D2345" s="1524">
        <v>77624.996420712094</v>
      </c>
      <c r="E2345" s="1525">
        <v>9808.7298865435296</v>
      </c>
      <c r="F2345" s="1526">
        <v>0.289791313386006</v>
      </c>
      <c r="G2345" s="1527">
        <v>3.6542652570917197E-2</v>
      </c>
    </row>
    <row r="2346" spans="1:7" x14ac:dyDescent="0.25">
      <c r="A2346" s="6" t="s">
        <v>6417</v>
      </c>
      <c r="B2346" s="6" t="s">
        <v>6418</v>
      </c>
      <c r="C2346" s="1520">
        <v>23403</v>
      </c>
      <c r="D2346" s="1520">
        <v>12358302.036592299</v>
      </c>
      <c r="E2346" s="1521">
        <v>168026.38742747999</v>
      </c>
      <c r="F2346" s="1522">
        <v>31.570722941136601</v>
      </c>
      <c r="G2346" s="1523">
        <v>0.42924299054743598</v>
      </c>
    </row>
    <row r="2347" spans="1:7" x14ac:dyDescent="0.25">
      <c r="A2347" s="11" t="s">
        <v>6417</v>
      </c>
      <c r="B2347" s="11" t="s">
        <v>6419</v>
      </c>
      <c r="C2347" s="1524">
        <v>55819</v>
      </c>
      <c r="D2347" s="1524">
        <v>39144818.000000298</v>
      </c>
      <c r="E2347" s="1525">
        <v>0</v>
      </c>
      <c r="F2347" s="1526">
        <v>100</v>
      </c>
      <c r="G2347" s="1527">
        <v>0</v>
      </c>
    </row>
    <row r="2348" spans="1:7" x14ac:dyDescent="0.25">
      <c r="A2348" s="3729" t="s">
        <v>21</v>
      </c>
      <c r="B2348" s="3730"/>
      <c r="C2348" s="3730"/>
      <c r="D2348" s="3730"/>
      <c r="E2348" s="3730"/>
      <c r="F2348" s="3730"/>
      <c r="G2348" s="3730"/>
    </row>
    <row r="2349" spans="1:7" x14ac:dyDescent="0.25">
      <c r="A2349" s="11" t="s">
        <v>1094</v>
      </c>
      <c r="B2349" s="11" t="s">
        <v>1106</v>
      </c>
      <c r="C2349" s="1532">
        <v>10287</v>
      </c>
      <c r="D2349" s="1532">
        <v>5193024.9367694799</v>
      </c>
      <c r="E2349" s="1533">
        <v>129959.852630154</v>
      </c>
      <c r="F2349" s="1534">
        <v>100</v>
      </c>
      <c r="G2349" s="1535">
        <v>0</v>
      </c>
    </row>
    <row r="2350" spans="1:7" x14ac:dyDescent="0.25">
      <c r="A2350" s="6" t="s">
        <v>1088</v>
      </c>
      <c r="B2350" s="6" t="s">
        <v>1089</v>
      </c>
      <c r="C2350" s="1528">
        <v>45428</v>
      </c>
      <c r="D2350" s="1528">
        <v>33874168.0668099</v>
      </c>
      <c r="E2350" s="1529">
        <v>132943.45818063</v>
      </c>
      <c r="F2350" s="1530">
        <v>99.7713670194792</v>
      </c>
      <c r="G2350" s="1531">
        <v>2.91582373058125E-2</v>
      </c>
    </row>
    <row r="2351" spans="1:7" x14ac:dyDescent="0.25">
      <c r="A2351" s="11" t="s">
        <v>1102</v>
      </c>
      <c r="B2351" s="11" t="s">
        <v>1103</v>
      </c>
      <c r="C2351" s="1532">
        <v>104</v>
      </c>
      <c r="D2351" s="1532">
        <v>77624.996420712094</v>
      </c>
      <c r="E2351" s="1533">
        <v>9808.7298865435296</v>
      </c>
      <c r="F2351" s="1534">
        <v>0.22863298052078099</v>
      </c>
      <c r="G2351" s="1535">
        <v>2.9158237305805201E-2</v>
      </c>
    </row>
    <row r="2352" spans="1:7" x14ac:dyDescent="0.25">
      <c r="A2352" s="6" t="s">
        <v>6417</v>
      </c>
      <c r="B2352" s="6" t="s">
        <v>6418</v>
      </c>
      <c r="C2352" s="1528">
        <v>10287</v>
      </c>
      <c r="D2352" s="1528">
        <v>5193024.9367694799</v>
      </c>
      <c r="E2352" s="1529">
        <v>129959.852630154</v>
      </c>
      <c r="F2352" s="1530">
        <v>13.2661874600348</v>
      </c>
      <c r="G2352" s="1531">
        <v>0.33199759066489298</v>
      </c>
    </row>
    <row r="2353" spans="1:7" x14ac:dyDescent="0.25">
      <c r="A2353" s="11" t="s">
        <v>6417</v>
      </c>
      <c r="B2353" s="11" t="s">
        <v>6419</v>
      </c>
      <c r="C2353" s="1532">
        <v>55819</v>
      </c>
      <c r="D2353" s="1532">
        <v>39144818.000000097</v>
      </c>
      <c r="E2353" s="1533">
        <v>0</v>
      </c>
      <c r="F2353" s="1534">
        <v>100</v>
      </c>
      <c r="G2353" s="1535">
        <v>0</v>
      </c>
    </row>
    <row r="2354" spans="1:7" x14ac:dyDescent="0.25">
      <c r="A2354" s="3729" t="s">
        <v>23</v>
      </c>
      <c r="B2354" s="3730"/>
      <c r="C2354" s="3730"/>
      <c r="D2354" s="3730"/>
      <c r="E2354" s="3730"/>
      <c r="F2354" s="3730"/>
      <c r="G2354" s="3730"/>
    </row>
    <row r="2355" spans="1:7" x14ac:dyDescent="0.25">
      <c r="A2355" s="11" t="s">
        <v>1096</v>
      </c>
      <c r="B2355" s="11" t="s">
        <v>1107</v>
      </c>
      <c r="C2355" s="1540">
        <v>7632</v>
      </c>
      <c r="D2355" s="1540">
        <v>3667398.4612646801</v>
      </c>
      <c r="E2355" s="1541">
        <v>122584.138928682</v>
      </c>
      <c r="F2355" s="1542">
        <v>100</v>
      </c>
      <c r="G2355" s="1543">
        <v>0</v>
      </c>
    </row>
    <row r="2356" spans="1:7" x14ac:dyDescent="0.25">
      <c r="A2356" s="6" t="s">
        <v>1088</v>
      </c>
      <c r="B2356" s="6" t="s">
        <v>1089</v>
      </c>
      <c r="C2356" s="1536">
        <v>48083</v>
      </c>
      <c r="D2356" s="1536">
        <v>35399794.542314596</v>
      </c>
      <c r="E2356" s="1537">
        <v>119340.888165171</v>
      </c>
      <c r="F2356" s="1538">
        <v>99.781198865560199</v>
      </c>
      <c r="G2356" s="1539">
        <v>2.7390258058496299E-2</v>
      </c>
    </row>
    <row r="2357" spans="1:7" x14ac:dyDescent="0.25">
      <c r="A2357" s="11" t="s">
        <v>1102</v>
      </c>
      <c r="B2357" s="11" t="s">
        <v>1103</v>
      </c>
      <c r="C2357" s="1540">
        <v>104</v>
      </c>
      <c r="D2357" s="1540">
        <v>77624.996420712094</v>
      </c>
      <c r="E2357" s="1541">
        <v>9808.7298865435296</v>
      </c>
      <c r="F2357" s="1542">
        <v>0.218801134439777</v>
      </c>
      <c r="G2357" s="1543">
        <v>2.73902580584943E-2</v>
      </c>
    </row>
    <row r="2358" spans="1:7" x14ac:dyDescent="0.25">
      <c r="A2358" s="6" t="s">
        <v>6417</v>
      </c>
      <c r="B2358" s="6" t="s">
        <v>6418</v>
      </c>
      <c r="C2358" s="1536">
        <v>7632</v>
      </c>
      <c r="D2358" s="1536">
        <v>3667398.4612646801</v>
      </c>
      <c r="E2358" s="1537">
        <v>122584.138928682</v>
      </c>
      <c r="F2358" s="1538">
        <v>9.3687968130664903</v>
      </c>
      <c r="G2358" s="1539">
        <v>0.31315547035802999</v>
      </c>
    </row>
    <row r="2359" spans="1:7" x14ac:dyDescent="0.25">
      <c r="A2359" s="11" t="s">
        <v>6417</v>
      </c>
      <c r="B2359" s="11" t="s">
        <v>6419</v>
      </c>
      <c r="C2359" s="1540">
        <v>55819</v>
      </c>
      <c r="D2359" s="1540">
        <v>39144818</v>
      </c>
      <c r="E2359" s="1541">
        <v>0</v>
      </c>
      <c r="F2359" s="1542">
        <v>100</v>
      </c>
      <c r="G2359" s="1543">
        <v>0</v>
      </c>
    </row>
    <row r="2360" spans="1:7" x14ac:dyDescent="0.25">
      <c r="A2360" s="3729" t="s">
        <v>25</v>
      </c>
      <c r="B2360" s="3730"/>
      <c r="C2360" s="3730"/>
      <c r="D2360" s="3730"/>
      <c r="E2360" s="3730"/>
      <c r="F2360" s="3730"/>
      <c r="G2360" s="3730"/>
    </row>
    <row r="2361" spans="1:7" x14ac:dyDescent="0.25">
      <c r="A2361" s="11" t="s">
        <v>1098</v>
      </c>
      <c r="B2361" s="11" t="s">
        <v>927</v>
      </c>
      <c r="C2361" s="1548">
        <v>12807</v>
      </c>
      <c r="D2361" s="1548">
        <v>6866815.3281341596</v>
      </c>
      <c r="E2361" s="1549">
        <v>131371.317266734</v>
      </c>
      <c r="F2361" s="1550">
        <v>100</v>
      </c>
      <c r="G2361" s="1551">
        <v>0</v>
      </c>
    </row>
    <row r="2362" spans="1:7" x14ac:dyDescent="0.25">
      <c r="A2362" s="6" t="s">
        <v>1088</v>
      </c>
      <c r="B2362" s="6" t="s">
        <v>1089</v>
      </c>
      <c r="C2362" s="1544">
        <v>42908</v>
      </c>
      <c r="D2362" s="1544">
        <v>32200377.6754453</v>
      </c>
      <c r="E2362" s="1545">
        <v>127901.89610161301</v>
      </c>
      <c r="F2362" s="1546">
        <v>99.759511153122304</v>
      </c>
      <c r="G2362" s="1547">
        <v>3.0032751960510501E-2</v>
      </c>
    </row>
    <row r="2363" spans="1:7" x14ac:dyDescent="0.25">
      <c r="A2363" s="11" t="s">
        <v>1102</v>
      </c>
      <c r="B2363" s="11" t="s">
        <v>1103</v>
      </c>
      <c r="C2363" s="1548">
        <v>104</v>
      </c>
      <c r="D2363" s="1548">
        <v>77624.996420712094</v>
      </c>
      <c r="E2363" s="1549">
        <v>9808.7298865435296</v>
      </c>
      <c r="F2363" s="1550">
        <v>0.240488846877663</v>
      </c>
      <c r="G2363" s="1551">
        <v>3.00327519605121E-2</v>
      </c>
    </row>
    <row r="2364" spans="1:7" x14ac:dyDescent="0.25">
      <c r="A2364" s="6" t="s">
        <v>6417</v>
      </c>
      <c r="B2364" s="6" t="s">
        <v>6418</v>
      </c>
      <c r="C2364" s="1544">
        <v>12807</v>
      </c>
      <c r="D2364" s="1544">
        <v>6866815.3281341596</v>
      </c>
      <c r="E2364" s="1545">
        <v>131371.317266734</v>
      </c>
      <c r="F2364" s="1546">
        <v>17.542080098913999</v>
      </c>
      <c r="G2364" s="1547">
        <v>0.33560334158851002</v>
      </c>
    </row>
    <row r="2365" spans="1:7" x14ac:dyDescent="0.25">
      <c r="A2365" s="11" t="s">
        <v>6417</v>
      </c>
      <c r="B2365" s="11" t="s">
        <v>6419</v>
      </c>
      <c r="C2365" s="1548">
        <v>55819</v>
      </c>
      <c r="D2365" s="1548">
        <v>39144818.000000201</v>
      </c>
      <c r="E2365" s="1549">
        <v>0</v>
      </c>
      <c r="F2365" s="1550">
        <v>100</v>
      </c>
      <c r="G2365" s="1551">
        <v>0</v>
      </c>
    </row>
    <row r="2366" spans="1:7" x14ac:dyDescent="0.25">
      <c r="A2366" s="3729" t="s">
        <v>27</v>
      </c>
      <c r="B2366" s="3730"/>
      <c r="C2366" s="3730"/>
      <c r="D2366" s="3730"/>
      <c r="E2366" s="3730"/>
      <c r="F2366" s="3730"/>
      <c r="G2366" s="3730"/>
    </row>
    <row r="2367" spans="1:7" x14ac:dyDescent="0.25">
      <c r="A2367" s="11" t="s">
        <v>1100</v>
      </c>
      <c r="B2367" s="11" t="s">
        <v>1108</v>
      </c>
      <c r="C2367" s="1556">
        <v>15984</v>
      </c>
      <c r="D2367" s="1556">
        <v>8944743.8062014095</v>
      </c>
      <c r="E2367" s="1557">
        <v>153408.29719695801</v>
      </c>
      <c r="F2367" s="1558">
        <v>100</v>
      </c>
      <c r="G2367" s="1559">
        <v>0</v>
      </c>
    </row>
    <row r="2368" spans="1:7" x14ac:dyDescent="0.25">
      <c r="A2368" s="6" t="s">
        <v>1088</v>
      </c>
      <c r="B2368" s="6" t="s">
        <v>1089</v>
      </c>
      <c r="C2368" s="1552">
        <v>39731</v>
      </c>
      <c r="D2368" s="1552">
        <v>30122449.1973782</v>
      </c>
      <c r="E2368" s="1553">
        <v>155026.56393808499</v>
      </c>
      <c r="F2368" s="1554">
        <v>99.742964219483099</v>
      </c>
      <c r="G2368" s="1555">
        <v>3.2684580372208602E-2</v>
      </c>
    </row>
    <row r="2369" spans="1:7" x14ac:dyDescent="0.25">
      <c r="A2369" s="11" t="s">
        <v>1102</v>
      </c>
      <c r="B2369" s="11" t="s">
        <v>1103</v>
      </c>
      <c r="C2369" s="1556">
        <v>104</v>
      </c>
      <c r="D2369" s="1556">
        <v>77624.996420712094</v>
      </c>
      <c r="E2369" s="1557">
        <v>9808.7298865435296</v>
      </c>
      <c r="F2369" s="1558">
        <v>0.25703578051689402</v>
      </c>
      <c r="G2369" s="1559">
        <v>3.2684580372216901E-2</v>
      </c>
    </row>
    <row r="2370" spans="1:7" x14ac:dyDescent="0.25">
      <c r="A2370" s="6" t="s">
        <v>6417</v>
      </c>
      <c r="B2370" s="6" t="s">
        <v>6418</v>
      </c>
      <c r="C2370" s="1552">
        <v>15984</v>
      </c>
      <c r="D2370" s="1552">
        <v>8944743.8062014095</v>
      </c>
      <c r="E2370" s="1553">
        <v>153408.29719695801</v>
      </c>
      <c r="F2370" s="1554">
        <v>22.8503905835029</v>
      </c>
      <c r="G2370" s="1555">
        <v>0.39189937528138302</v>
      </c>
    </row>
    <row r="2371" spans="1:7" x14ac:dyDescent="0.25">
      <c r="A2371" s="11" t="s">
        <v>6417</v>
      </c>
      <c r="B2371" s="11" t="s">
        <v>6419</v>
      </c>
      <c r="C2371" s="1556">
        <v>55819</v>
      </c>
      <c r="D2371" s="1556">
        <v>39144818.000000298</v>
      </c>
      <c r="E2371" s="1557">
        <v>0</v>
      </c>
      <c r="F2371" s="1558">
        <v>100</v>
      </c>
      <c r="G2371" s="1559">
        <v>0</v>
      </c>
    </row>
    <row r="2372" spans="1:7" x14ac:dyDescent="0.25">
      <c r="A2372" s="3729" t="s">
        <v>29</v>
      </c>
      <c r="B2372" s="3730"/>
      <c r="C2372" s="3730"/>
      <c r="D2372" s="3730"/>
      <c r="E2372" s="3730"/>
      <c r="F2372" s="3730"/>
      <c r="G2372" s="3730"/>
    </row>
    <row r="2373" spans="1:7" x14ac:dyDescent="0.25">
      <c r="A2373" s="11" t="s">
        <v>1109</v>
      </c>
      <c r="B2373" s="11" t="s">
        <v>1110</v>
      </c>
      <c r="C2373" s="1564">
        <v>2952</v>
      </c>
      <c r="D2373" s="1564">
        <v>1821437.12437194</v>
      </c>
      <c r="E2373" s="1565">
        <v>78928.713548471904</v>
      </c>
      <c r="F2373" s="1566">
        <v>100</v>
      </c>
      <c r="G2373" s="1567">
        <v>0</v>
      </c>
    </row>
    <row r="2374" spans="1:7" x14ac:dyDescent="0.25">
      <c r="A2374" s="6" t="s">
        <v>1088</v>
      </c>
      <c r="B2374" s="6" t="s">
        <v>1089</v>
      </c>
      <c r="C2374" s="1560">
        <v>52763</v>
      </c>
      <c r="D2374" s="1560">
        <v>37245755.879207097</v>
      </c>
      <c r="E2374" s="1561">
        <v>78816.889861769494</v>
      </c>
      <c r="F2374" s="1562">
        <v>99.792020458491194</v>
      </c>
      <c r="G2374" s="1563">
        <v>2.6253849780641901E-2</v>
      </c>
    </row>
    <row r="2375" spans="1:7" x14ac:dyDescent="0.25">
      <c r="A2375" s="11" t="s">
        <v>1102</v>
      </c>
      <c r="B2375" s="11" t="s">
        <v>1103</v>
      </c>
      <c r="C2375" s="1564">
        <v>104</v>
      </c>
      <c r="D2375" s="1564">
        <v>77624.996420712094</v>
      </c>
      <c r="E2375" s="1565">
        <v>9808.7298865435296</v>
      </c>
      <c r="F2375" s="1566">
        <v>0.207979541508795</v>
      </c>
      <c r="G2375" s="1567">
        <v>2.6253849780630702E-2</v>
      </c>
    </row>
    <row r="2376" spans="1:7" x14ac:dyDescent="0.25">
      <c r="A2376" s="6" t="s">
        <v>6417</v>
      </c>
      <c r="B2376" s="6" t="s">
        <v>6418</v>
      </c>
      <c r="C2376" s="1560">
        <v>2952</v>
      </c>
      <c r="D2376" s="1560">
        <v>1821437.12437194</v>
      </c>
      <c r="E2376" s="1561">
        <v>78928.713548471904</v>
      </c>
      <c r="F2376" s="1562">
        <v>4.6530734269142497</v>
      </c>
      <c r="G2376" s="1563">
        <v>0.20163259808353901</v>
      </c>
    </row>
    <row r="2377" spans="1:7" x14ac:dyDescent="0.25">
      <c r="A2377" s="11" t="s">
        <v>6417</v>
      </c>
      <c r="B2377" s="11" t="s">
        <v>6419</v>
      </c>
      <c r="C2377" s="1564">
        <v>55819</v>
      </c>
      <c r="D2377" s="1564">
        <v>39144817.999999799</v>
      </c>
      <c r="E2377" s="1565">
        <v>0</v>
      </c>
      <c r="F2377" s="1566">
        <v>100</v>
      </c>
      <c r="G2377" s="1567">
        <v>0</v>
      </c>
    </row>
    <row r="2378" spans="1:7" x14ac:dyDescent="0.25">
      <c r="A2378" s="3729" t="s">
        <v>31</v>
      </c>
      <c r="B2378" s="3730"/>
      <c r="C2378" s="3730"/>
      <c r="D2378" s="3730"/>
      <c r="E2378" s="3730"/>
      <c r="F2378" s="3730"/>
      <c r="G2378" s="3730"/>
    </row>
    <row r="2379" spans="1:7" x14ac:dyDescent="0.25">
      <c r="A2379" s="11" t="s">
        <v>1088</v>
      </c>
      <c r="B2379" s="11" t="s">
        <v>1089</v>
      </c>
      <c r="C2379" s="1572">
        <v>55658</v>
      </c>
      <c r="D2379" s="1572">
        <v>39009085.591852099</v>
      </c>
      <c r="E2379" s="1573">
        <v>26656.5136349526</v>
      </c>
      <c r="F2379" s="1574">
        <v>99.653255743460903</v>
      </c>
      <c r="G2379" s="1575">
        <v>6.8097170958001899E-2</v>
      </c>
    </row>
    <row r="2380" spans="1:7" x14ac:dyDescent="0.25">
      <c r="A2380" s="6" t="s">
        <v>1102</v>
      </c>
      <c r="B2380" s="6" t="s">
        <v>1103</v>
      </c>
      <c r="C2380" s="1568">
        <v>104</v>
      </c>
      <c r="D2380" s="1568">
        <v>77624.996420712094</v>
      </c>
      <c r="E2380" s="1569">
        <v>9808.7298865435296</v>
      </c>
      <c r="F2380" s="1570">
        <v>0.198302100729431</v>
      </c>
      <c r="G2380" s="1571">
        <v>2.5057543725312499E-2</v>
      </c>
    </row>
    <row r="2381" spans="1:7" x14ac:dyDescent="0.25">
      <c r="A2381" s="11" t="s">
        <v>1084</v>
      </c>
      <c r="B2381" s="11" t="s">
        <v>1085</v>
      </c>
      <c r="C2381" s="1572">
        <v>57</v>
      </c>
      <c r="D2381" s="1572">
        <v>58107.411726986102</v>
      </c>
      <c r="E2381" s="1573">
        <v>22143.205522496999</v>
      </c>
      <c r="F2381" s="1574">
        <v>0.14844215580970699</v>
      </c>
      <c r="G2381" s="1575">
        <v>5.6567399348995198E-2</v>
      </c>
    </row>
    <row r="2382" spans="1:7" x14ac:dyDescent="0.25">
      <c r="A2382" s="6" t="s">
        <v>6417</v>
      </c>
      <c r="B2382" s="6" t="s">
        <v>6418</v>
      </c>
      <c r="C2382" s="1568">
        <v>0</v>
      </c>
      <c r="D2382" s="1568">
        <v>0</v>
      </c>
      <c r="E2382" s="1569">
        <v>0</v>
      </c>
      <c r="F2382" s="1570">
        <v>0</v>
      </c>
      <c r="G2382" s="1571">
        <v>0</v>
      </c>
    </row>
    <row r="2383" spans="1:7" x14ac:dyDescent="0.25">
      <c r="A2383" s="11" t="s">
        <v>6417</v>
      </c>
      <c r="B2383" s="11" t="s">
        <v>6419</v>
      </c>
      <c r="C2383" s="1572">
        <v>55819</v>
      </c>
      <c r="D2383" s="1572">
        <v>39144817.999999799</v>
      </c>
      <c r="E2383" s="1573">
        <v>0</v>
      </c>
      <c r="F2383" s="1574">
        <v>100</v>
      </c>
      <c r="G2383" s="1575">
        <v>0</v>
      </c>
    </row>
    <row r="2384" spans="1:7" x14ac:dyDescent="0.25">
      <c r="A2384" s="3729" t="s">
        <v>35</v>
      </c>
      <c r="B2384" s="3730"/>
      <c r="C2384" s="3730"/>
      <c r="D2384" s="3730"/>
      <c r="E2384" s="3730"/>
      <c r="F2384" s="3730"/>
      <c r="G2384" s="3730"/>
    </row>
    <row r="2385" spans="1:7" x14ac:dyDescent="0.25">
      <c r="A2385" s="11" t="s">
        <v>1088</v>
      </c>
      <c r="B2385" s="11" t="s">
        <v>1089</v>
      </c>
      <c r="C2385" s="1580">
        <v>55675</v>
      </c>
      <c r="D2385" s="1580">
        <v>39038641.136072598</v>
      </c>
      <c r="E2385" s="1581">
        <v>16353.509318992799</v>
      </c>
      <c r="F2385" s="1582">
        <v>99.728758825939096</v>
      </c>
      <c r="G2385" s="1583">
        <v>4.1776945593651797E-2</v>
      </c>
    </row>
    <row r="2386" spans="1:7" x14ac:dyDescent="0.25">
      <c r="A2386" s="6" t="s">
        <v>1102</v>
      </c>
      <c r="B2386" s="6" t="s">
        <v>1103</v>
      </c>
      <c r="C2386" s="1576">
        <v>104</v>
      </c>
      <c r="D2386" s="1576">
        <v>77624.996420712094</v>
      </c>
      <c r="E2386" s="1577">
        <v>9808.7298865435296</v>
      </c>
      <c r="F2386" s="1578">
        <v>0.198302100729431</v>
      </c>
      <c r="G2386" s="1579">
        <v>2.5057543725312499E-2</v>
      </c>
    </row>
    <row r="2387" spans="1:7" x14ac:dyDescent="0.25">
      <c r="A2387" s="11" t="s">
        <v>1086</v>
      </c>
      <c r="B2387" s="11" t="s">
        <v>1087</v>
      </c>
      <c r="C2387" s="1580">
        <v>40</v>
      </c>
      <c r="D2387" s="1580">
        <v>28551.867506497001</v>
      </c>
      <c r="E2387" s="1581">
        <v>11156.319346627301</v>
      </c>
      <c r="F2387" s="1582">
        <v>7.2939073331486998E-2</v>
      </c>
      <c r="G2387" s="1583">
        <v>2.8500118065761599E-2</v>
      </c>
    </row>
    <row r="2388" spans="1:7" x14ac:dyDescent="0.25">
      <c r="A2388" s="6" t="s">
        <v>6417</v>
      </c>
      <c r="B2388" s="6" t="s">
        <v>6418</v>
      </c>
      <c r="C2388" s="1576">
        <v>0</v>
      </c>
      <c r="D2388" s="1576">
        <v>0</v>
      </c>
      <c r="E2388" s="1577">
        <v>0</v>
      </c>
      <c r="F2388" s="1578">
        <v>0</v>
      </c>
      <c r="G2388" s="1579">
        <v>0</v>
      </c>
    </row>
    <row r="2389" spans="1:7" x14ac:dyDescent="0.25">
      <c r="A2389" s="11" t="s">
        <v>6417</v>
      </c>
      <c r="B2389" s="11" t="s">
        <v>6419</v>
      </c>
      <c r="C2389" s="1580">
        <v>55819</v>
      </c>
      <c r="D2389" s="1580">
        <v>39144817.999999799</v>
      </c>
      <c r="E2389" s="1581">
        <v>0</v>
      </c>
      <c r="F2389" s="1582">
        <v>100</v>
      </c>
      <c r="G2389" s="1583">
        <v>0</v>
      </c>
    </row>
    <row r="2390" spans="1:7" x14ac:dyDescent="0.25">
      <c r="A2390" s="3729" t="s">
        <v>37</v>
      </c>
      <c r="B2390" s="3730"/>
      <c r="C2390" s="3730"/>
      <c r="D2390" s="3730"/>
      <c r="E2390" s="3730"/>
      <c r="F2390" s="3730"/>
      <c r="G2390" s="3730"/>
    </row>
    <row r="2391" spans="1:7" x14ac:dyDescent="0.25">
      <c r="A2391" s="11" t="s">
        <v>1111</v>
      </c>
      <c r="B2391" s="11" t="s">
        <v>1112</v>
      </c>
      <c r="C2391" s="1588">
        <v>2013</v>
      </c>
      <c r="D2391" s="1588">
        <v>1004049.54297484</v>
      </c>
      <c r="E2391" s="1589">
        <v>39478.010532884502</v>
      </c>
      <c r="F2391" s="1590">
        <v>100</v>
      </c>
      <c r="G2391" s="1591">
        <v>0</v>
      </c>
    </row>
    <row r="2392" spans="1:7" x14ac:dyDescent="0.25">
      <c r="A2392" s="6" t="s">
        <v>1088</v>
      </c>
      <c r="B2392" s="6" t="s">
        <v>1089</v>
      </c>
      <c r="C2392" s="1584">
        <v>53702</v>
      </c>
      <c r="D2392" s="1584">
        <v>38063143.460604303</v>
      </c>
      <c r="E2392" s="1585">
        <v>41168.773204378696</v>
      </c>
      <c r="F2392" s="1586">
        <v>99.796477628634605</v>
      </c>
      <c r="G2392" s="1587">
        <v>2.5734120772332499E-2</v>
      </c>
    </row>
    <row r="2393" spans="1:7" x14ac:dyDescent="0.25">
      <c r="A2393" s="11" t="s">
        <v>1102</v>
      </c>
      <c r="B2393" s="11" t="s">
        <v>1103</v>
      </c>
      <c r="C2393" s="1588">
        <v>104</v>
      </c>
      <c r="D2393" s="1588">
        <v>77624.996420712094</v>
      </c>
      <c r="E2393" s="1589">
        <v>9808.7298865435296</v>
      </c>
      <c r="F2393" s="1590">
        <v>0.20352237136536899</v>
      </c>
      <c r="G2393" s="1591">
        <v>2.5734120772326199E-2</v>
      </c>
    </row>
    <row r="2394" spans="1:7" x14ac:dyDescent="0.25">
      <c r="A2394" s="6" t="s">
        <v>6417</v>
      </c>
      <c r="B2394" s="6" t="s">
        <v>6418</v>
      </c>
      <c r="C2394" s="1584">
        <v>2013</v>
      </c>
      <c r="D2394" s="1584">
        <v>1004049.54297484</v>
      </c>
      <c r="E2394" s="1585">
        <v>39478.010532884502</v>
      </c>
      <c r="F2394" s="1586">
        <v>2.5649615818237899</v>
      </c>
      <c r="G2394" s="1587">
        <v>0.100851179159603</v>
      </c>
    </row>
    <row r="2395" spans="1:7" x14ac:dyDescent="0.25">
      <c r="A2395" s="11" t="s">
        <v>6417</v>
      </c>
      <c r="B2395" s="11" t="s">
        <v>6419</v>
      </c>
      <c r="C2395" s="1588">
        <v>55819</v>
      </c>
      <c r="D2395" s="1588">
        <v>39144817.999999903</v>
      </c>
      <c r="E2395" s="1589">
        <v>0</v>
      </c>
      <c r="F2395" s="1590">
        <v>100</v>
      </c>
      <c r="G2395" s="1591">
        <v>0</v>
      </c>
    </row>
    <row r="2396" spans="1:7" x14ac:dyDescent="0.25">
      <c r="A2396" s="3729" t="s">
        <v>33</v>
      </c>
      <c r="B2396" s="3730"/>
      <c r="C2396" s="3730"/>
      <c r="D2396" s="3730"/>
      <c r="E2396" s="3730"/>
      <c r="F2396" s="3730"/>
      <c r="G2396" s="3730"/>
    </row>
    <row r="2397" spans="1:7" x14ac:dyDescent="0.25">
      <c r="A2397" s="11" t="s">
        <v>1088</v>
      </c>
      <c r="B2397" s="11" t="s">
        <v>1089</v>
      </c>
      <c r="C2397" s="1596">
        <v>53806</v>
      </c>
      <c r="D2397" s="1596">
        <v>38140768.457024999</v>
      </c>
      <c r="E2397" s="1597">
        <v>39478.010532760702</v>
      </c>
      <c r="F2397" s="1598">
        <v>97.435038418176205</v>
      </c>
      <c r="G2397" s="1599">
        <v>0.100851179159603</v>
      </c>
    </row>
    <row r="2398" spans="1:7" x14ac:dyDescent="0.25">
      <c r="A2398" s="6" t="s">
        <v>1102</v>
      </c>
      <c r="B2398" s="6" t="s">
        <v>1103</v>
      </c>
      <c r="C2398" s="1592">
        <v>2013</v>
      </c>
      <c r="D2398" s="1592">
        <v>1004049.54297484</v>
      </c>
      <c r="E2398" s="1593">
        <v>39478.010532884502</v>
      </c>
      <c r="F2398" s="1594">
        <v>2.5649615818237899</v>
      </c>
      <c r="G2398" s="1595">
        <v>0.100851179159605</v>
      </c>
    </row>
    <row r="2399" spans="1:7" x14ac:dyDescent="0.25">
      <c r="A2399" s="11" t="s">
        <v>6417</v>
      </c>
      <c r="B2399" s="11" t="s">
        <v>6418</v>
      </c>
      <c r="C2399" s="1596">
        <v>0</v>
      </c>
      <c r="D2399" s="1596">
        <v>0</v>
      </c>
      <c r="E2399" s="1597">
        <v>0</v>
      </c>
      <c r="F2399" s="1598">
        <v>0</v>
      </c>
      <c r="G2399" s="1599">
        <v>0</v>
      </c>
    </row>
    <row r="2400" spans="1:7" x14ac:dyDescent="0.25">
      <c r="A2400" s="6" t="s">
        <v>6417</v>
      </c>
      <c r="B2400" s="6" t="s">
        <v>6419</v>
      </c>
      <c r="C2400" s="1592">
        <v>55819</v>
      </c>
      <c r="D2400" s="1592">
        <v>39144817.999999903</v>
      </c>
      <c r="E2400" s="1593">
        <v>0</v>
      </c>
      <c r="F2400" s="1594">
        <v>100</v>
      </c>
      <c r="G2400" s="1595">
        <v>0</v>
      </c>
    </row>
    <row r="2401" spans="1:7" x14ac:dyDescent="0.25">
      <c r="A2401" s="3729" t="s">
        <v>1034</v>
      </c>
      <c r="B2401" s="3730"/>
      <c r="C2401" s="3730"/>
      <c r="D2401" s="3730"/>
      <c r="E2401" s="3730"/>
      <c r="F2401" s="3730"/>
      <c r="G2401" s="3730"/>
    </row>
    <row r="2402" spans="1:7" x14ac:dyDescent="0.25">
      <c r="A2402" s="11" t="s">
        <v>1292</v>
      </c>
      <c r="B2402" s="11" t="s">
        <v>1165</v>
      </c>
      <c r="C2402" s="1604">
        <v>2381</v>
      </c>
      <c r="D2402" s="1604">
        <v>1400327.5885165301</v>
      </c>
      <c r="E2402" s="1605">
        <v>62044.680154572699</v>
      </c>
      <c r="F2402" s="1606">
        <v>100</v>
      </c>
      <c r="G2402" s="1607">
        <v>0</v>
      </c>
    </row>
    <row r="2403" spans="1:7" x14ac:dyDescent="0.25">
      <c r="A2403" s="6" t="s">
        <v>1088</v>
      </c>
      <c r="B2403" s="6" t="s">
        <v>1089</v>
      </c>
      <c r="C2403" s="1600">
        <v>53431</v>
      </c>
      <c r="D2403" s="1600">
        <v>37740470.722709201</v>
      </c>
      <c r="E2403" s="1601">
        <v>62064.721064885802</v>
      </c>
      <c r="F2403" s="1602">
        <v>99.989350263494899</v>
      </c>
      <c r="G2403" s="1603">
        <v>7.2109945752508297E-3</v>
      </c>
    </row>
    <row r="2404" spans="1:7" x14ac:dyDescent="0.25">
      <c r="A2404" s="11" t="s">
        <v>1102</v>
      </c>
      <c r="B2404" s="11" t="s">
        <v>1103</v>
      </c>
      <c r="C2404" s="1604">
        <v>7</v>
      </c>
      <c r="D2404" s="1604">
        <v>4019.6887740305301</v>
      </c>
      <c r="E2404" s="1605">
        <v>2722.2320999476101</v>
      </c>
      <c r="F2404" s="1606">
        <v>1.06497365051393E-2</v>
      </c>
      <c r="G2404" s="1607">
        <v>7.2109945752461199E-3</v>
      </c>
    </row>
    <row r="2405" spans="1:7" x14ac:dyDescent="0.25">
      <c r="A2405" s="6" t="s">
        <v>6417</v>
      </c>
      <c r="B2405" s="6" t="s">
        <v>6418</v>
      </c>
      <c r="C2405" s="1600">
        <v>2381</v>
      </c>
      <c r="D2405" s="1600">
        <v>1400327.5885165301</v>
      </c>
      <c r="E2405" s="1601">
        <v>62044.680154572699</v>
      </c>
      <c r="F2405" s="1602">
        <v>3.57730003628203</v>
      </c>
      <c r="G2405" s="1603">
        <v>0.15850036690572999</v>
      </c>
    </row>
    <row r="2406" spans="1:7" x14ac:dyDescent="0.25">
      <c r="A2406" s="11" t="s">
        <v>6417</v>
      </c>
      <c r="B2406" s="11" t="s">
        <v>6419</v>
      </c>
      <c r="C2406" s="1604">
        <v>55819</v>
      </c>
      <c r="D2406" s="1604">
        <v>39144817.999999702</v>
      </c>
      <c r="E2406" s="1605">
        <v>0</v>
      </c>
      <c r="F2406" s="1606">
        <v>100</v>
      </c>
      <c r="G2406" s="1607">
        <v>0</v>
      </c>
    </row>
    <row r="2407" spans="1:7" x14ac:dyDescent="0.25">
      <c r="A2407" s="3729" t="s">
        <v>953</v>
      </c>
      <c r="B2407" s="3730"/>
      <c r="C2407" s="3730"/>
      <c r="D2407" s="3730"/>
      <c r="E2407" s="3730"/>
      <c r="F2407" s="3730"/>
      <c r="G2407" s="3730"/>
    </row>
    <row r="2408" spans="1:7" x14ac:dyDescent="0.25">
      <c r="A2408" s="11" t="s">
        <v>1090</v>
      </c>
      <c r="B2408" s="11" t="s">
        <v>3364</v>
      </c>
      <c r="C2408" s="1612">
        <v>2090</v>
      </c>
      <c r="D2408" s="1612">
        <v>1103935.7452326701</v>
      </c>
      <c r="E2408" s="1613">
        <v>50483.503133724</v>
      </c>
      <c r="F2408" s="1614">
        <v>100</v>
      </c>
      <c r="G2408" s="1615">
        <v>0</v>
      </c>
    </row>
    <row r="2409" spans="1:7" x14ac:dyDescent="0.25">
      <c r="A2409" s="6" t="s">
        <v>1088</v>
      </c>
      <c r="B2409" s="6" t="s">
        <v>1089</v>
      </c>
      <c r="C2409" s="1608">
        <v>53722</v>
      </c>
      <c r="D2409" s="1608">
        <v>38036862.5659931</v>
      </c>
      <c r="E2409" s="1609">
        <v>49425.9419761967</v>
      </c>
      <c r="F2409" s="1610">
        <v>99.989433239883596</v>
      </c>
      <c r="G2409" s="1611">
        <v>7.1514461509365303E-3</v>
      </c>
    </row>
    <row r="2410" spans="1:7" x14ac:dyDescent="0.25">
      <c r="A2410" s="11" t="s">
        <v>1102</v>
      </c>
      <c r="B2410" s="11" t="s">
        <v>1103</v>
      </c>
      <c r="C2410" s="1612">
        <v>7</v>
      </c>
      <c r="D2410" s="1612">
        <v>4019.6887740305301</v>
      </c>
      <c r="E2410" s="1613">
        <v>2722.2320999476101</v>
      </c>
      <c r="F2410" s="1614">
        <v>1.0566760116418701E-2</v>
      </c>
      <c r="G2410" s="1615">
        <v>7.1514461509341303E-3</v>
      </c>
    </row>
    <row r="2411" spans="1:7" x14ac:dyDescent="0.25">
      <c r="A2411" s="6" t="s">
        <v>6417</v>
      </c>
      <c r="B2411" s="6" t="s">
        <v>6418</v>
      </c>
      <c r="C2411" s="1608">
        <v>2090</v>
      </c>
      <c r="D2411" s="1608">
        <v>1103935.7452326701</v>
      </c>
      <c r="E2411" s="1609">
        <v>50483.503133724</v>
      </c>
      <c r="F2411" s="1610">
        <v>2.82013252745912</v>
      </c>
      <c r="G2411" s="1611">
        <v>0.128965992724068</v>
      </c>
    </row>
    <row r="2412" spans="1:7" x14ac:dyDescent="0.25">
      <c r="A2412" s="11" t="s">
        <v>6417</v>
      </c>
      <c r="B2412" s="11" t="s">
        <v>6419</v>
      </c>
      <c r="C2412" s="1612">
        <v>55819</v>
      </c>
      <c r="D2412" s="1612">
        <v>39144817.999999799</v>
      </c>
      <c r="E2412" s="1613">
        <v>0</v>
      </c>
      <c r="F2412" s="1614">
        <v>100</v>
      </c>
      <c r="G2412" s="1615">
        <v>0</v>
      </c>
    </row>
    <row r="2413" spans="1:7" x14ac:dyDescent="0.25">
      <c r="A2413" s="3729" t="s">
        <v>1064</v>
      </c>
      <c r="B2413" s="3730"/>
      <c r="C2413" s="3730"/>
      <c r="D2413" s="3730"/>
      <c r="E2413" s="3730"/>
      <c r="F2413" s="3730"/>
      <c r="G2413" s="3730"/>
    </row>
    <row r="2414" spans="1:7" x14ac:dyDescent="0.25">
      <c r="A2414" s="11" t="s">
        <v>1092</v>
      </c>
      <c r="B2414" s="11" t="s">
        <v>3365</v>
      </c>
      <c r="C2414" s="1620">
        <v>1394</v>
      </c>
      <c r="D2414" s="1620">
        <v>723129.55499252002</v>
      </c>
      <c r="E2414" s="1621">
        <v>56567.010688836999</v>
      </c>
      <c r="F2414" s="1622">
        <v>100</v>
      </c>
      <c r="G2414" s="1623">
        <v>0</v>
      </c>
    </row>
    <row r="2415" spans="1:7" x14ac:dyDescent="0.25">
      <c r="A2415" s="6" t="s">
        <v>1088</v>
      </c>
      <c r="B2415" s="6" t="s">
        <v>1089</v>
      </c>
      <c r="C2415" s="1616">
        <v>54418</v>
      </c>
      <c r="D2415" s="1616">
        <v>38417668.7562332</v>
      </c>
      <c r="E2415" s="1617">
        <v>55958.1475182785</v>
      </c>
      <c r="F2415" s="1618">
        <v>99.989537969473204</v>
      </c>
      <c r="G2415" s="1619">
        <v>7.0832637901276302E-3</v>
      </c>
    </row>
    <row r="2416" spans="1:7" x14ac:dyDescent="0.25">
      <c r="A2416" s="11" t="s">
        <v>1102</v>
      </c>
      <c r="B2416" s="11" t="s">
        <v>1103</v>
      </c>
      <c r="C2416" s="1620">
        <v>7</v>
      </c>
      <c r="D2416" s="1620">
        <v>4019.6887740305301</v>
      </c>
      <c r="E2416" s="1621">
        <v>2722.2320999476101</v>
      </c>
      <c r="F2416" s="1622">
        <v>1.0462030526804901E-2</v>
      </c>
      <c r="G2416" s="1623">
        <v>7.0832637901264497E-3</v>
      </c>
    </row>
    <row r="2417" spans="1:7" x14ac:dyDescent="0.25">
      <c r="A2417" s="6" t="s">
        <v>6417</v>
      </c>
      <c r="B2417" s="6" t="s">
        <v>6418</v>
      </c>
      <c r="C2417" s="1616">
        <v>1394</v>
      </c>
      <c r="D2417" s="1616">
        <v>723129.55499252002</v>
      </c>
      <c r="E2417" s="1617">
        <v>56567.010688836999</v>
      </c>
      <c r="F2417" s="1618">
        <v>1.8473187306491601</v>
      </c>
      <c r="G2417" s="1619">
        <v>0.14450702182046099</v>
      </c>
    </row>
    <row r="2418" spans="1:7" x14ac:dyDescent="0.25">
      <c r="A2418" s="11" t="s">
        <v>6417</v>
      </c>
      <c r="B2418" s="11" t="s">
        <v>6419</v>
      </c>
      <c r="C2418" s="1620">
        <v>55819</v>
      </c>
      <c r="D2418" s="1620">
        <v>39144817.999999702</v>
      </c>
      <c r="E2418" s="1621">
        <v>0</v>
      </c>
      <c r="F2418" s="1622">
        <v>100</v>
      </c>
      <c r="G2418" s="1623">
        <v>0</v>
      </c>
    </row>
    <row r="2419" spans="1:7" x14ac:dyDescent="0.25">
      <c r="A2419" s="3729" t="s">
        <v>1062</v>
      </c>
      <c r="B2419" s="3730"/>
      <c r="C2419" s="3730"/>
      <c r="D2419" s="3730"/>
      <c r="E2419" s="3730"/>
      <c r="F2419" s="3730"/>
      <c r="G2419" s="3730"/>
    </row>
    <row r="2420" spans="1:7" x14ac:dyDescent="0.25">
      <c r="A2420" s="11" t="s">
        <v>1094</v>
      </c>
      <c r="B2420" s="11" t="s">
        <v>3366</v>
      </c>
      <c r="C2420" s="1628">
        <v>42</v>
      </c>
      <c r="D2420" s="1628">
        <v>32385.637356774601</v>
      </c>
      <c r="E2420" s="1629">
        <v>9365.3766833587706</v>
      </c>
      <c r="F2420" s="1630">
        <v>100</v>
      </c>
      <c r="G2420" s="1631">
        <v>0</v>
      </c>
    </row>
    <row r="2421" spans="1:7" x14ac:dyDescent="0.25">
      <c r="A2421" s="6" t="s">
        <v>1088</v>
      </c>
      <c r="B2421" s="6" t="s">
        <v>1089</v>
      </c>
      <c r="C2421" s="1624">
        <v>55770</v>
      </c>
      <c r="D2421" s="1624">
        <v>39108412.673868999</v>
      </c>
      <c r="E2421" s="1625">
        <v>8805.4390405663999</v>
      </c>
      <c r="F2421" s="1626">
        <v>99.989722733843905</v>
      </c>
      <c r="G2421" s="1627">
        <v>6.9595855996677797E-3</v>
      </c>
    </row>
    <row r="2422" spans="1:7" x14ac:dyDescent="0.25">
      <c r="A2422" s="11" t="s">
        <v>1102</v>
      </c>
      <c r="B2422" s="11" t="s">
        <v>1103</v>
      </c>
      <c r="C2422" s="1628">
        <v>7</v>
      </c>
      <c r="D2422" s="1628">
        <v>4019.6887740305301</v>
      </c>
      <c r="E2422" s="1629">
        <v>2722.2320999476101</v>
      </c>
      <c r="F2422" s="1630">
        <v>1.0277266156092601E-2</v>
      </c>
      <c r="G2422" s="1631">
        <v>6.9595855996652202E-3</v>
      </c>
    </row>
    <row r="2423" spans="1:7" x14ac:dyDescent="0.25">
      <c r="A2423" s="6" t="s">
        <v>6417</v>
      </c>
      <c r="B2423" s="6" t="s">
        <v>6418</v>
      </c>
      <c r="C2423" s="1624">
        <v>42</v>
      </c>
      <c r="D2423" s="1624">
        <v>32385.637356774601</v>
      </c>
      <c r="E2423" s="1625">
        <v>9365.3766833587706</v>
      </c>
      <c r="F2423" s="1626">
        <v>8.2732885248756993E-2</v>
      </c>
      <c r="G2423" s="1627">
        <v>2.3924946293935E-2</v>
      </c>
    </row>
    <row r="2424" spans="1:7" x14ac:dyDescent="0.25">
      <c r="A2424" s="11" t="s">
        <v>6417</v>
      </c>
      <c r="B2424" s="11" t="s">
        <v>6419</v>
      </c>
      <c r="C2424" s="1628">
        <v>55819</v>
      </c>
      <c r="D2424" s="1628">
        <v>39144817.999999799</v>
      </c>
      <c r="E2424" s="1629">
        <v>0</v>
      </c>
      <c r="F2424" s="1630">
        <v>100</v>
      </c>
      <c r="G2424" s="1631">
        <v>0</v>
      </c>
    </row>
    <row r="2425" spans="1:7" x14ac:dyDescent="0.25">
      <c r="A2425" s="3729" t="s">
        <v>959</v>
      </c>
      <c r="B2425" s="3730"/>
      <c r="C2425" s="3730"/>
      <c r="D2425" s="3730"/>
      <c r="E2425" s="3730"/>
      <c r="F2425" s="3730"/>
      <c r="G2425" s="3730"/>
    </row>
    <row r="2426" spans="1:7" x14ac:dyDescent="0.25">
      <c r="A2426" s="11" t="s">
        <v>1096</v>
      </c>
      <c r="B2426" s="11" t="s">
        <v>3367</v>
      </c>
      <c r="C2426" s="1636">
        <v>53</v>
      </c>
      <c r="D2426" s="1636">
        <v>27906.670287990899</v>
      </c>
      <c r="E2426" s="1637">
        <v>9718.4566924673509</v>
      </c>
      <c r="F2426" s="1638">
        <v>100</v>
      </c>
      <c r="G2426" s="1639">
        <v>0</v>
      </c>
    </row>
    <row r="2427" spans="1:7" x14ac:dyDescent="0.25">
      <c r="A2427" s="6" t="s">
        <v>1088</v>
      </c>
      <c r="B2427" s="6" t="s">
        <v>1089</v>
      </c>
      <c r="C2427" s="1632">
        <v>55759</v>
      </c>
      <c r="D2427" s="1632">
        <v>39112891.640937798</v>
      </c>
      <c r="E2427" s="1633">
        <v>11840.117234015601</v>
      </c>
      <c r="F2427" s="1634">
        <v>99.989723910612099</v>
      </c>
      <c r="G2427" s="1635">
        <v>6.9600675820902496E-3</v>
      </c>
    </row>
    <row r="2428" spans="1:7" x14ac:dyDescent="0.25">
      <c r="A2428" s="11" t="s">
        <v>1102</v>
      </c>
      <c r="B2428" s="11" t="s">
        <v>1103</v>
      </c>
      <c r="C2428" s="1636">
        <v>7</v>
      </c>
      <c r="D2428" s="1636">
        <v>4019.6887740305301</v>
      </c>
      <c r="E2428" s="1637">
        <v>2722.2320999476101</v>
      </c>
      <c r="F2428" s="1638">
        <v>1.0276089387909601E-2</v>
      </c>
      <c r="G2428" s="1639">
        <v>6.9600675820843403E-3</v>
      </c>
    </row>
    <row r="2429" spans="1:7" x14ac:dyDescent="0.25">
      <c r="A2429" s="6" t="s">
        <v>6417</v>
      </c>
      <c r="B2429" s="6" t="s">
        <v>6418</v>
      </c>
      <c r="C2429" s="1632">
        <v>53</v>
      </c>
      <c r="D2429" s="1632">
        <v>27906.670287990899</v>
      </c>
      <c r="E2429" s="1633">
        <v>9718.4566924673509</v>
      </c>
      <c r="F2429" s="1634">
        <v>7.1290841837586397E-2</v>
      </c>
      <c r="G2429" s="1635">
        <v>2.4826930329494502E-2</v>
      </c>
    </row>
    <row r="2430" spans="1:7" x14ac:dyDescent="0.25">
      <c r="A2430" s="11" t="s">
        <v>6417</v>
      </c>
      <c r="B2430" s="11" t="s">
        <v>6419</v>
      </c>
      <c r="C2430" s="1636">
        <v>55819</v>
      </c>
      <c r="D2430" s="1636">
        <v>39144817.999999799</v>
      </c>
      <c r="E2430" s="1637">
        <v>0</v>
      </c>
      <c r="F2430" s="1638">
        <v>100</v>
      </c>
      <c r="G2430" s="1639">
        <v>0</v>
      </c>
    </row>
    <row r="2431" spans="1:7" x14ac:dyDescent="0.25">
      <c r="A2431" s="3729" t="s">
        <v>957</v>
      </c>
      <c r="B2431" s="3730"/>
      <c r="C2431" s="3730"/>
      <c r="D2431" s="3730"/>
      <c r="E2431" s="3730"/>
      <c r="F2431" s="3730"/>
      <c r="G2431" s="3730"/>
    </row>
    <row r="2432" spans="1:7" x14ac:dyDescent="0.25">
      <c r="A2432" s="11" t="s">
        <v>1098</v>
      </c>
      <c r="B2432" s="11" t="s">
        <v>3368</v>
      </c>
      <c r="C2432" s="1644">
        <v>129</v>
      </c>
      <c r="D2432" s="1644">
        <v>67426.162562135607</v>
      </c>
      <c r="E2432" s="1645">
        <v>8786.02981755785</v>
      </c>
      <c r="F2432" s="1646">
        <v>100</v>
      </c>
      <c r="G2432" s="1647">
        <v>0</v>
      </c>
    </row>
    <row r="2433" spans="1:7" x14ac:dyDescent="0.25">
      <c r="A2433" s="6" t="s">
        <v>1088</v>
      </c>
      <c r="B2433" s="6" t="s">
        <v>1089</v>
      </c>
      <c r="C2433" s="1640">
        <v>55683</v>
      </c>
      <c r="D2433" s="1640">
        <v>39073372.148663603</v>
      </c>
      <c r="E2433" s="1641">
        <v>8063.89528795565</v>
      </c>
      <c r="F2433" s="1642">
        <v>99.989713518264594</v>
      </c>
      <c r="G2433" s="1643">
        <v>6.9657438760203803E-3</v>
      </c>
    </row>
    <row r="2434" spans="1:7" x14ac:dyDescent="0.25">
      <c r="A2434" s="11" t="s">
        <v>1102</v>
      </c>
      <c r="B2434" s="11" t="s">
        <v>1103</v>
      </c>
      <c r="C2434" s="1644">
        <v>7</v>
      </c>
      <c r="D2434" s="1644">
        <v>4019.6887740305301</v>
      </c>
      <c r="E2434" s="1645">
        <v>2722.2320999476101</v>
      </c>
      <c r="F2434" s="1646">
        <v>1.02864817354046E-2</v>
      </c>
      <c r="G2434" s="1647">
        <v>6.9657438760214498E-3</v>
      </c>
    </row>
    <row r="2435" spans="1:7" x14ac:dyDescent="0.25">
      <c r="A2435" s="6" t="s">
        <v>6417</v>
      </c>
      <c r="B2435" s="6" t="s">
        <v>6418</v>
      </c>
      <c r="C2435" s="1640">
        <v>129</v>
      </c>
      <c r="D2435" s="1640">
        <v>67426.162562135607</v>
      </c>
      <c r="E2435" s="1641">
        <v>8786.02981755785</v>
      </c>
      <c r="F2435" s="1642">
        <v>0.17224799094004201</v>
      </c>
      <c r="G2435" s="1643">
        <v>2.24449372010295E-2</v>
      </c>
    </row>
    <row r="2436" spans="1:7" x14ac:dyDescent="0.25">
      <c r="A2436" s="11" t="s">
        <v>6417</v>
      </c>
      <c r="B2436" s="11" t="s">
        <v>6419</v>
      </c>
      <c r="C2436" s="1644">
        <v>55819</v>
      </c>
      <c r="D2436" s="1644">
        <v>39144817.999999799</v>
      </c>
      <c r="E2436" s="1645">
        <v>0</v>
      </c>
      <c r="F2436" s="1646">
        <v>100</v>
      </c>
      <c r="G2436" s="1647">
        <v>0</v>
      </c>
    </row>
    <row r="2437" spans="1:7" x14ac:dyDescent="0.25">
      <c r="A2437" s="3729" t="s">
        <v>1060</v>
      </c>
      <c r="B2437" s="3730"/>
      <c r="C2437" s="3730"/>
      <c r="D2437" s="3730"/>
      <c r="E2437" s="3730"/>
      <c r="F2437" s="3730"/>
      <c r="G2437" s="3730"/>
    </row>
    <row r="2438" spans="1:7" x14ac:dyDescent="0.25">
      <c r="A2438" s="11" t="s">
        <v>1100</v>
      </c>
      <c r="B2438" s="11" t="s">
        <v>3369</v>
      </c>
      <c r="C2438" s="1652">
        <v>285</v>
      </c>
      <c r="D2438" s="1652">
        <v>114950.62859843099</v>
      </c>
      <c r="E2438" s="1653">
        <v>13973.193640474899</v>
      </c>
      <c r="F2438" s="1654">
        <v>100</v>
      </c>
      <c r="G2438" s="1655">
        <v>0</v>
      </c>
    </row>
    <row r="2439" spans="1:7" x14ac:dyDescent="0.25">
      <c r="A2439" s="6" t="s">
        <v>1088</v>
      </c>
      <c r="B2439" s="6" t="s">
        <v>1089</v>
      </c>
      <c r="C2439" s="1648">
        <v>55527</v>
      </c>
      <c r="D2439" s="1648">
        <v>39025847.682627402</v>
      </c>
      <c r="E2439" s="1649">
        <v>12694.0503593349</v>
      </c>
      <c r="F2439" s="1650">
        <v>99.989700992996504</v>
      </c>
      <c r="G2439" s="1651">
        <v>6.9736441960296198E-3</v>
      </c>
    </row>
    <row r="2440" spans="1:7" x14ac:dyDescent="0.25">
      <c r="A2440" s="11" t="s">
        <v>1102</v>
      </c>
      <c r="B2440" s="11" t="s">
        <v>1103</v>
      </c>
      <c r="C2440" s="1652">
        <v>7</v>
      </c>
      <c r="D2440" s="1652">
        <v>4019.6887740305301</v>
      </c>
      <c r="E2440" s="1653">
        <v>2722.2320999476101</v>
      </c>
      <c r="F2440" s="1654">
        <v>1.0299007003482401E-2</v>
      </c>
      <c r="G2440" s="1655">
        <v>6.9736441960243497E-3</v>
      </c>
    </row>
    <row r="2441" spans="1:7" x14ac:dyDescent="0.25">
      <c r="A2441" s="6" t="s">
        <v>6417</v>
      </c>
      <c r="B2441" s="6" t="s">
        <v>6418</v>
      </c>
      <c r="C2441" s="1648">
        <v>285</v>
      </c>
      <c r="D2441" s="1648">
        <v>114950.62859843099</v>
      </c>
      <c r="E2441" s="1649">
        <v>13973.193640474899</v>
      </c>
      <c r="F2441" s="1650">
        <v>0.293654778516102</v>
      </c>
      <c r="G2441" s="1651">
        <v>3.5696151762605099E-2</v>
      </c>
    </row>
    <row r="2442" spans="1:7" x14ac:dyDescent="0.25">
      <c r="A2442" s="11" t="s">
        <v>6417</v>
      </c>
      <c r="B2442" s="11" t="s">
        <v>6419</v>
      </c>
      <c r="C2442" s="1652">
        <v>55819</v>
      </c>
      <c r="D2442" s="1652">
        <v>39144817.999999799</v>
      </c>
      <c r="E2442" s="1653">
        <v>0</v>
      </c>
      <c r="F2442" s="1654">
        <v>100</v>
      </c>
      <c r="G2442" s="1655">
        <v>0</v>
      </c>
    </row>
    <row r="2443" spans="1:7" x14ac:dyDescent="0.25">
      <c r="A2443" s="3729" t="s">
        <v>955</v>
      </c>
      <c r="B2443" s="3730"/>
      <c r="C2443" s="3730"/>
      <c r="D2443" s="3730"/>
      <c r="E2443" s="3730"/>
      <c r="F2443" s="3730"/>
      <c r="G2443" s="3730"/>
    </row>
    <row r="2444" spans="1:7" x14ac:dyDescent="0.25">
      <c r="A2444" s="11" t="s">
        <v>1109</v>
      </c>
      <c r="B2444" s="11" t="s">
        <v>3370</v>
      </c>
      <c r="C2444" s="1660">
        <v>592</v>
      </c>
      <c r="D2444" s="1660">
        <v>327977.61960704101</v>
      </c>
      <c r="E2444" s="1661">
        <v>31651.1485940889</v>
      </c>
      <c r="F2444" s="1662">
        <v>100</v>
      </c>
      <c r="G2444" s="1663">
        <v>0</v>
      </c>
    </row>
    <row r="2445" spans="1:7" x14ac:dyDescent="0.25">
      <c r="A2445" s="6" t="s">
        <v>1088</v>
      </c>
      <c r="B2445" s="6" t="s">
        <v>1089</v>
      </c>
      <c r="C2445" s="1656">
        <v>55220</v>
      </c>
      <c r="D2445" s="1656">
        <v>38812820.691618703</v>
      </c>
      <c r="E2445" s="1657">
        <v>31408.041082241401</v>
      </c>
      <c r="F2445" s="1658">
        <v>99.989644472000705</v>
      </c>
      <c r="G2445" s="1659">
        <v>7.01231940357215E-3</v>
      </c>
    </row>
    <row r="2446" spans="1:7" x14ac:dyDescent="0.25">
      <c r="A2446" s="11" t="s">
        <v>1102</v>
      </c>
      <c r="B2446" s="11" t="s">
        <v>1103</v>
      </c>
      <c r="C2446" s="1660">
        <v>7</v>
      </c>
      <c r="D2446" s="1660">
        <v>4019.6887740305301</v>
      </c>
      <c r="E2446" s="1661">
        <v>2722.2320999476101</v>
      </c>
      <c r="F2446" s="1662">
        <v>1.03555279992881E-2</v>
      </c>
      <c r="G2446" s="1663">
        <v>7.0123194035656101E-3</v>
      </c>
    </row>
    <row r="2447" spans="1:7" x14ac:dyDescent="0.25">
      <c r="A2447" s="6" t="s">
        <v>6417</v>
      </c>
      <c r="B2447" s="6" t="s">
        <v>6418</v>
      </c>
      <c r="C2447" s="1656">
        <v>592</v>
      </c>
      <c r="D2447" s="1656">
        <v>327977.61960704101</v>
      </c>
      <c r="E2447" s="1657">
        <v>31651.1485940889</v>
      </c>
      <c r="F2447" s="1658">
        <v>0.83785705583569903</v>
      </c>
      <c r="G2447" s="1659">
        <v>8.0856548098122094E-2</v>
      </c>
    </row>
    <row r="2448" spans="1:7" x14ac:dyDescent="0.25">
      <c r="A2448" s="11" t="s">
        <v>6417</v>
      </c>
      <c r="B2448" s="11" t="s">
        <v>6419</v>
      </c>
      <c r="C2448" s="1660">
        <v>55819</v>
      </c>
      <c r="D2448" s="1660">
        <v>39144817.999999799</v>
      </c>
      <c r="E2448" s="1661">
        <v>0</v>
      </c>
      <c r="F2448" s="1662">
        <v>100</v>
      </c>
      <c r="G2448" s="1663">
        <v>0</v>
      </c>
    </row>
    <row r="2449" spans="1:7" x14ac:dyDescent="0.25">
      <c r="A2449" s="3729" t="s">
        <v>1032</v>
      </c>
      <c r="B2449" s="3730"/>
      <c r="C2449" s="3730"/>
      <c r="D2449" s="3730"/>
      <c r="E2449" s="3730"/>
      <c r="F2449" s="3730"/>
      <c r="G2449" s="3730"/>
    </row>
    <row r="2450" spans="1:7" x14ac:dyDescent="0.25">
      <c r="A2450" s="11" t="s">
        <v>1119</v>
      </c>
      <c r="B2450" s="11" t="s">
        <v>3371</v>
      </c>
      <c r="C2450" s="1668">
        <v>182</v>
      </c>
      <c r="D2450" s="1668">
        <v>83272.676057303703</v>
      </c>
      <c r="E2450" s="1669">
        <v>15832.8530884836</v>
      </c>
      <c r="F2450" s="1670">
        <v>100</v>
      </c>
      <c r="G2450" s="1671">
        <v>0</v>
      </c>
    </row>
    <row r="2451" spans="1:7" x14ac:dyDescent="0.25">
      <c r="A2451" s="6" t="s">
        <v>1088</v>
      </c>
      <c r="B2451" s="6" t="s">
        <v>1089</v>
      </c>
      <c r="C2451" s="1664">
        <v>55630</v>
      </c>
      <c r="D2451" s="1664">
        <v>39057525.6351685</v>
      </c>
      <c r="E2451" s="1665">
        <v>15612.4840869502</v>
      </c>
      <c r="F2451" s="1666">
        <v>99.989709345237898</v>
      </c>
      <c r="G2451" s="1667">
        <v>6.9690575611425403E-3</v>
      </c>
    </row>
    <row r="2452" spans="1:7" x14ac:dyDescent="0.25">
      <c r="A2452" s="11" t="s">
        <v>1102</v>
      </c>
      <c r="B2452" s="11" t="s">
        <v>1103</v>
      </c>
      <c r="C2452" s="1668">
        <v>7</v>
      </c>
      <c r="D2452" s="1668">
        <v>4019.6887740305301</v>
      </c>
      <c r="E2452" s="1669">
        <v>2722.2320999476101</v>
      </c>
      <c r="F2452" s="1670">
        <v>1.02906547621061E-2</v>
      </c>
      <c r="G2452" s="1671">
        <v>6.9690575611336203E-3</v>
      </c>
    </row>
    <row r="2453" spans="1:7" x14ac:dyDescent="0.25">
      <c r="A2453" s="6" t="s">
        <v>6417</v>
      </c>
      <c r="B2453" s="6" t="s">
        <v>6418</v>
      </c>
      <c r="C2453" s="1664">
        <v>182</v>
      </c>
      <c r="D2453" s="1664">
        <v>83272.676057303703</v>
      </c>
      <c r="E2453" s="1665">
        <v>15832.8530884836</v>
      </c>
      <c r="F2453" s="1666">
        <v>0.21272975661121801</v>
      </c>
      <c r="G2453" s="1667">
        <v>4.0446868570147301E-2</v>
      </c>
    </row>
    <row r="2454" spans="1:7" x14ac:dyDescent="0.25">
      <c r="A2454" s="11" t="s">
        <v>6417</v>
      </c>
      <c r="B2454" s="11" t="s">
        <v>6419</v>
      </c>
      <c r="C2454" s="1668">
        <v>55819</v>
      </c>
      <c r="D2454" s="1668">
        <v>39144817.999999799</v>
      </c>
      <c r="E2454" s="1669">
        <v>0</v>
      </c>
      <c r="F2454" s="1670">
        <v>100</v>
      </c>
      <c r="G2454" s="1671">
        <v>0</v>
      </c>
    </row>
    <row r="2455" spans="1:7" x14ac:dyDescent="0.25">
      <c r="A2455" s="3729" t="s">
        <v>413</v>
      </c>
      <c r="B2455" s="3730"/>
      <c r="C2455" s="3730"/>
      <c r="D2455" s="3730"/>
      <c r="E2455" s="3730"/>
      <c r="F2455" s="3730"/>
      <c r="G2455" s="3730"/>
    </row>
    <row r="2456" spans="1:7" x14ac:dyDescent="0.25">
      <c r="A2456" s="11" t="s">
        <v>1111</v>
      </c>
      <c r="B2456" s="11" t="s">
        <v>1143</v>
      </c>
      <c r="C2456" s="1676">
        <v>224</v>
      </c>
      <c r="D2456" s="1676">
        <v>144652.42708725401</v>
      </c>
      <c r="E2456" s="1677">
        <v>27587.049779324199</v>
      </c>
      <c r="F2456" s="1678">
        <v>100</v>
      </c>
      <c r="G2456" s="1679">
        <v>0</v>
      </c>
    </row>
    <row r="2457" spans="1:7" x14ac:dyDescent="0.25">
      <c r="A2457" s="6" t="s">
        <v>1088</v>
      </c>
      <c r="B2457" s="6" t="s">
        <v>1089</v>
      </c>
      <c r="C2457" s="1672">
        <v>55588</v>
      </c>
      <c r="D2457" s="1672">
        <v>38996145.884138502</v>
      </c>
      <c r="E2457" s="1673">
        <v>26683.320457852202</v>
      </c>
      <c r="F2457" s="1674">
        <v>99.989693149464898</v>
      </c>
      <c r="G2457" s="1675">
        <v>6.9780192039186097E-3</v>
      </c>
    </row>
    <row r="2458" spans="1:7" x14ac:dyDescent="0.25">
      <c r="A2458" s="11" t="s">
        <v>1102</v>
      </c>
      <c r="B2458" s="11" t="s">
        <v>1103</v>
      </c>
      <c r="C2458" s="1676">
        <v>7</v>
      </c>
      <c r="D2458" s="1676">
        <v>4019.6887740305301</v>
      </c>
      <c r="E2458" s="1677">
        <v>2722.2320999476101</v>
      </c>
      <c r="F2458" s="1678">
        <v>1.0306850535071599E-2</v>
      </c>
      <c r="G2458" s="1679">
        <v>6.9780192039178299E-3</v>
      </c>
    </row>
    <row r="2459" spans="1:7" x14ac:dyDescent="0.25">
      <c r="A2459" s="6" t="s">
        <v>6417</v>
      </c>
      <c r="B2459" s="6" t="s">
        <v>6418</v>
      </c>
      <c r="C2459" s="1672">
        <v>224</v>
      </c>
      <c r="D2459" s="1672">
        <v>144652.42708725401</v>
      </c>
      <c r="E2459" s="1673">
        <v>27587.049779324199</v>
      </c>
      <c r="F2459" s="1674">
        <v>0.36953148456905499</v>
      </c>
      <c r="G2459" s="1675">
        <v>7.0474333995691904E-2</v>
      </c>
    </row>
    <row r="2460" spans="1:7" x14ac:dyDescent="0.25">
      <c r="A2460" s="11" t="s">
        <v>6417</v>
      </c>
      <c r="B2460" s="11" t="s">
        <v>6419</v>
      </c>
      <c r="C2460" s="1676">
        <v>55819</v>
      </c>
      <c r="D2460" s="1676">
        <v>39144817.999999799</v>
      </c>
      <c r="E2460" s="1677">
        <v>0</v>
      </c>
      <c r="F2460" s="1678">
        <v>100</v>
      </c>
      <c r="G2460" s="1679">
        <v>0</v>
      </c>
    </row>
    <row r="2461" spans="1:7" x14ac:dyDescent="0.25">
      <c r="A2461" s="3729" t="s">
        <v>416</v>
      </c>
      <c r="B2461" s="3730"/>
      <c r="C2461" s="3730"/>
      <c r="D2461" s="3730"/>
      <c r="E2461" s="3730"/>
      <c r="F2461" s="3730"/>
      <c r="G2461" s="3730"/>
    </row>
    <row r="2462" spans="1:7" x14ac:dyDescent="0.25">
      <c r="A2462" s="11" t="s">
        <v>6640</v>
      </c>
      <c r="B2462" s="11"/>
      <c r="C2462" s="1684">
        <v>65</v>
      </c>
      <c r="D2462" s="1684">
        <v>45677.402949442003</v>
      </c>
      <c r="E2462" s="1685">
        <v>13370.165934729899</v>
      </c>
      <c r="F2462" s="1686">
        <v>53.126769848251897</v>
      </c>
      <c r="G2462" s="1687">
        <v>9.5329885278879196</v>
      </c>
    </row>
    <row r="2463" spans="1:7" x14ac:dyDescent="0.25">
      <c r="A2463" s="6" t="s">
        <v>6641</v>
      </c>
      <c r="B2463" s="6"/>
      <c r="C2463" s="1680">
        <v>40</v>
      </c>
      <c r="D2463" s="1680">
        <v>18605.609644897399</v>
      </c>
      <c r="E2463" s="1681">
        <v>5747.7091239296296</v>
      </c>
      <c r="F2463" s="1682">
        <v>21.6399330449008</v>
      </c>
      <c r="G2463" s="1683">
        <v>7.0088427202950996</v>
      </c>
    </row>
    <row r="2464" spans="1:7" x14ac:dyDescent="0.25">
      <c r="A2464" s="11" t="s">
        <v>6642</v>
      </c>
      <c r="B2464" s="11"/>
      <c r="C2464" s="1684">
        <v>13</v>
      </c>
      <c r="D2464" s="1684">
        <v>9029.1259539477196</v>
      </c>
      <c r="E2464" s="1685">
        <v>5528.8234456254304</v>
      </c>
      <c r="F2464" s="1686">
        <v>10.5016543304181</v>
      </c>
      <c r="G2464" s="1687">
        <v>5.9537484207115501</v>
      </c>
    </row>
    <row r="2465" spans="1:7" x14ac:dyDescent="0.25">
      <c r="A2465" s="6" t="s">
        <v>6643</v>
      </c>
      <c r="B2465" s="6"/>
      <c r="C2465" s="1680">
        <v>11</v>
      </c>
      <c r="D2465" s="1680">
        <v>7900.1060313890302</v>
      </c>
      <c r="E2465" s="1681">
        <v>4212.4872509987599</v>
      </c>
      <c r="F2465" s="1682">
        <v>9.1885065219435607</v>
      </c>
      <c r="G2465" s="1683">
        <v>4.15740243144639</v>
      </c>
    </row>
    <row r="2466" spans="1:7" x14ac:dyDescent="0.25">
      <c r="A2466" s="11" t="s">
        <v>6644</v>
      </c>
      <c r="B2466" s="11"/>
      <c r="C2466" s="1684">
        <v>5</v>
      </c>
      <c r="D2466" s="1684">
        <v>4765.8848641280902</v>
      </c>
      <c r="E2466" s="1685">
        <v>2629.34394905812</v>
      </c>
      <c r="F2466" s="1686">
        <v>5.5431362544856304</v>
      </c>
      <c r="G2466" s="1687">
        <v>3.7354638445761701</v>
      </c>
    </row>
    <row r="2467" spans="1:7" x14ac:dyDescent="0.25">
      <c r="A2467" s="6" t="s">
        <v>1088</v>
      </c>
      <c r="B2467" s="6" t="s">
        <v>1089</v>
      </c>
      <c r="C2467" s="1680">
        <v>55595</v>
      </c>
      <c r="D2467" s="1680">
        <v>39000165.572912604</v>
      </c>
      <c r="E2467" s="1681">
        <v>27587.0497797645</v>
      </c>
      <c r="F2467" s="1682">
        <v>99.849779722495796</v>
      </c>
      <c r="G2467" s="1683">
        <v>3.01551329822249E-2</v>
      </c>
    </row>
    <row r="2468" spans="1:7" x14ac:dyDescent="0.25">
      <c r="A2468" s="11" t="s">
        <v>1102</v>
      </c>
      <c r="B2468" s="11"/>
      <c r="C2468" s="1684">
        <v>89</v>
      </c>
      <c r="D2468" s="1684">
        <v>58674.297643449499</v>
      </c>
      <c r="E2468" s="1685">
        <v>11761.2837586513</v>
      </c>
      <c r="F2468" s="1686">
        <v>0.15022027750414699</v>
      </c>
      <c r="G2468" s="1687">
        <v>3.01551329822181E-2</v>
      </c>
    </row>
    <row r="2469" spans="1:7" x14ac:dyDescent="0.25">
      <c r="A2469" s="6" t="s">
        <v>6417</v>
      </c>
      <c r="B2469" s="6" t="s">
        <v>6418</v>
      </c>
      <c r="C2469" s="1680">
        <v>134</v>
      </c>
      <c r="D2469" s="1680">
        <v>85978.129443804195</v>
      </c>
      <c r="E2469" s="1681">
        <v>18874.583385760201</v>
      </c>
      <c r="F2469" s="1682">
        <v>0.21964115261387801</v>
      </c>
      <c r="G2469" s="1683">
        <v>4.8217323135238403E-2</v>
      </c>
    </row>
    <row r="2470" spans="1:7" x14ac:dyDescent="0.25">
      <c r="A2470" s="11" t="s">
        <v>6417</v>
      </c>
      <c r="B2470" s="11" t="s">
        <v>6419</v>
      </c>
      <c r="C2470" s="1684">
        <v>55818</v>
      </c>
      <c r="D2470" s="1684">
        <v>39144817.999999799</v>
      </c>
      <c r="E2470" s="1685">
        <v>0</v>
      </c>
      <c r="F2470" s="1686">
        <v>100</v>
      </c>
      <c r="G2470" s="1687">
        <v>0</v>
      </c>
    </row>
    <row r="2471" spans="1:7" x14ac:dyDescent="0.25">
      <c r="A2471" s="3729" t="s">
        <v>166</v>
      </c>
      <c r="B2471" s="3730"/>
      <c r="C2471" s="3730"/>
      <c r="D2471" s="3730"/>
      <c r="E2471" s="3730"/>
      <c r="F2471" s="3730"/>
      <c r="G2471" s="3730"/>
    </row>
    <row r="2472" spans="1:7" x14ac:dyDescent="0.25">
      <c r="A2472" s="11" t="s">
        <v>1090</v>
      </c>
      <c r="B2472" s="11" t="s">
        <v>1264</v>
      </c>
      <c r="C2472" s="1692">
        <v>4651</v>
      </c>
      <c r="D2472" s="1692">
        <v>2419574.6967714098</v>
      </c>
      <c r="E2472" s="1693">
        <v>55553.426824442999</v>
      </c>
      <c r="F2472" s="1694">
        <v>100</v>
      </c>
      <c r="G2472" s="1695">
        <v>0</v>
      </c>
    </row>
    <row r="2473" spans="1:7" x14ac:dyDescent="0.25">
      <c r="A2473" s="6" t="s">
        <v>1088</v>
      </c>
      <c r="B2473" s="6" t="s">
        <v>1089</v>
      </c>
      <c r="C2473" s="1688">
        <v>51164</v>
      </c>
      <c r="D2473" s="1688">
        <v>36721736.786009699</v>
      </c>
      <c r="E2473" s="1689">
        <v>54477.073348528997</v>
      </c>
      <c r="F2473" s="1690">
        <v>99.990452024538897</v>
      </c>
      <c r="G2473" s="1691">
        <v>9.6343320880030794E-3</v>
      </c>
    </row>
    <row r="2474" spans="1:7" x14ac:dyDescent="0.25">
      <c r="A2474" s="11" t="s">
        <v>1102</v>
      </c>
      <c r="B2474" s="11" t="s">
        <v>1103</v>
      </c>
      <c r="C2474" s="1692">
        <v>4</v>
      </c>
      <c r="D2474" s="1692">
        <v>3506.5172186121799</v>
      </c>
      <c r="E2474" s="1693">
        <v>3538.4982373456401</v>
      </c>
      <c r="F2474" s="1694">
        <v>9.5479754610745798E-3</v>
      </c>
      <c r="G2474" s="1695">
        <v>9.6343320880033397E-3</v>
      </c>
    </row>
    <row r="2475" spans="1:7" x14ac:dyDescent="0.25">
      <c r="A2475" s="6" t="s">
        <v>6417</v>
      </c>
      <c r="B2475" s="6" t="s">
        <v>6418</v>
      </c>
      <c r="C2475" s="1688">
        <v>4651</v>
      </c>
      <c r="D2475" s="1688">
        <v>2419574.6967714098</v>
      </c>
      <c r="E2475" s="1689">
        <v>55553.426824442999</v>
      </c>
      <c r="F2475" s="1690">
        <v>6.18108556992504</v>
      </c>
      <c r="G2475" s="1691">
        <v>0.141917703703313</v>
      </c>
    </row>
    <row r="2476" spans="1:7" x14ac:dyDescent="0.25">
      <c r="A2476" s="11" t="s">
        <v>6417</v>
      </c>
      <c r="B2476" s="11" t="s">
        <v>6419</v>
      </c>
      <c r="C2476" s="1692">
        <v>55819</v>
      </c>
      <c r="D2476" s="1692">
        <v>39144817.999999799</v>
      </c>
      <c r="E2476" s="1693">
        <v>0</v>
      </c>
      <c r="F2476" s="1694">
        <v>100</v>
      </c>
      <c r="G2476" s="1695">
        <v>0</v>
      </c>
    </row>
    <row r="2477" spans="1:7" x14ac:dyDescent="0.25">
      <c r="A2477" s="3729" t="s">
        <v>158</v>
      </c>
      <c r="B2477" s="3730"/>
      <c r="C2477" s="3730"/>
      <c r="D2477" s="3730"/>
      <c r="E2477" s="3730"/>
      <c r="F2477" s="3730"/>
      <c r="G2477" s="3730"/>
    </row>
    <row r="2478" spans="1:7" x14ac:dyDescent="0.25">
      <c r="A2478" s="11" t="s">
        <v>1092</v>
      </c>
      <c r="B2478" s="11" t="s">
        <v>1265</v>
      </c>
      <c r="C2478" s="1700">
        <v>2649</v>
      </c>
      <c r="D2478" s="1700">
        <v>1529401.61715134</v>
      </c>
      <c r="E2478" s="1701">
        <v>70300.364657804006</v>
      </c>
      <c r="F2478" s="1702">
        <v>100</v>
      </c>
      <c r="G2478" s="1703">
        <v>0</v>
      </c>
    </row>
    <row r="2479" spans="1:7" x14ac:dyDescent="0.25">
      <c r="A2479" s="6" t="s">
        <v>1088</v>
      </c>
      <c r="B2479" s="6" t="s">
        <v>1089</v>
      </c>
      <c r="C2479" s="1696">
        <v>53166</v>
      </c>
      <c r="D2479" s="1696">
        <v>37611909.8656298</v>
      </c>
      <c r="E2479" s="1697">
        <v>70297.730139778694</v>
      </c>
      <c r="F2479" s="1698">
        <v>99.9906779784572</v>
      </c>
      <c r="G2479" s="1699">
        <v>9.4070818614367495E-3</v>
      </c>
    </row>
    <row r="2480" spans="1:7" x14ac:dyDescent="0.25">
      <c r="A2480" s="11" t="s">
        <v>1102</v>
      </c>
      <c r="B2480" s="11" t="s">
        <v>1103</v>
      </c>
      <c r="C2480" s="1700">
        <v>4</v>
      </c>
      <c r="D2480" s="1700">
        <v>3506.5172186121799</v>
      </c>
      <c r="E2480" s="1701">
        <v>3538.4982373456401</v>
      </c>
      <c r="F2480" s="1702">
        <v>9.3220215427711108E-3</v>
      </c>
      <c r="G2480" s="1703">
        <v>9.4070818614357902E-3</v>
      </c>
    </row>
    <row r="2481" spans="1:7" x14ac:dyDescent="0.25">
      <c r="A2481" s="6" t="s">
        <v>6417</v>
      </c>
      <c r="B2481" s="6" t="s">
        <v>6418</v>
      </c>
      <c r="C2481" s="1696">
        <v>2649</v>
      </c>
      <c r="D2481" s="1696">
        <v>1529401.61715134</v>
      </c>
      <c r="E2481" s="1697">
        <v>70300.364657804006</v>
      </c>
      <c r="F2481" s="1698">
        <v>3.9070346863059799</v>
      </c>
      <c r="G2481" s="1699">
        <v>0.17959047518833399</v>
      </c>
    </row>
    <row r="2482" spans="1:7" x14ac:dyDescent="0.25">
      <c r="A2482" s="11" t="s">
        <v>6417</v>
      </c>
      <c r="B2482" s="11" t="s">
        <v>6419</v>
      </c>
      <c r="C2482" s="1700">
        <v>55819</v>
      </c>
      <c r="D2482" s="1700">
        <v>39144817.999999702</v>
      </c>
      <c r="E2482" s="1701">
        <v>0</v>
      </c>
      <c r="F2482" s="1702">
        <v>100</v>
      </c>
      <c r="G2482" s="1703">
        <v>0</v>
      </c>
    </row>
    <row r="2483" spans="1:7" x14ac:dyDescent="0.25">
      <c r="A2483" s="3729" t="s">
        <v>150</v>
      </c>
      <c r="B2483" s="3730"/>
      <c r="C2483" s="3730"/>
      <c r="D2483" s="3730"/>
      <c r="E2483" s="3730"/>
      <c r="F2483" s="3730"/>
      <c r="G2483" s="3730"/>
    </row>
    <row r="2484" spans="1:7" x14ac:dyDescent="0.25">
      <c r="A2484" s="11" t="s">
        <v>1094</v>
      </c>
      <c r="B2484" s="11" t="s">
        <v>1266</v>
      </c>
      <c r="C2484" s="1708">
        <v>2041</v>
      </c>
      <c r="D2484" s="1708">
        <v>886096.38034932397</v>
      </c>
      <c r="E2484" s="1709">
        <v>37455.2086400353</v>
      </c>
      <c r="F2484" s="1710">
        <v>100</v>
      </c>
      <c r="G2484" s="1711">
        <v>0</v>
      </c>
    </row>
    <row r="2485" spans="1:7" x14ac:dyDescent="0.25">
      <c r="A2485" s="6" t="s">
        <v>1088</v>
      </c>
      <c r="B2485" s="6" t="s">
        <v>1089</v>
      </c>
      <c r="C2485" s="1704">
        <v>53774</v>
      </c>
      <c r="D2485" s="1704">
        <v>38255215.102431796</v>
      </c>
      <c r="E2485" s="1705">
        <v>35184.509243080996</v>
      </c>
      <c r="F2485" s="1706">
        <v>99.990834724553807</v>
      </c>
      <c r="G2485" s="1707">
        <v>9.2484430964068203E-3</v>
      </c>
    </row>
    <row r="2486" spans="1:7" x14ac:dyDescent="0.25">
      <c r="A2486" s="11" t="s">
        <v>1102</v>
      </c>
      <c r="B2486" s="11" t="s">
        <v>1103</v>
      </c>
      <c r="C2486" s="1708">
        <v>4</v>
      </c>
      <c r="D2486" s="1708">
        <v>3506.5172186121799</v>
      </c>
      <c r="E2486" s="1709">
        <v>3538.4982373456401</v>
      </c>
      <c r="F2486" s="1710">
        <v>9.1652754461381894E-3</v>
      </c>
      <c r="G2486" s="1711">
        <v>9.2484430964067908E-3</v>
      </c>
    </row>
    <row r="2487" spans="1:7" x14ac:dyDescent="0.25">
      <c r="A2487" s="6" t="s">
        <v>6417</v>
      </c>
      <c r="B2487" s="6" t="s">
        <v>6418</v>
      </c>
      <c r="C2487" s="1704">
        <v>2041</v>
      </c>
      <c r="D2487" s="1704">
        <v>886096.38034932397</v>
      </c>
      <c r="E2487" s="1705">
        <v>37455.2086400353</v>
      </c>
      <c r="F2487" s="1706">
        <v>2.26363648018323</v>
      </c>
      <c r="G2487" s="1707">
        <v>9.5683695962074197E-2</v>
      </c>
    </row>
    <row r="2488" spans="1:7" x14ac:dyDescent="0.25">
      <c r="A2488" s="11" t="s">
        <v>6417</v>
      </c>
      <c r="B2488" s="11" t="s">
        <v>6419</v>
      </c>
      <c r="C2488" s="1708">
        <v>55819</v>
      </c>
      <c r="D2488" s="1708">
        <v>39144817.999999702</v>
      </c>
      <c r="E2488" s="1709">
        <v>0</v>
      </c>
      <c r="F2488" s="1710">
        <v>100</v>
      </c>
      <c r="G2488" s="1711">
        <v>0</v>
      </c>
    </row>
    <row r="2489" spans="1:7" x14ac:dyDescent="0.25">
      <c r="A2489" s="3729" t="s">
        <v>160</v>
      </c>
      <c r="B2489" s="3730"/>
      <c r="C2489" s="3730"/>
      <c r="D2489" s="3730"/>
      <c r="E2489" s="3730"/>
      <c r="F2489" s="3730"/>
      <c r="G2489" s="3730"/>
    </row>
    <row r="2490" spans="1:7" x14ac:dyDescent="0.25">
      <c r="A2490" s="11" t="s">
        <v>1096</v>
      </c>
      <c r="B2490" s="11" t="s">
        <v>1267</v>
      </c>
      <c r="C2490" s="1716">
        <v>1536</v>
      </c>
      <c r="D2490" s="1716">
        <v>894935.09617463895</v>
      </c>
      <c r="E2490" s="1717">
        <v>33663.9564106447</v>
      </c>
      <c r="F2490" s="1718">
        <v>100</v>
      </c>
      <c r="G2490" s="1719">
        <v>0</v>
      </c>
    </row>
    <row r="2491" spans="1:7" x14ac:dyDescent="0.25">
      <c r="A2491" s="6" t="s">
        <v>1088</v>
      </c>
      <c r="B2491" s="6" t="s">
        <v>1089</v>
      </c>
      <c r="C2491" s="1712">
        <v>54279</v>
      </c>
      <c r="D2491" s="1712">
        <v>38246376.386606596</v>
      </c>
      <c r="E2491" s="1713">
        <v>33754.352946131403</v>
      </c>
      <c r="F2491" s="1714">
        <v>99.990832606658103</v>
      </c>
      <c r="G2491" s="1715">
        <v>9.2511156387378498E-3</v>
      </c>
    </row>
    <row r="2492" spans="1:7" x14ac:dyDescent="0.25">
      <c r="A2492" s="11" t="s">
        <v>1102</v>
      </c>
      <c r="B2492" s="11" t="s">
        <v>1103</v>
      </c>
      <c r="C2492" s="1716">
        <v>4</v>
      </c>
      <c r="D2492" s="1716">
        <v>3506.5172186121799</v>
      </c>
      <c r="E2492" s="1717">
        <v>3538.4982373456401</v>
      </c>
      <c r="F2492" s="1718">
        <v>9.1673933419061798E-3</v>
      </c>
      <c r="G2492" s="1719">
        <v>9.2511156387354004E-3</v>
      </c>
    </row>
    <row r="2493" spans="1:7" x14ac:dyDescent="0.25">
      <c r="A2493" s="6" t="s">
        <v>6417</v>
      </c>
      <c r="B2493" s="6" t="s">
        <v>6418</v>
      </c>
      <c r="C2493" s="1712">
        <v>1536</v>
      </c>
      <c r="D2493" s="1712">
        <v>894935.09617463895</v>
      </c>
      <c r="E2493" s="1713">
        <v>33663.9564106447</v>
      </c>
      <c r="F2493" s="1714">
        <v>2.2862160099317399</v>
      </c>
      <c r="G2493" s="1715">
        <v>8.5998500262921607E-2</v>
      </c>
    </row>
    <row r="2494" spans="1:7" x14ac:dyDescent="0.25">
      <c r="A2494" s="11" t="s">
        <v>6417</v>
      </c>
      <c r="B2494" s="11" t="s">
        <v>6419</v>
      </c>
      <c r="C2494" s="1716">
        <v>55819</v>
      </c>
      <c r="D2494" s="1716">
        <v>39144817.999999799</v>
      </c>
      <c r="E2494" s="1717">
        <v>0</v>
      </c>
      <c r="F2494" s="1718">
        <v>100</v>
      </c>
      <c r="G2494" s="1719">
        <v>0</v>
      </c>
    </row>
    <row r="2495" spans="1:7" x14ac:dyDescent="0.25">
      <c r="A2495" s="3729" t="s">
        <v>154</v>
      </c>
      <c r="B2495" s="3730"/>
      <c r="C2495" s="3730"/>
      <c r="D2495" s="3730"/>
      <c r="E2495" s="3730"/>
      <c r="F2495" s="3730"/>
      <c r="G2495" s="3730"/>
    </row>
    <row r="2496" spans="1:7" x14ac:dyDescent="0.25">
      <c r="A2496" s="11" t="s">
        <v>1098</v>
      </c>
      <c r="B2496" s="11" t="s">
        <v>1268</v>
      </c>
      <c r="C2496" s="1724">
        <v>607</v>
      </c>
      <c r="D2496" s="1724">
        <v>549510.61418136396</v>
      </c>
      <c r="E2496" s="1725">
        <v>44454.887979094798</v>
      </c>
      <c r="F2496" s="1726">
        <v>100</v>
      </c>
      <c r="G2496" s="1727">
        <v>0</v>
      </c>
    </row>
    <row r="2497" spans="1:7" x14ac:dyDescent="0.25">
      <c r="A2497" s="6" t="s">
        <v>1088</v>
      </c>
      <c r="B2497" s="6" t="s">
        <v>1089</v>
      </c>
      <c r="C2497" s="1720">
        <v>55208</v>
      </c>
      <c r="D2497" s="1720">
        <v>38591800.868599802</v>
      </c>
      <c r="E2497" s="1721">
        <v>42680.867602530503</v>
      </c>
      <c r="F2497" s="1722">
        <v>99.990914653992604</v>
      </c>
      <c r="G2497" s="1723">
        <v>9.1674731725956606E-3</v>
      </c>
    </row>
    <row r="2498" spans="1:7" x14ac:dyDescent="0.25">
      <c r="A2498" s="11" t="s">
        <v>1102</v>
      </c>
      <c r="B2498" s="11" t="s">
        <v>1103</v>
      </c>
      <c r="C2498" s="1724">
        <v>4</v>
      </c>
      <c r="D2498" s="1724">
        <v>3506.5172186121799</v>
      </c>
      <c r="E2498" s="1725">
        <v>3538.4982373456401</v>
      </c>
      <c r="F2498" s="1726">
        <v>9.0853460073766108E-3</v>
      </c>
      <c r="G2498" s="1727">
        <v>9.1674731725960492E-3</v>
      </c>
    </row>
    <row r="2499" spans="1:7" x14ac:dyDescent="0.25">
      <c r="A2499" s="6" t="s">
        <v>6417</v>
      </c>
      <c r="B2499" s="6" t="s">
        <v>6418</v>
      </c>
      <c r="C2499" s="1720">
        <v>607</v>
      </c>
      <c r="D2499" s="1720">
        <v>549510.61418136396</v>
      </c>
      <c r="E2499" s="1721">
        <v>44454.887979094798</v>
      </c>
      <c r="F2499" s="1722">
        <v>1.4037889106582799</v>
      </c>
      <c r="G2499" s="1723">
        <v>0.113565192662512</v>
      </c>
    </row>
    <row r="2500" spans="1:7" x14ac:dyDescent="0.25">
      <c r="A2500" s="11" t="s">
        <v>6417</v>
      </c>
      <c r="B2500" s="11" t="s">
        <v>6419</v>
      </c>
      <c r="C2500" s="1724">
        <v>55819</v>
      </c>
      <c r="D2500" s="1724">
        <v>39144817.999999702</v>
      </c>
      <c r="E2500" s="1725">
        <v>0</v>
      </c>
      <c r="F2500" s="1726">
        <v>100</v>
      </c>
      <c r="G2500" s="1727">
        <v>0</v>
      </c>
    </row>
    <row r="2501" spans="1:7" x14ac:dyDescent="0.25">
      <c r="A2501" s="3729" t="s">
        <v>162</v>
      </c>
      <c r="B2501" s="3730"/>
      <c r="C2501" s="3730"/>
      <c r="D2501" s="3730"/>
      <c r="E2501" s="3730"/>
      <c r="F2501" s="3730"/>
      <c r="G2501" s="3730"/>
    </row>
    <row r="2502" spans="1:7" x14ac:dyDescent="0.25">
      <c r="A2502" s="11" t="s">
        <v>1100</v>
      </c>
      <c r="B2502" s="11" t="s">
        <v>1269</v>
      </c>
      <c r="C2502" s="1732">
        <v>456</v>
      </c>
      <c r="D2502" s="1732">
        <v>329533.116035652</v>
      </c>
      <c r="E2502" s="1733">
        <v>52864.645659919101</v>
      </c>
      <c r="F2502" s="1734">
        <v>100</v>
      </c>
      <c r="G2502" s="1735">
        <v>0</v>
      </c>
    </row>
    <row r="2503" spans="1:7" x14ac:dyDescent="0.25">
      <c r="A2503" s="6" t="s">
        <v>1088</v>
      </c>
      <c r="B2503" s="6" t="s">
        <v>1089</v>
      </c>
      <c r="C2503" s="1728">
        <v>55359</v>
      </c>
      <c r="D2503" s="1728">
        <v>38811778.366745502</v>
      </c>
      <c r="E2503" s="1729">
        <v>52916.7381146915</v>
      </c>
      <c r="F2503" s="1730">
        <v>99.990966143288404</v>
      </c>
      <c r="G2503" s="1731">
        <v>9.1163779371553795E-3</v>
      </c>
    </row>
    <row r="2504" spans="1:7" x14ac:dyDescent="0.25">
      <c r="A2504" s="11" t="s">
        <v>1102</v>
      </c>
      <c r="B2504" s="11" t="s">
        <v>1103</v>
      </c>
      <c r="C2504" s="1732">
        <v>4</v>
      </c>
      <c r="D2504" s="1732">
        <v>3506.5172186121799</v>
      </c>
      <c r="E2504" s="1733">
        <v>3538.4982373456401</v>
      </c>
      <c r="F2504" s="1734">
        <v>9.0338567115884703E-3</v>
      </c>
      <c r="G2504" s="1735">
        <v>9.1163779371533308E-3</v>
      </c>
    </row>
    <row r="2505" spans="1:7" x14ac:dyDescent="0.25">
      <c r="A2505" s="6" t="s">
        <v>6417</v>
      </c>
      <c r="B2505" s="6" t="s">
        <v>6418</v>
      </c>
      <c r="C2505" s="1728">
        <v>456</v>
      </c>
      <c r="D2505" s="1728">
        <v>329533.116035652</v>
      </c>
      <c r="E2505" s="1729">
        <v>52864.645659919101</v>
      </c>
      <c r="F2505" s="1730">
        <v>0.84183075275928998</v>
      </c>
      <c r="G2505" s="1731">
        <v>0.135048898834882</v>
      </c>
    </row>
    <row r="2506" spans="1:7" x14ac:dyDescent="0.25">
      <c r="A2506" s="11" t="s">
        <v>6417</v>
      </c>
      <c r="B2506" s="11" t="s">
        <v>6419</v>
      </c>
      <c r="C2506" s="1732">
        <v>55819</v>
      </c>
      <c r="D2506" s="1732">
        <v>39144817.999999799</v>
      </c>
      <c r="E2506" s="1733">
        <v>0</v>
      </c>
      <c r="F2506" s="1734">
        <v>100</v>
      </c>
      <c r="G2506" s="1735">
        <v>0</v>
      </c>
    </row>
    <row r="2507" spans="1:7" x14ac:dyDescent="0.25">
      <c r="A2507" s="3729" t="s">
        <v>164</v>
      </c>
      <c r="B2507" s="3730"/>
      <c r="C2507" s="3730"/>
      <c r="D2507" s="3730"/>
      <c r="E2507" s="3730"/>
      <c r="F2507" s="3730"/>
      <c r="G2507" s="3730"/>
    </row>
    <row r="2508" spans="1:7" x14ac:dyDescent="0.25">
      <c r="A2508" s="11" t="s">
        <v>1109</v>
      </c>
      <c r="B2508" s="11" t="s">
        <v>1270</v>
      </c>
      <c r="C2508" s="1740">
        <v>153</v>
      </c>
      <c r="D2508" s="1740">
        <v>116762.26512321401</v>
      </c>
      <c r="E2508" s="1741">
        <v>27535.875816115898</v>
      </c>
      <c r="F2508" s="1742">
        <v>100</v>
      </c>
      <c r="G2508" s="1743">
        <v>0</v>
      </c>
    </row>
    <row r="2509" spans="1:7" x14ac:dyDescent="0.25">
      <c r="A2509" s="6" t="s">
        <v>1088</v>
      </c>
      <c r="B2509" s="6" t="s">
        <v>1089</v>
      </c>
      <c r="C2509" s="1736">
        <v>55662</v>
      </c>
      <c r="D2509" s="1736">
        <v>39024549.217657998</v>
      </c>
      <c r="E2509" s="1737">
        <v>28098.940161324001</v>
      </c>
      <c r="F2509" s="1738">
        <v>99.991015393535307</v>
      </c>
      <c r="G2509" s="1739">
        <v>9.0666535364385403E-3</v>
      </c>
    </row>
    <row r="2510" spans="1:7" x14ac:dyDescent="0.25">
      <c r="A2510" s="11" t="s">
        <v>1102</v>
      </c>
      <c r="B2510" s="11" t="s">
        <v>1103</v>
      </c>
      <c r="C2510" s="1740">
        <v>4</v>
      </c>
      <c r="D2510" s="1740">
        <v>3506.5172186121799</v>
      </c>
      <c r="E2510" s="1741">
        <v>3538.4982373456401</v>
      </c>
      <c r="F2510" s="1742">
        <v>8.9846064647249504E-3</v>
      </c>
      <c r="G2510" s="1743">
        <v>9.0666535364353207E-3</v>
      </c>
    </row>
    <row r="2511" spans="1:7" x14ac:dyDescent="0.25">
      <c r="A2511" s="6" t="s">
        <v>6417</v>
      </c>
      <c r="B2511" s="6" t="s">
        <v>6418</v>
      </c>
      <c r="C2511" s="1736">
        <v>153</v>
      </c>
      <c r="D2511" s="1736">
        <v>116762.26512321401</v>
      </c>
      <c r="E2511" s="1737">
        <v>27535.875816115898</v>
      </c>
      <c r="F2511" s="1738">
        <v>0.298282815169085</v>
      </c>
      <c r="G2511" s="1739">
        <v>7.0343604142229704E-2</v>
      </c>
    </row>
    <row r="2512" spans="1:7" x14ac:dyDescent="0.25">
      <c r="A2512" s="11" t="s">
        <v>6417</v>
      </c>
      <c r="B2512" s="11" t="s">
        <v>6419</v>
      </c>
      <c r="C2512" s="1740">
        <v>55819</v>
      </c>
      <c r="D2512" s="1740">
        <v>39144817.999999799</v>
      </c>
      <c r="E2512" s="1741">
        <v>0</v>
      </c>
      <c r="F2512" s="1742">
        <v>100</v>
      </c>
      <c r="G2512" s="1743">
        <v>0</v>
      </c>
    </row>
    <row r="2513" spans="1:7" x14ac:dyDescent="0.25">
      <c r="A2513" s="3729" t="s">
        <v>152</v>
      </c>
      <c r="B2513" s="3730"/>
      <c r="C2513" s="3730"/>
      <c r="D2513" s="3730"/>
      <c r="E2513" s="3730"/>
      <c r="F2513" s="3730"/>
      <c r="G2513" s="3730"/>
    </row>
    <row r="2514" spans="1:7" x14ac:dyDescent="0.25">
      <c r="A2514" s="11" t="s">
        <v>1121</v>
      </c>
      <c r="B2514" s="11" t="s">
        <v>1165</v>
      </c>
      <c r="C2514" s="1748">
        <v>1611</v>
      </c>
      <c r="D2514" s="1748">
        <v>657199.45104652597</v>
      </c>
      <c r="E2514" s="1749">
        <v>47873.649142373397</v>
      </c>
      <c r="F2514" s="1750">
        <v>100</v>
      </c>
      <c r="G2514" s="1751">
        <v>0</v>
      </c>
    </row>
    <row r="2515" spans="1:7" x14ac:dyDescent="0.25">
      <c r="A2515" s="6" t="s">
        <v>1088</v>
      </c>
      <c r="B2515" s="6" t="s">
        <v>1089</v>
      </c>
      <c r="C2515" s="1744">
        <v>54204</v>
      </c>
      <c r="D2515" s="1744">
        <v>38484112.031734601</v>
      </c>
      <c r="E2515" s="1745">
        <v>49660.379296737097</v>
      </c>
      <c r="F2515" s="1746">
        <v>99.990889233081106</v>
      </c>
      <c r="G2515" s="1747">
        <v>9.1946503819986397E-3</v>
      </c>
    </row>
    <row r="2516" spans="1:7" x14ac:dyDescent="0.25">
      <c r="A2516" s="11" t="s">
        <v>1102</v>
      </c>
      <c r="B2516" s="11" t="s">
        <v>1103</v>
      </c>
      <c r="C2516" s="1748">
        <v>4</v>
      </c>
      <c r="D2516" s="1748">
        <v>3506.5172186121799</v>
      </c>
      <c r="E2516" s="1749">
        <v>3538.4982373456401</v>
      </c>
      <c r="F2516" s="1750">
        <v>9.1107669188525402E-3</v>
      </c>
      <c r="G2516" s="1751">
        <v>9.1946503819961192E-3</v>
      </c>
    </row>
    <row r="2517" spans="1:7" x14ac:dyDescent="0.25">
      <c r="A2517" s="6" t="s">
        <v>6417</v>
      </c>
      <c r="B2517" s="6" t="s">
        <v>6418</v>
      </c>
      <c r="C2517" s="1744">
        <v>1611</v>
      </c>
      <c r="D2517" s="1744">
        <v>657199.45104652597</v>
      </c>
      <c r="E2517" s="1745">
        <v>47873.649142373397</v>
      </c>
      <c r="F2517" s="1746">
        <v>1.67889259581314</v>
      </c>
      <c r="G2517" s="1747">
        <v>0.12229881651865</v>
      </c>
    </row>
    <row r="2518" spans="1:7" x14ac:dyDescent="0.25">
      <c r="A2518" s="11" t="s">
        <v>6417</v>
      </c>
      <c r="B2518" s="11" t="s">
        <v>6419</v>
      </c>
      <c r="C2518" s="1748">
        <v>55819</v>
      </c>
      <c r="D2518" s="1748">
        <v>39144817.999999702</v>
      </c>
      <c r="E2518" s="1749">
        <v>0</v>
      </c>
      <c r="F2518" s="1750">
        <v>100</v>
      </c>
      <c r="G2518" s="1751">
        <v>0</v>
      </c>
    </row>
    <row r="2519" spans="1:7" x14ac:dyDescent="0.25">
      <c r="A2519" s="3729" t="s">
        <v>147</v>
      </c>
      <c r="B2519" s="3730"/>
      <c r="C2519" s="3730"/>
      <c r="D2519" s="3730"/>
      <c r="E2519" s="3730"/>
      <c r="F2519" s="3730"/>
      <c r="G2519" s="3730"/>
    </row>
    <row r="2520" spans="1:7" x14ac:dyDescent="0.25">
      <c r="A2520" s="11" t="s">
        <v>1088</v>
      </c>
      <c r="B2520" s="11" t="s">
        <v>1089</v>
      </c>
      <c r="C2520" s="1756">
        <v>55812</v>
      </c>
      <c r="D2520" s="1756">
        <v>39140360.5294495</v>
      </c>
      <c r="E2520" s="1757">
        <v>3516.3893277161401</v>
      </c>
      <c r="F2520" s="1758">
        <v>99.988612871950806</v>
      </c>
      <c r="G2520" s="1759">
        <v>8.9830263801243E-3</v>
      </c>
    </row>
    <row r="2521" spans="1:7" x14ac:dyDescent="0.25">
      <c r="A2521" s="6" t="s">
        <v>1102</v>
      </c>
      <c r="B2521" s="6" t="s">
        <v>1103</v>
      </c>
      <c r="C2521" s="1752">
        <v>4</v>
      </c>
      <c r="D2521" s="1752">
        <v>3506.5172186121799</v>
      </c>
      <c r="E2521" s="1753">
        <v>3538.4982373456401</v>
      </c>
      <c r="F2521" s="1754">
        <v>8.9578069276301103E-3</v>
      </c>
      <c r="G2521" s="1755">
        <v>9.0395061674463494E-3</v>
      </c>
    </row>
    <row r="2522" spans="1:7" x14ac:dyDescent="0.25">
      <c r="A2522" s="11" t="s">
        <v>1084</v>
      </c>
      <c r="B2522" s="11" t="s">
        <v>1085</v>
      </c>
      <c r="C2522" s="1756">
        <v>3</v>
      </c>
      <c r="D2522" s="1756">
        <v>950.95333168212505</v>
      </c>
      <c r="E2522" s="1757">
        <v>955.14348256462597</v>
      </c>
      <c r="F2522" s="1758">
        <v>2.4293211215904199E-3</v>
      </c>
      <c r="G2522" s="1759">
        <v>2.4400253503915302E-3</v>
      </c>
    </row>
    <row r="2523" spans="1:7" x14ac:dyDescent="0.25">
      <c r="A2523" s="6" t="s">
        <v>6417</v>
      </c>
      <c r="B2523" s="6" t="s">
        <v>6418</v>
      </c>
      <c r="C2523" s="1752">
        <v>0</v>
      </c>
      <c r="D2523" s="1752">
        <v>0</v>
      </c>
      <c r="E2523" s="1753">
        <v>0</v>
      </c>
      <c r="F2523" s="1754">
        <v>0</v>
      </c>
      <c r="G2523" s="1755">
        <v>0</v>
      </c>
    </row>
    <row r="2524" spans="1:7" x14ac:dyDescent="0.25">
      <c r="A2524" s="11" t="s">
        <v>6417</v>
      </c>
      <c r="B2524" s="11" t="s">
        <v>6419</v>
      </c>
      <c r="C2524" s="1756">
        <v>55819</v>
      </c>
      <c r="D2524" s="1756">
        <v>39144817.999999799</v>
      </c>
      <c r="E2524" s="1757">
        <v>0</v>
      </c>
      <c r="F2524" s="1758">
        <v>100</v>
      </c>
      <c r="G2524" s="1759">
        <v>0</v>
      </c>
    </row>
    <row r="2525" spans="1:7" x14ac:dyDescent="0.25">
      <c r="A2525" s="3729" t="s">
        <v>156</v>
      </c>
      <c r="B2525" s="3730"/>
      <c r="C2525" s="3730"/>
      <c r="D2525" s="3730"/>
      <c r="E2525" s="3730"/>
      <c r="F2525" s="3730"/>
      <c r="G2525" s="3730"/>
    </row>
    <row r="2526" spans="1:7" x14ac:dyDescent="0.25">
      <c r="A2526" s="11" t="s">
        <v>1088</v>
      </c>
      <c r="B2526" s="11" t="s">
        <v>1089</v>
      </c>
      <c r="C2526" s="1764">
        <v>55814</v>
      </c>
      <c r="D2526" s="1764">
        <v>39141311.482781202</v>
      </c>
      <c r="E2526" s="1765">
        <v>3538.4982376221101</v>
      </c>
      <c r="F2526" s="1766">
        <v>99.991042193072403</v>
      </c>
      <c r="G2526" s="1767">
        <v>9.0395061674472203E-3</v>
      </c>
    </row>
    <row r="2527" spans="1:7" x14ac:dyDescent="0.25">
      <c r="A2527" s="6" t="s">
        <v>1102</v>
      </c>
      <c r="B2527" s="6" t="s">
        <v>1103</v>
      </c>
      <c r="C2527" s="1760">
        <v>4</v>
      </c>
      <c r="D2527" s="1760">
        <v>3506.5172186121799</v>
      </c>
      <c r="E2527" s="1761">
        <v>3538.4982373456401</v>
      </c>
      <c r="F2527" s="1762">
        <v>8.9578069276301103E-3</v>
      </c>
      <c r="G2527" s="1763">
        <v>9.0395061674463494E-3</v>
      </c>
    </row>
    <row r="2528" spans="1:7" x14ac:dyDescent="0.25">
      <c r="A2528" s="11" t="s">
        <v>6417</v>
      </c>
      <c r="B2528" s="11" t="s">
        <v>6418</v>
      </c>
      <c r="C2528" s="1764">
        <v>0</v>
      </c>
      <c r="D2528" s="1764">
        <v>0</v>
      </c>
      <c r="E2528" s="1765">
        <v>0</v>
      </c>
      <c r="F2528" s="1766">
        <v>0</v>
      </c>
      <c r="G2528" s="1767">
        <v>0</v>
      </c>
    </row>
    <row r="2529" spans="1:7" x14ac:dyDescent="0.25">
      <c r="A2529" s="6" t="s">
        <v>6417</v>
      </c>
      <c r="B2529" s="6" t="s">
        <v>6419</v>
      </c>
      <c r="C2529" s="1760">
        <v>55818</v>
      </c>
      <c r="D2529" s="1760">
        <v>39144817.999999799</v>
      </c>
      <c r="E2529" s="1761">
        <v>0</v>
      </c>
      <c r="F2529" s="1762">
        <v>100</v>
      </c>
      <c r="G2529" s="1763">
        <v>0</v>
      </c>
    </row>
    <row r="2530" spans="1:7" x14ac:dyDescent="0.25">
      <c r="A2530" s="3729" t="s">
        <v>588</v>
      </c>
      <c r="B2530" s="3730"/>
      <c r="C2530" s="3730"/>
      <c r="D2530" s="3730"/>
      <c r="E2530" s="3730"/>
      <c r="F2530" s="3730"/>
      <c r="G2530" s="3730"/>
    </row>
    <row r="2531" spans="1:7" x14ac:dyDescent="0.25">
      <c r="A2531" s="11" t="s">
        <v>1092</v>
      </c>
      <c r="B2531" s="11" t="s">
        <v>1180</v>
      </c>
      <c r="C2531" s="1772">
        <v>55556</v>
      </c>
      <c r="D2531" s="1772">
        <v>38889614.464290097</v>
      </c>
      <c r="E2531" s="1773">
        <v>42003.593739846699</v>
      </c>
      <c r="F2531" s="1774">
        <v>99.348052823467796</v>
      </c>
      <c r="G2531" s="1775">
        <v>0.107303075825675</v>
      </c>
    </row>
    <row r="2532" spans="1:7" x14ac:dyDescent="0.25">
      <c r="A2532" s="6" t="s">
        <v>1090</v>
      </c>
      <c r="B2532" s="6" t="s">
        <v>1179</v>
      </c>
      <c r="C2532" s="1768">
        <v>263</v>
      </c>
      <c r="D2532" s="1768">
        <v>255203.53570967299</v>
      </c>
      <c r="E2532" s="1769">
        <v>42003.593740367898</v>
      </c>
      <c r="F2532" s="1770">
        <v>0.65194717653221601</v>
      </c>
      <c r="G2532" s="1771">
        <v>0.10730307582567999</v>
      </c>
    </row>
    <row r="2533" spans="1:7" x14ac:dyDescent="0.25">
      <c r="A2533" s="11" t="s">
        <v>6417</v>
      </c>
      <c r="B2533" s="11" t="s">
        <v>6418</v>
      </c>
      <c r="C2533" s="1772">
        <v>55819</v>
      </c>
      <c r="D2533" s="1772">
        <v>39144817.999999799</v>
      </c>
      <c r="E2533" s="1773">
        <v>3.18937317611933E-6</v>
      </c>
      <c r="F2533" s="1774">
        <v>100</v>
      </c>
      <c r="G2533" s="1775">
        <v>2.5177491625509499E-14</v>
      </c>
    </row>
    <row r="2534" spans="1:7" x14ac:dyDescent="0.25">
      <c r="A2534" s="6" t="s">
        <v>6417</v>
      </c>
      <c r="B2534" s="6" t="s">
        <v>6419</v>
      </c>
      <c r="C2534" s="1768">
        <v>55819</v>
      </c>
      <c r="D2534" s="1768">
        <v>39144817.999999799</v>
      </c>
      <c r="E2534" s="1769">
        <v>0</v>
      </c>
      <c r="F2534" s="1770">
        <v>100</v>
      </c>
      <c r="G2534" s="1771">
        <v>0</v>
      </c>
    </row>
    <row r="2535" spans="1:7" x14ac:dyDescent="0.25">
      <c r="A2535" s="3729" t="s">
        <v>586</v>
      </c>
      <c r="B2535" s="3730"/>
      <c r="C2535" s="3730"/>
      <c r="D2535" s="3730"/>
      <c r="E2535" s="3730"/>
      <c r="F2535" s="3730"/>
      <c r="G2535" s="3730"/>
    </row>
    <row r="2536" spans="1:7" x14ac:dyDescent="0.25">
      <c r="A2536" s="11" t="s">
        <v>1092</v>
      </c>
      <c r="B2536" s="11" t="s">
        <v>1180</v>
      </c>
      <c r="C2536" s="1780">
        <v>51080</v>
      </c>
      <c r="D2536" s="1780">
        <v>34529724.028937303</v>
      </c>
      <c r="E2536" s="1781">
        <v>145533.15273885999</v>
      </c>
      <c r="F2536" s="1782">
        <v>88.210204551053195</v>
      </c>
      <c r="G2536" s="1783">
        <v>0.37178140089626899</v>
      </c>
    </row>
    <row r="2537" spans="1:7" x14ac:dyDescent="0.25">
      <c r="A2537" s="6" t="s">
        <v>1090</v>
      </c>
      <c r="B2537" s="6" t="s">
        <v>1179</v>
      </c>
      <c r="C2537" s="1776">
        <v>4739</v>
      </c>
      <c r="D2537" s="1776">
        <v>4615093.9710625</v>
      </c>
      <c r="E2537" s="1777">
        <v>145533.15273867201</v>
      </c>
      <c r="F2537" s="1778">
        <v>11.7897954489468</v>
      </c>
      <c r="G2537" s="1779">
        <v>0.37178140089626599</v>
      </c>
    </row>
    <row r="2538" spans="1:7" x14ac:dyDescent="0.25">
      <c r="A2538" s="11" t="s">
        <v>6417</v>
      </c>
      <c r="B2538" s="11" t="s">
        <v>6418</v>
      </c>
      <c r="C2538" s="1780">
        <v>55819</v>
      </c>
      <c r="D2538" s="1780">
        <v>39144817.999999799</v>
      </c>
      <c r="E2538" s="1781">
        <v>1.8924893754325399E-6</v>
      </c>
      <c r="F2538" s="1782">
        <v>100</v>
      </c>
      <c r="G2538" s="1783">
        <v>2.0557335828564899E-14</v>
      </c>
    </row>
    <row r="2539" spans="1:7" x14ac:dyDescent="0.25">
      <c r="A2539" s="6" t="s">
        <v>6417</v>
      </c>
      <c r="B2539" s="6" t="s">
        <v>6419</v>
      </c>
      <c r="C2539" s="1776">
        <v>55819</v>
      </c>
      <c r="D2539" s="1776">
        <v>39144817.999999799</v>
      </c>
      <c r="E2539" s="1777">
        <v>0</v>
      </c>
      <c r="F2539" s="1778">
        <v>100</v>
      </c>
      <c r="G2539" s="1779">
        <v>0</v>
      </c>
    </row>
    <row r="2540" spans="1:7" x14ac:dyDescent="0.25">
      <c r="A2540" s="3729" t="s">
        <v>592</v>
      </c>
      <c r="B2540" s="3730"/>
      <c r="C2540" s="3730"/>
      <c r="D2540" s="3730"/>
      <c r="E2540" s="3730"/>
      <c r="F2540" s="3730"/>
      <c r="G2540" s="3730"/>
    </row>
    <row r="2541" spans="1:7" x14ac:dyDescent="0.25">
      <c r="A2541" s="11" t="s">
        <v>1092</v>
      </c>
      <c r="B2541" s="11" t="s">
        <v>1180</v>
      </c>
      <c r="C2541" s="1788">
        <v>54391</v>
      </c>
      <c r="D2541" s="1788">
        <v>37892551.443422399</v>
      </c>
      <c r="E2541" s="1789">
        <v>70684.751052156498</v>
      </c>
      <c r="F2541" s="1790">
        <v>96.800939126661902</v>
      </c>
      <c r="G2541" s="1791">
        <v>0.18057243503453299</v>
      </c>
    </row>
    <row r="2542" spans="1:7" x14ac:dyDescent="0.25">
      <c r="A2542" s="6" t="s">
        <v>1090</v>
      </c>
      <c r="B2542" s="6" t="s">
        <v>1179</v>
      </c>
      <c r="C2542" s="1784">
        <v>1428</v>
      </c>
      <c r="D2542" s="1784">
        <v>1252266.5565774001</v>
      </c>
      <c r="E2542" s="1785">
        <v>70684.751052445805</v>
      </c>
      <c r="F2542" s="1786">
        <v>3.1990608733380901</v>
      </c>
      <c r="G2542" s="1787">
        <v>0.18057243503453399</v>
      </c>
    </row>
    <row r="2543" spans="1:7" x14ac:dyDescent="0.25">
      <c r="A2543" s="11" t="s">
        <v>6417</v>
      </c>
      <c r="B2543" s="11" t="s">
        <v>6418</v>
      </c>
      <c r="C2543" s="1788">
        <v>55819</v>
      </c>
      <c r="D2543" s="1788">
        <v>39144817.999999799</v>
      </c>
      <c r="E2543" s="1789">
        <v>2.5794446816942401E-6</v>
      </c>
      <c r="F2543" s="1790">
        <v>100</v>
      </c>
      <c r="G2543" s="1791">
        <v>1.45362315675074E-14</v>
      </c>
    </row>
    <row r="2544" spans="1:7" x14ac:dyDescent="0.25">
      <c r="A2544" s="6" t="s">
        <v>6417</v>
      </c>
      <c r="B2544" s="6" t="s">
        <v>6419</v>
      </c>
      <c r="C2544" s="1784">
        <v>55819</v>
      </c>
      <c r="D2544" s="1784">
        <v>39144817.999999799</v>
      </c>
      <c r="E2544" s="1785">
        <v>0</v>
      </c>
      <c r="F2544" s="1786">
        <v>100</v>
      </c>
      <c r="G2544" s="1787">
        <v>0</v>
      </c>
    </row>
    <row r="2545" spans="1:7" x14ac:dyDescent="0.25">
      <c r="A2545" s="3729" t="s">
        <v>590</v>
      </c>
      <c r="B2545" s="3730"/>
      <c r="C2545" s="3730"/>
      <c r="D2545" s="3730"/>
      <c r="E2545" s="3730"/>
      <c r="F2545" s="3730"/>
      <c r="G2545" s="3730"/>
    </row>
    <row r="2546" spans="1:7" x14ac:dyDescent="0.25">
      <c r="A2546" s="11" t="s">
        <v>1092</v>
      </c>
      <c r="B2546" s="11" t="s">
        <v>1180</v>
      </c>
      <c r="C2546" s="1796">
        <v>55312</v>
      </c>
      <c r="D2546" s="1796">
        <v>38731160.840700299</v>
      </c>
      <c r="E2546" s="1797">
        <v>38107.6604716574</v>
      </c>
      <c r="F2546" s="1798">
        <v>98.943264573871403</v>
      </c>
      <c r="G2546" s="1799">
        <v>9.7350460211706499E-2</v>
      </c>
    </row>
    <row r="2547" spans="1:7" x14ac:dyDescent="0.25">
      <c r="A2547" s="6" t="s">
        <v>1090</v>
      </c>
      <c r="B2547" s="6" t="s">
        <v>1179</v>
      </c>
      <c r="C2547" s="1792">
        <v>507</v>
      </c>
      <c r="D2547" s="1792">
        <v>413657.15929954301</v>
      </c>
      <c r="E2547" s="1793">
        <v>38107.660472043302</v>
      </c>
      <c r="F2547" s="1794">
        <v>1.05673542612855</v>
      </c>
      <c r="G2547" s="1795">
        <v>9.7350460211717504E-2</v>
      </c>
    </row>
    <row r="2548" spans="1:7" x14ac:dyDescent="0.25">
      <c r="A2548" s="11" t="s">
        <v>6417</v>
      </c>
      <c r="B2548" s="11" t="s">
        <v>6418</v>
      </c>
      <c r="C2548" s="1796">
        <v>55819</v>
      </c>
      <c r="D2548" s="1796">
        <v>39144817.999999799</v>
      </c>
      <c r="E2548" s="1797">
        <v>2.6107698285587401E-6</v>
      </c>
      <c r="F2548" s="1798">
        <v>100</v>
      </c>
      <c r="G2548" s="1799">
        <v>3.0836003742847398E-14</v>
      </c>
    </row>
    <row r="2549" spans="1:7" x14ac:dyDescent="0.25">
      <c r="A2549" s="6" t="s">
        <v>6417</v>
      </c>
      <c r="B2549" s="6" t="s">
        <v>6419</v>
      </c>
      <c r="C2549" s="1792">
        <v>55819</v>
      </c>
      <c r="D2549" s="1792">
        <v>39144817.999999799</v>
      </c>
      <c r="E2549" s="1793">
        <v>0</v>
      </c>
      <c r="F2549" s="1794">
        <v>100</v>
      </c>
      <c r="G2549" s="1795">
        <v>0</v>
      </c>
    </row>
    <row r="2550" spans="1:7" x14ac:dyDescent="0.25">
      <c r="A2550" s="3729" t="s">
        <v>584</v>
      </c>
      <c r="B2550" s="3730"/>
      <c r="C2550" s="3730"/>
      <c r="D2550" s="3730"/>
      <c r="E2550" s="3730"/>
      <c r="F2550" s="3730"/>
      <c r="G2550" s="3730"/>
    </row>
    <row r="2551" spans="1:7" x14ac:dyDescent="0.25">
      <c r="A2551" s="11" t="s">
        <v>1092</v>
      </c>
      <c r="B2551" s="11" t="s">
        <v>1180</v>
      </c>
      <c r="C2551" s="1804">
        <v>54380</v>
      </c>
      <c r="D2551" s="1804">
        <v>37875468.880226597</v>
      </c>
      <c r="E2551" s="1805">
        <v>72223.031111042204</v>
      </c>
      <c r="F2551" s="1806">
        <v>96.757299727965901</v>
      </c>
      <c r="G2551" s="1807">
        <v>0.18450215073458201</v>
      </c>
    </row>
    <row r="2552" spans="1:7" x14ac:dyDescent="0.25">
      <c r="A2552" s="6" t="s">
        <v>1090</v>
      </c>
      <c r="B2552" s="6" t="s">
        <v>1179</v>
      </c>
      <c r="C2552" s="1800">
        <v>1439</v>
      </c>
      <c r="D2552" s="1800">
        <v>1269349.1197732501</v>
      </c>
      <c r="E2552" s="1801">
        <v>72223.031111139295</v>
      </c>
      <c r="F2552" s="1802">
        <v>3.24270027203411</v>
      </c>
      <c r="G2552" s="1803">
        <v>0.18450215073457801</v>
      </c>
    </row>
    <row r="2553" spans="1:7" x14ac:dyDescent="0.25">
      <c r="A2553" s="11" t="s">
        <v>6417</v>
      </c>
      <c r="B2553" s="11" t="s">
        <v>6418</v>
      </c>
      <c r="C2553" s="1804">
        <v>55819</v>
      </c>
      <c r="D2553" s="1804">
        <v>39144817.999999799</v>
      </c>
      <c r="E2553" s="1805">
        <v>1.48524398959043E-6</v>
      </c>
      <c r="F2553" s="1806">
        <v>100</v>
      </c>
      <c r="G2553" s="1807">
        <v>1.78031750616652E-14</v>
      </c>
    </row>
    <row r="2554" spans="1:7" x14ac:dyDescent="0.25">
      <c r="A2554" s="6" t="s">
        <v>6417</v>
      </c>
      <c r="B2554" s="6" t="s">
        <v>6419</v>
      </c>
      <c r="C2554" s="1800">
        <v>55819</v>
      </c>
      <c r="D2554" s="1800">
        <v>39144817.999999799</v>
      </c>
      <c r="E2554" s="1801">
        <v>0</v>
      </c>
      <c r="F2554" s="1802">
        <v>100</v>
      </c>
      <c r="G2554" s="1803">
        <v>0</v>
      </c>
    </row>
    <row r="2555" spans="1:7" x14ac:dyDescent="0.25">
      <c r="A2555" s="3729" t="s">
        <v>621</v>
      </c>
      <c r="B2555" s="3730"/>
      <c r="C2555" s="3730"/>
      <c r="D2555" s="3730"/>
      <c r="E2555" s="3730"/>
      <c r="F2555" s="3730"/>
      <c r="G2555" s="3730"/>
    </row>
    <row r="2556" spans="1:7" x14ac:dyDescent="0.25">
      <c r="A2556" s="11" t="s">
        <v>1092</v>
      </c>
      <c r="B2556" s="11" t="s">
        <v>1180</v>
      </c>
      <c r="C2556" s="1812">
        <v>22954</v>
      </c>
      <c r="D2556" s="1812">
        <v>20400972.020792</v>
      </c>
      <c r="E2556" s="1813">
        <v>262113.76478398699</v>
      </c>
      <c r="F2556" s="1814">
        <v>55.806781228690902</v>
      </c>
      <c r="G2556" s="1815">
        <v>0.720812838560703</v>
      </c>
    </row>
    <row r="2557" spans="1:7" x14ac:dyDescent="0.25">
      <c r="A2557" s="6" t="s">
        <v>1090</v>
      </c>
      <c r="B2557" s="6" t="s">
        <v>1179</v>
      </c>
      <c r="C2557" s="1808">
        <v>30598</v>
      </c>
      <c r="D2557" s="1808">
        <v>16155467.128046799</v>
      </c>
      <c r="E2557" s="1809">
        <v>265008.70953890902</v>
      </c>
      <c r="F2557" s="1810">
        <v>44.193218771309098</v>
      </c>
      <c r="G2557" s="1811">
        <v>0.72081283856070699</v>
      </c>
    </row>
    <row r="2558" spans="1:7" x14ac:dyDescent="0.25">
      <c r="A2558" s="11" t="s">
        <v>1088</v>
      </c>
      <c r="B2558" s="11" t="s">
        <v>1089</v>
      </c>
      <c r="C2558" s="1812">
        <v>2198</v>
      </c>
      <c r="D2558" s="1812">
        <v>2507649.0021306202</v>
      </c>
      <c r="E2558" s="1813">
        <v>4.77482304698748E-3</v>
      </c>
      <c r="F2558" s="1814">
        <v>96.881065188951894</v>
      </c>
      <c r="G2558" s="1815">
        <v>0.82236788687196505</v>
      </c>
    </row>
    <row r="2559" spans="1:7" x14ac:dyDescent="0.25">
      <c r="A2559" s="6" t="s">
        <v>1084</v>
      </c>
      <c r="B2559" s="6" t="s">
        <v>1153</v>
      </c>
      <c r="C2559" s="1808">
        <v>45</v>
      </c>
      <c r="D2559" s="1808">
        <v>60060.374917150497</v>
      </c>
      <c r="E2559" s="1809">
        <v>18229.5612550566</v>
      </c>
      <c r="F2559" s="1810">
        <v>2.3203857847240599</v>
      </c>
      <c r="G2559" s="1811">
        <v>0.68782568578026204</v>
      </c>
    </row>
    <row r="2560" spans="1:7" x14ac:dyDescent="0.25">
      <c r="A2560" s="11" t="s">
        <v>1086</v>
      </c>
      <c r="B2560" s="11" t="s">
        <v>1147</v>
      </c>
      <c r="C2560" s="1812">
        <v>23</v>
      </c>
      <c r="D2560" s="1812">
        <v>19936.410548120599</v>
      </c>
      <c r="E2560" s="1813">
        <v>8245.3255066093607</v>
      </c>
      <c r="F2560" s="1814">
        <v>0.77022768669184805</v>
      </c>
      <c r="G2560" s="1815">
        <v>0.315520695999496</v>
      </c>
    </row>
    <row r="2561" spans="1:7" x14ac:dyDescent="0.25">
      <c r="A2561" s="6" t="s">
        <v>1102</v>
      </c>
      <c r="B2561" s="6" t="s">
        <v>1103</v>
      </c>
      <c r="C2561" s="1808">
        <v>1</v>
      </c>
      <c r="D2561" s="1808">
        <v>733.06356540633499</v>
      </c>
      <c r="E2561" s="1809">
        <v>734.64773794601604</v>
      </c>
      <c r="F2561" s="1810">
        <v>2.8321339632235099E-2</v>
      </c>
      <c r="G2561" s="1811">
        <v>2.8401097879541301E-2</v>
      </c>
    </row>
    <row r="2562" spans="1:7" x14ac:dyDescent="0.25">
      <c r="A2562" s="11" t="s">
        <v>6417</v>
      </c>
      <c r="B2562" s="11" t="s">
        <v>6418</v>
      </c>
      <c r="C2562" s="1812">
        <v>53552</v>
      </c>
      <c r="D2562" s="1812">
        <v>36556439.148838803</v>
      </c>
      <c r="E2562" s="1813">
        <v>21890.820378885201</v>
      </c>
      <c r="F2562" s="1814">
        <v>93.387684543171702</v>
      </c>
      <c r="G2562" s="1815">
        <v>5.5922652083269297E-2</v>
      </c>
    </row>
    <row r="2563" spans="1:7" x14ac:dyDescent="0.25">
      <c r="A2563" s="6" t="s">
        <v>6417</v>
      </c>
      <c r="B2563" s="6" t="s">
        <v>6419</v>
      </c>
      <c r="C2563" s="1808">
        <v>55819</v>
      </c>
      <c r="D2563" s="1808">
        <v>39144818.000000097</v>
      </c>
      <c r="E2563" s="1809">
        <v>0</v>
      </c>
      <c r="F2563" s="1810">
        <v>100</v>
      </c>
      <c r="G2563" s="1811">
        <v>0</v>
      </c>
    </row>
    <row r="2564" spans="1:7" x14ac:dyDescent="0.25">
      <c r="A2564" s="3729" t="s">
        <v>624</v>
      </c>
      <c r="B2564" s="3730"/>
      <c r="C2564" s="3730"/>
      <c r="D2564" s="3730"/>
      <c r="E2564" s="3730"/>
      <c r="F2564" s="3730"/>
      <c r="G2564" s="3730"/>
    </row>
    <row r="2565" spans="1:7" x14ac:dyDescent="0.25">
      <c r="A2565" s="11" t="s">
        <v>1292</v>
      </c>
      <c r="B2565" s="11"/>
      <c r="C2565" s="1820">
        <v>8149</v>
      </c>
      <c r="D2565" s="1820">
        <v>4092813.00793387</v>
      </c>
      <c r="E2565" s="1821">
        <v>128650.162908888</v>
      </c>
      <c r="F2565" s="1822">
        <v>58.927472190928299</v>
      </c>
      <c r="G2565" s="1823">
        <v>0.93970660147992502</v>
      </c>
    </row>
    <row r="2566" spans="1:7" x14ac:dyDescent="0.25">
      <c r="A2566" s="6" t="s">
        <v>6427</v>
      </c>
      <c r="B2566" s="6"/>
      <c r="C2566" s="1816">
        <v>1957</v>
      </c>
      <c r="D2566" s="1816">
        <v>916108.54640019301</v>
      </c>
      <c r="E2566" s="1817">
        <v>45489.868922013498</v>
      </c>
      <c r="F2566" s="1818">
        <v>13.189940705139</v>
      </c>
      <c r="G2566" s="1819">
        <v>0.76635715145254601</v>
      </c>
    </row>
    <row r="2567" spans="1:7" x14ac:dyDescent="0.25">
      <c r="A2567" s="11" t="s">
        <v>6426</v>
      </c>
      <c r="B2567" s="11"/>
      <c r="C2567" s="1820">
        <v>1218</v>
      </c>
      <c r="D2567" s="1820">
        <v>700290.71324407903</v>
      </c>
      <c r="E2567" s="1821">
        <v>38567.382364605102</v>
      </c>
      <c r="F2567" s="1822">
        <v>10.082640338139401</v>
      </c>
      <c r="G2567" s="1823">
        <v>0.64626512931778701</v>
      </c>
    </row>
    <row r="2568" spans="1:7" x14ac:dyDescent="0.25">
      <c r="A2568" s="6" t="s">
        <v>6429</v>
      </c>
      <c r="B2568" s="6"/>
      <c r="C2568" s="1816">
        <v>449</v>
      </c>
      <c r="D2568" s="1816">
        <v>252889.519568535</v>
      </c>
      <c r="E2568" s="1817">
        <v>25299.8149630554</v>
      </c>
      <c r="F2568" s="1818">
        <v>3.6410508134294099</v>
      </c>
      <c r="G2568" s="1819">
        <v>0.32223016795655401</v>
      </c>
    </row>
    <row r="2569" spans="1:7" x14ac:dyDescent="0.25">
      <c r="A2569" s="11" t="s">
        <v>6428</v>
      </c>
      <c r="B2569" s="11"/>
      <c r="C2569" s="1820">
        <v>410</v>
      </c>
      <c r="D2569" s="1820">
        <v>210473.012045082</v>
      </c>
      <c r="E2569" s="1821">
        <v>25536.794129936799</v>
      </c>
      <c r="F2569" s="1822">
        <v>3.0303467420048502</v>
      </c>
      <c r="G2569" s="1823">
        <v>0.33330966200820999</v>
      </c>
    </row>
    <row r="2570" spans="1:7" x14ac:dyDescent="0.25">
      <c r="A2570" s="6" t="s">
        <v>6430</v>
      </c>
      <c r="B2570" s="6"/>
      <c r="C2570" s="1816">
        <v>296</v>
      </c>
      <c r="D2570" s="1816">
        <v>168146.31481573</v>
      </c>
      <c r="E2570" s="1817">
        <v>15481.790817212401</v>
      </c>
      <c r="F2570" s="1818">
        <v>2.4209357405539</v>
      </c>
      <c r="G2570" s="1819">
        <v>0.20679510123727199</v>
      </c>
    </row>
    <row r="2571" spans="1:7" x14ac:dyDescent="0.25">
      <c r="A2571" s="11" t="s">
        <v>1123</v>
      </c>
      <c r="B2571" s="11"/>
      <c r="C2571" s="1820">
        <v>183</v>
      </c>
      <c r="D2571" s="1820">
        <v>102022.354810174</v>
      </c>
      <c r="E2571" s="1821">
        <v>24148.342073531701</v>
      </c>
      <c r="F2571" s="1822">
        <v>1.4688966889705299</v>
      </c>
      <c r="G2571" s="1823">
        <v>0.32917269735193999</v>
      </c>
    </row>
    <row r="2572" spans="1:7" x14ac:dyDescent="0.25">
      <c r="A2572" s="6" t="s">
        <v>6433</v>
      </c>
      <c r="B2572" s="6"/>
      <c r="C2572" s="1816">
        <v>149</v>
      </c>
      <c r="D2572" s="1816">
        <v>80240.022142764399</v>
      </c>
      <c r="E2572" s="1817">
        <v>12726.017258683099</v>
      </c>
      <c r="F2572" s="1818">
        <v>1.15527918432906</v>
      </c>
      <c r="G2572" s="1819">
        <v>0.17627173466582999</v>
      </c>
    </row>
    <row r="2573" spans="1:7" x14ac:dyDescent="0.25">
      <c r="A2573" s="11" t="s">
        <v>6431</v>
      </c>
      <c r="B2573" s="11"/>
      <c r="C2573" s="1820">
        <v>165</v>
      </c>
      <c r="D2573" s="1820">
        <v>66984.518116528794</v>
      </c>
      <c r="E2573" s="1821">
        <v>14740.025166089599</v>
      </c>
      <c r="F2573" s="1822">
        <v>0.96442918864918403</v>
      </c>
      <c r="G2573" s="1823">
        <v>0.205356647935832</v>
      </c>
    </row>
    <row r="2574" spans="1:7" x14ac:dyDescent="0.25">
      <c r="A2574" s="6" t="s">
        <v>1133</v>
      </c>
      <c r="B2574" s="6"/>
      <c r="C2574" s="1816">
        <v>81</v>
      </c>
      <c r="D2574" s="1816">
        <v>44618.9054167781</v>
      </c>
      <c r="E2574" s="1817">
        <v>12585.453628199601</v>
      </c>
      <c r="F2574" s="1818">
        <v>0.64241373916668798</v>
      </c>
      <c r="G2574" s="1819">
        <v>0.17511358745656899</v>
      </c>
    </row>
    <row r="2575" spans="1:7" x14ac:dyDescent="0.25">
      <c r="A2575" s="11" t="s">
        <v>6432</v>
      </c>
      <c r="B2575" s="11"/>
      <c r="C2575" s="1820">
        <v>67</v>
      </c>
      <c r="D2575" s="1820">
        <v>36329.522779157203</v>
      </c>
      <c r="E2575" s="1821">
        <v>8450.8352623144292</v>
      </c>
      <c r="F2575" s="1822">
        <v>0.523064928480377</v>
      </c>
      <c r="G2575" s="1823">
        <v>0.117736189798695</v>
      </c>
    </row>
    <row r="2576" spans="1:7" x14ac:dyDescent="0.25">
      <c r="A2576" s="6" t="s">
        <v>1295</v>
      </c>
      <c r="B2576" s="6"/>
      <c r="C2576" s="1816">
        <v>89</v>
      </c>
      <c r="D2576" s="1816">
        <v>36033.040427656801</v>
      </c>
      <c r="E2576" s="1817">
        <v>6083.9852527059402</v>
      </c>
      <c r="F2576" s="1818">
        <v>0.51879623712084699</v>
      </c>
      <c r="G2576" s="1819">
        <v>8.9555983163570996E-2</v>
      </c>
    </row>
    <row r="2577" spans="1:7" x14ac:dyDescent="0.25">
      <c r="A2577" s="11" t="s">
        <v>1297</v>
      </c>
      <c r="B2577" s="11"/>
      <c r="C2577" s="1820">
        <v>49</v>
      </c>
      <c r="D2577" s="1820">
        <v>34116.372211139897</v>
      </c>
      <c r="E2577" s="1821">
        <v>8337.9135285361699</v>
      </c>
      <c r="F2577" s="1822">
        <v>0.49120044595982998</v>
      </c>
      <c r="G2577" s="1823">
        <v>0.123501672823791</v>
      </c>
    </row>
    <row r="2578" spans="1:7" x14ac:dyDescent="0.25">
      <c r="A2578" s="6" t="s">
        <v>1301</v>
      </c>
      <c r="B2578" s="6"/>
      <c r="C2578" s="1816">
        <v>27</v>
      </c>
      <c r="D2578" s="1816">
        <v>27564.990191269</v>
      </c>
      <c r="E2578" s="1817">
        <v>10149.0430131495</v>
      </c>
      <c r="F2578" s="1818">
        <v>0.396875007431432</v>
      </c>
      <c r="G2578" s="1819">
        <v>0.148218294667463</v>
      </c>
    </row>
    <row r="2579" spans="1:7" x14ac:dyDescent="0.25">
      <c r="A2579" s="11" t="s">
        <v>3172</v>
      </c>
      <c r="B2579" s="11"/>
      <c r="C2579" s="1820">
        <v>29</v>
      </c>
      <c r="D2579" s="1820">
        <v>20037.625909010902</v>
      </c>
      <c r="E2579" s="1821">
        <v>9209.5808662276595</v>
      </c>
      <c r="F2579" s="1822">
        <v>0.28849757886240202</v>
      </c>
      <c r="G2579" s="1823">
        <v>0.12859468045508801</v>
      </c>
    </row>
    <row r="2580" spans="1:7" x14ac:dyDescent="0.25">
      <c r="A2580" s="6" t="s">
        <v>1135</v>
      </c>
      <c r="B2580" s="6"/>
      <c r="C2580" s="1816">
        <v>30</v>
      </c>
      <c r="D2580" s="1816">
        <v>18428.7582929157</v>
      </c>
      <c r="E2580" s="1817">
        <v>4151.6215640253104</v>
      </c>
      <c r="F2580" s="1818">
        <v>0.26533343685968802</v>
      </c>
      <c r="G2580" s="1819">
        <v>5.6837983988870099E-2</v>
      </c>
    </row>
    <row r="2581" spans="1:7" x14ac:dyDescent="0.25">
      <c r="A2581" s="11" t="s">
        <v>1127</v>
      </c>
      <c r="B2581" s="11"/>
      <c r="C2581" s="1820">
        <v>47</v>
      </c>
      <c r="D2581" s="1820">
        <v>15547.0360054997</v>
      </c>
      <c r="E2581" s="1821">
        <v>4828.4657699819199</v>
      </c>
      <c r="F2581" s="1822">
        <v>0.22384299749084699</v>
      </c>
      <c r="G2581" s="1823">
        <v>6.9127157943652304E-2</v>
      </c>
    </row>
    <row r="2582" spans="1:7" x14ac:dyDescent="0.25">
      <c r="A2582" s="6" t="s">
        <v>1131</v>
      </c>
      <c r="B2582" s="6"/>
      <c r="C2582" s="1816">
        <v>14</v>
      </c>
      <c r="D2582" s="1816">
        <v>11924.6432890587</v>
      </c>
      <c r="E2582" s="1817">
        <v>2826.6916012521001</v>
      </c>
      <c r="F2582" s="1818">
        <v>0.17168853901719699</v>
      </c>
      <c r="G2582" s="1819">
        <v>4.1856478577594398E-2</v>
      </c>
    </row>
    <row r="2583" spans="1:7" x14ac:dyDescent="0.25">
      <c r="A2583" s="11" t="s">
        <v>1299</v>
      </c>
      <c r="B2583" s="11"/>
      <c r="C2583" s="1820">
        <v>27</v>
      </c>
      <c r="D2583" s="1820">
        <v>8500.0160569486306</v>
      </c>
      <c r="E2583" s="1821">
        <v>3053.1517446324201</v>
      </c>
      <c r="F2583" s="1822">
        <v>0.122381466939077</v>
      </c>
      <c r="G2583" s="1823">
        <v>4.3598141446484301E-2</v>
      </c>
    </row>
    <row r="2584" spans="1:7" x14ac:dyDescent="0.25">
      <c r="A2584" s="6" t="s">
        <v>3201</v>
      </c>
      <c r="B2584" s="6"/>
      <c r="C2584" s="1816">
        <v>8</v>
      </c>
      <c r="D2584" s="1816">
        <v>8147.9853181905901</v>
      </c>
      <c r="E2584" s="1817">
        <v>5919.5249265539196</v>
      </c>
      <c r="F2584" s="1818">
        <v>0.11731300142933999</v>
      </c>
      <c r="G2584" s="1819">
        <v>8.5320229169774706E-2</v>
      </c>
    </row>
    <row r="2585" spans="1:7" x14ac:dyDescent="0.25">
      <c r="A2585" s="11" t="s">
        <v>6434</v>
      </c>
      <c r="B2585" s="11"/>
      <c r="C2585" s="1820">
        <v>26</v>
      </c>
      <c r="D2585" s="1820">
        <v>8116.8331388201505</v>
      </c>
      <c r="E2585" s="1821">
        <v>2351.2197331329498</v>
      </c>
      <c r="F2585" s="1822">
        <v>0.116864478816658</v>
      </c>
      <c r="G2585" s="1823">
        <v>3.3128359136572E-2</v>
      </c>
    </row>
    <row r="2586" spans="1:7" x14ac:dyDescent="0.25">
      <c r="A2586" s="6" t="s">
        <v>1197</v>
      </c>
      <c r="B2586" s="6"/>
      <c r="C2586" s="1816">
        <v>9</v>
      </c>
      <c r="D2586" s="1816">
        <v>8044.8490104819803</v>
      </c>
      <c r="E2586" s="1817">
        <v>5511.7623814553299</v>
      </c>
      <c r="F2586" s="1818">
        <v>0.115828066277748</v>
      </c>
      <c r="G2586" s="1819">
        <v>7.9044108052034295E-2</v>
      </c>
    </row>
    <row r="2587" spans="1:7" x14ac:dyDescent="0.25">
      <c r="A2587" s="11" t="s">
        <v>1139</v>
      </c>
      <c r="B2587" s="11"/>
      <c r="C2587" s="1820">
        <v>12</v>
      </c>
      <c r="D2587" s="1820">
        <v>7454.1585726892099</v>
      </c>
      <c r="E2587" s="1821">
        <v>5759.44380304877</v>
      </c>
      <c r="F2587" s="1822">
        <v>0.10732342795711</v>
      </c>
      <c r="G2587" s="1823">
        <v>8.31585267964976E-2</v>
      </c>
    </row>
    <row r="2588" spans="1:7" x14ac:dyDescent="0.25">
      <c r="A2588" s="6" t="s">
        <v>1314</v>
      </c>
      <c r="B2588" s="6"/>
      <c r="C2588" s="1816">
        <v>2</v>
      </c>
      <c r="D2588" s="1816">
        <v>6409.4864677929399</v>
      </c>
      <c r="E2588" s="1817">
        <v>6117.0668968714699</v>
      </c>
      <c r="F2588" s="1818">
        <v>9.2282455821178E-2</v>
      </c>
      <c r="G2588" s="1819">
        <v>8.8031732170079299E-2</v>
      </c>
    </row>
    <row r="2589" spans="1:7" x14ac:dyDescent="0.25">
      <c r="A2589" s="11" t="s">
        <v>1129</v>
      </c>
      <c r="B2589" s="11"/>
      <c r="C2589" s="1820">
        <v>8</v>
      </c>
      <c r="D2589" s="1820">
        <v>6145.08472923317</v>
      </c>
      <c r="E2589" s="1821">
        <v>2963.2120648061</v>
      </c>
      <c r="F2589" s="1822">
        <v>8.8475654468169407E-2</v>
      </c>
      <c r="G2589" s="1823">
        <v>4.3486164310064399E-2</v>
      </c>
    </row>
    <row r="2590" spans="1:7" x14ac:dyDescent="0.25">
      <c r="A2590" s="6" t="s">
        <v>1307</v>
      </c>
      <c r="B2590" s="6"/>
      <c r="C2590" s="1816">
        <v>6</v>
      </c>
      <c r="D2590" s="1816">
        <v>5956.9043566374403</v>
      </c>
      <c r="E2590" s="1817">
        <v>4248.5057059553001</v>
      </c>
      <c r="F2590" s="1818">
        <v>8.5766272521934098E-2</v>
      </c>
      <c r="G2590" s="1819">
        <v>6.14409287043007E-2</v>
      </c>
    </row>
    <row r="2591" spans="1:7" x14ac:dyDescent="0.25">
      <c r="A2591" s="11" t="s">
        <v>3323</v>
      </c>
      <c r="B2591" s="11"/>
      <c r="C2591" s="1820">
        <v>1</v>
      </c>
      <c r="D2591" s="1820">
        <v>5734.71583971359</v>
      </c>
      <c r="E2591" s="1821">
        <v>5895.32542710712</v>
      </c>
      <c r="F2591" s="1822">
        <v>8.2567248372334895E-2</v>
      </c>
      <c r="G2591" s="1823">
        <v>8.4902340667795201E-2</v>
      </c>
    </row>
    <row r="2592" spans="1:7" x14ac:dyDescent="0.25">
      <c r="A2592" s="6" t="s">
        <v>1193</v>
      </c>
      <c r="B2592" s="6"/>
      <c r="C2592" s="1816">
        <v>12</v>
      </c>
      <c r="D2592" s="1816">
        <v>5003.5105063610799</v>
      </c>
      <c r="E2592" s="1817">
        <v>2488.5602899790802</v>
      </c>
      <c r="F2592" s="1818">
        <v>7.2039505750460198E-2</v>
      </c>
      <c r="G2592" s="1819">
        <v>3.6039161338355503E-2</v>
      </c>
    </row>
    <row r="2593" spans="1:7" x14ac:dyDescent="0.25">
      <c r="A2593" s="11" t="s">
        <v>6645</v>
      </c>
      <c r="B2593" s="11"/>
      <c r="C2593" s="1820">
        <v>1</v>
      </c>
      <c r="D2593" s="1820">
        <v>4698.9302785793598</v>
      </c>
      <c r="E2593" s="1821">
        <v>4664.7560810801697</v>
      </c>
      <c r="F2593" s="1822">
        <v>6.7654222849012804E-2</v>
      </c>
      <c r="G2593" s="1823">
        <v>6.7092990828522298E-2</v>
      </c>
    </row>
    <row r="2594" spans="1:7" x14ac:dyDescent="0.25">
      <c r="A2594" s="6" t="s">
        <v>1309</v>
      </c>
      <c r="B2594" s="6"/>
      <c r="C2594" s="1816">
        <v>3</v>
      </c>
      <c r="D2594" s="1816">
        <v>4084.5998670658601</v>
      </c>
      <c r="E2594" s="1817">
        <v>3998.2413024920002</v>
      </c>
      <c r="F2594" s="1818">
        <v>5.8809221093416401E-2</v>
      </c>
      <c r="G2594" s="1819">
        <v>5.7537123251907601E-2</v>
      </c>
    </row>
    <row r="2595" spans="1:7" x14ac:dyDescent="0.25">
      <c r="A2595" s="11" t="s">
        <v>1189</v>
      </c>
      <c r="B2595" s="11"/>
      <c r="C2595" s="1820">
        <v>5</v>
      </c>
      <c r="D2595" s="1820">
        <v>3780.90249390296</v>
      </c>
      <c r="E2595" s="1821">
        <v>2967.88782018455</v>
      </c>
      <c r="F2595" s="1822">
        <v>5.4436649349526897E-2</v>
      </c>
      <c r="G2595" s="1823">
        <v>4.2609962271298499E-2</v>
      </c>
    </row>
    <row r="2596" spans="1:7" x14ac:dyDescent="0.25">
      <c r="A2596" s="6" t="s">
        <v>1303</v>
      </c>
      <c r="B2596" s="6"/>
      <c r="C2596" s="1816">
        <v>9</v>
      </c>
      <c r="D2596" s="1816">
        <v>3753.3814093348701</v>
      </c>
      <c r="E2596" s="1817">
        <v>2861.3397178273799</v>
      </c>
      <c r="F2596" s="1818">
        <v>5.4040406486144998E-2</v>
      </c>
      <c r="G2596" s="1819">
        <v>4.1306137505539103E-2</v>
      </c>
    </row>
    <row r="2597" spans="1:7" x14ac:dyDescent="0.25">
      <c r="A2597" s="11" t="s">
        <v>3187</v>
      </c>
      <c r="B2597" s="11"/>
      <c r="C2597" s="1820">
        <v>9</v>
      </c>
      <c r="D2597" s="1820">
        <v>3665.4796829730399</v>
      </c>
      <c r="E2597" s="1821">
        <v>2555.8100289027302</v>
      </c>
      <c r="F2597" s="1822">
        <v>5.2774815674720102E-2</v>
      </c>
      <c r="G2597" s="1823">
        <v>3.7190396434443301E-2</v>
      </c>
    </row>
    <row r="2598" spans="1:7" x14ac:dyDescent="0.25">
      <c r="A2598" s="6" t="s">
        <v>3215</v>
      </c>
      <c r="B2598" s="6"/>
      <c r="C2598" s="1816">
        <v>2</v>
      </c>
      <c r="D2598" s="1816">
        <v>3219.40406610134</v>
      </c>
      <c r="E2598" s="1817">
        <v>3226.1909438924899</v>
      </c>
      <c r="F2598" s="1818">
        <v>4.6352311529697397E-2</v>
      </c>
      <c r="G2598" s="1819">
        <v>4.6359984184071099E-2</v>
      </c>
    </row>
    <row r="2599" spans="1:7" x14ac:dyDescent="0.25">
      <c r="A2599" s="11" t="s">
        <v>6646</v>
      </c>
      <c r="B2599" s="11"/>
      <c r="C2599" s="1820">
        <v>1</v>
      </c>
      <c r="D2599" s="1820">
        <v>2045.10734223498</v>
      </c>
      <c r="E2599" s="1821">
        <v>2082.8808534898799</v>
      </c>
      <c r="F2599" s="1822">
        <v>2.9445031034499299E-2</v>
      </c>
      <c r="G2599" s="1823">
        <v>2.9964781414087701E-2</v>
      </c>
    </row>
    <row r="2600" spans="1:7" x14ac:dyDescent="0.25">
      <c r="A2600" s="6" t="s">
        <v>3541</v>
      </c>
      <c r="B2600" s="6"/>
      <c r="C2600" s="1816">
        <v>2</v>
      </c>
      <c r="D2600" s="1816">
        <v>1767.0670361213399</v>
      </c>
      <c r="E2600" s="1817">
        <v>1784.1590660581701</v>
      </c>
      <c r="F2600" s="1818">
        <v>2.5441864416647898E-2</v>
      </c>
      <c r="G2600" s="1819">
        <v>2.5703654392360602E-2</v>
      </c>
    </row>
    <row r="2601" spans="1:7" x14ac:dyDescent="0.25">
      <c r="A2601" s="11" t="s">
        <v>1217</v>
      </c>
      <c r="B2601" s="11"/>
      <c r="C2601" s="1820">
        <v>1</v>
      </c>
      <c r="D2601" s="1820">
        <v>1359.3510362336001</v>
      </c>
      <c r="E2601" s="1821">
        <v>1366.5910752586301</v>
      </c>
      <c r="F2601" s="1822">
        <v>1.95716540751034E-2</v>
      </c>
      <c r="G2601" s="1823">
        <v>1.96213554196654E-2</v>
      </c>
    </row>
    <row r="2602" spans="1:7" x14ac:dyDescent="0.25">
      <c r="A2602" s="6" t="s">
        <v>4437</v>
      </c>
      <c r="B2602" s="6"/>
      <c r="C2602" s="1816">
        <v>5</v>
      </c>
      <c r="D2602" s="1816">
        <v>1318.70802782699</v>
      </c>
      <c r="E2602" s="1817">
        <v>874.30264594249297</v>
      </c>
      <c r="F2602" s="1818">
        <v>1.8986484475858701E-2</v>
      </c>
      <c r="G2602" s="1819">
        <v>1.2621520371062201E-2</v>
      </c>
    </row>
    <row r="2603" spans="1:7" x14ac:dyDescent="0.25">
      <c r="A2603" s="11" t="s">
        <v>6525</v>
      </c>
      <c r="B2603" s="11"/>
      <c r="C2603" s="1820">
        <v>1</v>
      </c>
      <c r="D2603" s="1820">
        <v>1269.64931055383</v>
      </c>
      <c r="E2603" s="1821">
        <v>1291.4041061990199</v>
      </c>
      <c r="F2603" s="1822">
        <v>1.8280147247103602E-2</v>
      </c>
      <c r="G2603" s="1823">
        <v>1.8625334194415401E-2</v>
      </c>
    </row>
    <row r="2604" spans="1:7" x14ac:dyDescent="0.25">
      <c r="A2604" s="6" t="s">
        <v>3236</v>
      </c>
      <c r="B2604" s="6"/>
      <c r="C2604" s="1816">
        <v>2</v>
      </c>
      <c r="D2604" s="1816">
        <v>1076.7261581825401</v>
      </c>
      <c r="E2604" s="1817">
        <v>1081.83179740265</v>
      </c>
      <c r="F2604" s="1818">
        <v>1.5502479742062999E-2</v>
      </c>
      <c r="G2604" s="1819">
        <v>1.55855009404328E-2</v>
      </c>
    </row>
    <row r="2605" spans="1:7" x14ac:dyDescent="0.25">
      <c r="A2605" s="11" t="s">
        <v>1205</v>
      </c>
      <c r="B2605" s="11"/>
      <c r="C2605" s="1820">
        <v>2</v>
      </c>
      <c r="D2605" s="1820">
        <v>978.54363593121104</v>
      </c>
      <c r="E2605" s="1821">
        <v>984.91812892741996</v>
      </c>
      <c r="F2605" s="1822">
        <v>1.40888681652856E-2</v>
      </c>
      <c r="G2605" s="1823">
        <v>1.42049184440757E-2</v>
      </c>
    </row>
    <row r="2606" spans="1:7" x14ac:dyDescent="0.25">
      <c r="A2606" s="6" t="s">
        <v>1137</v>
      </c>
      <c r="B2606" s="6"/>
      <c r="C2606" s="1816">
        <v>3</v>
      </c>
      <c r="D2606" s="1816">
        <v>773.06357076555298</v>
      </c>
      <c r="E2606" s="1817">
        <v>483.69799728444099</v>
      </c>
      <c r="F2606" s="1818">
        <v>1.1130408836123099E-2</v>
      </c>
      <c r="G2606" s="1819">
        <v>7.0323314016437497E-3</v>
      </c>
    </row>
    <row r="2607" spans="1:7" x14ac:dyDescent="0.25">
      <c r="A2607" s="11" t="s">
        <v>1125</v>
      </c>
      <c r="B2607" s="11"/>
      <c r="C2607" s="1820">
        <v>4</v>
      </c>
      <c r="D2607" s="1820">
        <v>768.44759383782798</v>
      </c>
      <c r="E2607" s="1821">
        <v>639.99975373084396</v>
      </c>
      <c r="F2607" s="1822">
        <v>1.10639489584021E-2</v>
      </c>
      <c r="G2607" s="1823">
        <v>9.2589735518397304E-3</v>
      </c>
    </row>
    <row r="2608" spans="1:7" x14ac:dyDescent="0.25">
      <c r="A2608" s="6" t="s">
        <v>3207</v>
      </c>
      <c r="B2608" s="6"/>
      <c r="C2608" s="1816">
        <v>1</v>
      </c>
      <c r="D2608" s="1816">
        <v>740.54353358209403</v>
      </c>
      <c r="E2608" s="1817">
        <v>742.65016606046095</v>
      </c>
      <c r="F2608" s="1818">
        <v>1.0662192090559301E-2</v>
      </c>
      <c r="G2608" s="1819">
        <v>1.07217789895019E-2</v>
      </c>
    </row>
    <row r="2609" spans="1:7" x14ac:dyDescent="0.25">
      <c r="A2609" s="11" t="s">
        <v>3238</v>
      </c>
      <c r="B2609" s="11"/>
      <c r="C2609" s="1820">
        <v>3</v>
      </c>
      <c r="D2609" s="1820">
        <v>648.36660457079699</v>
      </c>
      <c r="E2609" s="1821">
        <v>606.835250368983</v>
      </c>
      <c r="F2609" s="1822">
        <v>9.3350477987411695E-3</v>
      </c>
      <c r="G2609" s="1823">
        <v>8.7321999756154508E-3</v>
      </c>
    </row>
    <row r="2610" spans="1:7" x14ac:dyDescent="0.25">
      <c r="A2610" s="6" t="s">
        <v>3189</v>
      </c>
      <c r="B2610" s="6"/>
      <c r="C2610" s="1816">
        <v>2</v>
      </c>
      <c r="D2610" s="1816">
        <v>641.71837660863798</v>
      </c>
      <c r="E2610" s="1817">
        <v>511.32908783168199</v>
      </c>
      <c r="F2610" s="1818">
        <v>9.2393279924368899E-3</v>
      </c>
      <c r="G2610" s="1819">
        <v>7.3877058756520401E-3</v>
      </c>
    </row>
    <row r="2611" spans="1:7" x14ac:dyDescent="0.25">
      <c r="A2611" s="11" t="s">
        <v>1305</v>
      </c>
      <c r="B2611" s="11"/>
      <c r="C2611" s="1820">
        <v>2</v>
      </c>
      <c r="D2611" s="1820">
        <v>504.73318253737398</v>
      </c>
      <c r="E2611" s="1821">
        <v>347.86015071341899</v>
      </c>
      <c r="F2611" s="1822">
        <v>7.2670436006126099E-3</v>
      </c>
      <c r="G2611" s="1823">
        <v>5.01860671468074E-3</v>
      </c>
    </row>
    <row r="2612" spans="1:7" x14ac:dyDescent="0.25">
      <c r="A2612" s="6" t="s">
        <v>3174</v>
      </c>
      <c r="B2612" s="6"/>
      <c r="C2612" s="1816">
        <v>3</v>
      </c>
      <c r="D2612" s="1816">
        <v>445.49757790479799</v>
      </c>
      <c r="E2612" s="1817">
        <v>448.424154382263</v>
      </c>
      <c r="F2612" s="1818">
        <v>6.4141816599540798E-3</v>
      </c>
      <c r="G2612" s="1819">
        <v>6.4565249054699897E-3</v>
      </c>
    </row>
    <row r="2613" spans="1:7" x14ac:dyDescent="0.25">
      <c r="A2613" s="11" t="s">
        <v>1141</v>
      </c>
      <c r="B2613" s="11"/>
      <c r="C2613" s="1820">
        <v>3</v>
      </c>
      <c r="D2613" s="1820">
        <v>347.81100016365298</v>
      </c>
      <c r="E2613" s="1821">
        <v>346.373615124575</v>
      </c>
      <c r="F2613" s="1822">
        <v>5.0077105892969301E-3</v>
      </c>
      <c r="G2613" s="1823">
        <v>4.9847318123245896E-3</v>
      </c>
    </row>
    <row r="2614" spans="1:7" x14ac:dyDescent="0.25">
      <c r="A2614" s="6" t="s">
        <v>6647</v>
      </c>
      <c r="B2614" s="6"/>
      <c r="C2614" s="1816">
        <v>1</v>
      </c>
      <c r="D2614" s="1816">
        <v>337.67740875518501</v>
      </c>
      <c r="E2614" s="1817">
        <v>337.83142049718202</v>
      </c>
      <c r="F2614" s="1818">
        <v>4.8618092435087903E-3</v>
      </c>
      <c r="G2614" s="1819">
        <v>4.8605248074227404E-3</v>
      </c>
    </row>
    <row r="2615" spans="1:7" x14ac:dyDescent="0.25">
      <c r="A2615" s="11" t="s">
        <v>3361</v>
      </c>
      <c r="B2615" s="11"/>
      <c r="C2615" s="1820">
        <v>1</v>
      </c>
      <c r="D2615" s="1820">
        <v>305.82935002900598</v>
      </c>
      <c r="E2615" s="1821">
        <v>308.05013517648001</v>
      </c>
      <c r="F2615" s="1822">
        <v>4.4032675042981403E-3</v>
      </c>
      <c r="G2615" s="1823">
        <v>4.4191342984968504E-3</v>
      </c>
    </row>
    <row r="2616" spans="1:7" x14ac:dyDescent="0.25">
      <c r="A2616" s="6" t="s">
        <v>1213</v>
      </c>
      <c r="B2616" s="6"/>
      <c r="C2616" s="1816">
        <v>1</v>
      </c>
      <c r="D2616" s="1816">
        <v>303.54945749211998</v>
      </c>
      <c r="E2616" s="1817">
        <v>304.45309790298597</v>
      </c>
      <c r="F2616" s="1818">
        <v>4.3704420847626704E-3</v>
      </c>
      <c r="G2616" s="1819">
        <v>4.3803462358058204E-3</v>
      </c>
    </row>
    <row r="2617" spans="1:7" x14ac:dyDescent="0.25">
      <c r="A2617" s="11" t="s">
        <v>6648</v>
      </c>
      <c r="B2617" s="11"/>
      <c r="C2617" s="1820">
        <v>1</v>
      </c>
      <c r="D2617" s="1820">
        <v>301.38093917557802</v>
      </c>
      <c r="E2617" s="1821">
        <v>300.22444373555999</v>
      </c>
      <c r="F2617" s="1822">
        <v>4.3392202081350799E-3</v>
      </c>
      <c r="G2617" s="1823">
        <v>4.3193836942578704E-3</v>
      </c>
    </row>
    <row r="2618" spans="1:7" x14ac:dyDescent="0.25">
      <c r="A2618" s="6" t="s">
        <v>6649</v>
      </c>
      <c r="B2618" s="6"/>
      <c r="C2618" s="1816">
        <v>1</v>
      </c>
      <c r="D2618" s="1816">
        <v>290.89343740116499</v>
      </c>
      <c r="E2618" s="1817">
        <v>293.86355033572801</v>
      </c>
      <c r="F2618" s="1818">
        <v>4.1882233343550996E-3</v>
      </c>
      <c r="G2618" s="1819">
        <v>4.2240417958390496E-3</v>
      </c>
    </row>
    <row r="2619" spans="1:7" x14ac:dyDescent="0.25">
      <c r="A2619" s="11" t="s">
        <v>3479</v>
      </c>
      <c r="B2619" s="11"/>
      <c r="C2619" s="1820">
        <v>4</v>
      </c>
      <c r="D2619" s="1820">
        <v>247.58121030254</v>
      </c>
      <c r="E2619" s="1821">
        <v>252.60265138133099</v>
      </c>
      <c r="F2619" s="1822">
        <v>3.5646228784012501E-3</v>
      </c>
      <c r="G2619" s="1823">
        <v>3.6333980514134802E-3</v>
      </c>
    </row>
    <row r="2620" spans="1:7" x14ac:dyDescent="0.25">
      <c r="A2620" s="6" t="s">
        <v>6650</v>
      </c>
      <c r="B2620" s="6"/>
      <c r="C2620" s="1816">
        <v>1</v>
      </c>
      <c r="D2620" s="1816">
        <v>212.86580145701299</v>
      </c>
      <c r="E2620" s="1817">
        <v>212.36610442516599</v>
      </c>
      <c r="F2620" s="1818">
        <v>3.0647976273145399E-3</v>
      </c>
      <c r="G2620" s="1819">
        <v>3.0555980465571198E-3</v>
      </c>
    </row>
    <row r="2621" spans="1:7" x14ac:dyDescent="0.25">
      <c r="A2621" s="11" t="s">
        <v>3176</v>
      </c>
      <c r="B2621" s="11"/>
      <c r="C2621" s="1820">
        <v>2</v>
      </c>
      <c r="D2621" s="1820">
        <v>187.922973667138</v>
      </c>
      <c r="E2621" s="1821">
        <v>139.91947305606101</v>
      </c>
      <c r="F2621" s="1822">
        <v>2.70567596988682E-3</v>
      </c>
      <c r="G2621" s="1823">
        <v>2.0008841938330001E-3</v>
      </c>
    </row>
    <row r="2622" spans="1:7" x14ac:dyDescent="0.25">
      <c r="A2622" s="6" t="s">
        <v>3359</v>
      </c>
      <c r="B2622" s="6"/>
      <c r="C2622" s="1816">
        <v>1</v>
      </c>
      <c r="D2622" s="1816">
        <v>180.69482867413501</v>
      </c>
      <c r="E2622" s="1817">
        <v>180.48172618542</v>
      </c>
      <c r="F2622" s="1818">
        <v>2.60160663853903E-3</v>
      </c>
      <c r="G2622" s="1819">
        <v>2.5925365518315001E-3</v>
      </c>
    </row>
    <row r="2623" spans="1:7" x14ac:dyDescent="0.25">
      <c r="A2623" s="11" t="s">
        <v>6651</v>
      </c>
      <c r="B2623" s="11"/>
      <c r="C2623" s="1820">
        <v>1</v>
      </c>
      <c r="D2623" s="1820">
        <v>177.23462907546201</v>
      </c>
      <c r="E2623" s="1821">
        <v>178.40395033297401</v>
      </c>
      <c r="F2623" s="1822">
        <v>2.55178740291048E-3</v>
      </c>
      <c r="G2623" s="1823">
        <v>2.56177669665797E-3</v>
      </c>
    </row>
    <row r="2624" spans="1:7" x14ac:dyDescent="0.25">
      <c r="A2624" s="6" t="s">
        <v>6652</v>
      </c>
      <c r="B2624" s="6"/>
      <c r="C2624" s="1816">
        <v>2</v>
      </c>
      <c r="D2624" s="1816">
        <v>162.25864460338701</v>
      </c>
      <c r="E2624" s="1817">
        <v>116.72599414150299</v>
      </c>
      <c r="F2624" s="1818">
        <v>2.3361662868714001E-3</v>
      </c>
      <c r="G2624" s="1819">
        <v>1.6902730223343401E-3</v>
      </c>
    </row>
    <row r="2625" spans="1:7" x14ac:dyDescent="0.25">
      <c r="A2625" s="11" t="s">
        <v>1191</v>
      </c>
      <c r="B2625" s="11"/>
      <c r="C2625" s="1820">
        <v>1</v>
      </c>
      <c r="D2625" s="1820">
        <v>145.89231855868701</v>
      </c>
      <c r="E2625" s="1821">
        <v>145.59289121098899</v>
      </c>
      <c r="F2625" s="1822">
        <v>2.1005273214465899E-3</v>
      </c>
      <c r="G2625" s="1823">
        <v>2.0962533085117098E-3</v>
      </c>
    </row>
    <row r="2626" spans="1:7" x14ac:dyDescent="0.25">
      <c r="A2626" s="6" t="s">
        <v>6653</v>
      </c>
      <c r="B2626" s="6"/>
      <c r="C2626" s="1816">
        <v>2</v>
      </c>
      <c r="D2626" s="1816">
        <v>119.83984497230701</v>
      </c>
      <c r="E2626" s="1817">
        <v>120.59759612618301</v>
      </c>
      <c r="F2626" s="1818">
        <v>1.72542921415698E-3</v>
      </c>
      <c r="G2626" s="1819">
        <v>1.7353953545775601E-3</v>
      </c>
    </row>
    <row r="2627" spans="1:7" x14ac:dyDescent="0.25">
      <c r="A2627" s="11" t="s">
        <v>6654</v>
      </c>
      <c r="B2627" s="11"/>
      <c r="C2627" s="1820">
        <v>1</v>
      </c>
      <c r="D2627" s="1820">
        <v>112.811382901114</v>
      </c>
      <c r="E2627" s="1821">
        <v>113.358926844807</v>
      </c>
      <c r="F2627" s="1822">
        <v>1.6242348760715699E-3</v>
      </c>
      <c r="G2627" s="1823">
        <v>1.6307159471712E-3</v>
      </c>
    </row>
    <row r="2628" spans="1:7" x14ac:dyDescent="0.25">
      <c r="A2628" s="6" t="s">
        <v>1311</v>
      </c>
      <c r="B2628" s="6"/>
      <c r="C2628" s="1816">
        <v>1</v>
      </c>
      <c r="D2628" s="1816">
        <v>110.55567158839401</v>
      </c>
      <c r="E2628" s="1817">
        <v>110.662766475686</v>
      </c>
      <c r="F2628" s="1818">
        <v>1.59175761278263E-3</v>
      </c>
      <c r="G2628" s="1819">
        <v>1.5937769449770899E-3</v>
      </c>
    </row>
    <row r="2629" spans="1:7" x14ac:dyDescent="0.25">
      <c r="A2629" s="11" t="s">
        <v>6527</v>
      </c>
      <c r="B2629" s="11"/>
      <c r="C2629" s="1820">
        <v>2</v>
      </c>
      <c r="D2629" s="1820">
        <v>103.713888122047</v>
      </c>
      <c r="E2629" s="1821">
        <v>70.919408043112895</v>
      </c>
      <c r="F2629" s="1822">
        <v>1.49325103450309E-3</v>
      </c>
      <c r="G2629" s="1823">
        <v>1.0111056129980299E-3</v>
      </c>
    </row>
    <row r="2630" spans="1:7" x14ac:dyDescent="0.25">
      <c r="A2630" s="6" t="s">
        <v>1187</v>
      </c>
      <c r="B2630" s="6"/>
      <c r="C2630" s="1816">
        <v>1</v>
      </c>
      <c r="D2630" s="1816">
        <v>72.643717247474399</v>
      </c>
      <c r="E2630" s="1817">
        <v>72.424716553166206</v>
      </c>
      <c r="F2630" s="1818">
        <v>1.0459091631228E-3</v>
      </c>
      <c r="G2630" s="1819">
        <v>1.04354095318811E-3</v>
      </c>
    </row>
    <row r="2631" spans="1:7" x14ac:dyDescent="0.25">
      <c r="A2631" s="11" t="s">
        <v>3209</v>
      </c>
      <c r="B2631" s="11"/>
      <c r="C2631" s="1820">
        <v>1</v>
      </c>
      <c r="D2631" s="1820">
        <v>67.378990592966005</v>
      </c>
      <c r="E2631" s="1821">
        <v>67.340378361634293</v>
      </c>
      <c r="F2631" s="1822">
        <v>9.70108721488891E-4</v>
      </c>
      <c r="G2631" s="1823">
        <v>9.6756630358963498E-4</v>
      </c>
    </row>
    <row r="2632" spans="1:7" x14ac:dyDescent="0.25">
      <c r="A2632" s="6" t="s">
        <v>6655</v>
      </c>
      <c r="B2632" s="6"/>
      <c r="C2632" s="1816">
        <v>1</v>
      </c>
      <c r="D2632" s="1816">
        <v>57.7803687313626</v>
      </c>
      <c r="E2632" s="1817">
        <v>57.452230136651799</v>
      </c>
      <c r="F2632" s="1818">
        <v>8.31909756199145E-4</v>
      </c>
      <c r="G2632" s="1819">
        <v>8.2689417474565599E-4</v>
      </c>
    </row>
    <row r="2633" spans="1:7" x14ac:dyDescent="0.25">
      <c r="A2633" s="11" t="s">
        <v>3180</v>
      </c>
      <c r="B2633" s="11"/>
      <c r="C2633" s="1820">
        <v>1</v>
      </c>
      <c r="D2633" s="1820">
        <v>40.225233928953401</v>
      </c>
      <c r="E2633" s="1821">
        <v>40.581226481654298</v>
      </c>
      <c r="F2633" s="1822">
        <v>5.7915456902796496E-4</v>
      </c>
      <c r="G2633" s="1823">
        <v>5.8433664990943798E-4</v>
      </c>
    </row>
    <row r="2634" spans="1:7" x14ac:dyDescent="0.25">
      <c r="A2634" s="6" t="s">
        <v>1088</v>
      </c>
      <c r="B2634" s="6" t="s">
        <v>1089</v>
      </c>
      <c r="C2634" s="1816">
        <v>25153</v>
      </c>
      <c r="D2634" s="1816">
        <v>22909354.086488102</v>
      </c>
      <c r="E2634" s="1817">
        <v>262063.11517872399</v>
      </c>
      <c r="F2634" s="1818">
        <v>71.148589665477104</v>
      </c>
      <c r="G2634" s="1819">
        <v>0.71103920198918102</v>
      </c>
    </row>
    <row r="2635" spans="1:7" x14ac:dyDescent="0.25">
      <c r="A2635" s="11" t="s">
        <v>1102</v>
      </c>
      <c r="B2635" s="11" t="s">
        <v>1103</v>
      </c>
      <c r="C2635" s="1820">
        <v>17043</v>
      </c>
      <c r="D2635" s="1820">
        <v>9289954.7040334791</v>
      </c>
      <c r="E2635" s="1821">
        <v>231128.72103120899</v>
      </c>
      <c r="F2635" s="1822">
        <v>28.8514103345229</v>
      </c>
      <c r="G2635" s="1823">
        <v>0.71103920198917503</v>
      </c>
    </row>
    <row r="2636" spans="1:7" x14ac:dyDescent="0.25">
      <c r="A2636" s="6" t="s">
        <v>6417</v>
      </c>
      <c r="B2636" s="6" t="s">
        <v>6418</v>
      </c>
      <c r="C2636" s="1816">
        <v>13611</v>
      </c>
      <c r="D2636" s="1816">
        <v>6945509.2094786</v>
      </c>
      <c r="E2636" s="1817">
        <v>164261.75549947901</v>
      </c>
      <c r="F2636" s="1818">
        <v>17.743112790762201</v>
      </c>
      <c r="G2636" s="1819">
        <v>0.419625799510633</v>
      </c>
    </row>
    <row r="2637" spans="1:7" x14ac:dyDescent="0.25">
      <c r="A2637" s="11" t="s">
        <v>6417</v>
      </c>
      <c r="B2637" s="11" t="s">
        <v>6419</v>
      </c>
      <c r="C2637" s="1820">
        <v>55807</v>
      </c>
      <c r="D2637" s="1820">
        <v>39144818.000000097</v>
      </c>
      <c r="E2637" s="1821">
        <v>0</v>
      </c>
      <c r="F2637" s="1822">
        <v>100</v>
      </c>
      <c r="G2637" s="1823">
        <v>0</v>
      </c>
    </row>
    <row r="2638" spans="1:7" x14ac:dyDescent="0.25">
      <c r="A2638" s="3729" t="s">
        <v>630</v>
      </c>
      <c r="B2638" s="3730"/>
      <c r="C2638" s="3730"/>
      <c r="D2638" s="3730"/>
      <c r="E2638" s="3730"/>
      <c r="F2638" s="3730"/>
      <c r="G2638" s="3730"/>
    </row>
    <row r="2639" spans="1:7" x14ac:dyDescent="0.25">
      <c r="A2639" s="11" t="s">
        <v>6427</v>
      </c>
      <c r="B2639" s="11"/>
      <c r="C2639" s="1828">
        <v>7859</v>
      </c>
      <c r="D2639" s="1828">
        <v>4000994.4869550602</v>
      </c>
      <c r="E2639" s="1829">
        <v>133749.96713622901</v>
      </c>
      <c r="F2639" s="1830">
        <v>36.609282785671397</v>
      </c>
      <c r="G2639" s="1831">
        <v>1.104088903819</v>
      </c>
    </row>
    <row r="2640" spans="1:7" x14ac:dyDescent="0.25">
      <c r="A2640" s="6" t="s">
        <v>6426</v>
      </c>
      <c r="B2640" s="6"/>
      <c r="C2640" s="1824">
        <v>5078</v>
      </c>
      <c r="D2640" s="1824">
        <v>2554090.2565493002</v>
      </c>
      <c r="E2640" s="1825">
        <v>95870.070658478697</v>
      </c>
      <c r="F2640" s="1826">
        <v>23.370042814855601</v>
      </c>
      <c r="G2640" s="1827">
        <v>0.870408319425511</v>
      </c>
    </row>
    <row r="2641" spans="1:7" x14ac:dyDescent="0.25">
      <c r="A2641" s="11" t="s">
        <v>1292</v>
      </c>
      <c r="B2641" s="11"/>
      <c r="C2641" s="1828">
        <v>2256</v>
      </c>
      <c r="D2641" s="1828">
        <v>1243872.06358864</v>
      </c>
      <c r="E2641" s="1829">
        <v>64785.525055887003</v>
      </c>
      <c r="F2641" s="1830">
        <v>11.3814863463531</v>
      </c>
      <c r="G2641" s="1831">
        <v>0.46757330649701101</v>
      </c>
    </row>
    <row r="2642" spans="1:7" x14ac:dyDescent="0.25">
      <c r="A2642" s="6" t="s">
        <v>6429</v>
      </c>
      <c r="B2642" s="6"/>
      <c r="C2642" s="1824">
        <v>2103</v>
      </c>
      <c r="D2642" s="1824">
        <v>1014734.61587402</v>
      </c>
      <c r="E2642" s="1825">
        <v>48185.606837700601</v>
      </c>
      <c r="F2642" s="1826">
        <v>9.2848682061578103</v>
      </c>
      <c r="G2642" s="1827">
        <v>0.41911084316818298</v>
      </c>
    </row>
    <row r="2643" spans="1:7" x14ac:dyDescent="0.25">
      <c r="A2643" s="11" t="s">
        <v>6428</v>
      </c>
      <c r="B2643" s="11"/>
      <c r="C2643" s="1828">
        <v>1482</v>
      </c>
      <c r="D2643" s="1828">
        <v>776927.34696883603</v>
      </c>
      <c r="E2643" s="1829">
        <v>36200.422010460199</v>
      </c>
      <c r="F2643" s="1830">
        <v>7.1089208050245896</v>
      </c>
      <c r="G2643" s="1831">
        <v>0.32026604029512501</v>
      </c>
    </row>
    <row r="2644" spans="1:7" x14ac:dyDescent="0.25">
      <c r="A2644" s="6" t="s">
        <v>6430</v>
      </c>
      <c r="B2644" s="6"/>
      <c r="C2644" s="1824">
        <v>830</v>
      </c>
      <c r="D2644" s="1824">
        <v>469895.89025109698</v>
      </c>
      <c r="E2644" s="1825">
        <v>51014.280773491198</v>
      </c>
      <c r="F2644" s="1826">
        <v>4.2995689152071597</v>
      </c>
      <c r="G2644" s="1827">
        <v>0.45424212618335702</v>
      </c>
    </row>
    <row r="2645" spans="1:7" x14ac:dyDescent="0.25">
      <c r="A2645" s="11" t="s">
        <v>6431</v>
      </c>
      <c r="B2645" s="11"/>
      <c r="C2645" s="1828">
        <v>467</v>
      </c>
      <c r="D2645" s="1828">
        <v>174901.578168718</v>
      </c>
      <c r="E2645" s="1829">
        <v>29104.347636508799</v>
      </c>
      <c r="F2645" s="1830">
        <v>1.6003574500578199</v>
      </c>
      <c r="G2645" s="1831">
        <v>0.26191742972107102</v>
      </c>
    </row>
    <row r="2646" spans="1:7" x14ac:dyDescent="0.25">
      <c r="A2646" s="6" t="s">
        <v>1123</v>
      </c>
      <c r="B2646" s="6"/>
      <c r="C2646" s="1824">
        <v>344</v>
      </c>
      <c r="D2646" s="1824">
        <v>156442.05203195199</v>
      </c>
      <c r="E2646" s="1825">
        <v>27209.715884772198</v>
      </c>
      <c r="F2646" s="1826">
        <v>1.4314519405317001</v>
      </c>
      <c r="G2646" s="1827">
        <v>0.24032008005956401</v>
      </c>
    </row>
    <row r="2647" spans="1:7" x14ac:dyDescent="0.25">
      <c r="A2647" s="11" t="s">
        <v>6433</v>
      </c>
      <c r="B2647" s="11"/>
      <c r="C2647" s="1828">
        <v>378</v>
      </c>
      <c r="D2647" s="1828">
        <v>152083.707364962</v>
      </c>
      <c r="E2647" s="1829">
        <v>11439.7053872261</v>
      </c>
      <c r="F2647" s="1830">
        <v>1.3915728872334501</v>
      </c>
      <c r="G2647" s="1831">
        <v>9.8330758468693602E-2</v>
      </c>
    </row>
    <row r="2648" spans="1:7" x14ac:dyDescent="0.25">
      <c r="A2648" s="6" t="s">
        <v>6432</v>
      </c>
      <c r="B2648" s="6"/>
      <c r="C2648" s="1824">
        <v>137</v>
      </c>
      <c r="D2648" s="1824">
        <v>68372.796606211807</v>
      </c>
      <c r="E2648" s="1825">
        <v>13104.1823731859</v>
      </c>
      <c r="F2648" s="1826">
        <v>0.62561422015578805</v>
      </c>
      <c r="G2648" s="1827">
        <v>0.11981974072309599</v>
      </c>
    </row>
    <row r="2649" spans="1:7" x14ac:dyDescent="0.25">
      <c r="A2649" s="11" t="s">
        <v>1301</v>
      </c>
      <c r="B2649" s="11"/>
      <c r="C2649" s="1828">
        <v>69</v>
      </c>
      <c r="D2649" s="1828">
        <v>50179.2765661659</v>
      </c>
      <c r="E2649" s="1829">
        <v>11299.068682871401</v>
      </c>
      <c r="F2649" s="1830">
        <v>0.45914267859669999</v>
      </c>
      <c r="G2649" s="1831">
        <v>0.10008597367498601</v>
      </c>
    </row>
    <row r="2650" spans="1:7" x14ac:dyDescent="0.25">
      <c r="A2650" s="6" t="s">
        <v>1127</v>
      </c>
      <c r="B2650" s="6"/>
      <c r="C2650" s="1824">
        <v>76</v>
      </c>
      <c r="D2650" s="1824">
        <v>39098.211031757397</v>
      </c>
      <c r="E2650" s="1825">
        <v>9494.7400900264802</v>
      </c>
      <c r="F2650" s="1826">
        <v>0.35775042148703201</v>
      </c>
      <c r="G2650" s="1827">
        <v>8.8240034260452904E-2</v>
      </c>
    </row>
    <row r="2651" spans="1:7" x14ac:dyDescent="0.25">
      <c r="A2651" s="11" t="s">
        <v>1295</v>
      </c>
      <c r="B2651" s="11"/>
      <c r="C2651" s="1828">
        <v>77</v>
      </c>
      <c r="D2651" s="1828">
        <v>32845.213790788599</v>
      </c>
      <c r="E2651" s="1829">
        <v>6872.9597204623196</v>
      </c>
      <c r="F2651" s="1830">
        <v>0.30053521036914099</v>
      </c>
      <c r="G2651" s="1831">
        <v>6.1498638372831198E-2</v>
      </c>
    </row>
    <row r="2652" spans="1:7" x14ac:dyDescent="0.25">
      <c r="A2652" s="6" t="s">
        <v>1133</v>
      </c>
      <c r="B2652" s="6"/>
      <c r="C2652" s="1824">
        <v>52</v>
      </c>
      <c r="D2652" s="1824">
        <v>22779.240531715499</v>
      </c>
      <c r="E2652" s="1825">
        <v>8354.00466995016</v>
      </c>
      <c r="F2652" s="1826">
        <v>0.20843109406608101</v>
      </c>
      <c r="G2652" s="1827">
        <v>7.6291963329753396E-2</v>
      </c>
    </row>
    <row r="2653" spans="1:7" x14ac:dyDescent="0.25">
      <c r="A2653" s="11" t="s">
        <v>1135</v>
      </c>
      <c r="B2653" s="11"/>
      <c r="C2653" s="1828">
        <v>46</v>
      </c>
      <c r="D2653" s="1828">
        <v>22168.0867987745</v>
      </c>
      <c r="E2653" s="1829">
        <v>9434.9185538427992</v>
      </c>
      <c r="F2653" s="1830">
        <v>0.20283900942119901</v>
      </c>
      <c r="G2653" s="1831">
        <v>8.6355076415736698E-2</v>
      </c>
    </row>
    <row r="2654" spans="1:7" x14ac:dyDescent="0.25">
      <c r="A2654" s="6" t="s">
        <v>6652</v>
      </c>
      <c r="B2654" s="6"/>
      <c r="C2654" s="1824">
        <v>5</v>
      </c>
      <c r="D2654" s="1824">
        <v>13590.9367413091</v>
      </c>
      <c r="E2654" s="1825">
        <v>10446.160210587601</v>
      </c>
      <c r="F2654" s="1826">
        <v>0.124357693595178</v>
      </c>
      <c r="G2654" s="1827">
        <v>9.6008427953523101E-2</v>
      </c>
    </row>
    <row r="2655" spans="1:7" x14ac:dyDescent="0.25">
      <c r="A2655" s="11" t="s">
        <v>6527</v>
      </c>
      <c r="B2655" s="11"/>
      <c r="C2655" s="1828">
        <v>4</v>
      </c>
      <c r="D2655" s="1828">
        <v>11076.362099592099</v>
      </c>
      <c r="E2655" s="1829">
        <v>9843.3417799626295</v>
      </c>
      <c r="F2655" s="1830">
        <v>0.1013492204657</v>
      </c>
      <c r="G2655" s="1831">
        <v>9.0137710437079605E-2</v>
      </c>
    </row>
    <row r="2656" spans="1:7" x14ac:dyDescent="0.25">
      <c r="A2656" s="6" t="s">
        <v>6525</v>
      </c>
      <c r="B2656" s="6"/>
      <c r="C2656" s="1824">
        <v>10</v>
      </c>
      <c r="D2656" s="1824">
        <v>10954.4157251092</v>
      </c>
      <c r="E2656" s="1825">
        <v>10300.9250475237</v>
      </c>
      <c r="F2656" s="1826">
        <v>0.100233405554511</v>
      </c>
      <c r="G2656" s="1827">
        <v>9.4265439129045406E-2</v>
      </c>
    </row>
    <row r="2657" spans="1:7" x14ac:dyDescent="0.25">
      <c r="A2657" s="11" t="s">
        <v>1303</v>
      </c>
      <c r="B2657" s="11"/>
      <c r="C2657" s="1828">
        <v>11</v>
      </c>
      <c r="D2657" s="1828">
        <v>9803.7592194667995</v>
      </c>
      <c r="E2657" s="1829">
        <v>4516.71044461767</v>
      </c>
      <c r="F2657" s="1830">
        <v>8.9704845832276794E-2</v>
      </c>
      <c r="G2657" s="1831">
        <v>4.1885482761659598E-2</v>
      </c>
    </row>
    <row r="2658" spans="1:7" x14ac:dyDescent="0.25">
      <c r="A2658" s="6" t="s">
        <v>1125</v>
      </c>
      <c r="B2658" s="6"/>
      <c r="C2658" s="1824">
        <v>15</v>
      </c>
      <c r="D2658" s="1824">
        <v>8857.68471652263</v>
      </c>
      <c r="E2658" s="1825">
        <v>4611.7458410072604</v>
      </c>
      <c r="F2658" s="1826">
        <v>8.1048220803793994E-2</v>
      </c>
      <c r="G2658" s="1827">
        <v>4.1915260979477099E-2</v>
      </c>
    </row>
    <row r="2659" spans="1:7" x14ac:dyDescent="0.25">
      <c r="A2659" s="11" t="s">
        <v>6434</v>
      </c>
      <c r="B2659" s="11"/>
      <c r="C2659" s="1828">
        <v>40</v>
      </c>
      <c r="D2659" s="1828">
        <v>8799.8150171513098</v>
      </c>
      <c r="E2659" s="1829">
        <v>3385.59976746245</v>
      </c>
      <c r="F2659" s="1830">
        <v>8.0518710404338598E-2</v>
      </c>
      <c r="G2659" s="1831">
        <v>3.0361943282424399E-2</v>
      </c>
    </row>
    <row r="2660" spans="1:7" x14ac:dyDescent="0.25">
      <c r="A2660" s="6" t="s">
        <v>4437</v>
      </c>
      <c r="B2660" s="6"/>
      <c r="C2660" s="1824">
        <v>16</v>
      </c>
      <c r="D2660" s="1824">
        <v>8613.0217695806095</v>
      </c>
      <c r="E2660" s="1825">
        <v>5718.3270626367603</v>
      </c>
      <c r="F2660" s="1826">
        <v>7.8809543634660306E-2</v>
      </c>
      <c r="G2660" s="1827">
        <v>5.2099647314405001E-2</v>
      </c>
    </row>
    <row r="2661" spans="1:7" x14ac:dyDescent="0.25">
      <c r="A2661" s="11" t="s">
        <v>1299</v>
      </c>
      <c r="B2661" s="11"/>
      <c r="C2661" s="1828">
        <v>16</v>
      </c>
      <c r="D2661" s="1828">
        <v>7769.4958356718398</v>
      </c>
      <c r="E2661" s="1829">
        <v>3851.3242454235501</v>
      </c>
      <c r="F2661" s="1830">
        <v>7.1091242709178298E-2</v>
      </c>
      <c r="G2661" s="1831">
        <v>3.5201699035100099E-2</v>
      </c>
    </row>
    <row r="2662" spans="1:7" x14ac:dyDescent="0.25">
      <c r="A2662" s="6" t="s">
        <v>1314</v>
      </c>
      <c r="B2662" s="6"/>
      <c r="C2662" s="1824">
        <v>7</v>
      </c>
      <c r="D2662" s="1824">
        <v>6211.2907631517501</v>
      </c>
      <c r="E2662" s="1825">
        <v>2959.7772965397799</v>
      </c>
      <c r="F2662" s="1826">
        <v>5.6833594935869501E-2</v>
      </c>
      <c r="G2662" s="1827">
        <v>2.6992938240212899E-2</v>
      </c>
    </row>
    <row r="2663" spans="1:7" x14ac:dyDescent="0.25">
      <c r="A2663" s="11" t="s">
        <v>6524</v>
      </c>
      <c r="B2663" s="11"/>
      <c r="C2663" s="1828">
        <v>8</v>
      </c>
      <c r="D2663" s="1828">
        <v>5801.8327575180601</v>
      </c>
      <c r="E2663" s="1829">
        <v>5410.3569238118798</v>
      </c>
      <c r="F2663" s="1830">
        <v>5.3087035432732403E-2</v>
      </c>
      <c r="G2663" s="1831">
        <v>4.9401598549328699E-2</v>
      </c>
    </row>
    <row r="2664" spans="1:7" x14ac:dyDescent="0.25">
      <c r="A2664" s="6" t="s">
        <v>6656</v>
      </c>
      <c r="B2664" s="6"/>
      <c r="C2664" s="1824">
        <v>1</v>
      </c>
      <c r="D2664" s="1824">
        <v>5735.8779577001596</v>
      </c>
      <c r="E2664" s="1825">
        <v>5724.703905329</v>
      </c>
      <c r="F2664" s="1826">
        <v>5.2483545993924498E-2</v>
      </c>
      <c r="G2664" s="1827">
        <v>5.2374446051390897E-2</v>
      </c>
    </row>
    <row r="2665" spans="1:7" x14ac:dyDescent="0.25">
      <c r="A2665" s="11" t="s">
        <v>6657</v>
      </c>
      <c r="B2665" s="11"/>
      <c r="C2665" s="1828">
        <v>8</v>
      </c>
      <c r="D2665" s="1828">
        <v>5604.8887845608597</v>
      </c>
      <c r="E2665" s="1829">
        <v>3484.6273847730799</v>
      </c>
      <c r="F2665" s="1830">
        <v>5.1284989060903702E-2</v>
      </c>
      <c r="G2665" s="1831">
        <v>3.1578700404363801E-2</v>
      </c>
    </row>
    <row r="2666" spans="1:7" x14ac:dyDescent="0.25">
      <c r="A2666" s="6" t="s">
        <v>1131</v>
      </c>
      <c r="B2666" s="6"/>
      <c r="C2666" s="1824">
        <v>11</v>
      </c>
      <c r="D2666" s="1824">
        <v>5206.7856026803802</v>
      </c>
      <c r="E2666" s="1825">
        <v>3489.6148577095501</v>
      </c>
      <c r="F2666" s="1826">
        <v>4.7642326715115299E-2</v>
      </c>
      <c r="G2666" s="1827">
        <v>3.2000013216898597E-2</v>
      </c>
    </row>
    <row r="2667" spans="1:7" x14ac:dyDescent="0.25">
      <c r="A2667" s="11" t="s">
        <v>1320</v>
      </c>
      <c r="B2667" s="11"/>
      <c r="C2667" s="1828">
        <v>1</v>
      </c>
      <c r="D2667" s="1828">
        <v>4404.5696009576404</v>
      </c>
      <c r="E2667" s="1829">
        <v>4429.3586139734698</v>
      </c>
      <c r="F2667" s="1830">
        <v>4.0302013560970198E-2</v>
      </c>
      <c r="G2667" s="1831">
        <v>4.0517856074990997E-2</v>
      </c>
    </row>
    <row r="2668" spans="1:7" x14ac:dyDescent="0.25">
      <c r="A2668" s="6" t="s">
        <v>3236</v>
      </c>
      <c r="B2668" s="6"/>
      <c r="C2668" s="1824">
        <v>12</v>
      </c>
      <c r="D2668" s="1824">
        <v>3628.4821837975701</v>
      </c>
      <c r="E2668" s="1825">
        <v>1513.8776956496199</v>
      </c>
      <c r="F2668" s="1826">
        <v>3.3200778152161298E-2</v>
      </c>
      <c r="G2668" s="1827">
        <v>1.38917848748663E-2</v>
      </c>
    </row>
    <row r="2669" spans="1:7" x14ac:dyDescent="0.25">
      <c r="A2669" s="11" t="s">
        <v>1297</v>
      </c>
      <c r="B2669" s="11"/>
      <c r="C2669" s="1828">
        <v>21</v>
      </c>
      <c r="D2669" s="1828">
        <v>3098.2393664916699</v>
      </c>
      <c r="E2669" s="1829">
        <v>1807.4807845205901</v>
      </c>
      <c r="F2669" s="1830">
        <v>2.8349032090747499E-2</v>
      </c>
      <c r="G2669" s="1831">
        <v>1.67305502940834E-2</v>
      </c>
    </row>
    <row r="2670" spans="1:7" x14ac:dyDescent="0.25">
      <c r="A2670" s="6" t="s">
        <v>3541</v>
      </c>
      <c r="B2670" s="6"/>
      <c r="C2670" s="1824">
        <v>4</v>
      </c>
      <c r="D2670" s="1824">
        <v>2626.2444099516201</v>
      </c>
      <c r="E2670" s="1825">
        <v>2375.44164599654</v>
      </c>
      <c r="F2670" s="1826">
        <v>2.4030256622867299E-2</v>
      </c>
      <c r="G2670" s="1827">
        <v>2.16842704225539E-2</v>
      </c>
    </row>
    <row r="2671" spans="1:7" x14ac:dyDescent="0.25">
      <c r="A2671" s="11" t="s">
        <v>6658</v>
      </c>
      <c r="B2671" s="11"/>
      <c r="C2671" s="1828">
        <v>1</v>
      </c>
      <c r="D2671" s="1828">
        <v>2515.7990696566699</v>
      </c>
      <c r="E2671" s="1829">
        <v>2534.8264611489599</v>
      </c>
      <c r="F2671" s="1830">
        <v>2.3019676701200201E-2</v>
      </c>
      <c r="G2671" s="1831">
        <v>2.3210515622385599E-2</v>
      </c>
    </row>
    <row r="2672" spans="1:7" x14ac:dyDescent="0.25">
      <c r="A2672" s="6" t="s">
        <v>3176</v>
      </c>
      <c r="B2672" s="6"/>
      <c r="C2672" s="1824">
        <v>2</v>
      </c>
      <c r="D2672" s="1824">
        <v>2192.4985258207298</v>
      </c>
      <c r="E2672" s="1825">
        <v>1448.4641595417099</v>
      </c>
      <c r="F2672" s="1826">
        <v>2.0061461919190199E-2</v>
      </c>
      <c r="G2672" s="1827">
        <v>1.3298827934838E-2</v>
      </c>
    </row>
    <row r="2673" spans="1:7" x14ac:dyDescent="0.25">
      <c r="A2673" s="11" t="s">
        <v>1187</v>
      </c>
      <c r="B2673" s="11"/>
      <c r="C2673" s="1828">
        <v>1</v>
      </c>
      <c r="D2673" s="1828">
        <v>2122.3294586543302</v>
      </c>
      <c r="E2673" s="1829">
        <v>2125.1821481582501</v>
      </c>
      <c r="F2673" s="1830">
        <v>1.9419411741146399E-2</v>
      </c>
      <c r="G2673" s="1831">
        <v>1.94079399906876E-2</v>
      </c>
    </row>
    <row r="2674" spans="1:7" x14ac:dyDescent="0.25">
      <c r="A2674" s="6" t="s">
        <v>1193</v>
      </c>
      <c r="B2674" s="6"/>
      <c r="C2674" s="1824">
        <v>10</v>
      </c>
      <c r="D2674" s="1824">
        <v>1979.06411579625</v>
      </c>
      <c r="E2674" s="1825">
        <v>757.03296815493104</v>
      </c>
      <c r="F2674" s="1826">
        <v>1.81085272929979E-2</v>
      </c>
      <c r="G2674" s="1827">
        <v>6.7833648998007097E-3</v>
      </c>
    </row>
    <row r="2675" spans="1:7" x14ac:dyDescent="0.25">
      <c r="A2675" s="11" t="s">
        <v>1197</v>
      </c>
      <c r="B2675" s="11"/>
      <c r="C2675" s="1828">
        <v>3</v>
      </c>
      <c r="D2675" s="1828">
        <v>1546.3249806599099</v>
      </c>
      <c r="E2675" s="1829">
        <v>1407.6357458431901</v>
      </c>
      <c r="F2675" s="1830">
        <v>1.4148944388725999E-2</v>
      </c>
      <c r="G2675" s="1831">
        <v>1.2853781993607399E-2</v>
      </c>
    </row>
    <row r="2676" spans="1:7" x14ac:dyDescent="0.25">
      <c r="A2676" s="6" t="s">
        <v>3172</v>
      </c>
      <c r="B2676" s="6"/>
      <c r="C2676" s="1824">
        <v>13</v>
      </c>
      <c r="D2676" s="1824">
        <v>1392.05210481982</v>
      </c>
      <c r="E2676" s="1825">
        <v>754.03918378634899</v>
      </c>
      <c r="F2676" s="1826">
        <v>1.27373405096897E-2</v>
      </c>
      <c r="G2676" s="1827">
        <v>6.86883498782227E-3</v>
      </c>
    </row>
    <row r="2677" spans="1:7" x14ac:dyDescent="0.25">
      <c r="A2677" s="11" t="s">
        <v>6529</v>
      </c>
      <c r="B2677" s="11"/>
      <c r="C2677" s="1828">
        <v>1</v>
      </c>
      <c r="D2677" s="1828">
        <v>1307.8131607446001</v>
      </c>
      <c r="E2677" s="1829">
        <v>1310.8299744112101</v>
      </c>
      <c r="F2677" s="1830">
        <v>1.19665503135845E-2</v>
      </c>
      <c r="G2677" s="1831">
        <v>1.19620405053763E-2</v>
      </c>
    </row>
    <row r="2678" spans="1:7" x14ac:dyDescent="0.25">
      <c r="A2678" s="6" t="s">
        <v>3479</v>
      </c>
      <c r="B2678" s="6"/>
      <c r="C2678" s="1824">
        <v>7</v>
      </c>
      <c r="D2678" s="1824">
        <v>1228.78676972875</v>
      </c>
      <c r="E2678" s="1825">
        <v>686.10652763123596</v>
      </c>
      <c r="F2678" s="1826">
        <v>1.12434552166871E-2</v>
      </c>
      <c r="G2678" s="1827">
        <v>6.2627874466302004E-3</v>
      </c>
    </row>
    <row r="2679" spans="1:7" x14ac:dyDescent="0.25">
      <c r="A2679" s="11" t="s">
        <v>3207</v>
      </c>
      <c r="B2679" s="11"/>
      <c r="C2679" s="1828">
        <v>3</v>
      </c>
      <c r="D2679" s="1828">
        <v>1169.34343755494</v>
      </c>
      <c r="E2679" s="1829">
        <v>889.45715919974202</v>
      </c>
      <c r="F2679" s="1830">
        <v>1.06995460050227E-2</v>
      </c>
      <c r="G2679" s="1831">
        <v>8.1355919304670603E-3</v>
      </c>
    </row>
    <row r="2680" spans="1:7" x14ac:dyDescent="0.25">
      <c r="A2680" s="6" t="s">
        <v>6655</v>
      </c>
      <c r="B2680" s="6"/>
      <c r="C2680" s="1824">
        <v>1</v>
      </c>
      <c r="D2680" s="1824">
        <v>853.767981836692</v>
      </c>
      <c r="E2680" s="1825">
        <v>859.63853498649701</v>
      </c>
      <c r="F2680" s="1826">
        <v>7.8120161330685802E-3</v>
      </c>
      <c r="G2680" s="1827">
        <v>7.8507881578020796E-3</v>
      </c>
    </row>
    <row r="2681" spans="1:7" x14ac:dyDescent="0.25">
      <c r="A2681" s="11" t="s">
        <v>3193</v>
      </c>
      <c r="B2681" s="11"/>
      <c r="C2681" s="1828">
        <v>1</v>
      </c>
      <c r="D2681" s="1828">
        <v>725.65083236441399</v>
      </c>
      <c r="E2681" s="1829">
        <v>734.82535708889304</v>
      </c>
      <c r="F2681" s="1830">
        <v>6.6397383481285998E-3</v>
      </c>
      <c r="G2681" s="1831">
        <v>6.7241948003027296E-3</v>
      </c>
    </row>
    <row r="2682" spans="1:7" x14ac:dyDescent="0.25">
      <c r="A2682" s="6" t="s">
        <v>1309</v>
      </c>
      <c r="B2682" s="6"/>
      <c r="C2682" s="1824">
        <v>6</v>
      </c>
      <c r="D2682" s="1824">
        <v>699.54525421935205</v>
      </c>
      <c r="E2682" s="1825">
        <v>497.23317897353797</v>
      </c>
      <c r="F2682" s="1826">
        <v>6.4008711125670397E-3</v>
      </c>
      <c r="G2682" s="1827">
        <v>4.5760501457066099E-3</v>
      </c>
    </row>
    <row r="2683" spans="1:7" x14ac:dyDescent="0.25">
      <c r="A2683" s="11" t="s">
        <v>3316</v>
      </c>
      <c r="B2683" s="11"/>
      <c r="C2683" s="1828">
        <v>1</v>
      </c>
      <c r="D2683" s="1828">
        <v>684.826759154613</v>
      </c>
      <c r="E2683" s="1829">
        <v>699.29081765112596</v>
      </c>
      <c r="F2683" s="1830">
        <v>6.2661962086746799E-3</v>
      </c>
      <c r="G2683" s="1831">
        <v>6.4011741333751199E-3</v>
      </c>
    </row>
    <row r="2684" spans="1:7" x14ac:dyDescent="0.25">
      <c r="A2684" s="6" t="s">
        <v>1189</v>
      </c>
      <c r="B2684" s="6"/>
      <c r="C2684" s="1824">
        <v>6</v>
      </c>
      <c r="D2684" s="1824">
        <v>674.58531012359799</v>
      </c>
      <c r="E2684" s="1825">
        <v>356.360704864902</v>
      </c>
      <c r="F2684" s="1826">
        <v>6.1724864810222399E-3</v>
      </c>
      <c r="G2684" s="1827">
        <v>3.2474992705235298E-3</v>
      </c>
    </row>
    <row r="2685" spans="1:7" x14ac:dyDescent="0.25">
      <c r="A2685" s="11" t="s">
        <v>1305</v>
      </c>
      <c r="B2685" s="11"/>
      <c r="C2685" s="1828">
        <v>3</v>
      </c>
      <c r="D2685" s="1828">
        <v>625.95061534266597</v>
      </c>
      <c r="E2685" s="1829">
        <v>625.79052475372703</v>
      </c>
      <c r="F2685" s="1830">
        <v>5.72747679649628E-3</v>
      </c>
      <c r="G2685" s="1831">
        <v>5.7184015881460298E-3</v>
      </c>
    </row>
    <row r="2686" spans="1:7" x14ac:dyDescent="0.25">
      <c r="A2686" s="6" t="s">
        <v>6659</v>
      </c>
      <c r="B2686" s="6"/>
      <c r="C2686" s="1824">
        <v>1</v>
      </c>
      <c r="D2686" s="1824">
        <v>611.38725850453704</v>
      </c>
      <c r="E2686" s="1825">
        <v>613.42970827300405</v>
      </c>
      <c r="F2686" s="1826">
        <v>5.59422141448213E-3</v>
      </c>
      <c r="G2686" s="1827">
        <v>5.6186704030008498E-3</v>
      </c>
    </row>
    <row r="2687" spans="1:7" x14ac:dyDescent="0.25">
      <c r="A2687" s="11" t="s">
        <v>1137</v>
      </c>
      <c r="B2687" s="11"/>
      <c r="C2687" s="1828">
        <v>4</v>
      </c>
      <c r="D2687" s="1828">
        <v>576.52729492347601</v>
      </c>
      <c r="E2687" s="1829">
        <v>261.250330698055</v>
      </c>
      <c r="F2687" s="1830">
        <v>5.2752511512642701E-3</v>
      </c>
      <c r="G2687" s="1831">
        <v>2.4441169573988001E-3</v>
      </c>
    </row>
    <row r="2688" spans="1:7" x14ac:dyDescent="0.25">
      <c r="A2688" s="6" t="s">
        <v>1129</v>
      </c>
      <c r="B2688" s="6"/>
      <c r="C2688" s="1824">
        <v>4</v>
      </c>
      <c r="D2688" s="1824">
        <v>492.18218727491598</v>
      </c>
      <c r="E2688" s="1825">
        <v>337.33010421626301</v>
      </c>
      <c r="F2688" s="1826">
        <v>4.5034895536010897E-3</v>
      </c>
      <c r="G2688" s="1827">
        <v>3.0798845526772301E-3</v>
      </c>
    </row>
    <row r="2689" spans="1:7" x14ac:dyDescent="0.25">
      <c r="A2689" s="11" t="s">
        <v>6660</v>
      </c>
      <c r="B2689" s="11"/>
      <c r="C2689" s="1828">
        <v>1</v>
      </c>
      <c r="D2689" s="1828">
        <v>444.80035961602999</v>
      </c>
      <c r="E2689" s="1829">
        <v>446.80772008759601</v>
      </c>
      <c r="F2689" s="1830">
        <v>4.0699436606183104E-3</v>
      </c>
      <c r="G2689" s="1831">
        <v>4.08516151291052E-3</v>
      </c>
    </row>
    <row r="2690" spans="1:7" x14ac:dyDescent="0.25">
      <c r="A2690" s="6" t="s">
        <v>6661</v>
      </c>
      <c r="B2690" s="6"/>
      <c r="C2690" s="1824">
        <v>2</v>
      </c>
      <c r="D2690" s="1824">
        <v>419.67047897169903</v>
      </c>
      <c r="E2690" s="1825">
        <v>362.76134082945299</v>
      </c>
      <c r="F2690" s="1826">
        <v>3.8400041018715899E-3</v>
      </c>
      <c r="G2690" s="1827">
        <v>3.31194679213209E-3</v>
      </c>
    </row>
    <row r="2691" spans="1:7" x14ac:dyDescent="0.25">
      <c r="A2691" s="11" t="s">
        <v>3238</v>
      </c>
      <c r="B2691" s="11"/>
      <c r="C2691" s="1828">
        <v>2</v>
      </c>
      <c r="D2691" s="1828">
        <v>374.74312801859401</v>
      </c>
      <c r="E2691" s="1829">
        <v>378.63850382174701</v>
      </c>
      <c r="F2691" s="1830">
        <v>3.4289167831522299E-3</v>
      </c>
      <c r="G2691" s="1831">
        <v>3.46457547041621E-3</v>
      </c>
    </row>
    <row r="2692" spans="1:7" x14ac:dyDescent="0.25">
      <c r="A2692" s="6" t="s">
        <v>1203</v>
      </c>
      <c r="B2692" s="6"/>
      <c r="C2692" s="1824">
        <v>1</v>
      </c>
      <c r="D2692" s="1824">
        <v>347.69197477722099</v>
      </c>
      <c r="E2692" s="1825">
        <v>344.13419628227598</v>
      </c>
      <c r="F2692" s="1826">
        <v>3.1813974921557501E-3</v>
      </c>
      <c r="G2692" s="1827">
        <v>3.15128614295428E-3</v>
      </c>
    </row>
    <row r="2693" spans="1:7" x14ac:dyDescent="0.25">
      <c r="A2693" s="11" t="s">
        <v>6531</v>
      </c>
      <c r="B2693" s="11"/>
      <c r="C2693" s="1828">
        <v>1</v>
      </c>
      <c r="D2693" s="1828">
        <v>340.52877747846799</v>
      </c>
      <c r="E2693" s="1829">
        <v>340.93810920082802</v>
      </c>
      <c r="F2693" s="1830">
        <v>3.1158539088255001E-3</v>
      </c>
      <c r="G2693" s="1831">
        <v>3.1163735105499898E-3</v>
      </c>
    </row>
    <row r="2694" spans="1:7" x14ac:dyDescent="0.25">
      <c r="A2694" s="6" t="s">
        <v>3234</v>
      </c>
      <c r="B2694" s="6"/>
      <c r="C2694" s="1824">
        <v>4</v>
      </c>
      <c r="D2694" s="1824">
        <v>327.70405681313798</v>
      </c>
      <c r="E2694" s="1825">
        <v>328.51841213401201</v>
      </c>
      <c r="F2694" s="1826">
        <v>2.9985071274152499E-3</v>
      </c>
      <c r="G2694" s="1827">
        <v>2.99845906586802E-3</v>
      </c>
    </row>
    <row r="2695" spans="1:7" x14ac:dyDescent="0.25">
      <c r="A2695" s="11" t="s">
        <v>6662</v>
      </c>
      <c r="B2695" s="11"/>
      <c r="C2695" s="1828">
        <v>3</v>
      </c>
      <c r="D2695" s="1828">
        <v>315.65955230474299</v>
      </c>
      <c r="E2695" s="1829">
        <v>313.95244027206599</v>
      </c>
      <c r="F2695" s="1830">
        <v>2.8882993595718402E-3</v>
      </c>
      <c r="G2695" s="1831">
        <v>2.8724466784259299E-3</v>
      </c>
    </row>
    <row r="2696" spans="1:7" x14ac:dyDescent="0.25">
      <c r="A2696" s="6" t="s">
        <v>1201</v>
      </c>
      <c r="B2696" s="6"/>
      <c r="C2696" s="1824">
        <v>2</v>
      </c>
      <c r="D2696" s="1824">
        <v>303.31085261061401</v>
      </c>
      <c r="E2696" s="1825">
        <v>237.320649276843</v>
      </c>
      <c r="F2696" s="1826">
        <v>2.7753081918479999E-3</v>
      </c>
      <c r="G2696" s="1827">
        <v>2.1634180675119798E-3</v>
      </c>
    </row>
    <row r="2697" spans="1:7" x14ac:dyDescent="0.25">
      <c r="A2697" s="11" t="s">
        <v>1213</v>
      </c>
      <c r="B2697" s="11"/>
      <c r="C2697" s="1828">
        <v>2</v>
      </c>
      <c r="D2697" s="1828">
        <v>301.38093917557802</v>
      </c>
      <c r="E2697" s="1829">
        <v>300.22444373555999</v>
      </c>
      <c r="F2697" s="1830">
        <v>2.7576493955348701E-3</v>
      </c>
      <c r="G2697" s="1831">
        <v>2.74626925537817E-3</v>
      </c>
    </row>
    <row r="2698" spans="1:7" x14ac:dyDescent="0.25">
      <c r="A2698" s="6" t="s">
        <v>3178</v>
      </c>
      <c r="B2698" s="6"/>
      <c r="C2698" s="1824">
        <v>4</v>
      </c>
      <c r="D2698" s="1824">
        <v>284.00251068612198</v>
      </c>
      <c r="E2698" s="1825">
        <v>283.45445447837801</v>
      </c>
      <c r="F2698" s="1826">
        <v>2.5986359789917099E-3</v>
      </c>
      <c r="G2698" s="1827">
        <v>2.5953243573741801E-3</v>
      </c>
    </row>
    <row r="2699" spans="1:7" x14ac:dyDescent="0.25">
      <c r="A2699" s="11" t="s">
        <v>1307</v>
      </c>
      <c r="B2699" s="11"/>
      <c r="C2699" s="1828">
        <v>2</v>
      </c>
      <c r="D2699" s="1828">
        <v>223.04921796348</v>
      </c>
      <c r="E2699" s="1829">
        <v>154.02893112449999</v>
      </c>
      <c r="F2699" s="1830">
        <v>2.0409105591550898E-3</v>
      </c>
      <c r="G2699" s="1831">
        <v>1.40392662304076E-3</v>
      </c>
    </row>
    <row r="2700" spans="1:7" x14ac:dyDescent="0.25">
      <c r="A2700" s="6" t="s">
        <v>1141</v>
      </c>
      <c r="B2700" s="6"/>
      <c r="C2700" s="1824">
        <v>1</v>
      </c>
      <c r="D2700" s="1824">
        <v>217.02865897527599</v>
      </c>
      <c r="E2700" s="1825">
        <v>218.78307062035699</v>
      </c>
      <c r="F2700" s="1826">
        <v>1.9858221686947699E-3</v>
      </c>
      <c r="G2700" s="1827">
        <v>1.9953392315906898E-3</v>
      </c>
    </row>
    <row r="2701" spans="1:7" x14ac:dyDescent="0.25">
      <c r="A2701" s="11" t="s">
        <v>1225</v>
      </c>
      <c r="B2701" s="11"/>
      <c r="C2701" s="1828">
        <v>2</v>
      </c>
      <c r="D2701" s="1828">
        <v>213.566356374793</v>
      </c>
      <c r="E2701" s="1829">
        <v>213.26895607046399</v>
      </c>
      <c r="F2701" s="1830">
        <v>1.9541419413403199E-3</v>
      </c>
      <c r="G2701" s="1831">
        <v>1.95396899050465E-3</v>
      </c>
    </row>
    <row r="2702" spans="1:7" x14ac:dyDescent="0.25">
      <c r="A2702" s="6" t="s">
        <v>6663</v>
      </c>
      <c r="B2702" s="6"/>
      <c r="C2702" s="1824">
        <v>1</v>
      </c>
      <c r="D2702" s="1824">
        <v>212.86580145701299</v>
      </c>
      <c r="E2702" s="1825">
        <v>212.36610442516599</v>
      </c>
      <c r="F2702" s="1826">
        <v>1.9477318317599301E-3</v>
      </c>
      <c r="G2702" s="1827">
        <v>1.9401723163268601E-3</v>
      </c>
    </row>
    <row r="2703" spans="1:7" x14ac:dyDescent="0.25">
      <c r="A2703" s="11" t="s">
        <v>6664</v>
      </c>
      <c r="B2703" s="11"/>
      <c r="C2703" s="1828">
        <v>3</v>
      </c>
      <c r="D2703" s="1828">
        <v>207.59643773412901</v>
      </c>
      <c r="E2703" s="1829">
        <v>207.12327418368699</v>
      </c>
      <c r="F2703" s="1830">
        <v>1.8995169123791199E-3</v>
      </c>
      <c r="G2703" s="1831">
        <v>1.89123648366489E-3</v>
      </c>
    </row>
    <row r="2704" spans="1:7" x14ac:dyDescent="0.25">
      <c r="A2704" s="6" t="s">
        <v>6665</v>
      </c>
      <c r="B2704" s="6"/>
      <c r="C2704" s="1824">
        <v>1</v>
      </c>
      <c r="D2704" s="1824">
        <v>202.503651941291</v>
      </c>
      <c r="E2704" s="1825">
        <v>202.15877187292901</v>
      </c>
      <c r="F2704" s="1826">
        <v>1.8529176891448099E-3</v>
      </c>
      <c r="G2704" s="1827">
        <v>1.8490407502541001E-3</v>
      </c>
    </row>
    <row r="2705" spans="1:7" x14ac:dyDescent="0.25">
      <c r="A2705" s="11" t="s">
        <v>6666</v>
      </c>
      <c r="B2705" s="11"/>
      <c r="C2705" s="1828">
        <v>1</v>
      </c>
      <c r="D2705" s="1828">
        <v>200.759305025336</v>
      </c>
      <c r="E2705" s="1829">
        <v>200.917580236643</v>
      </c>
      <c r="F2705" s="1830">
        <v>1.8369568349795001E-3</v>
      </c>
      <c r="G2705" s="1831">
        <v>1.8360185610826799E-3</v>
      </c>
    </row>
    <row r="2706" spans="1:7" x14ac:dyDescent="0.25">
      <c r="A2706" s="6" t="s">
        <v>3201</v>
      </c>
      <c r="B2706" s="6"/>
      <c r="C2706" s="1824">
        <v>5</v>
      </c>
      <c r="D2706" s="1824">
        <v>192.599424638274</v>
      </c>
      <c r="E2706" s="1825">
        <v>125.252898846657</v>
      </c>
      <c r="F2706" s="1826">
        <v>1.7622935557469999E-3</v>
      </c>
      <c r="G2706" s="1827">
        <v>1.1590478337706899E-3</v>
      </c>
    </row>
    <row r="2707" spans="1:7" x14ac:dyDescent="0.25">
      <c r="A2707" s="11" t="s">
        <v>5087</v>
      </c>
      <c r="B2707" s="11"/>
      <c r="C2707" s="1828">
        <v>1</v>
      </c>
      <c r="D2707" s="1828">
        <v>188.61911149544599</v>
      </c>
      <c r="E2707" s="1829">
        <v>190.57501071017401</v>
      </c>
      <c r="F2707" s="1830">
        <v>1.72587350820722E-3</v>
      </c>
      <c r="G2707" s="1831">
        <v>1.74092830714425E-3</v>
      </c>
    </row>
    <row r="2708" spans="1:7" x14ac:dyDescent="0.25">
      <c r="A2708" s="6" t="s">
        <v>6667</v>
      </c>
      <c r="B2708" s="6"/>
      <c r="C2708" s="1824">
        <v>1</v>
      </c>
      <c r="D2708" s="1824">
        <v>178.36902884443001</v>
      </c>
      <c r="E2708" s="1825">
        <v>179.50979622446599</v>
      </c>
      <c r="F2708" s="1826">
        <v>1.6320847825363801E-3</v>
      </c>
      <c r="G2708" s="1827">
        <v>1.64199014605799E-3</v>
      </c>
    </row>
    <row r="2709" spans="1:7" x14ac:dyDescent="0.25">
      <c r="A2709" s="11" t="s">
        <v>3187</v>
      </c>
      <c r="B2709" s="11"/>
      <c r="C2709" s="1828">
        <v>1</v>
      </c>
      <c r="D2709" s="1828">
        <v>130.658454554804</v>
      </c>
      <c r="E2709" s="1829">
        <v>130.88917248393901</v>
      </c>
      <c r="F2709" s="1830">
        <v>1.19553084282701E-3</v>
      </c>
      <c r="G2709" s="1831">
        <v>1.19732050712968E-3</v>
      </c>
    </row>
    <row r="2710" spans="1:7" x14ac:dyDescent="0.25">
      <c r="A2710" s="6" t="s">
        <v>6653</v>
      </c>
      <c r="B2710" s="6"/>
      <c r="C2710" s="1824">
        <v>2</v>
      </c>
      <c r="D2710" s="1824">
        <v>119.96536557500799</v>
      </c>
      <c r="E2710" s="1825">
        <v>120.485869883276</v>
      </c>
      <c r="F2710" s="1826">
        <v>1.0976885889598699E-3</v>
      </c>
      <c r="G2710" s="1827">
        <v>1.1037822606227499E-3</v>
      </c>
    </row>
    <row r="2711" spans="1:7" x14ac:dyDescent="0.25">
      <c r="A2711" s="11" t="s">
        <v>6651</v>
      </c>
      <c r="B2711" s="11"/>
      <c r="C2711" s="1828">
        <v>1</v>
      </c>
      <c r="D2711" s="1828">
        <v>117.665346773305</v>
      </c>
      <c r="E2711" s="1829">
        <v>118.610183056897</v>
      </c>
      <c r="F2711" s="1830">
        <v>1.07664331159234E-3</v>
      </c>
      <c r="G2711" s="1831">
        <v>1.08393302933797E-3</v>
      </c>
    </row>
    <row r="2712" spans="1:7" x14ac:dyDescent="0.25">
      <c r="A2712" s="6" t="s">
        <v>6668</v>
      </c>
      <c r="B2712" s="6"/>
      <c r="C2712" s="1824">
        <v>1</v>
      </c>
      <c r="D2712" s="1824">
        <v>117.350285054878</v>
      </c>
      <c r="E2712" s="1825">
        <v>115.809221813771</v>
      </c>
      <c r="F2712" s="1826">
        <v>1.0737604824401299E-3</v>
      </c>
      <c r="G2712" s="1827">
        <v>1.06100279624206E-3</v>
      </c>
    </row>
    <row r="2713" spans="1:7" x14ac:dyDescent="0.25">
      <c r="A2713" s="11" t="s">
        <v>6669</v>
      </c>
      <c r="B2713" s="11"/>
      <c r="C2713" s="1828">
        <v>1</v>
      </c>
      <c r="D2713" s="1828">
        <v>100.81708662031301</v>
      </c>
      <c r="E2713" s="1829">
        <v>100.99164323199</v>
      </c>
      <c r="F2713" s="1830">
        <v>9.2248095960748597E-4</v>
      </c>
      <c r="G2713" s="1831">
        <v>9.2329798979557103E-4</v>
      </c>
    </row>
    <row r="2714" spans="1:7" x14ac:dyDescent="0.25">
      <c r="A2714" s="6" t="s">
        <v>3314</v>
      </c>
      <c r="B2714" s="6"/>
      <c r="C2714" s="1824">
        <v>1</v>
      </c>
      <c r="D2714" s="1824">
        <v>96.240096454630901</v>
      </c>
      <c r="E2714" s="1825">
        <v>95.519280924463601</v>
      </c>
      <c r="F2714" s="1826">
        <v>8.8060128998309305E-4</v>
      </c>
      <c r="G2714" s="1827">
        <v>8.7517080028846601E-4</v>
      </c>
    </row>
    <row r="2715" spans="1:7" x14ac:dyDescent="0.25">
      <c r="A2715" s="11" t="s">
        <v>6532</v>
      </c>
      <c r="B2715" s="11"/>
      <c r="C2715" s="1828">
        <v>1</v>
      </c>
      <c r="D2715" s="1828">
        <v>67.084103490373295</v>
      </c>
      <c r="E2715" s="1829">
        <v>67.117410601542701</v>
      </c>
      <c r="F2715" s="1830">
        <v>6.1382261912871897E-4</v>
      </c>
      <c r="G2715" s="1831">
        <v>6.1406697470247501E-4</v>
      </c>
    </row>
    <row r="2716" spans="1:7" x14ac:dyDescent="0.25">
      <c r="A2716" s="6" t="s">
        <v>1139</v>
      </c>
      <c r="B2716" s="6"/>
      <c r="C2716" s="1824">
        <v>4</v>
      </c>
      <c r="D2716" s="1824">
        <v>47.964762051250602</v>
      </c>
      <c r="E2716" s="1825">
        <v>47.798039980814799</v>
      </c>
      <c r="F2716" s="1826">
        <v>4.3887976936904898E-4</v>
      </c>
      <c r="G2716" s="1827">
        <v>4.3662799605962598E-4</v>
      </c>
    </row>
    <row r="2717" spans="1:7" x14ac:dyDescent="0.25">
      <c r="A2717" s="11" t="s">
        <v>6670</v>
      </c>
      <c r="B2717" s="11"/>
      <c r="C2717" s="1828">
        <v>1</v>
      </c>
      <c r="D2717" s="1828">
        <v>45.893137641550197</v>
      </c>
      <c r="E2717" s="1829">
        <v>45.949100714871001</v>
      </c>
      <c r="F2717" s="1830">
        <v>4.1992431114792498E-4</v>
      </c>
      <c r="G2717" s="1831">
        <v>4.19586364600465E-4</v>
      </c>
    </row>
    <row r="2718" spans="1:7" x14ac:dyDescent="0.25">
      <c r="A2718" s="6" t="s">
        <v>1088</v>
      </c>
      <c r="B2718" s="6" t="s">
        <v>1089</v>
      </c>
      <c r="C2718" s="1824">
        <v>25153</v>
      </c>
      <c r="D2718" s="1824">
        <v>22909354.086488102</v>
      </c>
      <c r="E2718" s="1825">
        <v>262063.11517872399</v>
      </c>
      <c r="F2718" s="1826">
        <v>81.193033697477503</v>
      </c>
      <c r="G2718" s="1827">
        <v>0.69477035727323599</v>
      </c>
    </row>
    <row r="2719" spans="1:7" x14ac:dyDescent="0.25">
      <c r="A2719" s="11" t="s">
        <v>1102</v>
      </c>
      <c r="B2719" s="11" t="s">
        <v>1103</v>
      </c>
      <c r="C2719" s="1828">
        <v>9068</v>
      </c>
      <c r="D2719" s="1828">
        <v>5306556.8645025697</v>
      </c>
      <c r="E2719" s="1829">
        <v>195268.880479593</v>
      </c>
      <c r="F2719" s="1830">
        <v>18.8069663025225</v>
      </c>
      <c r="G2719" s="1831">
        <v>0.69477035727323699</v>
      </c>
    </row>
    <row r="2720" spans="1:7" x14ac:dyDescent="0.25">
      <c r="A2720" s="6" t="s">
        <v>6417</v>
      </c>
      <c r="B2720" s="6" t="s">
        <v>6418</v>
      </c>
      <c r="C2720" s="1824">
        <v>21565</v>
      </c>
      <c r="D2720" s="1824">
        <v>10928907.0490095</v>
      </c>
      <c r="E2720" s="1825">
        <v>191275.541871188</v>
      </c>
      <c r="F2720" s="1826">
        <v>27.919166846067501</v>
      </c>
      <c r="G2720" s="1827">
        <v>0.48863566531646202</v>
      </c>
    </row>
    <row r="2721" spans="1:7" x14ac:dyDescent="0.25">
      <c r="A2721" s="11" t="s">
        <v>6417</v>
      </c>
      <c r="B2721" s="11" t="s">
        <v>6419</v>
      </c>
      <c r="C2721" s="1828">
        <v>55786</v>
      </c>
      <c r="D2721" s="1828">
        <v>39144818.000000097</v>
      </c>
      <c r="E2721" s="1829">
        <v>0</v>
      </c>
      <c r="F2721" s="1830">
        <v>100</v>
      </c>
      <c r="G2721" s="1831">
        <v>0</v>
      </c>
    </row>
    <row r="2722" spans="1:7" x14ac:dyDescent="0.25">
      <c r="A2722" s="3729" t="s">
        <v>633</v>
      </c>
      <c r="B2722" s="3730"/>
      <c r="C2722" s="3730"/>
      <c r="D2722" s="3730"/>
      <c r="E2722" s="3730"/>
      <c r="F2722" s="3730"/>
      <c r="G2722" s="3730"/>
    </row>
    <row r="2723" spans="1:7" x14ac:dyDescent="0.25">
      <c r="A2723" s="11" t="s">
        <v>6427</v>
      </c>
      <c r="B2723" s="11"/>
      <c r="C2723" s="1836">
        <v>6251</v>
      </c>
      <c r="D2723" s="1836">
        <v>3264192.6229554401</v>
      </c>
      <c r="E2723" s="1837">
        <v>90052.503921487296</v>
      </c>
      <c r="F2723" s="1838">
        <v>37.1381222450321</v>
      </c>
      <c r="G2723" s="1839">
        <v>1.0071519648774201</v>
      </c>
    </row>
    <row r="2724" spans="1:7" x14ac:dyDescent="0.25">
      <c r="A2724" s="6" t="s">
        <v>1292</v>
      </c>
      <c r="B2724" s="6"/>
      <c r="C2724" s="1832">
        <v>4466</v>
      </c>
      <c r="D2724" s="1832">
        <v>2306767.7734893002</v>
      </c>
      <c r="E2724" s="1833">
        <v>105101.90014419499</v>
      </c>
      <c r="F2724" s="1834">
        <v>26.2450882831725</v>
      </c>
      <c r="G2724" s="1835">
        <v>1.0518046274553901</v>
      </c>
    </row>
    <row r="2725" spans="1:7" x14ac:dyDescent="0.25">
      <c r="A2725" s="11" t="s">
        <v>6426</v>
      </c>
      <c r="B2725" s="11"/>
      <c r="C2725" s="1836">
        <v>3158</v>
      </c>
      <c r="D2725" s="1836">
        <v>1550733.83398608</v>
      </c>
      <c r="E2725" s="1837">
        <v>85494.734657372595</v>
      </c>
      <c r="F2725" s="1838">
        <v>17.643365250895801</v>
      </c>
      <c r="G2725" s="1839">
        <v>0.73313554475755105</v>
      </c>
    </row>
    <row r="2726" spans="1:7" x14ac:dyDescent="0.25">
      <c r="A2726" s="6" t="s">
        <v>6429</v>
      </c>
      <c r="B2726" s="6"/>
      <c r="C2726" s="1832">
        <v>1141</v>
      </c>
      <c r="D2726" s="1832">
        <v>660951.26766367105</v>
      </c>
      <c r="E2726" s="1833">
        <v>59302.9059484928</v>
      </c>
      <c r="F2726" s="1834">
        <v>7.5199266133619398</v>
      </c>
      <c r="G2726" s="1835">
        <v>0.57576004165601902</v>
      </c>
    </row>
    <row r="2727" spans="1:7" x14ac:dyDescent="0.25">
      <c r="A2727" s="11" t="s">
        <v>6428</v>
      </c>
      <c r="B2727" s="11"/>
      <c r="C2727" s="1836">
        <v>713</v>
      </c>
      <c r="D2727" s="1836">
        <v>391427.07926776097</v>
      </c>
      <c r="E2727" s="1837">
        <v>29203.047967820501</v>
      </c>
      <c r="F2727" s="1838">
        <v>4.4534340950443401</v>
      </c>
      <c r="G2727" s="1839">
        <v>0.35319240702262999</v>
      </c>
    </row>
    <row r="2728" spans="1:7" x14ac:dyDescent="0.25">
      <c r="A2728" s="6" t="s">
        <v>6430</v>
      </c>
      <c r="B2728" s="6"/>
      <c r="C2728" s="1832">
        <v>427</v>
      </c>
      <c r="D2728" s="1832">
        <v>255957.50295737301</v>
      </c>
      <c r="E2728" s="1833">
        <v>30439.249140191601</v>
      </c>
      <c r="F2728" s="1834">
        <v>2.9121385078547899</v>
      </c>
      <c r="G2728" s="1835">
        <v>0.34074913549519498</v>
      </c>
    </row>
    <row r="2729" spans="1:7" x14ac:dyDescent="0.25">
      <c r="A2729" s="11" t="s">
        <v>6431</v>
      </c>
      <c r="B2729" s="11"/>
      <c r="C2729" s="1836">
        <v>225</v>
      </c>
      <c r="D2729" s="1836">
        <v>90738.649385198805</v>
      </c>
      <c r="E2729" s="1837">
        <v>15618.414137203999</v>
      </c>
      <c r="F2729" s="1838">
        <v>1.0323726086255001</v>
      </c>
      <c r="G2729" s="1839">
        <v>0.17595844843764999</v>
      </c>
    </row>
    <row r="2730" spans="1:7" x14ac:dyDescent="0.25">
      <c r="A2730" s="6" t="s">
        <v>6433</v>
      </c>
      <c r="B2730" s="6"/>
      <c r="C2730" s="1832">
        <v>117</v>
      </c>
      <c r="D2730" s="1832">
        <v>51986.062957237598</v>
      </c>
      <c r="E2730" s="1833">
        <v>9405.0956241065305</v>
      </c>
      <c r="F2730" s="1834">
        <v>0.59146777906622905</v>
      </c>
      <c r="G2730" s="1835">
        <v>0.10393860874699801</v>
      </c>
    </row>
    <row r="2731" spans="1:7" x14ac:dyDescent="0.25">
      <c r="A2731" s="11" t="s">
        <v>1123</v>
      </c>
      <c r="B2731" s="11"/>
      <c r="C2731" s="1836">
        <v>129</v>
      </c>
      <c r="D2731" s="1836">
        <v>42053.7284146604</v>
      </c>
      <c r="E2731" s="1837">
        <v>11159.034958017901</v>
      </c>
      <c r="F2731" s="1838">
        <v>0.478463340594455</v>
      </c>
      <c r="G2731" s="1839">
        <v>0.120635255869057</v>
      </c>
    </row>
    <row r="2732" spans="1:7" x14ac:dyDescent="0.25">
      <c r="A2732" s="6" t="s">
        <v>6432</v>
      </c>
      <c r="B2732" s="6"/>
      <c r="C2732" s="1832">
        <v>61</v>
      </c>
      <c r="D2732" s="1832">
        <v>37052.1213373219</v>
      </c>
      <c r="E2732" s="1833">
        <v>15102.275802018399</v>
      </c>
      <c r="F2732" s="1834">
        <v>0.42155790745502503</v>
      </c>
      <c r="G2732" s="1835">
        <v>0.17399564514448401</v>
      </c>
    </row>
    <row r="2733" spans="1:7" x14ac:dyDescent="0.25">
      <c r="A2733" s="11" t="s">
        <v>1301</v>
      </c>
      <c r="B2733" s="11"/>
      <c r="C2733" s="1836">
        <v>29</v>
      </c>
      <c r="D2733" s="1836">
        <v>12617.314212334501</v>
      </c>
      <c r="E2733" s="1837">
        <v>5411.9600017083303</v>
      </c>
      <c r="F2733" s="1838">
        <v>0.14355260603383099</v>
      </c>
      <c r="G2733" s="1839">
        <v>6.1612302812982099E-2</v>
      </c>
    </row>
    <row r="2734" spans="1:7" x14ac:dyDescent="0.25">
      <c r="A2734" s="6" t="s">
        <v>1303</v>
      </c>
      <c r="B2734" s="6"/>
      <c r="C2734" s="1832">
        <v>7</v>
      </c>
      <c r="D2734" s="1832">
        <v>11961.142321060701</v>
      </c>
      <c r="E2734" s="1833">
        <v>10773.750630168601</v>
      </c>
      <c r="F2734" s="1834">
        <v>0.136087056439575</v>
      </c>
      <c r="G2734" s="1835">
        <v>0.122456738792782</v>
      </c>
    </row>
    <row r="2735" spans="1:7" x14ac:dyDescent="0.25">
      <c r="A2735" s="11" t="s">
        <v>1133</v>
      </c>
      <c r="B2735" s="11"/>
      <c r="C2735" s="1836">
        <v>33</v>
      </c>
      <c r="D2735" s="1836">
        <v>11675.5251697242</v>
      </c>
      <c r="E2735" s="1837">
        <v>4880.9571506471402</v>
      </c>
      <c r="F2735" s="1838">
        <v>0.132837467365996</v>
      </c>
      <c r="G2735" s="1839">
        <v>5.5872003376372999E-2</v>
      </c>
    </row>
    <row r="2736" spans="1:7" x14ac:dyDescent="0.25">
      <c r="A2736" s="6" t="s">
        <v>1295</v>
      </c>
      <c r="B2736" s="6"/>
      <c r="C2736" s="1832">
        <v>20</v>
      </c>
      <c r="D2736" s="1832">
        <v>9529.2460856798098</v>
      </c>
      <c r="E2736" s="1833">
        <v>3783.7902557846701</v>
      </c>
      <c r="F2736" s="1834">
        <v>0.108418327872007</v>
      </c>
      <c r="G2736" s="1835">
        <v>4.2813829875556597E-2</v>
      </c>
    </row>
    <row r="2737" spans="1:7" x14ac:dyDescent="0.25">
      <c r="A2737" s="11" t="s">
        <v>1127</v>
      </c>
      <c r="B2737" s="11"/>
      <c r="C2737" s="1836">
        <v>30</v>
      </c>
      <c r="D2737" s="1836">
        <v>9144.9195279444702</v>
      </c>
      <c r="E2737" s="1837">
        <v>3350.1965892182602</v>
      </c>
      <c r="F2737" s="1838">
        <v>0.104045679461858</v>
      </c>
      <c r="G2737" s="1839">
        <v>3.8565382715420503E-2</v>
      </c>
    </row>
    <row r="2738" spans="1:7" x14ac:dyDescent="0.25">
      <c r="A2738" s="6" t="s">
        <v>1135</v>
      </c>
      <c r="B2738" s="6"/>
      <c r="C2738" s="1832">
        <v>21</v>
      </c>
      <c r="D2738" s="1832">
        <v>7562.4980342142899</v>
      </c>
      <c r="E2738" s="1833">
        <v>3263.4659294736298</v>
      </c>
      <c r="F2738" s="1834">
        <v>8.6041790088408995E-2</v>
      </c>
      <c r="G2738" s="1835">
        <v>3.6960758108821698E-2</v>
      </c>
    </row>
    <row r="2739" spans="1:7" x14ac:dyDescent="0.25">
      <c r="A2739" s="11" t="s">
        <v>3172</v>
      </c>
      <c r="B2739" s="11"/>
      <c r="C2739" s="1836">
        <v>12</v>
      </c>
      <c r="D2739" s="1836">
        <v>6974.40607333973</v>
      </c>
      <c r="E2739" s="1837">
        <v>5256.44443745429</v>
      </c>
      <c r="F2739" s="1838">
        <v>7.9350815119381093E-2</v>
      </c>
      <c r="G2739" s="1839">
        <v>5.9889412161906498E-2</v>
      </c>
    </row>
    <row r="2740" spans="1:7" x14ac:dyDescent="0.25">
      <c r="A2740" s="6" t="s">
        <v>3479</v>
      </c>
      <c r="B2740" s="6"/>
      <c r="C2740" s="1832">
        <v>5</v>
      </c>
      <c r="D2740" s="1832">
        <v>5848.1652962338903</v>
      </c>
      <c r="E2740" s="1833">
        <v>5359.8515593770899</v>
      </c>
      <c r="F2740" s="1834">
        <v>6.6537089800798005E-2</v>
      </c>
      <c r="G2740" s="1835">
        <v>6.0586783827251703E-2</v>
      </c>
    </row>
    <row r="2741" spans="1:7" x14ac:dyDescent="0.25">
      <c r="A2741" s="11" t="s">
        <v>6671</v>
      </c>
      <c r="B2741" s="11"/>
      <c r="C2741" s="1836">
        <v>1</v>
      </c>
      <c r="D2741" s="1836">
        <v>5738.0217467771699</v>
      </c>
      <c r="E2741" s="1837">
        <v>5349.4217137660198</v>
      </c>
      <c r="F2741" s="1838">
        <v>6.5283939304880897E-2</v>
      </c>
      <c r="G2741" s="1839">
        <v>6.0816734125731998E-2</v>
      </c>
    </row>
    <row r="2742" spans="1:7" x14ac:dyDescent="0.25">
      <c r="A2742" s="6" t="s">
        <v>3236</v>
      </c>
      <c r="B2742" s="6"/>
      <c r="C2742" s="1832">
        <v>5</v>
      </c>
      <c r="D2742" s="1832">
        <v>5459.8265778288896</v>
      </c>
      <c r="E2742" s="1833">
        <v>4935.4910257709398</v>
      </c>
      <c r="F2742" s="1834">
        <v>6.2118793314500001E-2</v>
      </c>
      <c r="G2742" s="1835">
        <v>5.6135635757415397E-2</v>
      </c>
    </row>
    <row r="2743" spans="1:7" x14ac:dyDescent="0.25">
      <c r="A2743" s="11" t="s">
        <v>3312</v>
      </c>
      <c r="B2743" s="11"/>
      <c r="C2743" s="1836">
        <v>1</v>
      </c>
      <c r="D2743" s="1836">
        <v>5348.4232779760896</v>
      </c>
      <c r="E2743" s="1837">
        <v>5477.1028643008603</v>
      </c>
      <c r="F2743" s="1838">
        <v>6.0851310096953999E-2</v>
      </c>
      <c r="G2743" s="1839">
        <v>6.2129313229373602E-2</v>
      </c>
    </row>
    <row r="2744" spans="1:7" x14ac:dyDescent="0.25">
      <c r="A2744" s="6" t="s">
        <v>4437</v>
      </c>
      <c r="B2744" s="6"/>
      <c r="C2744" s="1832">
        <v>10</v>
      </c>
      <c r="D2744" s="1832">
        <v>5085.9208821656102</v>
      </c>
      <c r="E2744" s="1833">
        <v>3245.9240306872598</v>
      </c>
      <c r="F2744" s="1834">
        <v>5.7864707530467997E-2</v>
      </c>
      <c r="G2744" s="1835">
        <v>3.6816978724585697E-2</v>
      </c>
    </row>
    <row r="2745" spans="1:7" x14ac:dyDescent="0.25">
      <c r="A2745" s="11" t="s">
        <v>6672</v>
      </c>
      <c r="B2745" s="11"/>
      <c r="C2745" s="1836">
        <v>2</v>
      </c>
      <c r="D2745" s="1836">
        <v>4109.4751970833204</v>
      </c>
      <c r="E2745" s="1837">
        <v>4155.9170479967897</v>
      </c>
      <c r="F2745" s="1838">
        <v>4.6755265347675899E-2</v>
      </c>
      <c r="G2745" s="1839">
        <v>4.7336526954797703E-2</v>
      </c>
    </row>
    <row r="2746" spans="1:7" x14ac:dyDescent="0.25">
      <c r="A2746" s="6" t="s">
        <v>1197</v>
      </c>
      <c r="B2746" s="6"/>
      <c r="C2746" s="1832">
        <v>2</v>
      </c>
      <c r="D2746" s="1832">
        <v>3770.48974249</v>
      </c>
      <c r="E2746" s="1833">
        <v>3798.51250433108</v>
      </c>
      <c r="F2746" s="1834">
        <v>4.2898482153130198E-2</v>
      </c>
      <c r="G2746" s="1835">
        <v>4.3237649223585001E-2</v>
      </c>
    </row>
    <row r="2747" spans="1:7" x14ac:dyDescent="0.25">
      <c r="A2747" s="11" t="s">
        <v>1139</v>
      </c>
      <c r="B2747" s="11"/>
      <c r="C2747" s="1836">
        <v>4</v>
      </c>
      <c r="D2747" s="1836">
        <v>3169.0338311616501</v>
      </c>
      <c r="E2747" s="1837">
        <v>2581.2552122573902</v>
      </c>
      <c r="F2747" s="1838">
        <v>3.6055459776685603E-2</v>
      </c>
      <c r="G2747" s="1839">
        <v>2.93848282535344E-2</v>
      </c>
    </row>
    <row r="2748" spans="1:7" x14ac:dyDescent="0.25">
      <c r="A2748" s="6" t="s">
        <v>6673</v>
      </c>
      <c r="B2748" s="6"/>
      <c r="C2748" s="1832">
        <v>1</v>
      </c>
      <c r="D2748" s="1832">
        <v>3067.1233927163998</v>
      </c>
      <c r="E2748" s="1833">
        <v>3069.9588479957802</v>
      </c>
      <c r="F2748" s="1834">
        <v>3.4895980922892401E-2</v>
      </c>
      <c r="G2748" s="1835">
        <v>3.4933237356180397E-2</v>
      </c>
    </row>
    <row r="2749" spans="1:7" x14ac:dyDescent="0.25">
      <c r="A2749" s="11" t="s">
        <v>6652</v>
      </c>
      <c r="B2749" s="11"/>
      <c r="C2749" s="1836">
        <v>2</v>
      </c>
      <c r="D2749" s="1836">
        <v>2470.83647376928</v>
      </c>
      <c r="E2749" s="1837">
        <v>2318.7860521361299</v>
      </c>
      <c r="F2749" s="1838">
        <v>2.8111768394122799E-2</v>
      </c>
      <c r="G2749" s="1839">
        <v>2.64361527713943E-2</v>
      </c>
    </row>
    <row r="2750" spans="1:7" x14ac:dyDescent="0.25">
      <c r="A2750" s="6" t="s">
        <v>6434</v>
      </c>
      <c r="B2750" s="6"/>
      <c r="C2750" s="1832">
        <v>10</v>
      </c>
      <c r="D2750" s="1832">
        <v>2442.1732262586402</v>
      </c>
      <c r="E2750" s="1833">
        <v>1000.5854298472</v>
      </c>
      <c r="F2750" s="1834">
        <v>2.77856543092787E-2</v>
      </c>
      <c r="G2750" s="1835">
        <v>1.13382182716152E-2</v>
      </c>
    </row>
    <row r="2751" spans="1:7" x14ac:dyDescent="0.25">
      <c r="A2751" s="11" t="s">
        <v>3545</v>
      </c>
      <c r="B2751" s="11"/>
      <c r="C2751" s="1836">
        <v>2</v>
      </c>
      <c r="D2751" s="1836">
        <v>2142.7753302042001</v>
      </c>
      <c r="E2751" s="1837">
        <v>2144.5841418043201</v>
      </c>
      <c r="F2751" s="1838">
        <v>2.4379275780824199E-2</v>
      </c>
      <c r="G2751" s="1839">
        <v>2.4381924036090099E-2</v>
      </c>
    </row>
    <row r="2752" spans="1:7" x14ac:dyDescent="0.25">
      <c r="A2752" s="6" t="s">
        <v>1131</v>
      </c>
      <c r="B2752" s="6"/>
      <c r="C2752" s="1832">
        <v>3</v>
      </c>
      <c r="D2752" s="1832">
        <v>2034.23284804374</v>
      </c>
      <c r="E2752" s="1833">
        <v>2041.43233619069</v>
      </c>
      <c r="F2752" s="1834">
        <v>2.3144341315589002E-2</v>
      </c>
      <c r="G2752" s="1835">
        <v>2.3149620279592199E-2</v>
      </c>
    </row>
    <row r="2753" spans="1:7" x14ac:dyDescent="0.25">
      <c r="A2753" s="11" t="s">
        <v>1297</v>
      </c>
      <c r="B2753" s="11"/>
      <c r="C2753" s="1836">
        <v>8</v>
      </c>
      <c r="D2753" s="1836">
        <v>1695.9327715791401</v>
      </c>
      <c r="E2753" s="1837">
        <v>1312.7216336768599</v>
      </c>
      <c r="F2753" s="1838">
        <v>1.9295355962552101E-2</v>
      </c>
      <c r="G2753" s="1839">
        <v>1.4974752411803601E-2</v>
      </c>
    </row>
    <row r="2754" spans="1:7" x14ac:dyDescent="0.25">
      <c r="A2754" s="6" t="s">
        <v>1191</v>
      </c>
      <c r="B2754" s="6"/>
      <c r="C2754" s="1832">
        <v>1</v>
      </c>
      <c r="D2754" s="1832">
        <v>1426.0408827492499</v>
      </c>
      <c r="E2754" s="1833">
        <v>1439.34118295489</v>
      </c>
      <c r="F2754" s="1834">
        <v>1.6224679958379399E-2</v>
      </c>
      <c r="G2754" s="1835">
        <v>1.6362673821875201E-2</v>
      </c>
    </row>
    <row r="2755" spans="1:7" x14ac:dyDescent="0.25">
      <c r="A2755" s="11" t="s">
        <v>1137</v>
      </c>
      <c r="B2755" s="11"/>
      <c r="C2755" s="1836">
        <v>2</v>
      </c>
      <c r="D2755" s="1836">
        <v>1394.68555356519</v>
      </c>
      <c r="E2755" s="1837">
        <v>1411.44809674165</v>
      </c>
      <c r="F2755" s="1838">
        <v>1.5867936903425601E-2</v>
      </c>
      <c r="G2755" s="1839">
        <v>1.6017434349475099E-2</v>
      </c>
    </row>
    <row r="2756" spans="1:7" x14ac:dyDescent="0.25">
      <c r="A2756" s="6" t="s">
        <v>6653</v>
      </c>
      <c r="B2756" s="6"/>
      <c r="C2756" s="1832">
        <v>4</v>
      </c>
      <c r="D2756" s="1832">
        <v>1263.5220439385801</v>
      </c>
      <c r="E2756" s="1833">
        <v>1284.2363242245101</v>
      </c>
      <c r="F2756" s="1834">
        <v>1.4375633287412299E-2</v>
      </c>
      <c r="G2756" s="1835">
        <v>1.46384668551361E-2</v>
      </c>
    </row>
    <row r="2757" spans="1:7" x14ac:dyDescent="0.25">
      <c r="A2757" s="11" t="s">
        <v>6674</v>
      </c>
      <c r="B2757" s="11"/>
      <c r="C2757" s="1836">
        <v>1</v>
      </c>
      <c r="D2757" s="1836">
        <v>1132.9130687096799</v>
      </c>
      <c r="E2757" s="1837">
        <v>1138.76550756606</v>
      </c>
      <c r="F2757" s="1838">
        <v>1.2889638847550599E-2</v>
      </c>
      <c r="G2757" s="1839">
        <v>1.29276084920093E-2</v>
      </c>
    </row>
    <row r="2758" spans="1:7" x14ac:dyDescent="0.25">
      <c r="A2758" s="6" t="s">
        <v>6675</v>
      </c>
      <c r="B2758" s="6"/>
      <c r="C2758" s="1832">
        <v>1</v>
      </c>
      <c r="D2758" s="1832">
        <v>989.91675312565201</v>
      </c>
      <c r="E2758" s="1833">
        <v>1002.7884456880601</v>
      </c>
      <c r="F2758" s="1834">
        <v>1.12627083130589E-2</v>
      </c>
      <c r="G2758" s="1835">
        <v>1.13988280234748E-2</v>
      </c>
    </row>
    <row r="2759" spans="1:7" x14ac:dyDescent="0.25">
      <c r="A2759" s="11" t="s">
        <v>1129</v>
      </c>
      <c r="B2759" s="11"/>
      <c r="C2759" s="1836">
        <v>4</v>
      </c>
      <c r="D2759" s="1836">
        <v>966.306375898493</v>
      </c>
      <c r="E2759" s="1837">
        <v>603.75320154767701</v>
      </c>
      <c r="F2759" s="1838">
        <v>1.09940829048807E-2</v>
      </c>
      <c r="G2759" s="1839">
        <v>6.8667224128104304E-3</v>
      </c>
    </row>
    <row r="2760" spans="1:7" x14ac:dyDescent="0.25">
      <c r="A2760" s="6" t="s">
        <v>5232</v>
      </c>
      <c r="B2760" s="6"/>
      <c r="C2760" s="1832">
        <v>1</v>
      </c>
      <c r="D2760" s="1832">
        <v>860.83084845540304</v>
      </c>
      <c r="E2760" s="1833">
        <v>864.38956568748802</v>
      </c>
      <c r="F2760" s="1834">
        <v>9.7940425014764396E-3</v>
      </c>
      <c r="G2760" s="1835">
        <v>9.8168564166419402E-3</v>
      </c>
    </row>
    <row r="2761" spans="1:7" x14ac:dyDescent="0.25">
      <c r="A2761" s="11" t="s">
        <v>6661</v>
      </c>
      <c r="B2761" s="11"/>
      <c r="C2761" s="1836">
        <v>1</v>
      </c>
      <c r="D2761" s="1836">
        <v>678.29031741125004</v>
      </c>
      <c r="E2761" s="1837">
        <v>669.77694724594096</v>
      </c>
      <c r="F2761" s="1838">
        <v>7.7172004337271302E-3</v>
      </c>
      <c r="G2761" s="1839">
        <v>7.6117502120548299E-3</v>
      </c>
    </row>
    <row r="2762" spans="1:7" x14ac:dyDescent="0.25">
      <c r="A2762" s="6" t="s">
        <v>1193</v>
      </c>
      <c r="B2762" s="6"/>
      <c r="C2762" s="1832">
        <v>4</v>
      </c>
      <c r="D2762" s="1832">
        <v>663.84871516725195</v>
      </c>
      <c r="E2762" s="1833">
        <v>455.48148415865899</v>
      </c>
      <c r="F2762" s="1834">
        <v>7.5528921187766E-3</v>
      </c>
      <c r="G2762" s="1835">
        <v>5.2245850324032003E-3</v>
      </c>
    </row>
    <row r="2763" spans="1:7" x14ac:dyDescent="0.25">
      <c r="A2763" s="11" t="s">
        <v>1125</v>
      </c>
      <c r="B2763" s="11"/>
      <c r="C2763" s="1836">
        <v>3</v>
      </c>
      <c r="D2763" s="1836">
        <v>593.77949624484495</v>
      </c>
      <c r="E2763" s="1837">
        <v>516.03615069143598</v>
      </c>
      <c r="F2763" s="1838">
        <v>6.7556845031310096E-3</v>
      </c>
      <c r="G2763" s="1839">
        <v>5.8710121408622803E-3</v>
      </c>
    </row>
    <row r="2764" spans="1:7" x14ac:dyDescent="0.25">
      <c r="A2764" s="6" t="s">
        <v>6658</v>
      </c>
      <c r="B2764" s="6"/>
      <c r="C2764" s="1832">
        <v>2</v>
      </c>
      <c r="D2764" s="1832">
        <v>566.17451514916797</v>
      </c>
      <c r="E2764" s="1833">
        <v>567.43556425228496</v>
      </c>
      <c r="F2764" s="1834">
        <v>6.4416107700757501E-3</v>
      </c>
      <c r="G2764" s="1835">
        <v>6.4278293189815403E-3</v>
      </c>
    </row>
    <row r="2765" spans="1:7" x14ac:dyDescent="0.25">
      <c r="A2765" s="11" t="s">
        <v>1299</v>
      </c>
      <c r="B2765" s="11"/>
      <c r="C2765" s="1836">
        <v>2</v>
      </c>
      <c r="D2765" s="1836">
        <v>535.03090147834405</v>
      </c>
      <c r="E2765" s="1837">
        <v>436.15012856737701</v>
      </c>
      <c r="F2765" s="1838">
        <v>6.0872764934998998E-3</v>
      </c>
      <c r="G2765" s="1839">
        <v>4.9896396542941602E-3</v>
      </c>
    </row>
    <row r="2766" spans="1:7" x14ac:dyDescent="0.25">
      <c r="A2766" s="6" t="s">
        <v>1189</v>
      </c>
      <c r="B2766" s="6"/>
      <c r="C2766" s="1832">
        <v>1</v>
      </c>
      <c r="D2766" s="1832">
        <v>519.59268922578701</v>
      </c>
      <c r="E2766" s="1833">
        <v>525.63280926256698</v>
      </c>
      <c r="F2766" s="1834">
        <v>5.9116293181928599E-3</v>
      </c>
      <c r="G2766" s="1835">
        <v>5.9868706645814403E-3</v>
      </c>
    </row>
    <row r="2767" spans="1:7" x14ac:dyDescent="0.25">
      <c r="A2767" s="11" t="s">
        <v>1241</v>
      </c>
      <c r="B2767" s="11"/>
      <c r="C2767" s="1836">
        <v>1</v>
      </c>
      <c r="D2767" s="1836">
        <v>515.89755637408496</v>
      </c>
      <c r="E2767" s="1837">
        <v>516.28127616746394</v>
      </c>
      <c r="F2767" s="1838">
        <v>5.8695882037705501E-3</v>
      </c>
      <c r="G2767" s="1839">
        <v>5.8716045142371198E-3</v>
      </c>
    </row>
    <row r="2768" spans="1:7" x14ac:dyDescent="0.25">
      <c r="A2768" s="6" t="s">
        <v>1309</v>
      </c>
      <c r="B2768" s="6"/>
      <c r="C2768" s="1832">
        <v>1</v>
      </c>
      <c r="D2768" s="1832">
        <v>473.26819076716998</v>
      </c>
      <c r="E2768" s="1833">
        <v>485.47235063079501</v>
      </c>
      <c r="F2768" s="1834">
        <v>5.3845755914620399E-3</v>
      </c>
      <c r="G2768" s="1835">
        <v>5.5364051032446397E-3</v>
      </c>
    </row>
    <row r="2769" spans="1:7" x14ac:dyDescent="0.25">
      <c r="A2769" s="11" t="s">
        <v>1305</v>
      </c>
      <c r="B2769" s="11"/>
      <c r="C2769" s="1836">
        <v>1</v>
      </c>
      <c r="D2769" s="1836">
        <v>438.06143999247701</v>
      </c>
      <c r="E2769" s="1837">
        <v>445.71386448707398</v>
      </c>
      <c r="F2769" s="1838">
        <v>4.9840132579386303E-3</v>
      </c>
      <c r="G2769" s="1839">
        <v>5.0639537340614101E-3</v>
      </c>
    </row>
    <row r="2770" spans="1:7" x14ac:dyDescent="0.25">
      <c r="A2770" s="6" t="s">
        <v>6525</v>
      </c>
      <c r="B2770" s="6"/>
      <c r="C2770" s="1832">
        <v>2</v>
      </c>
      <c r="D2770" s="1832">
        <v>415.87525501383402</v>
      </c>
      <c r="E2770" s="1833">
        <v>275.97267994968098</v>
      </c>
      <c r="F2770" s="1834">
        <v>4.7315914970127403E-3</v>
      </c>
      <c r="G2770" s="1835">
        <v>3.1696665794713301E-3</v>
      </c>
    </row>
    <row r="2771" spans="1:7" x14ac:dyDescent="0.25">
      <c r="A2771" s="11" t="s">
        <v>6676</v>
      </c>
      <c r="B2771" s="11"/>
      <c r="C2771" s="1836">
        <v>1</v>
      </c>
      <c r="D2771" s="1836">
        <v>401.03979061160402</v>
      </c>
      <c r="E2771" s="1837">
        <v>399.94138854532099</v>
      </c>
      <c r="F2771" s="1838">
        <v>4.5628020430273303E-3</v>
      </c>
      <c r="G2771" s="1839">
        <v>4.5384941951900001E-3</v>
      </c>
    </row>
    <row r="2772" spans="1:7" x14ac:dyDescent="0.25">
      <c r="A2772" s="6" t="s">
        <v>6657</v>
      </c>
      <c r="B2772" s="6"/>
      <c r="C2772" s="1832">
        <v>4</v>
      </c>
      <c r="D2772" s="1832">
        <v>289.63448710241101</v>
      </c>
      <c r="E2772" s="1833">
        <v>215.06016215522101</v>
      </c>
      <c r="F2772" s="1834">
        <v>3.29529602902155E-3</v>
      </c>
      <c r="G2772" s="1835">
        <v>2.43175124116933E-3</v>
      </c>
    </row>
    <row r="2773" spans="1:7" x14ac:dyDescent="0.25">
      <c r="A2773" s="11" t="s">
        <v>6677</v>
      </c>
      <c r="B2773" s="11"/>
      <c r="C2773" s="1836">
        <v>1</v>
      </c>
      <c r="D2773" s="1836">
        <v>281.105389213352</v>
      </c>
      <c r="E2773" s="1837">
        <v>281.79604933336498</v>
      </c>
      <c r="F2773" s="1838">
        <v>3.1982568169921701E-3</v>
      </c>
      <c r="G2773" s="1839">
        <v>3.1956798007538702E-3</v>
      </c>
    </row>
    <row r="2774" spans="1:7" x14ac:dyDescent="0.25">
      <c r="A2774" s="6" t="s">
        <v>1314</v>
      </c>
      <c r="B2774" s="6"/>
      <c r="C2774" s="1832">
        <v>5</v>
      </c>
      <c r="D2774" s="1832">
        <v>276.50972004761002</v>
      </c>
      <c r="E2774" s="1833">
        <v>277.837574730065</v>
      </c>
      <c r="F2774" s="1834">
        <v>3.14596991392316E-3</v>
      </c>
      <c r="G2774" s="1835">
        <v>3.1474305161638899E-3</v>
      </c>
    </row>
    <row r="2775" spans="1:7" x14ac:dyDescent="0.25">
      <c r="A2775" s="11" t="s">
        <v>6678</v>
      </c>
      <c r="B2775" s="11"/>
      <c r="C2775" s="1836">
        <v>2</v>
      </c>
      <c r="D2775" s="1836">
        <v>234.337186541954</v>
      </c>
      <c r="E2775" s="1837">
        <v>235.63838009255699</v>
      </c>
      <c r="F2775" s="1838">
        <v>2.6661548767524402E-3</v>
      </c>
      <c r="G2775" s="1839">
        <v>2.67062395666837E-3</v>
      </c>
    </row>
    <row r="2776" spans="1:7" x14ac:dyDescent="0.25">
      <c r="A2776" s="6" t="s">
        <v>3314</v>
      </c>
      <c r="B2776" s="6"/>
      <c r="C2776" s="1832">
        <v>2</v>
      </c>
      <c r="D2776" s="1832">
        <v>211.92210808601601</v>
      </c>
      <c r="E2776" s="1833">
        <v>214.239784972151</v>
      </c>
      <c r="F2776" s="1834">
        <v>2.4111288963693002E-3</v>
      </c>
      <c r="G2776" s="1835">
        <v>2.4441662047239702E-3</v>
      </c>
    </row>
    <row r="2777" spans="1:7" x14ac:dyDescent="0.25">
      <c r="A2777" s="11" t="s">
        <v>3234</v>
      </c>
      <c r="B2777" s="11"/>
      <c r="C2777" s="1836">
        <v>1</v>
      </c>
      <c r="D2777" s="1836">
        <v>104.320664427994</v>
      </c>
      <c r="E2777" s="1837">
        <v>103.085736219626</v>
      </c>
      <c r="F2777" s="1838">
        <v>1.18690103058379E-3</v>
      </c>
      <c r="G2777" s="1839">
        <v>1.17125495953881E-3</v>
      </c>
    </row>
    <row r="2778" spans="1:7" x14ac:dyDescent="0.25">
      <c r="A2778" s="6" t="s">
        <v>6679</v>
      </c>
      <c r="B2778" s="6"/>
      <c r="C2778" s="1832">
        <v>1</v>
      </c>
      <c r="D2778" s="1832">
        <v>103.46500315055999</v>
      </c>
      <c r="E2778" s="1833">
        <v>104.03078171762699</v>
      </c>
      <c r="F2778" s="1834">
        <v>1.1771658045134201E-3</v>
      </c>
      <c r="G2778" s="1835">
        <v>1.1785823775684299E-3</v>
      </c>
    </row>
    <row r="2779" spans="1:7" x14ac:dyDescent="0.25">
      <c r="A2779" s="11" t="s">
        <v>3193</v>
      </c>
      <c r="B2779" s="11"/>
      <c r="C2779" s="1836">
        <v>1</v>
      </c>
      <c r="D2779" s="1836">
        <v>74.286582483048306</v>
      </c>
      <c r="E2779" s="1837">
        <v>74.0682596756089</v>
      </c>
      <c r="F2779" s="1838">
        <v>8.4519037327006699E-4</v>
      </c>
      <c r="G2779" s="1839">
        <v>8.4175498635849695E-4</v>
      </c>
    </row>
    <row r="2780" spans="1:7" x14ac:dyDescent="0.25">
      <c r="A2780" s="6" t="s">
        <v>6680</v>
      </c>
      <c r="B2780" s="6"/>
      <c r="C2780" s="1832">
        <v>1</v>
      </c>
      <c r="D2780" s="1832">
        <v>62.157248136655603</v>
      </c>
      <c r="E2780" s="1833">
        <v>62.055082916850402</v>
      </c>
      <c r="F2780" s="1834">
        <v>7.0718972387844297E-4</v>
      </c>
      <c r="G2780" s="1835">
        <v>7.05124575558686E-4</v>
      </c>
    </row>
    <row r="2781" spans="1:7" x14ac:dyDescent="0.25">
      <c r="A2781" s="11" t="s">
        <v>6681</v>
      </c>
      <c r="B2781" s="11"/>
      <c r="C2781" s="1836">
        <v>1</v>
      </c>
      <c r="D2781" s="1836">
        <v>40.3824306510908</v>
      </c>
      <c r="E2781" s="1837">
        <v>40.459748123124498</v>
      </c>
      <c r="F2781" s="1838">
        <v>4.5944826770482299E-4</v>
      </c>
      <c r="G2781" s="1839">
        <v>4.6142412911511502E-4</v>
      </c>
    </row>
    <row r="2782" spans="1:7" x14ac:dyDescent="0.25">
      <c r="A2782" s="6" t="s">
        <v>1217</v>
      </c>
      <c r="B2782" s="6"/>
      <c r="C2782" s="1832">
        <v>1</v>
      </c>
      <c r="D2782" s="1832">
        <v>36.731917985431899</v>
      </c>
      <c r="E2782" s="1833">
        <v>36.903754212180203</v>
      </c>
      <c r="F2782" s="1834">
        <v>4.17914816314467E-4</v>
      </c>
      <c r="G2782" s="1835">
        <v>4.1894427710774298E-4</v>
      </c>
    </row>
    <row r="2783" spans="1:7" x14ac:dyDescent="0.25">
      <c r="A2783" s="11" t="s">
        <v>3238</v>
      </c>
      <c r="B2783" s="11"/>
      <c r="C2783" s="1836">
        <v>3</v>
      </c>
      <c r="D2783" s="1836">
        <v>36.672104219598197</v>
      </c>
      <c r="E2783" s="1837">
        <v>36.570138199284301</v>
      </c>
      <c r="F2783" s="1838">
        <v>4.1723428939585201E-4</v>
      </c>
      <c r="G2783" s="1839">
        <v>4.1478494802079399E-4</v>
      </c>
    </row>
    <row r="2784" spans="1:7" x14ac:dyDescent="0.25">
      <c r="A2784" s="6" t="s">
        <v>3201</v>
      </c>
      <c r="B2784" s="6"/>
      <c r="C2784" s="1832">
        <v>1</v>
      </c>
      <c r="D2784" s="1832">
        <v>36.630832239095</v>
      </c>
      <c r="E2784" s="1833">
        <v>36.557334189881097</v>
      </c>
      <c r="F2784" s="1834">
        <v>4.1676472033719898E-4</v>
      </c>
      <c r="G2784" s="1835">
        <v>4.1505772888544802E-4</v>
      </c>
    </row>
    <row r="2785" spans="1:7" x14ac:dyDescent="0.25">
      <c r="A2785" s="11" t="s">
        <v>1088</v>
      </c>
      <c r="B2785" s="11" t="s">
        <v>1089</v>
      </c>
      <c r="C2785" s="1836">
        <v>25153</v>
      </c>
      <c r="D2785" s="1836">
        <v>22909354.086488102</v>
      </c>
      <c r="E2785" s="1837">
        <v>262063.11517872399</v>
      </c>
      <c r="F2785" s="1838">
        <v>75.470225050352497</v>
      </c>
      <c r="G2785" s="1839">
        <v>0.53111228668575705</v>
      </c>
    </row>
    <row r="2786" spans="1:7" x14ac:dyDescent="0.25">
      <c r="A2786" s="6" t="s">
        <v>1102</v>
      </c>
      <c r="B2786" s="6" t="s">
        <v>1103</v>
      </c>
      <c r="C2786" s="1832">
        <v>13701</v>
      </c>
      <c r="D2786" s="1832">
        <v>7446132.5590112898</v>
      </c>
      <c r="E2786" s="1833">
        <v>148996.94204920699</v>
      </c>
      <c r="F2786" s="1834">
        <v>24.5297749496475</v>
      </c>
      <c r="G2786" s="1835">
        <v>0.53111228668576804</v>
      </c>
    </row>
    <row r="2787" spans="1:7" x14ac:dyDescent="0.25">
      <c r="A2787" s="11" t="s">
        <v>6417</v>
      </c>
      <c r="B2787" s="11" t="s">
        <v>6418</v>
      </c>
      <c r="C2787" s="1836">
        <v>16953</v>
      </c>
      <c r="D2787" s="1836">
        <v>8789331.3545008004</v>
      </c>
      <c r="E2787" s="1837">
        <v>204321.607896395</v>
      </c>
      <c r="F2787" s="1838">
        <v>22.453371361953401</v>
      </c>
      <c r="G2787" s="1839">
        <v>0.52196336152692102</v>
      </c>
    </row>
    <row r="2788" spans="1:7" x14ac:dyDescent="0.25">
      <c r="A2788" s="6" t="s">
        <v>6417</v>
      </c>
      <c r="B2788" s="6" t="s">
        <v>6419</v>
      </c>
      <c r="C2788" s="1832">
        <v>55807</v>
      </c>
      <c r="D2788" s="1832">
        <v>39144818.000000201</v>
      </c>
      <c r="E2788" s="1833">
        <v>0</v>
      </c>
      <c r="F2788" s="1834">
        <v>100</v>
      </c>
      <c r="G2788" s="1835">
        <v>0</v>
      </c>
    </row>
    <row r="2789" spans="1:7" x14ac:dyDescent="0.25">
      <c r="A2789" s="3729" t="s">
        <v>627</v>
      </c>
      <c r="B2789" s="3730"/>
      <c r="C2789" s="3730"/>
      <c r="D2789" s="3730"/>
      <c r="E2789" s="3730"/>
      <c r="F2789" s="3730"/>
      <c r="G2789" s="3730"/>
    </row>
    <row r="2790" spans="1:7" x14ac:dyDescent="0.25">
      <c r="A2790" s="11" t="s">
        <v>1292</v>
      </c>
      <c r="B2790" s="11"/>
      <c r="C2790" s="1844">
        <v>5821</v>
      </c>
      <c r="D2790" s="1844">
        <v>3086075.23431694</v>
      </c>
      <c r="E2790" s="1845">
        <v>154622.311222755</v>
      </c>
      <c r="F2790" s="1846">
        <v>82.255361342777704</v>
      </c>
      <c r="G2790" s="1847">
        <v>1.40718630848279</v>
      </c>
    </row>
    <row r="2791" spans="1:7" x14ac:dyDescent="0.25">
      <c r="A2791" s="6" t="s">
        <v>6427</v>
      </c>
      <c r="B2791" s="6"/>
      <c r="C2791" s="1840">
        <v>670</v>
      </c>
      <c r="D2791" s="1840">
        <v>316924.51540223398</v>
      </c>
      <c r="E2791" s="1841">
        <v>30893.1276541681</v>
      </c>
      <c r="F2791" s="1842">
        <v>8.4472148452224793</v>
      </c>
      <c r="G2791" s="1843">
        <v>0.77464356859763495</v>
      </c>
    </row>
    <row r="2792" spans="1:7" x14ac:dyDescent="0.25">
      <c r="A2792" s="11" t="s">
        <v>6426</v>
      </c>
      <c r="B2792" s="11"/>
      <c r="C2792" s="1844">
        <v>295</v>
      </c>
      <c r="D2792" s="1844">
        <v>111147.17022568401</v>
      </c>
      <c r="E2792" s="1845">
        <v>13400.281335513801</v>
      </c>
      <c r="F2792" s="1846">
        <v>2.9624846949541199</v>
      </c>
      <c r="G2792" s="1847">
        <v>0.373846895460063</v>
      </c>
    </row>
    <row r="2793" spans="1:7" x14ac:dyDescent="0.25">
      <c r="A2793" s="6" t="s">
        <v>6429</v>
      </c>
      <c r="B2793" s="6"/>
      <c r="C2793" s="1840">
        <v>162</v>
      </c>
      <c r="D2793" s="1840">
        <v>53496.0454417562</v>
      </c>
      <c r="E2793" s="1841">
        <v>5673.9124201680297</v>
      </c>
      <c r="F2793" s="1842">
        <v>1.4258682028519201</v>
      </c>
      <c r="G2793" s="1843">
        <v>0.180270710036116</v>
      </c>
    </row>
    <row r="2794" spans="1:7" x14ac:dyDescent="0.25">
      <c r="A2794" s="11" t="s">
        <v>6428</v>
      </c>
      <c r="B2794" s="11"/>
      <c r="C2794" s="1844">
        <v>126</v>
      </c>
      <c r="D2794" s="1844">
        <v>51991.925514848401</v>
      </c>
      <c r="E2794" s="1845">
        <v>13799.6655844621</v>
      </c>
      <c r="F2794" s="1846">
        <v>1.3857778230987301</v>
      </c>
      <c r="G2794" s="1847">
        <v>0.34865344040605001</v>
      </c>
    </row>
    <row r="2795" spans="1:7" x14ac:dyDescent="0.25">
      <c r="A2795" s="6" t="s">
        <v>6430</v>
      </c>
      <c r="B2795" s="6"/>
      <c r="C2795" s="1840">
        <v>51</v>
      </c>
      <c r="D2795" s="1840">
        <v>28930.183307419698</v>
      </c>
      <c r="E2795" s="1841">
        <v>15168.8727601888</v>
      </c>
      <c r="F2795" s="1842">
        <v>0.77109678182920505</v>
      </c>
      <c r="G2795" s="1843">
        <v>0.40794693240536001</v>
      </c>
    </row>
    <row r="2796" spans="1:7" x14ac:dyDescent="0.25">
      <c r="A2796" s="11" t="s">
        <v>6433</v>
      </c>
      <c r="B2796" s="11"/>
      <c r="C2796" s="1844">
        <v>42</v>
      </c>
      <c r="D2796" s="1844">
        <v>19880.614503777299</v>
      </c>
      <c r="E2796" s="1845">
        <v>4616.0956966039303</v>
      </c>
      <c r="F2796" s="1846">
        <v>0.52989217875843897</v>
      </c>
      <c r="G2796" s="1847">
        <v>0.12406225348747101</v>
      </c>
    </row>
    <row r="2797" spans="1:7" x14ac:dyDescent="0.25">
      <c r="A2797" s="6" t="s">
        <v>6432</v>
      </c>
      <c r="B2797" s="6"/>
      <c r="C2797" s="1840">
        <v>13</v>
      </c>
      <c r="D2797" s="1840">
        <v>14060.6981244082</v>
      </c>
      <c r="E2797" s="1841">
        <v>10245.765883440101</v>
      </c>
      <c r="F2797" s="1842">
        <v>0.37476980214025801</v>
      </c>
      <c r="G2797" s="1843">
        <v>0.27545897310540801</v>
      </c>
    </row>
    <row r="2798" spans="1:7" x14ac:dyDescent="0.25">
      <c r="A2798" s="11" t="s">
        <v>6431</v>
      </c>
      <c r="B2798" s="11"/>
      <c r="C2798" s="1844">
        <v>40</v>
      </c>
      <c r="D2798" s="1844">
        <v>12145.688869711799</v>
      </c>
      <c r="E2798" s="1845">
        <v>6194.6200006983199</v>
      </c>
      <c r="F2798" s="1846">
        <v>0.323727696468884</v>
      </c>
      <c r="G2798" s="1847">
        <v>0.164524871999536</v>
      </c>
    </row>
    <row r="2799" spans="1:7" x14ac:dyDescent="0.25">
      <c r="A2799" s="6" t="s">
        <v>1295</v>
      </c>
      <c r="B2799" s="6"/>
      <c r="C2799" s="1840">
        <v>9</v>
      </c>
      <c r="D2799" s="1840">
        <v>6885.2009324819301</v>
      </c>
      <c r="E2799" s="1841">
        <v>3850.26798400494</v>
      </c>
      <c r="F2799" s="1842">
        <v>0.18351616458381101</v>
      </c>
      <c r="G2799" s="1843">
        <v>0.100075035634763</v>
      </c>
    </row>
    <row r="2800" spans="1:7" x14ac:dyDescent="0.25">
      <c r="A2800" s="11" t="s">
        <v>1123</v>
      </c>
      <c r="B2800" s="11"/>
      <c r="C2800" s="1844">
        <v>24</v>
      </c>
      <c r="D2800" s="1844">
        <v>6594.0190228839501</v>
      </c>
      <c r="E2800" s="1845">
        <v>2414.8936641151299</v>
      </c>
      <c r="F2800" s="1846">
        <v>0.17575508574680601</v>
      </c>
      <c r="G2800" s="1847">
        <v>6.1093899262498502E-2</v>
      </c>
    </row>
    <row r="2801" spans="1:7" x14ac:dyDescent="0.25">
      <c r="A2801" s="6" t="s">
        <v>1127</v>
      </c>
      <c r="B2801" s="6"/>
      <c r="C2801" s="1840">
        <v>14</v>
      </c>
      <c r="D2801" s="1840">
        <v>6264.5531161551498</v>
      </c>
      <c r="E2801" s="1841">
        <v>3499.1533274711901</v>
      </c>
      <c r="F2801" s="1842">
        <v>0.166973596265685</v>
      </c>
      <c r="G2801" s="1843">
        <v>9.4057981335608096E-2</v>
      </c>
    </row>
    <row r="2802" spans="1:7" x14ac:dyDescent="0.25">
      <c r="A2802" s="11" t="s">
        <v>1217</v>
      </c>
      <c r="B2802" s="11"/>
      <c r="C2802" s="1844">
        <v>2</v>
      </c>
      <c r="D2802" s="1844">
        <v>5958.8671462573602</v>
      </c>
      <c r="E2802" s="1845">
        <v>5662.8200580955499</v>
      </c>
      <c r="F2802" s="1846">
        <v>0.158825930378685</v>
      </c>
      <c r="G2802" s="1847">
        <v>0.15176365791826901</v>
      </c>
    </row>
    <row r="2803" spans="1:7" x14ac:dyDescent="0.25">
      <c r="A2803" s="6" t="s">
        <v>1135</v>
      </c>
      <c r="B2803" s="6"/>
      <c r="C2803" s="1840">
        <v>4</v>
      </c>
      <c r="D2803" s="1840">
        <v>5824.1621477338203</v>
      </c>
      <c r="E2803" s="1841">
        <v>2967.4678472344699</v>
      </c>
      <c r="F2803" s="1842">
        <v>0.155235542106545</v>
      </c>
      <c r="G2803" s="1843">
        <v>7.8551997169878304E-2</v>
      </c>
    </row>
    <row r="2804" spans="1:7" x14ac:dyDescent="0.25">
      <c r="A2804" s="11" t="s">
        <v>1137</v>
      </c>
      <c r="B2804" s="11"/>
      <c r="C2804" s="1844">
        <v>1</v>
      </c>
      <c r="D2804" s="1844">
        <v>4801.7881686558103</v>
      </c>
      <c r="E2804" s="1845">
        <v>4827.6068626403203</v>
      </c>
      <c r="F2804" s="1846">
        <v>0.12798548023463199</v>
      </c>
      <c r="G2804" s="1847">
        <v>0.128641504449308</v>
      </c>
    </row>
    <row r="2805" spans="1:7" x14ac:dyDescent="0.25">
      <c r="A2805" s="6" t="s">
        <v>1193</v>
      </c>
      <c r="B2805" s="6"/>
      <c r="C2805" s="1840">
        <v>2</v>
      </c>
      <c r="D2805" s="1840">
        <v>4590.1493139062204</v>
      </c>
      <c r="E2805" s="1841">
        <v>4591.4143249621702</v>
      </c>
      <c r="F2805" s="1842">
        <v>0.122344519094729</v>
      </c>
      <c r="G2805" s="1843">
        <v>0.12237210858621</v>
      </c>
    </row>
    <row r="2806" spans="1:7" x14ac:dyDescent="0.25">
      <c r="A2806" s="11" t="s">
        <v>4437</v>
      </c>
      <c r="B2806" s="11"/>
      <c r="C2806" s="1844">
        <v>1</v>
      </c>
      <c r="D2806" s="1844">
        <v>3067.1233927163998</v>
      </c>
      <c r="E2806" s="1845">
        <v>3069.9588479957802</v>
      </c>
      <c r="F2806" s="1846">
        <v>8.1750224409747399E-2</v>
      </c>
      <c r="G2806" s="1847">
        <v>8.17478973048609E-2</v>
      </c>
    </row>
    <row r="2807" spans="1:7" x14ac:dyDescent="0.25">
      <c r="A2807" s="6" t="s">
        <v>1297</v>
      </c>
      <c r="B2807" s="6"/>
      <c r="C2807" s="1840">
        <v>3</v>
      </c>
      <c r="D2807" s="1840">
        <v>1648.4279180789899</v>
      </c>
      <c r="E2807" s="1841">
        <v>1109.5361719402199</v>
      </c>
      <c r="F2807" s="1842">
        <v>4.3936723428300101E-2</v>
      </c>
      <c r="G2807" s="1843">
        <v>2.8831582551999999E-2</v>
      </c>
    </row>
    <row r="2808" spans="1:7" x14ac:dyDescent="0.25">
      <c r="A2808" s="11" t="s">
        <v>1301</v>
      </c>
      <c r="B2808" s="11"/>
      <c r="C2808" s="1844">
        <v>5</v>
      </c>
      <c r="D2808" s="1844">
        <v>1612.02251106633</v>
      </c>
      <c r="E2808" s="1845">
        <v>999.07704392375103</v>
      </c>
      <c r="F2808" s="1846">
        <v>4.2966384184668499E-2</v>
      </c>
      <c r="G2808" s="1847">
        <v>2.64017195322068E-2</v>
      </c>
    </row>
    <row r="2809" spans="1:7" x14ac:dyDescent="0.25">
      <c r="A2809" s="6" t="s">
        <v>1305</v>
      </c>
      <c r="B2809" s="6"/>
      <c r="C2809" s="1840">
        <v>2</v>
      </c>
      <c r="D2809" s="1840">
        <v>1609.1197593152001</v>
      </c>
      <c r="E2809" s="1841">
        <v>1452.6358118328301</v>
      </c>
      <c r="F2809" s="1842">
        <v>4.2889015074699097E-2</v>
      </c>
      <c r="G2809" s="1843">
        <v>3.8829625892096598E-2</v>
      </c>
    </row>
    <row r="2810" spans="1:7" x14ac:dyDescent="0.25">
      <c r="A2810" s="11" t="s">
        <v>6652</v>
      </c>
      <c r="B2810" s="11"/>
      <c r="C2810" s="1844">
        <v>1</v>
      </c>
      <c r="D2810" s="1844">
        <v>1310.3746322693701</v>
      </c>
      <c r="E2810" s="1845">
        <v>1327.4368375137301</v>
      </c>
      <c r="F2810" s="1846">
        <v>3.4926348415994901E-2</v>
      </c>
      <c r="G2810" s="1847">
        <v>3.53564306009145E-2</v>
      </c>
    </row>
    <row r="2811" spans="1:7" x14ac:dyDescent="0.25">
      <c r="A2811" s="6" t="s">
        <v>1299</v>
      </c>
      <c r="B2811" s="6"/>
      <c r="C2811" s="1840">
        <v>1</v>
      </c>
      <c r="D2811" s="1840">
        <v>1188.2278037163701</v>
      </c>
      <c r="E2811" s="1841">
        <v>1195.35687380634</v>
      </c>
      <c r="F2811" s="1842">
        <v>3.1670681992902898E-2</v>
      </c>
      <c r="G2811" s="1843">
        <v>3.1922079212647302E-2</v>
      </c>
    </row>
    <row r="2812" spans="1:7" x14ac:dyDescent="0.25">
      <c r="A2812" s="11" t="s">
        <v>3541</v>
      </c>
      <c r="B2812" s="11"/>
      <c r="C2812" s="1844">
        <v>1</v>
      </c>
      <c r="D2812" s="1844">
        <v>1118.1529512054101</v>
      </c>
      <c r="E2812" s="1845">
        <v>1124.9432269951201</v>
      </c>
      <c r="F2812" s="1846">
        <v>2.9802927036628599E-2</v>
      </c>
      <c r="G2812" s="1847">
        <v>2.9801006584405099E-2</v>
      </c>
    </row>
    <row r="2813" spans="1:7" x14ac:dyDescent="0.25">
      <c r="A2813" s="6" t="s">
        <v>1133</v>
      </c>
      <c r="B2813" s="6"/>
      <c r="C2813" s="1840">
        <v>11</v>
      </c>
      <c r="D2813" s="1840">
        <v>1036.30287696812</v>
      </c>
      <c r="E2813" s="1841">
        <v>527.36066267391902</v>
      </c>
      <c r="F2813" s="1842">
        <v>2.7621318708530899E-2</v>
      </c>
      <c r="G2813" s="1843">
        <v>1.38853315085302E-2</v>
      </c>
    </row>
    <row r="2814" spans="1:7" x14ac:dyDescent="0.25">
      <c r="A2814" s="11" t="s">
        <v>6434</v>
      </c>
      <c r="B2814" s="11"/>
      <c r="C2814" s="1844">
        <v>3</v>
      </c>
      <c r="D2814" s="1844">
        <v>869.41978910365799</v>
      </c>
      <c r="E2814" s="1845">
        <v>866.18081166583102</v>
      </c>
      <c r="F2814" s="1846">
        <v>2.31732649016613E-2</v>
      </c>
      <c r="G2814" s="1847">
        <v>2.30763678352384E-2</v>
      </c>
    </row>
    <row r="2815" spans="1:7" x14ac:dyDescent="0.25">
      <c r="A2815" s="6" t="s">
        <v>3172</v>
      </c>
      <c r="B2815" s="6"/>
      <c r="C2815" s="1840">
        <v>4</v>
      </c>
      <c r="D2815" s="1840">
        <v>779.33786955447795</v>
      </c>
      <c r="E2815" s="1841">
        <v>785.61187378538398</v>
      </c>
      <c r="F2815" s="1842">
        <v>2.0772247337159599E-2</v>
      </c>
      <c r="G2815" s="1843">
        <v>2.0988790469803901E-2</v>
      </c>
    </row>
    <row r="2816" spans="1:7" x14ac:dyDescent="0.25">
      <c r="A2816" s="11" t="s">
        <v>1141</v>
      </c>
      <c r="B2816" s="11"/>
      <c r="C2816" s="1844">
        <v>1</v>
      </c>
      <c r="D2816" s="1844">
        <v>725.65083236441399</v>
      </c>
      <c r="E2816" s="1845">
        <v>734.82535708889304</v>
      </c>
      <c r="F2816" s="1846">
        <v>1.93412884952021E-2</v>
      </c>
      <c r="G2816" s="1847">
        <v>1.9660897526162499E-2</v>
      </c>
    </row>
    <row r="2817" spans="1:7" x14ac:dyDescent="0.25">
      <c r="A2817" s="6" t="s">
        <v>3215</v>
      </c>
      <c r="B2817" s="6"/>
      <c r="C2817" s="1840">
        <v>1</v>
      </c>
      <c r="D2817" s="1840">
        <v>451.32614913486202</v>
      </c>
      <c r="E2817" s="1841">
        <v>451.91041746630901</v>
      </c>
      <c r="F2817" s="1842">
        <v>1.20295173195119E-2</v>
      </c>
      <c r="G2817" s="1843">
        <v>1.2056071704977901E-2</v>
      </c>
    </row>
    <row r="2818" spans="1:7" x14ac:dyDescent="0.25">
      <c r="A2818" s="11" t="s">
        <v>3236</v>
      </c>
      <c r="B2818" s="11"/>
      <c r="C2818" s="1844">
        <v>1</v>
      </c>
      <c r="D2818" s="1844">
        <v>337.95369962391101</v>
      </c>
      <c r="E2818" s="1845">
        <v>336.22243308976198</v>
      </c>
      <c r="F2818" s="1846">
        <v>9.0077206707652301E-3</v>
      </c>
      <c r="G2818" s="1847">
        <v>8.9342191038510807E-3</v>
      </c>
    </row>
    <row r="2819" spans="1:7" x14ac:dyDescent="0.25">
      <c r="A2819" s="6" t="s">
        <v>1314</v>
      </c>
      <c r="B2819" s="6"/>
      <c r="C2819" s="1840">
        <v>1</v>
      </c>
      <c r="D2819" s="1840">
        <v>205.56206022315001</v>
      </c>
      <c r="E2819" s="1841">
        <v>208.84922418814401</v>
      </c>
      <c r="F2819" s="1842">
        <v>5.47899200706411E-3</v>
      </c>
      <c r="G2819" s="1843">
        <v>5.55845446329671E-3</v>
      </c>
    </row>
    <row r="2820" spans="1:7" x14ac:dyDescent="0.25">
      <c r="A2820" s="11" t="s">
        <v>1131</v>
      </c>
      <c r="B2820" s="11"/>
      <c r="C2820" s="1844">
        <v>1</v>
      </c>
      <c r="D2820" s="1844">
        <v>161.832971135181</v>
      </c>
      <c r="E2820" s="1845">
        <v>162.37414024346401</v>
      </c>
      <c r="F2820" s="1846">
        <v>4.3134494486314597E-3</v>
      </c>
      <c r="G2820" s="1847">
        <v>4.3299939542961203E-3</v>
      </c>
    </row>
    <row r="2821" spans="1:7" x14ac:dyDescent="0.25">
      <c r="A2821" s="6" t="s">
        <v>1139</v>
      </c>
      <c r="B2821" s="6"/>
      <c r="C2821" s="1840">
        <v>1</v>
      </c>
      <c r="D2821" s="1840">
        <v>94.315491123883803</v>
      </c>
      <c r="E2821" s="1841">
        <v>94.705256847970603</v>
      </c>
      <c r="F2821" s="1842">
        <v>2.5138579631334601E-3</v>
      </c>
      <c r="G2821" s="1843">
        <v>2.5206149755592302E-3</v>
      </c>
    </row>
    <row r="2822" spans="1:7" x14ac:dyDescent="0.25">
      <c r="A2822" s="11" t="s">
        <v>3545</v>
      </c>
      <c r="B2822" s="11"/>
      <c r="C2822" s="1844">
        <v>1</v>
      </c>
      <c r="D2822" s="1844">
        <v>36.630998444985799</v>
      </c>
      <c r="E2822" s="1845">
        <v>36.401100756173001</v>
      </c>
      <c r="F2822" s="1846">
        <v>9.7635209275963796E-4</v>
      </c>
      <c r="G2822" s="1847">
        <v>9.6782765945316698E-4</v>
      </c>
    </row>
    <row r="2823" spans="1:7" x14ac:dyDescent="0.25">
      <c r="A2823" s="6" t="s">
        <v>1088</v>
      </c>
      <c r="B2823" s="6" t="s">
        <v>1089</v>
      </c>
      <c r="C2823" s="1840">
        <v>25153</v>
      </c>
      <c r="D2823" s="1840">
        <v>22909354.086488102</v>
      </c>
      <c r="E2823" s="1841">
        <v>262063.11517872399</v>
      </c>
      <c r="F2823" s="1842">
        <v>64.728497336269498</v>
      </c>
      <c r="G2823" s="1843">
        <v>0.59736966137172198</v>
      </c>
    </row>
    <row r="2824" spans="1:7" x14ac:dyDescent="0.25">
      <c r="A2824" s="11" t="s">
        <v>1102</v>
      </c>
      <c r="B2824" s="11" t="s">
        <v>1103</v>
      </c>
      <c r="C2824" s="1844">
        <v>23346</v>
      </c>
      <c r="D2824" s="1844">
        <v>12483641.3162512</v>
      </c>
      <c r="E2824" s="1845">
        <v>201577.47029922999</v>
      </c>
      <c r="F2824" s="1846">
        <v>35.271502663730502</v>
      </c>
      <c r="G2824" s="1847">
        <v>0.59736966137170799</v>
      </c>
    </row>
    <row r="2825" spans="1:7" x14ac:dyDescent="0.25">
      <c r="A2825" s="6" t="s">
        <v>6417</v>
      </c>
      <c r="B2825" s="6" t="s">
        <v>6418</v>
      </c>
      <c r="C2825" s="1840">
        <v>7315</v>
      </c>
      <c r="D2825" s="1840">
        <v>3751822.5972608998</v>
      </c>
      <c r="E2825" s="1841">
        <v>161466.92818212899</v>
      </c>
      <c r="F2825" s="1842">
        <v>9.5844681082969601</v>
      </c>
      <c r="G2825" s="1843">
        <v>0.41248608738487103</v>
      </c>
    </row>
    <row r="2826" spans="1:7" x14ac:dyDescent="0.25">
      <c r="A2826" s="11" t="s">
        <v>6417</v>
      </c>
      <c r="B2826" s="11" t="s">
        <v>6419</v>
      </c>
      <c r="C2826" s="1844">
        <v>55814</v>
      </c>
      <c r="D2826" s="1844">
        <v>39144818.000000097</v>
      </c>
      <c r="E2826" s="1845">
        <v>0</v>
      </c>
      <c r="F2826" s="1846">
        <v>100</v>
      </c>
      <c r="G2826" s="1847">
        <v>0</v>
      </c>
    </row>
    <row r="2827" spans="1:7" x14ac:dyDescent="0.25">
      <c r="A2827" s="3729" t="s">
        <v>541</v>
      </c>
      <c r="B2827" s="3730"/>
      <c r="C2827" s="3730"/>
      <c r="D2827" s="3730"/>
      <c r="E2827" s="3730"/>
      <c r="F2827" s="3730"/>
      <c r="G2827" s="3730"/>
    </row>
    <row r="2828" spans="1:7" x14ac:dyDescent="0.25">
      <c r="A2828" s="11" t="s">
        <v>1090</v>
      </c>
      <c r="B2828" s="11" t="s">
        <v>6125</v>
      </c>
      <c r="C2828" s="1852">
        <v>12650</v>
      </c>
      <c r="D2828" s="1852">
        <v>7809909.4641133202</v>
      </c>
      <c r="E2828" s="1853">
        <v>156224.83652088599</v>
      </c>
      <c r="F2828" s="1854">
        <v>100</v>
      </c>
      <c r="G2828" s="1855">
        <v>0</v>
      </c>
    </row>
    <row r="2829" spans="1:7" x14ac:dyDescent="0.25">
      <c r="A2829" s="6" t="s">
        <v>1088</v>
      </c>
      <c r="B2829" s="6" t="s">
        <v>1089</v>
      </c>
      <c r="C2829" s="1848">
        <v>43168</v>
      </c>
      <c r="D2829" s="1848">
        <v>31334175.472321499</v>
      </c>
      <c r="E2829" s="1849">
        <v>155924.33778877201</v>
      </c>
      <c r="F2829" s="1850">
        <v>99.997660553039196</v>
      </c>
      <c r="G2829" s="1851">
        <v>2.34395332618441E-3</v>
      </c>
    </row>
    <row r="2830" spans="1:7" x14ac:dyDescent="0.25">
      <c r="A2830" s="11" t="s">
        <v>1102</v>
      </c>
      <c r="B2830" s="11" t="s">
        <v>1103</v>
      </c>
      <c r="C2830" s="1852">
        <v>1</v>
      </c>
      <c r="D2830" s="1852">
        <v>733.06356540633499</v>
      </c>
      <c r="E2830" s="1853">
        <v>734.64773794601604</v>
      </c>
      <c r="F2830" s="1854">
        <v>2.3394469607810799E-3</v>
      </c>
      <c r="G2830" s="1855">
        <v>2.3439533261819701E-3</v>
      </c>
    </row>
    <row r="2831" spans="1:7" x14ac:dyDescent="0.25">
      <c r="A2831" s="6" t="s">
        <v>6417</v>
      </c>
      <c r="B2831" s="6" t="s">
        <v>6418</v>
      </c>
      <c r="C2831" s="1848">
        <v>12650</v>
      </c>
      <c r="D2831" s="1848">
        <v>7809909.4641133202</v>
      </c>
      <c r="E2831" s="1849">
        <v>156224.83652088599</v>
      </c>
      <c r="F2831" s="1850">
        <v>19.951323989073799</v>
      </c>
      <c r="G2831" s="1851">
        <v>0.39909455325837301</v>
      </c>
    </row>
    <row r="2832" spans="1:7" x14ac:dyDescent="0.25">
      <c r="A2832" s="11" t="s">
        <v>6417</v>
      </c>
      <c r="B2832" s="11" t="s">
        <v>6419</v>
      </c>
      <c r="C2832" s="1852">
        <v>55819</v>
      </c>
      <c r="D2832" s="1852">
        <v>39144818.000000201</v>
      </c>
      <c r="E2832" s="1853">
        <v>0</v>
      </c>
      <c r="F2832" s="1854">
        <v>100</v>
      </c>
      <c r="G2832" s="1855">
        <v>0</v>
      </c>
    </row>
    <row r="2833" spans="1:7" x14ac:dyDescent="0.25">
      <c r="A2833" s="3729" t="s">
        <v>546</v>
      </c>
      <c r="B2833" s="3730"/>
      <c r="C2833" s="3730"/>
      <c r="D2833" s="3730"/>
      <c r="E2833" s="3730"/>
      <c r="F2833" s="3730"/>
      <c r="G2833" s="3730"/>
    </row>
    <row r="2834" spans="1:7" x14ac:dyDescent="0.25">
      <c r="A2834" s="11" t="s">
        <v>1092</v>
      </c>
      <c r="B2834" s="11" t="s">
        <v>6126</v>
      </c>
      <c r="C2834" s="1860">
        <v>6482</v>
      </c>
      <c r="D2834" s="1860">
        <v>4326462.9625780201</v>
      </c>
      <c r="E2834" s="1861">
        <v>120908.948810224</v>
      </c>
      <c r="F2834" s="1862">
        <v>100</v>
      </c>
      <c r="G2834" s="1863">
        <v>0</v>
      </c>
    </row>
    <row r="2835" spans="1:7" x14ac:dyDescent="0.25">
      <c r="A2835" s="6" t="s">
        <v>1088</v>
      </c>
      <c r="B2835" s="6" t="s">
        <v>1089</v>
      </c>
      <c r="C2835" s="1856">
        <v>49336</v>
      </c>
      <c r="D2835" s="1856">
        <v>34817621.973856501</v>
      </c>
      <c r="E2835" s="1857">
        <v>120824.04924873001</v>
      </c>
      <c r="F2835" s="1858">
        <v>99.997894605978303</v>
      </c>
      <c r="G2835" s="1859">
        <v>2.10994821560188E-3</v>
      </c>
    </row>
    <row r="2836" spans="1:7" x14ac:dyDescent="0.25">
      <c r="A2836" s="11" t="s">
        <v>1102</v>
      </c>
      <c r="B2836" s="11" t="s">
        <v>1103</v>
      </c>
      <c r="C2836" s="1860">
        <v>1</v>
      </c>
      <c r="D2836" s="1860">
        <v>733.06356540633499</v>
      </c>
      <c r="E2836" s="1861">
        <v>734.64773794601604</v>
      </c>
      <c r="F2836" s="1862">
        <v>2.1053940216832702E-3</v>
      </c>
      <c r="G2836" s="1863">
        <v>2.1099482156011402E-3</v>
      </c>
    </row>
    <row r="2837" spans="1:7" x14ac:dyDescent="0.25">
      <c r="A2837" s="6" t="s">
        <v>6417</v>
      </c>
      <c r="B2837" s="6" t="s">
        <v>6418</v>
      </c>
      <c r="C2837" s="1856">
        <v>6482</v>
      </c>
      <c r="D2837" s="1856">
        <v>4326462.9625780201</v>
      </c>
      <c r="E2837" s="1857">
        <v>120908.948810224</v>
      </c>
      <c r="F2837" s="1858">
        <v>11.052453897162099</v>
      </c>
      <c r="G2837" s="1859">
        <v>0.30887600195314802</v>
      </c>
    </row>
    <row r="2838" spans="1:7" x14ac:dyDescent="0.25">
      <c r="A2838" s="11" t="s">
        <v>6417</v>
      </c>
      <c r="B2838" s="11" t="s">
        <v>6419</v>
      </c>
      <c r="C2838" s="1860">
        <v>55819</v>
      </c>
      <c r="D2838" s="1860">
        <v>39144817.999999903</v>
      </c>
      <c r="E2838" s="1861">
        <v>0</v>
      </c>
      <c r="F2838" s="1862">
        <v>100</v>
      </c>
      <c r="G2838" s="1863">
        <v>0</v>
      </c>
    </row>
    <row r="2839" spans="1:7" x14ac:dyDescent="0.25">
      <c r="A2839" s="3729" t="s">
        <v>548</v>
      </c>
      <c r="B2839" s="3730"/>
      <c r="C2839" s="3730"/>
      <c r="D2839" s="3730"/>
      <c r="E2839" s="3730"/>
      <c r="F2839" s="3730"/>
      <c r="G2839" s="3730"/>
    </row>
    <row r="2840" spans="1:7" x14ac:dyDescent="0.25">
      <c r="A2840" s="11" t="s">
        <v>1094</v>
      </c>
      <c r="B2840" s="11" t="s">
        <v>6127</v>
      </c>
      <c r="C2840" s="1868">
        <v>4892</v>
      </c>
      <c r="D2840" s="1868">
        <v>3602087.6408854499</v>
      </c>
      <c r="E2840" s="1869">
        <v>92560.889483409803</v>
      </c>
      <c r="F2840" s="1870">
        <v>100</v>
      </c>
      <c r="G2840" s="1871">
        <v>0</v>
      </c>
    </row>
    <row r="2841" spans="1:7" x14ac:dyDescent="0.25">
      <c r="A2841" s="6" t="s">
        <v>1088</v>
      </c>
      <c r="B2841" s="6" t="s">
        <v>1089</v>
      </c>
      <c r="C2841" s="1864">
        <v>50926</v>
      </c>
      <c r="D2841" s="1864">
        <v>35541997.295549102</v>
      </c>
      <c r="E2841" s="1865">
        <v>92510.752008306605</v>
      </c>
      <c r="F2841" s="1866">
        <v>99.997937514766093</v>
      </c>
      <c r="G2841" s="1867">
        <v>2.0667045893812499E-3</v>
      </c>
    </row>
    <row r="2842" spans="1:7" x14ac:dyDescent="0.25">
      <c r="A2842" s="11" t="s">
        <v>1102</v>
      </c>
      <c r="B2842" s="11" t="s">
        <v>1103</v>
      </c>
      <c r="C2842" s="1868">
        <v>1</v>
      </c>
      <c r="D2842" s="1868">
        <v>733.06356540633499</v>
      </c>
      <c r="E2842" s="1869">
        <v>734.64773794601604</v>
      </c>
      <c r="F2842" s="1870">
        <v>2.0624852339695102E-3</v>
      </c>
      <c r="G2842" s="1871">
        <v>2.0667045893791999E-3</v>
      </c>
    </row>
    <row r="2843" spans="1:7" x14ac:dyDescent="0.25">
      <c r="A2843" s="6" t="s">
        <v>6417</v>
      </c>
      <c r="B2843" s="6" t="s">
        <v>6418</v>
      </c>
      <c r="C2843" s="1864">
        <v>4892</v>
      </c>
      <c r="D2843" s="1864">
        <v>3602087.6408854499</v>
      </c>
      <c r="E2843" s="1865">
        <v>92560.889483409803</v>
      </c>
      <c r="F2843" s="1866">
        <v>9.2019527102807199</v>
      </c>
      <c r="G2843" s="1867">
        <v>0.23645758037092099</v>
      </c>
    </row>
    <row r="2844" spans="1:7" x14ac:dyDescent="0.25">
      <c r="A2844" s="11" t="s">
        <v>6417</v>
      </c>
      <c r="B2844" s="11" t="s">
        <v>6419</v>
      </c>
      <c r="C2844" s="1868">
        <v>55819</v>
      </c>
      <c r="D2844" s="1868">
        <v>39144817.999999903</v>
      </c>
      <c r="E2844" s="1869">
        <v>0</v>
      </c>
      <c r="F2844" s="1870">
        <v>100</v>
      </c>
      <c r="G2844" s="1871">
        <v>0</v>
      </c>
    </row>
    <row r="2845" spans="1:7" x14ac:dyDescent="0.25">
      <c r="A2845" s="3729" t="s">
        <v>550</v>
      </c>
      <c r="B2845" s="3730"/>
      <c r="C2845" s="3730"/>
      <c r="D2845" s="3730"/>
      <c r="E2845" s="3730"/>
      <c r="F2845" s="3730"/>
      <c r="G2845" s="3730"/>
    </row>
    <row r="2846" spans="1:7" x14ac:dyDescent="0.25">
      <c r="A2846" s="11" t="s">
        <v>1096</v>
      </c>
      <c r="B2846" s="11" t="s">
        <v>6128</v>
      </c>
      <c r="C2846" s="1876">
        <v>3651</v>
      </c>
      <c r="D2846" s="1876">
        <v>3103694.67937796</v>
      </c>
      <c r="E2846" s="1877">
        <v>115004.712497253</v>
      </c>
      <c r="F2846" s="1878">
        <v>100</v>
      </c>
      <c r="G2846" s="1879">
        <v>0</v>
      </c>
    </row>
    <row r="2847" spans="1:7" x14ac:dyDescent="0.25">
      <c r="A2847" s="6" t="s">
        <v>1088</v>
      </c>
      <c r="B2847" s="6" t="s">
        <v>1089</v>
      </c>
      <c r="C2847" s="1872">
        <v>52167</v>
      </c>
      <c r="D2847" s="1872">
        <v>36040390.257056601</v>
      </c>
      <c r="E2847" s="1873">
        <v>114913.202329422</v>
      </c>
      <c r="F2847" s="1874">
        <v>99.997966035745094</v>
      </c>
      <c r="G2847" s="1875">
        <v>2.03775576002827E-3</v>
      </c>
    </row>
    <row r="2848" spans="1:7" x14ac:dyDescent="0.25">
      <c r="A2848" s="11" t="s">
        <v>1102</v>
      </c>
      <c r="B2848" s="11" t="s">
        <v>1103</v>
      </c>
      <c r="C2848" s="1876">
        <v>1</v>
      </c>
      <c r="D2848" s="1876">
        <v>733.06356540633499</v>
      </c>
      <c r="E2848" s="1877">
        <v>734.64773794601604</v>
      </c>
      <c r="F2848" s="1878">
        <v>2.0339642549012699E-3</v>
      </c>
      <c r="G2848" s="1879">
        <v>2.0377557600262798E-3</v>
      </c>
    </row>
    <row r="2849" spans="1:7" x14ac:dyDescent="0.25">
      <c r="A2849" s="6" t="s">
        <v>6417</v>
      </c>
      <c r="B2849" s="6" t="s">
        <v>6418</v>
      </c>
      <c r="C2849" s="1872">
        <v>3651</v>
      </c>
      <c r="D2849" s="1872">
        <v>3103694.67937796</v>
      </c>
      <c r="E2849" s="1873">
        <v>115004.712497253</v>
      </c>
      <c r="F2849" s="1874">
        <v>7.9287498012584203</v>
      </c>
      <c r="G2849" s="1875">
        <v>0.29379294213920498</v>
      </c>
    </row>
    <row r="2850" spans="1:7" x14ac:dyDescent="0.25">
      <c r="A2850" s="11" t="s">
        <v>6417</v>
      </c>
      <c r="B2850" s="11" t="s">
        <v>6419</v>
      </c>
      <c r="C2850" s="1876">
        <v>55819</v>
      </c>
      <c r="D2850" s="1876">
        <v>39144817.999999903</v>
      </c>
      <c r="E2850" s="1877">
        <v>0</v>
      </c>
      <c r="F2850" s="1878">
        <v>100</v>
      </c>
      <c r="G2850" s="1879">
        <v>0</v>
      </c>
    </row>
    <row r="2851" spans="1:7" x14ac:dyDescent="0.25">
      <c r="A2851" s="3729" t="s">
        <v>552</v>
      </c>
      <c r="B2851" s="3730"/>
      <c r="C2851" s="3730"/>
      <c r="D2851" s="3730"/>
      <c r="E2851" s="3730"/>
      <c r="F2851" s="3730"/>
      <c r="G2851" s="3730"/>
    </row>
    <row r="2852" spans="1:7" x14ac:dyDescent="0.25">
      <c r="A2852" s="11" t="s">
        <v>1098</v>
      </c>
      <c r="B2852" s="11" t="s">
        <v>6129</v>
      </c>
      <c r="C2852" s="1884">
        <v>16501</v>
      </c>
      <c r="D2852" s="1884">
        <v>9780227.9900069106</v>
      </c>
      <c r="E2852" s="1885">
        <v>146058.716915823</v>
      </c>
      <c r="F2852" s="1886">
        <v>100</v>
      </c>
      <c r="G2852" s="1887">
        <v>0</v>
      </c>
    </row>
    <row r="2853" spans="1:7" x14ac:dyDescent="0.25">
      <c r="A2853" s="6" t="s">
        <v>1088</v>
      </c>
      <c r="B2853" s="6" t="s">
        <v>1089</v>
      </c>
      <c r="C2853" s="1880">
        <v>39317</v>
      </c>
      <c r="D2853" s="1880">
        <v>29363856.946428001</v>
      </c>
      <c r="E2853" s="1881">
        <v>146262.97325213399</v>
      </c>
      <c r="F2853" s="1882">
        <v>99.997503579770196</v>
      </c>
      <c r="G2853" s="1883">
        <v>2.5027002958386401E-3</v>
      </c>
    </row>
    <row r="2854" spans="1:7" x14ac:dyDescent="0.25">
      <c r="A2854" s="11" t="s">
        <v>1102</v>
      </c>
      <c r="B2854" s="11" t="s">
        <v>1103</v>
      </c>
      <c r="C2854" s="1884">
        <v>1</v>
      </c>
      <c r="D2854" s="1884">
        <v>733.06356540633499</v>
      </c>
      <c r="E2854" s="1885">
        <v>734.64773794601604</v>
      </c>
      <c r="F2854" s="1886">
        <v>2.49642022979669E-3</v>
      </c>
      <c r="G2854" s="1887">
        <v>2.5027002958391302E-3</v>
      </c>
    </row>
    <row r="2855" spans="1:7" x14ac:dyDescent="0.25">
      <c r="A2855" s="6" t="s">
        <v>6417</v>
      </c>
      <c r="B2855" s="6" t="s">
        <v>6418</v>
      </c>
      <c r="C2855" s="1880">
        <v>16501</v>
      </c>
      <c r="D2855" s="1880">
        <v>9780227.9900069106</v>
      </c>
      <c r="E2855" s="1881">
        <v>146058.716915823</v>
      </c>
      <c r="F2855" s="1882">
        <v>24.9847323086464</v>
      </c>
      <c r="G2855" s="1883">
        <v>0.37312401584252403</v>
      </c>
    </row>
    <row r="2856" spans="1:7" x14ac:dyDescent="0.25">
      <c r="A2856" s="11" t="s">
        <v>6417</v>
      </c>
      <c r="B2856" s="11" t="s">
        <v>6419</v>
      </c>
      <c r="C2856" s="1884">
        <v>55819</v>
      </c>
      <c r="D2856" s="1884">
        <v>39144818.000000402</v>
      </c>
      <c r="E2856" s="1885">
        <v>0</v>
      </c>
      <c r="F2856" s="1886">
        <v>100</v>
      </c>
      <c r="G2856" s="1887">
        <v>0</v>
      </c>
    </row>
    <row r="2857" spans="1:7" x14ac:dyDescent="0.25">
      <c r="A2857" s="3729" t="s">
        <v>554</v>
      </c>
      <c r="B2857" s="3730"/>
      <c r="C2857" s="3730"/>
      <c r="D2857" s="3730"/>
      <c r="E2857" s="3730"/>
      <c r="F2857" s="3730"/>
      <c r="G2857" s="3730"/>
    </row>
    <row r="2858" spans="1:7" x14ac:dyDescent="0.25">
      <c r="A2858" s="11" t="s">
        <v>1100</v>
      </c>
      <c r="B2858" s="11" t="s">
        <v>6130</v>
      </c>
      <c r="C2858" s="1892">
        <v>627</v>
      </c>
      <c r="D2858" s="1892">
        <v>572344.922318122</v>
      </c>
      <c r="E2858" s="1893">
        <v>65951.463986046903</v>
      </c>
      <c r="F2858" s="1894">
        <v>100</v>
      </c>
      <c r="G2858" s="1895">
        <v>0</v>
      </c>
    </row>
    <row r="2859" spans="1:7" x14ac:dyDescent="0.25">
      <c r="A2859" s="6" t="s">
        <v>1088</v>
      </c>
      <c r="B2859" s="6" t="s">
        <v>1089</v>
      </c>
      <c r="C2859" s="1888">
        <v>55191</v>
      </c>
      <c r="D2859" s="1888">
        <v>38571740.014116198</v>
      </c>
      <c r="E2859" s="1889">
        <v>66119.980107691095</v>
      </c>
      <c r="F2859" s="1890">
        <v>99.998099516295099</v>
      </c>
      <c r="G2859" s="1891">
        <v>1.9049343882320401E-3</v>
      </c>
    </row>
    <row r="2860" spans="1:7" x14ac:dyDescent="0.25">
      <c r="A2860" s="11" t="s">
        <v>1102</v>
      </c>
      <c r="B2860" s="11" t="s">
        <v>1103</v>
      </c>
      <c r="C2860" s="1892">
        <v>1</v>
      </c>
      <c r="D2860" s="1892">
        <v>733.06356540633499</v>
      </c>
      <c r="E2860" s="1893">
        <v>734.64773794601604</v>
      </c>
      <c r="F2860" s="1894">
        <v>1.90048370486904E-3</v>
      </c>
      <c r="G2860" s="1895">
        <v>1.90493438823173E-3</v>
      </c>
    </row>
    <row r="2861" spans="1:7" x14ac:dyDescent="0.25">
      <c r="A2861" s="6" t="s">
        <v>6417</v>
      </c>
      <c r="B2861" s="6" t="s">
        <v>6418</v>
      </c>
      <c r="C2861" s="1888">
        <v>627</v>
      </c>
      <c r="D2861" s="1888">
        <v>572344.922318122</v>
      </c>
      <c r="E2861" s="1889">
        <v>65951.463986046903</v>
      </c>
      <c r="F2861" s="1890">
        <v>1.4621218121850199</v>
      </c>
      <c r="G2861" s="1891">
        <v>0.168480701547888</v>
      </c>
    </row>
    <row r="2862" spans="1:7" x14ac:dyDescent="0.25">
      <c r="A2862" s="11" t="s">
        <v>6417</v>
      </c>
      <c r="B2862" s="11" t="s">
        <v>6419</v>
      </c>
      <c r="C2862" s="1892">
        <v>55819</v>
      </c>
      <c r="D2862" s="1892">
        <v>39144817.999999702</v>
      </c>
      <c r="E2862" s="1893">
        <v>0</v>
      </c>
      <c r="F2862" s="1894">
        <v>100</v>
      </c>
      <c r="G2862" s="1895">
        <v>0</v>
      </c>
    </row>
    <row r="2863" spans="1:7" x14ac:dyDescent="0.25">
      <c r="A2863" s="3729" t="s">
        <v>556</v>
      </c>
      <c r="B2863" s="3730"/>
      <c r="C2863" s="3730"/>
      <c r="D2863" s="3730"/>
      <c r="E2863" s="3730"/>
      <c r="F2863" s="3730"/>
      <c r="G2863" s="3730"/>
    </row>
    <row r="2864" spans="1:7" x14ac:dyDescent="0.25">
      <c r="A2864" s="11" t="s">
        <v>1109</v>
      </c>
      <c r="B2864" s="11" t="s">
        <v>6131</v>
      </c>
      <c r="C2864" s="1900">
        <v>2554</v>
      </c>
      <c r="D2864" s="1900">
        <v>2118257.60779292</v>
      </c>
      <c r="E2864" s="1901">
        <v>128890.556705638</v>
      </c>
      <c r="F2864" s="1902">
        <v>100</v>
      </c>
      <c r="G2864" s="1903">
        <v>0</v>
      </c>
    </row>
    <row r="2865" spans="1:7" x14ac:dyDescent="0.25">
      <c r="A2865" s="6" t="s">
        <v>1088</v>
      </c>
      <c r="B2865" s="6" t="s">
        <v>1089</v>
      </c>
      <c r="C2865" s="1896">
        <v>53264</v>
      </c>
      <c r="D2865" s="1896">
        <v>37025827.328641497</v>
      </c>
      <c r="E2865" s="1897">
        <v>129367.87600452499</v>
      </c>
      <c r="F2865" s="1898">
        <v>99.998020168339593</v>
      </c>
      <c r="G2865" s="1899">
        <v>1.9849081878190299E-3</v>
      </c>
    </row>
    <row r="2866" spans="1:7" x14ac:dyDescent="0.25">
      <c r="A2866" s="11" t="s">
        <v>1102</v>
      </c>
      <c r="B2866" s="11" t="s">
        <v>1103</v>
      </c>
      <c r="C2866" s="1900">
        <v>1</v>
      </c>
      <c r="D2866" s="1900">
        <v>733.06356540633499</v>
      </c>
      <c r="E2866" s="1901">
        <v>734.64773794601604</v>
      </c>
      <c r="F2866" s="1902">
        <v>1.97983166041161E-3</v>
      </c>
      <c r="G2866" s="1903">
        <v>1.9849081878193101E-3</v>
      </c>
    </row>
    <row r="2867" spans="1:7" x14ac:dyDescent="0.25">
      <c r="A2867" s="6" t="s">
        <v>6417</v>
      </c>
      <c r="B2867" s="6" t="s">
        <v>6418</v>
      </c>
      <c r="C2867" s="1896">
        <v>2554</v>
      </c>
      <c r="D2867" s="1896">
        <v>2118257.60779292</v>
      </c>
      <c r="E2867" s="1897">
        <v>128890.556705638</v>
      </c>
      <c r="F2867" s="1898">
        <v>5.4113359469264504</v>
      </c>
      <c r="G2867" s="1899">
        <v>0.32926594959685102</v>
      </c>
    </row>
    <row r="2868" spans="1:7" x14ac:dyDescent="0.25">
      <c r="A2868" s="11" t="s">
        <v>6417</v>
      </c>
      <c r="B2868" s="11" t="s">
        <v>6419</v>
      </c>
      <c r="C2868" s="1900">
        <v>55819</v>
      </c>
      <c r="D2868" s="1900">
        <v>39144817.999999799</v>
      </c>
      <c r="E2868" s="1901">
        <v>0</v>
      </c>
      <c r="F2868" s="1902">
        <v>100</v>
      </c>
      <c r="G2868" s="1903">
        <v>0</v>
      </c>
    </row>
    <row r="2869" spans="1:7" x14ac:dyDescent="0.25">
      <c r="A2869" s="3729" t="s">
        <v>558</v>
      </c>
      <c r="B2869" s="3730"/>
      <c r="C2869" s="3730"/>
      <c r="D2869" s="3730"/>
      <c r="E2869" s="3730"/>
      <c r="F2869" s="3730"/>
      <c r="G2869" s="3730"/>
    </row>
    <row r="2870" spans="1:7" x14ac:dyDescent="0.25">
      <c r="A2870" s="11" t="s">
        <v>1119</v>
      </c>
      <c r="B2870" s="11" t="s">
        <v>1172</v>
      </c>
      <c r="C2870" s="1908">
        <v>6726</v>
      </c>
      <c r="D2870" s="1908">
        <v>5456944.1791466102</v>
      </c>
      <c r="E2870" s="1909">
        <v>200006.91842122699</v>
      </c>
      <c r="F2870" s="1910">
        <v>100</v>
      </c>
      <c r="G2870" s="1911">
        <v>0</v>
      </c>
    </row>
    <row r="2871" spans="1:7" x14ac:dyDescent="0.25">
      <c r="A2871" s="6" t="s">
        <v>1088</v>
      </c>
      <c r="B2871" s="6" t="s">
        <v>1089</v>
      </c>
      <c r="C2871" s="1904">
        <v>49092</v>
      </c>
      <c r="D2871" s="1904">
        <v>33687140.757288098</v>
      </c>
      <c r="E2871" s="1905">
        <v>200526.48751610899</v>
      </c>
      <c r="F2871" s="1906">
        <v>99.997823954194004</v>
      </c>
      <c r="G2871" s="1907">
        <v>2.1810868713496301E-3</v>
      </c>
    </row>
    <row r="2872" spans="1:7" x14ac:dyDescent="0.25">
      <c r="A2872" s="11" t="s">
        <v>1102</v>
      </c>
      <c r="B2872" s="11" t="s">
        <v>1103</v>
      </c>
      <c r="C2872" s="1908">
        <v>1</v>
      </c>
      <c r="D2872" s="1908">
        <v>733.06356540633499</v>
      </c>
      <c r="E2872" s="1909">
        <v>734.64773794601604</v>
      </c>
      <c r="F2872" s="1910">
        <v>2.1760458059913298E-3</v>
      </c>
      <c r="G2872" s="1911">
        <v>2.18108687134999E-3</v>
      </c>
    </row>
    <row r="2873" spans="1:7" x14ac:dyDescent="0.25">
      <c r="A2873" s="6" t="s">
        <v>6417</v>
      </c>
      <c r="B2873" s="6" t="s">
        <v>6418</v>
      </c>
      <c r="C2873" s="1904">
        <v>6726</v>
      </c>
      <c r="D2873" s="1904">
        <v>5456944.1791466102</v>
      </c>
      <c r="E2873" s="1905">
        <v>200006.91842122699</v>
      </c>
      <c r="F2873" s="1906">
        <v>13.940399925084799</v>
      </c>
      <c r="G2873" s="1907">
        <v>0.51094098437559299</v>
      </c>
    </row>
    <row r="2874" spans="1:7" x14ac:dyDescent="0.25">
      <c r="A2874" s="11" t="s">
        <v>6417</v>
      </c>
      <c r="B2874" s="11" t="s">
        <v>6419</v>
      </c>
      <c r="C2874" s="1908">
        <v>55819</v>
      </c>
      <c r="D2874" s="1908">
        <v>39144818.000000097</v>
      </c>
      <c r="E2874" s="1909">
        <v>0</v>
      </c>
      <c r="F2874" s="1910">
        <v>100</v>
      </c>
      <c r="G2874" s="1911">
        <v>0</v>
      </c>
    </row>
    <row r="2875" spans="1:7" x14ac:dyDescent="0.25">
      <c r="A2875" s="3729" t="s">
        <v>560</v>
      </c>
      <c r="B2875" s="3730"/>
      <c r="C2875" s="3730"/>
      <c r="D2875" s="3730"/>
      <c r="E2875" s="3730"/>
      <c r="F2875" s="3730"/>
      <c r="G2875" s="3730"/>
    </row>
    <row r="2876" spans="1:7" x14ac:dyDescent="0.25">
      <c r="A2876" s="11" t="s">
        <v>1121</v>
      </c>
      <c r="B2876" s="11" t="s">
        <v>1174</v>
      </c>
      <c r="C2876" s="1916">
        <v>423</v>
      </c>
      <c r="D2876" s="1916">
        <v>401939.28432817402</v>
      </c>
      <c r="E2876" s="1917">
        <v>35952.963655449603</v>
      </c>
      <c r="F2876" s="1918">
        <v>100</v>
      </c>
      <c r="G2876" s="1919">
        <v>0</v>
      </c>
    </row>
    <row r="2877" spans="1:7" x14ac:dyDescent="0.25">
      <c r="A2877" s="6" t="s">
        <v>1088</v>
      </c>
      <c r="B2877" s="6" t="s">
        <v>1089</v>
      </c>
      <c r="C2877" s="1912">
        <v>55395</v>
      </c>
      <c r="D2877" s="1912">
        <v>38742145.652106203</v>
      </c>
      <c r="E2877" s="1913">
        <v>36068.862723664701</v>
      </c>
      <c r="F2877" s="1914">
        <v>99.998107875331698</v>
      </c>
      <c r="G2877" s="1915">
        <v>1.8961948590791599E-3</v>
      </c>
    </row>
    <row r="2878" spans="1:7" x14ac:dyDescent="0.25">
      <c r="A2878" s="11" t="s">
        <v>1102</v>
      </c>
      <c r="B2878" s="11" t="s">
        <v>1103</v>
      </c>
      <c r="C2878" s="1916">
        <v>1</v>
      </c>
      <c r="D2878" s="1916">
        <v>733.06356540633499</v>
      </c>
      <c r="E2878" s="1917">
        <v>734.64773794601604</v>
      </c>
      <c r="F2878" s="1918">
        <v>1.8921246683453301E-3</v>
      </c>
      <c r="G2878" s="1919">
        <v>1.8961948590778301E-3</v>
      </c>
    </row>
    <row r="2879" spans="1:7" x14ac:dyDescent="0.25">
      <c r="A2879" s="6" t="s">
        <v>6417</v>
      </c>
      <c r="B2879" s="6" t="s">
        <v>6418</v>
      </c>
      <c r="C2879" s="1912">
        <v>423</v>
      </c>
      <c r="D2879" s="1912">
        <v>401939.28432817402</v>
      </c>
      <c r="E2879" s="1913">
        <v>35952.963655449603</v>
      </c>
      <c r="F2879" s="1914">
        <v>1.02680074876878</v>
      </c>
      <c r="G2879" s="1915">
        <v>9.1846036058839994E-2</v>
      </c>
    </row>
    <row r="2880" spans="1:7" x14ac:dyDescent="0.25">
      <c r="A2880" s="11" t="s">
        <v>6417</v>
      </c>
      <c r="B2880" s="11" t="s">
        <v>6419</v>
      </c>
      <c r="C2880" s="1916">
        <v>55819</v>
      </c>
      <c r="D2880" s="1916">
        <v>39144817.999999702</v>
      </c>
      <c r="E2880" s="1917">
        <v>0</v>
      </c>
      <c r="F2880" s="1918">
        <v>100</v>
      </c>
      <c r="G2880" s="1919">
        <v>0</v>
      </c>
    </row>
    <row r="2881" spans="1:7" x14ac:dyDescent="0.25">
      <c r="A2881" s="3729" t="s">
        <v>544</v>
      </c>
      <c r="B2881" s="3730"/>
      <c r="C2881" s="3730"/>
      <c r="D2881" s="3730"/>
      <c r="E2881" s="3730"/>
      <c r="F2881" s="3730"/>
      <c r="G2881" s="3730"/>
    </row>
    <row r="2882" spans="1:7" x14ac:dyDescent="0.25">
      <c r="A2882" s="11" t="s">
        <v>1123</v>
      </c>
      <c r="B2882" s="11" t="s">
        <v>1176</v>
      </c>
      <c r="C2882" s="1924">
        <v>24933</v>
      </c>
      <c r="D2882" s="1924">
        <v>15797490.8704951</v>
      </c>
      <c r="E2882" s="1925">
        <v>152823.34801242201</v>
      </c>
      <c r="F2882" s="1926">
        <v>100</v>
      </c>
      <c r="G2882" s="1927">
        <v>0</v>
      </c>
    </row>
    <row r="2883" spans="1:7" x14ac:dyDescent="0.25">
      <c r="A2883" s="6" t="s">
        <v>1088</v>
      </c>
      <c r="B2883" s="6" t="s">
        <v>1089</v>
      </c>
      <c r="C2883" s="1920">
        <v>30885</v>
      </c>
      <c r="D2883" s="1920">
        <v>23346594.065939799</v>
      </c>
      <c r="E2883" s="1921">
        <v>153023.980300008</v>
      </c>
      <c r="F2883" s="1922">
        <v>99.996860182061397</v>
      </c>
      <c r="G2883" s="1923">
        <v>3.1468035090917502E-3</v>
      </c>
    </row>
    <row r="2884" spans="1:7" x14ac:dyDescent="0.25">
      <c r="A2884" s="11" t="s">
        <v>1102</v>
      </c>
      <c r="B2884" s="11" t="s">
        <v>1103</v>
      </c>
      <c r="C2884" s="1924">
        <v>1</v>
      </c>
      <c r="D2884" s="1924">
        <v>733.06356540633499</v>
      </c>
      <c r="E2884" s="1925">
        <v>734.64773794601604</v>
      </c>
      <c r="F2884" s="1926">
        <v>3.1398179386449999E-3</v>
      </c>
      <c r="G2884" s="1927">
        <v>3.1468035090888502E-3</v>
      </c>
    </row>
    <row r="2885" spans="1:7" x14ac:dyDescent="0.25">
      <c r="A2885" s="6" t="s">
        <v>6417</v>
      </c>
      <c r="B2885" s="6" t="s">
        <v>6418</v>
      </c>
      <c r="C2885" s="1920">
        <v>24933</v>
      </c>
      <c r="D2885" s="1920">
        <v>15797490.8704951</v>
      </c>
      <c r="E2885" s="1921">
        <v>152823.34801242201</v>
      </c>
      <c r="F2885" s="1922">
        <v>40.356531662747699</v>
      </c>
      <c r="G2885" s="1923">
        <v>0.390405054412236</v>
      </c>
    </row>
    <row r="2886" spans="1:7" x14ac:dyDescent="0.25">
      <c r="A2886" s="11" t="s">
        <v>6417</v>
      </c>
      <c r="B2886" s="11" t="s">
        <v>6419</v>
      </c>
      <c r="C2886" s="1924">
        <v>55819</v>
      </c>
      <c r="D2886" s="1924">
        <v>39144818.000000298</v>
      </c>
      <c r="E2886" s="1925">
        <v>0</v>
      </c>
      <c r="F2886" s="1926">
        <v>100</v>
      </c>
      <c r="G2886" s="1927">
        <v>0</v>
      </c>
    </row>
    <row r="2887" spans="1:7" x14ac:dyDescent="0.25">
      <c r="A2887" s="3729" t="s">
        <v>571</v>
      </c>
      <c r="B2887" s="3730"/>
      <c r="C2887" s="3730"/>
      <c r="D2887" s="3730"/>
      <c r="E2887" s="3730"/>
      <c r="F2887" s="3730"/>
      <c r="G2887" s="3730"/>
    </row>
    <row r="2888" spans="1:7" x14ac:dyDescent="0.25">
      <c r="A2888" s="11" t="s">
        <v>1111</v>
      </c>
      <c r="B2888" s="11" t="s">
        <v>1143</v>
      </c>
      <c r="C2888" s="1932">
        <v>12873</v>
      </c>
      <c r="D2888" s="1932">
        <v>6811670.6482542297</v>
      </c>
      <c r="E2888" s="1933">
        <v>156194.34365393</v>
      </c>
      <c r="F2888" s="1934">
        <v>100</v>
      </c>
      <c r="G2888" s="1935">
        <v>0</v>
      </c>
    </row>
    <row r="2889" spans="1:7" x14ac:dyDescent="0.25">
      <c r="A2889" s="6" t="s">
        <v>1088</v>
      </c>
      <c r="B2889" s="6" t="s">
        <v>1089</v>
      </c>
      <c r="C2889" s="1928">
        <v>42945</v>
      </c>
      <c r="D2889" s="1928">
        <v>32332414.288180601</v>
      </c>
      <c r="E2889" s="1929">
        <v>155740.93084834001</v>
      </c>
      <c r="F2889" s="1930">
        <v>99.9977327800556</v>
      </c>
      <c r="G2889" s="1931">
        <v>2.2719251092438602E-3</v>
      </c>
    </row>
    <row r="2890" spans="1:7" x14ac:dyDescent="0.25">
      <c r="A2890" s="11" t="s">
        <v>1102</v>
      </c>
      <c r="B2890" s="11" t="s">
        <v>1103</v>
      </c>
      <c r="C2890" s="1932">
        <v>1</v>
      </c>
      <c r="D2890" s="1932">
        <v>733.06356540633499</v>
      </c>
      <c r="E2890" s="1933">
        <v>734.64773794601604</v>
      </c>
      <c r="F2890" s="1934">
        <v>2.26721994438549E-3</v>
      </c>
      <c r="G2890" s="1935">
        <v>2.2719251092428502E-3</v>
      </c>
    </row>
    <row r="2891" spans="1:7" x14ac:dyDescent="0.25">
      <c r="A2891" s="6" t="s">
        <v>6417</v>
      </c>
      <c r="B2891" s="6" t="s">
        <v>6418</v>
      </c>
      <c r="C2891" s="1928">
        <v>12873</v>
      </c>
      <c r="D2891" s="1928">
        <v>6811670.6482542297</v>
      </c>
      <c r="E2891" s="1929">
        <v>156194.34365393</v>
      </c>
      <c r="F2891" s="1930">
        <v>17.4012065869209</v>
      </c>
      <c r="G2891" s="1931">
        <v>0.39901665567565597</v>
      </c>
    </row>
    <row r="2892" spans="1:7" x14ac:dyDescent="0.25">
      <c r="A2892" s="11" t="s">
        <v>6417</v>
      </c>
      <c r="B2892" s="11" t="s">
        <v>6419</v>
      </c>
      <c r="C2892" s="1932">
        <v>55819</v>
      </c>
      <c r="D2892" s="1932">
        <v>39144818.000000201</v>
      </c>
      <c r="E2892" s="1933">
        <v>0</v>
      </c>
      <c r="F2892" s="1934">
        <v>100</v>
      </c>
      <c r="G2892" s="1935">
        <v>0</v>
      </c>
    </row>
    <row r="2893" spans="1:7" x14ac:dyDescent="0.25">
      <c r="A2893" s="3729" t="s">
        <v>564</v>
      </c>
      <c r="B2893" s="3730"/>
      <c r="C2893" s="3730"/>
      <c r="D2893" s="3730"/>
      <c r="E2893" s="3730"/>
      <c r="F2893" s="3730"/>
      <c r="G2893" s="3730"/>
    </row>
    <row r="2894" spans="1:7" x14ac:dyDescent="0.25">
      <c r="A2894" s="11" t="s">
        <v>1125</v>
      </c>
      <c r="B2894" s="11" t="s">
        <v>1177</v>
      </c>
      <c r="C2894" s="1940">
        <v>29614</v>
      </c>
      <c r="D2894" s="1940">
        <v>18295775.753286</v>
      </c>
      <c r="E2894" s="1941">
        <v>169458.38374463399</v>
      </c>
      <c r="F2894" s="1942">
        <v>100</v>
      </c>
      <c r="G2894" s="1943">
        <v>0</v>
      </c>
    </row>
    <row r="2895" spans="1:7" x14ac:dyDescent="0.25">
      <c r="A2895" s="6" t="s">
        <v>1088</v>
      </c>
      <c r="B2895" s="6" t="s">
        <v>1089</v>
      </c>
      <c r="C2895" s="1936">
        <v>26204</v>
      </c>
      <c r="D2895" s="1936">
        <v>20848309.183148801</v>
      </c>
      <c r="E2895" s="1937">
        <v>169055.466566313</v>
      </c>
      <c r="F2895" s="1938">
        <v>99.996483946088603</v>
      </c>
      <c r="G2895" s="1939">
        <v>3.5224058657893002E-3</v>
      </c>
    </row>
    <row r="2896" spans="1:7" x14ac:dyDescent="0.25">
      <c r="A2896" s="11" t="s">
        <v>1102</v>
      </c>
      <c r="B2896" s="11" t="s">
        <v>1103</v>
      </c>
      <c r="C2896" s="1940">
        <v>1</v>
      </c>
      <c r="D2896" s="1940">
        <v>733.06356540633499</v>
      </c>
      <c r="E2896" s="1941">
        <v>734.64773794601604</v>
      </c>
      <c r="F2896" s="1942">
        <v>3.5160539114062399E-3</v>
      </c>
      <c r="G2896" s="1943">
        <v>3.5224058657869601E-3</v>
      </c>
    </row>
    <row r="2897" spans="1:7" x14ac:dyDescent="0.25">
      <c r="A2897" s="6" t="s">
        <v>6417</v>
      </c>
      <c r="B2897" s="6" t="s">
        <v>6418</v>
      </c>
      <c r="C2897" s="1936">
        <v>29614</v>
      </c>
      <c r="D2897" s="1936">
        <v>18295775.753286</v>
      </c>
      <c r="E2897" s="1937">
        <v>169458.38374463399</v>
      </c>
      <c r="F2897" s="1938">
        <v>46.738691576713698</v>
      </c>
      <c r="G2897" s="1939">
        <v>0.43290119204201</v>
      </c>
    </row>
    <row r="2898" spans="1:7" x14ac:dyDescent="0.25">
      <c r="A2898" s="11" t="s">
        <v>6417</v>
      </c>
      <c r="B2898" s="11" t="s">
        <v>6419</v>
      </c>
      <c r="C2898" s="1940">
        <v>55819</v>
      </c>
      <c r="D2898" s="1940">
        <v>39144818.000000201</v>
      </c>
      <c r="E2898" s="1941">
        <v>0</v>
      </c>
      <c r="F2898" s="1942">
        <v>100</v>
      </c>
      <c r="G2898" s="1943">
        <v>0</v>
      </c>
    </row>
    <row r="2899" spans="1:7" x14ac:dyDescent="0.25">
      <c r="A2899" s="3729" t="s">
        <v>562</v>
      </c>
      <c r="B2899" s="3730"/>
      <c r="C2899" s="3730"/>
      <c r="D2899" s="3730"/>
      <c r="E2899" s="3730"/>
      <c r="F2899" s="3730"/>
      <c r="G2899" s="3730"/>
    </row>
    <row r="2900" spans="1:7" x14ac:dyDescent="0.25">
      <c r="A2900" s="11" t="s">
        <v>1088</v>
      </c>
      <c r="B2900" s="11" t="s">
        <v>1089</v>
      </c>
      <c r="C2900" s="1948">
        <v>55794</v>
      </c>
      <c r="D2900" s="1948">
        <v>39113295.802382402</v>
      </c>
      <c r="E2900" s="1949">
        <v>11186.0647768246</v>
      </c>
      <c r="F2900" s="1950">
        <v>99.919472872201396</v>
      </c>
      <c r="G2900" s="1951">
        <v>2.8576106234021001E-2</v>
      </c>
    </row>
    <row r="2901" spans="1:7" x14ac:dyDescent="0.25">
      <c r="A2901" s="6" t="s">
        <v>1084</v>
      </c>
      <c r="B2901" s="6" t="s">
        <v>1085</v>
      </c>
      <c r="C2901" s="1944">
        <v>24</v>
      </c>
      <c r="D2901" s="1944">
        <v>30789.134051973298</v>
      </c>
      <c r="E2901" s="1945">
        <v>11224.039881725899</v>
      </c>
      <c r="F2901" s="1946">
        <v>7.8654431480492296E-2</v>
      </c>
      <c r="G2901" s="1947">
        <v>2.8673118065655201E-2</v>
      </c>
    </row>
    <row r="2902" spans="1:7" x14ac:dyDescent="0.25">
      <c r="A2902" s="11" t="s">
        <v>1102</v>
      </c>
      <c r="B2902" s="11" t="s">
        <v>1103</v>
      </c>
      <c r="C2902" s="1948">
        <v>1</v>
      </c>
      <c r="D2902" s="1948">
        <v>733.06356540633499</v>
      </c>
      <c r="E2902" s="1949">
        <v>734.64773794601604</v>
      </c>
      <c r="F2902" s="1950">
        <v>1.87269631808312E-3</v>
      </c>
      <c r="G2902" s="1951">
        <v>1.8767432714747001E-3</v>
      </c>
    </row>
    <row r="2903" spans="1:7" x14ac:dyDescent="0.25">
      <c r="A2903" s="6" t="s">
        <v>6417</v>
      </c>
      <c r="B2903" s="6" t="s">
        <v>6418</v>
      </c>
      <c r="C2903" s="1944">
        <v>0</v>
      </c>
      <c r="D2903" s="1944">
        <v>0</v>
      </c>
      <c r="E2903" s="1945">
        <v>0</v>
      </c>
      <c r="F2903" s="1946">
        <v>0</v>
      </c>
      <c r="G2903" s="1947">
        <v>0</v>
      </c>
    </row>
    <row r="2904" spans="1:7" x14ac:dyDescent="0.25">
      <c r="A2904" s="11" t="s">
        <v>6417</v>
      </c>
      <c r="B2904" s="11" t="s">
        <v>6419</v>
      </c>
      <c r="C2904" s="1948">
        <v>55819</v>
      </c>
      <c r="D2904" s="1948">
        <v>39144817.999999799</v>
      </c>
      <c r="E2904" s="1949">
        <v>0</v>
      </c>
      <c r="F2904" s="1950">
        <v>100</v>
      </c>
      <c r="G2904" s="1951">
        <v>0</v>
      </c>
    </row>
    <row r="2905" spans="1:7" x14ac:dyDescent="0.25">
      <c r="A2905" s="3729" t="s">
        <v>569</v>
      </c>
      <c r="B2905" s="3730"/>
      <c r="C2905" s="3730"/>
      <c r="D2905" s="3730"/>
      <c r="E2905" s="3730"/>
      <c r="F2905" s="3730"/>
      <c r="G2905" s="3730"/>
    </row>
    <row r="2906" spans="1:7" x14ac:dyDescent="0.25">
      <c r="A2906" s="11" t="s">
        <v>1088</v>
      </c>
      <c r="B2906" s="11" t="s">
        <v>1089</v>
      </c>
      <c r="C2906" s="1956">
        <v>55794</v>
      </c>
      <c r="D2906" s="1956">
        <v>39126139.574255101</v>
      </c>
      <c r="E2906" s="1957">
        <v>8202.0501679034805</v>
      </c>
      <c r="F2906" s="1958">
        <v>99.952283784421496</v>
      </c>
      <c r="G2906" s="1959">
        <v>2.0953093121605999E-2</v>
      </c>
    </row>
    <row r="2907" spans="1:7" x14ac:dyDescent="0.25">
      <c r="A2907" s="6" t="s">
        <v>1086</v>
      </c>
      <c r="B2907" s="6" t="s">
        <v>1087</v>
      </c>
      <c r="C2907" s="1952">
        <v>24</v>
      </c>
      <c r="D2907" s="1952">
        <v>17945.3621793073</v>
      </c>
      <c r="E2907" s="1953">
        <v>7647.1157662350297</v>
      </c>
      <c r="F2907" s="1954">
        <v>4.5843519260473697E-2</v>
      </c>
      <c r="G2907" s="1955">
        <v>1.95354485138622E-2</v>
      </c>
    </row>
    <row r="2908" spans="1:7" x14ac:dyDescent="0.25">
      <c r="A2908" s="11" t="s">
        <v>1102</v>
      </c>
      <c r="B2908" s="11" t="s">
        <v>1103</v>
      </c>
      <c r="C2908" s="1956">
        <v>1</v>
      </c>
      <c r="D2908" s="1956">
        <v>733.06356540633499</v>
      </c>
      <c r="E2908" s="1957">
        <v>734.64773794601604</v>
      </c>
      <c r="F2908" s="1958">
        <v>1.87269631808312E-3</v>
      </c>
      <c r="G2908" s="1959">
        <v>1.8767432714747001E-3</v>
      </c>
    </row>
    <row r="2909" spans="1:7" x14ac:dyDescent="0.25">
      <c r="A2909" s="6" t="s">
        <v>6417</v>
      </c>
      <c r="B2909" s="6" t="s">
        <v>6418</v>
      </c>
      <c r="C2909" s="1952">
        <v>0</v>
      </c>
      <c r="D2909" s="1952">
        <v>0</v>
      </c>
      <c r="E2909" s="1953">
        <v>0</v>
      </c>
      <c r="F2909" s="1954">
        <v>0</v>
      </c>
      <c r="G2909" s="1955">
        <v>0</v>
      </c>
    </row>
    <row r="2910" spans="1:7" x14ac:dyDescent="0.25">
      <c r="A2910" s="11" t="s">
        <v>6417</v>
      </c>
      <c r="B2910" s="11" t="s">
        <v>6419</v>
      </c>
      <c r="C2910" s="1956">
        <v>55819</v>
      </c>
      <c r="D2910" s="1956">
        <v>39144817.999999799</v>
      </c>
      <c r="E2910" s="1957">
        <v>0</v>
      </c>
      <c r="F2910" s="1958">
        <v>100</v>
      </c>
      <c r="G2910" s="1959">
        <v>0</v>
      </c>
    </row>
    <row r="2911" spans="1:7" x14ac:dyDescent="0.25">
      <c r="A2911" s="3729" t="s">
        <v>566</v>
      </c>
      <c r="B2911" s="3730"/>
      <c r="C2911" s="3730"/>
      <c r="D2911" s="3730"/>
      <c r="E2911" s="3730"/>
      <c r="F2911" s="3730"/>
      <c r="G2911" s="3730"/>
    </row>
    <row r="2912" spans="1:7" x14ac:dyDescent="0.25">
      <c r="A2912" s="11" t="s">
        <v>6682</v>
      </c>
      <c r="B2912" s="11"/>
      <c r="C2912" s="1964">
        <v>2568</v>
      </c>
      <c r="D2912" s="1964">
        <v>1669700.5198186701</v>
      </c>
      <c r="E2912" s="1965">
        <v>56649.3096893478</v>
      </c>
      <c r="F2912" s="1966">
        <v>24.998459652906998</v>
      </c>
      <c r="G2912" s="1967">
        <v>1.0866063706981901</v>
      </c>
    </row>
    <row r="2913" spans="1:7" x14ac:dyDescent="0.25">
      <c r="A2913" s="6" t="s">
        <v>6683</v>
      </c>
      <c r="B2913" s="6"/>
      <c r="C2913" s="1960">
        <v>2419</v>
      </c>
      <c r="D2913" s="1960">
        <v>1533237.38860883</v>
      </c>
      <c r="E2913" s="1961">
        <v>85499.376955020198</v>
      </c>
      <c r="F2913" s="1962">
        <v>22.955357887550299</v>
      </c>
      <c r="G2913" s="1963">
        <v>1.13264724528926</v>
      </c>
    </row>
    <row r="2914" spans="1:7" x14ac:dyDescent="0.25">
      <c r="A2914" s="11" t="s">
        <v>6684</v>
      </c>
      <c r="B2914" s="11"/>
      <c r="C2914" s="1964">
        <v>1804</v>
      </c>
      <c r="D2914" s="1964">
        <v>687933.668348009</v>
      </c>
      <c r="E2914" s="1965">
        <v>25516.2404667183</v>
      </c>
      <c r="F2914" s="1966">
        <v>10.299620709192601</v>
      </c>
      <c r="G2914" s="1967">
        <v>0.32404254801483701</v>
      </c>
    </row>
    <row r="2915" spans="1:7" x14ac:dyDescent="0.25">
      <c r="A2915" s="6" t="s">
        <v>6685</v>
      </c>
      <c r="B2915" s="6"/>
      <c r="C2915" s="1960">
        <v>2520</v>
      </c>
      <c r="D2915" s="1960">
        <v>642550.07113665401</v>
      </c>
      <c r="E2915" s="1961">
        <v>48642.364333886297</v>
      </c>
      <c r="F2915" s="1962">
        <v>9.6201455516265693</v>
      </c>
      <c r="G2915" s="1963">
        <v>0.74988270860372896</v>
      </c>
    </row>
    <row r="2916" spans="1:7" x14ac:dyDescent="0.25">
      <c r="A2916" s="11" t="s">
        <v>6686</v>
      </c>
      <c r="B2916" s="11"/>
      <c r="C2916" s="1964">
        <v>1119</v>
      </c>
      <c r="D2916" s="1964">
        <v>629421.73746201396</v>
      </c>
      <c r="E2916" s="1965">
        <v>48431.835794589599</v>
      </c>
      <c r="F2916" s="1966">
        <v>9.4235904713712095</v>
      </c>
      <c r="G2916" s="1967">
        <v>0.61786795091175395</v>
      </c>
    </row>
    <row r="2917" spans="1:7" x14ac:dyDescent="0.25">
      <c r="A2917" s="6" t="s">
        <v>6687</v>
      </c>
      <c r="B2917" s="6"/>
      <c r="C2917" s="1960">
        <v>654</v>
      </c>
      <c r="D2917" s="1960">
        <v>440574.14372504898</v>
      </c>
      <c r="E2917" s="1961">
        <v>25248.1154293451</v>
      </c>
      <c r="F2917" s="1962">
        <v>6.5961978362567502</v>
      </c>
      <c r="G2917" s="1963">
        <v>0.43894863034558601</v>
      </c>
    </row>
    <row r="2918" spans="1:7" x14ac:dyDescent="0.25">
      <c r="A2918" s="11" t="s">
        <v>6688</v>
      </c>
      <c r="B2918" s="11"/>
      <c r="C2918" s="1964">
        <v>570</v>
      </c>
      <c r="D2918" s="1964">
        <v>372082.81990951399</v>
      </c>
      <c r="E2918" s="1965">
        <v>31439.699797509002</v>
      </c>
      <c r="F2918" s="1966">
        <v>5.5707578997807303</v>
      </c>
      <c r="G2918" s="1967">
        <v>0.40827667569082399</v>
      </c>
    </row>
    <row r="2919" spans="1:7" x14ac:dyDescent="0.25">
      <c r="A2919" s="6" t="s">
        <v>6689</v>
      </c>
      <c r="B2919" s="6"/>
      <c r="C2919" s="1960">
        <v>386</v>
      </c>
      <c r="D2919" s="1960">
        <v>290036.49303847097</v>
      </c>
      <c r="E2919" s="1961">
        <v>31173.426884635901</v>
      </c>
      <c r="F2919" s="1962">
        <v>4.3423748648531699</v>
      </c>
      <c r="G2919" s="1963">
        <v>0.394850656157408</v>
      </c>
    </row>
    <row r="2920" spans="1:7" x14ac:dyDescent="0.25">
      <c r="A2920" s="11" t="s">
        <v>6690</v>
      </c>
      <c r="B2920" s="11"/>
      <c r="C2920" s="1964">
        <v>259</v>
      </c>
      <c r="D2920" s="1964">
        <v>162431.33472664299</v>
      </c>
      <c r="E2920" s="1965">
        <v>18431.176581674699</v>
      </c>
      <c r="F2920" s="1966">
        <v>2.4318930965972201</v>
      </c>
      <c r="G2920" s="1967">
        <v>0.26977035995655801</v>
      </c>
    </row>
    <row r="2921" spans="1:7" x14ac:dyDescent="0.25">
      <c r="A2921" s="6" t="s">
        <v>6691</v>
      </c>
      <c r="B2921" s="6"/>
      <c r="C2921" s="1960">
        <v>217</v>
      </c>
      <c r="D2921" s="1960">
        <v>125409.428957863</v>
      </c>
      <c r="E2921" s="1961">
        <v>36898.340311077402</v>
      </c>
      <c r="F2921" s="1962">
        <v>1.87760769831809</v>
      </c>
      <c r="G2921" s="1963">
        <v>0.52923336594929105</v>
      </c>
    </row>
    <row r="2922" spans="1:7" x14ac:dyDescent="0.25">
      <c r="A2922" s="11" t="s">
        <v>6636</v>
      </c>
      <c r="B2922" s="11"/>
      <c r="C2922" s="1964">
        <v>96</v>
      </c>
      <c r="D2922" s="1964">
        <v>83212.890162588606</v>
      </c>
      <c r="E2922" s="1965">
        <v>18839.2673756849</v>
      </c>
      <c r="F2922" s="1966">
        <v>1.24584861335323</v>
      </c>
      <c r="G2922" s="1967">
        <v>0.268479131376826</v>
      </c>
    </row>
    <row r="2923" spans="1:7" x14ac:dyDescent="0.25">
      <c r="A2923" s="6" t="s">
        <v>6637</v>
      </c>
      <c r="B2923" s="6"/>
      <c r="C2923" s="1960">
        <v>43</v>
      </c>
      <c r="D2923" s="1960">
        <v>34573.0354325484</v>
      </c>
      <c r="E2923" s="1961">
        <v>11058.4921099454</v>
      </c>
      <c r="F2923" s="1962">
        <v>0.51762134651125602</v>
      </c>
      <c r="G2923" s="1963">
        <v>0.158810491206126</v>
      </c>
    </row>
    <row r="2924" spans="1:7" x14ac:dyDescent="0.25">
      <c r="A2924" s="11" t="s">
        <v>6692</v>
      </c>
      <c r="B2924" s="11"/>
      <c r="C2924" s="1964">
        <v>35</v>
      </c>
      <c r="D2924" s="1964">
        <v>8050.0802386362502</v>
      </c>
      <c r="E2924" s="1965">
        <v>2231.1829727151699</v>
      </c>
      <c r="F2924" s="1966">
        <v>0.120524371681975</v>
      </c>
      <c r="G2924" s="1967">
        <v>3.4342383436685699E-2</v>
      </c>
    </row>
    <row r="2925" spans="1:7" x14ac:dyDescent="0.25">
      <c r="A2925" s="6" t="s">
        <v>1088</v>
      </c>
      <c r="B2925" s="6" t="s">
        <v>1089</v>
      </c>
      <c r="C2925" s="1960">
        <v>42946</v>
      </c>
      <c r="D2925" s="1960">
        <v>32333147.351746</v>
      </c>
      <c r="E2925" s="1961">
        <v>156194.34365388501</v>
      </c>
      <c r="F2925" s="1962">
        <v>99.592008098466493</v>
      </c>
      <c r="G2925" s="1963">
        <v>6.5437838779178206E-2</v>
      </c>
    </row>
    <row r="2926" spans="1:7" x14ac:dyDescent="0.25">
      <c r="A2926" s="11" t="s">
        <v>1102</v>
      </c>
      <c r="B2926" s="11"/>
      <c r="C2926" s="1964">
        <v>183</v>
      </c>
      <c r="D2926" s="1964">
        <v>132457.036688736</v>
      </c>
      <c r="E2926" s="1965">
        <v>21289.4805922573</v>
      </c>
      <c r="F2926" s="1966">
        <v>0.40799190153355602</v>
      </c>
      <c r="G2926" s="1967">
        <v>6.5437838779177804E-2</v>
      </c>
    </row>
    <row r="2927" spans="1:7" x14ac:dyDescent="0.25">
      <c r="A2927" s="6" t="s">
        <v>6417</v>
      </c>
      <c r="B2927" s="6" t="s">
        <v>6418</v>
      </c>
      <c r="C2927" s="1960">
        <v>12690</v>
      </c>
      <c r="D2927" s="1960">
        <v>6679213.6115654903</v>
      </c>
      <c r="E2927" s="1961">
        <v>156592.15936096301</v>
      </c>
      <c r="F2927" s="1962">
        <v>17.062829648525799</v>
      </c>
      <c r="G2927" s="1963">
        <v>0.400032922265603</v>
      </c>
    </row>
    <row r="2928" spans="1:7" x14ac:dyDescent="0.25">
      <c r="A2928" s="11" t="s">
        <v>6417</v>
      </c>
      <c r="B2928" s="11" t="s">
        <v>6419</v>
      </c>
      <c r="C2928" s="1964">
        <v>55819</v>
      </c>
      <c r="D2928" s="1964">
        <v>39144818.000000201</v>
      </c>
      <c r="E2928" s="1965">
        <v>0</v>
      </c>
      <c r="F2928" s="1966">
        <v>100</v>
      </c>
      <c r="G2928" s="1967">
        <v>0</v>
      </c>
    </row>
    <row r="2929" spans="1:7" x14ac:dyDescent="0.25">
      <c r="A2929" s="3729" t="s">
        <v>995</v>
      </c>
      <c r="B2929" s="3730"/>
      <c r="C2929" s="3730"/>
      <c r="D2929" s="3730"/>
      <c r="E2929" s="3730"/>
      <c r="F2929" s="3730"/>
      <c r="G2929" s="3730"/>
    </row>
    <row r="2930" spans="1:7" x14ac:dyDescent="0.25">
      <c r="A2930" s="11" t="s">
        <v>1090</v>
      </c>
      <c r="B2930" s="11" t="s">
        <v>1166</v>
      </c>
      <c r="C2930" s="1972">
        <v>9555</v>
      </c>
      <c r="D2930" s="1972">
        <v>4781663.0555231199</v>
      </c>
      <c r="E2930" s="1973">
        <v>104560.406170384</v>
      </c>
      <c r="F2930" s="1974">
        <v>100</v>
      </c>
      <c r="G2930" s="1975">
        <v>0</v>
      </c>
    </row>
    <row r="2931" spans="1:7" x14ac:dyDescent="0.25">
      <c r="A2931" s="6" t="s">
        <v>1088</v>
      </c>
      <c r="B2931" s="6" t="s">
        <v>1089</v>
      </c>
      <c r="C2931" s="1968">
        <v>46263</v>
      </c>
      <c r="D2931" s="1968">
        <v>34362421.880911604</v>
      </c>
      <c r="E2931" s="1969">
        <v>104491.386217551</v>
      </c>
      <c r="F2931" s="1970">
        <v>99.997866716351894</v>
      </c>
      <c r="G2931" s="1971">
        <v>2.1379553839324101E-3</v>
      </c>
    </row>
    <row r="2932" spans="1:7" x14ac:dyDescent="0.25">
      <c r="A2932" s="11" t="s">
        <v>1102</v>
      </c>
      <c r="B2932" s="11" t="s">
        <v>1103</v>
      </c>
      <c r="C2932" s="1972">
        <v>1</v>
      </c>
      <c r="D2932" s="1972">
        <v>733.06356540633499</v>
      </c>
      <c r="E2932" s="1973">
        <v>734.64773794601604</v>
      </c>
      <c r="F2932" s="1974">
        <v>2.1332836481132199E-3</v>
      </c>
      <c r="G2932" s="1975">
        <v>2.1379553839307899E-3</v>
      </c>
    </row>
    <row r="2933" spans="1:7" x14ac:dyDescent="0.25">
      <c r="A2933" s="6" t="s">
        <v>6417</v>
      </c>
      <c r="B2933" s="6" t="s">
        <v>6418</v>
      </c>
      <c r="C2933" s="1968">
        <v>9555</v>
      </c>
      <c r="D2933" s="1968">
        <v>4781663.0555231199</v>
      </c>
      <c r="E2933" s="1969">
        <v>104560.406170384</v>
      </c>
      <c r="F2933" s="1970">
        <v>12.2153155892131</v>
      </c>
      <c r="G2933" s="1971">
        <v>0.26711174431922702</v>
      </c>
    </row>
    <row r="2934" spans="1:7" x14ac:dyDescent="0.25">
      <c r="A2934" s="11" t="s">
        <v>6417</v>
      </c>
      <c r="B2934" s="11" t="s">
        <v>6419</v>
      </c>
      <c r="C2934" s="1972">
        <v>55819</v>
      </c>
      <c r="D2934" s="1972">
        <v>39144818.000000097</v>
      </c>
      <c r="E2934" s="1973">
        <v>0</v>
      </c>
      <c r="F2934" s="1974">
        <v>100</v>
      </c>
      <c r="G2934" s="1975">
        <v>0</v>
      </c>
    </row>
    <row r="2935" spans="1:7" x14ac:dyDescent="0.25">
      <c r="A2935" s="3729" t="s">
        <v>1000</v>
      </c>
      <c r="B2935" s="3730"/>
      <c r="C2935" s="3730"/>
      <c r="D2935" s="3730"/>
      <c r="E2935" s="3730"/>
      <c r="F2935" s="3730"/>
      <c r="G2935" s="3730"/>
    </row>
    <row r="2936" spans="1:7" x14ac:dyDescent="0.25">
      <c r="A2936" s="11" t="s">
        <v>1092</v>
      </c>
      <c r="B2936" s="11" t="s">
        <v>6312</v>
      </c>
      <c r="C2936" s="1980">
        <v>4289</v>
      </c>
      <c r="D2936" s="1980">
        <v>3537672.9944484299</v>
      </c>
      <c r="E2936" s="1981">
        <v>76845.450492467804</v>
      </c>
      <c r="F2936" s="1982">
        <v>100</v>
      </c>
      <c r="G2936" s="1983">
        <v>0</v>
      </c>
    </row>
    <row r="2937" spans="1:7" x14ac:dyDescent="0.25">
      <c r="A2937" s="6" t="s">
        <v>1088</v>
      </c>
      <c r="B2937" s="6" t="s">
        <v>1089</v>
      </c>
      <c r="C2937" s="1976">
        <v>51529</v>
      </c>
      <c r="D2937" s="1976">
        <v>35606411.941986099</v>
      </c>
      <c r="E2937" s="1977">
        <v>77236.361667925899</v>
      </c>
      <c r="F2937" s="1978">
        <v>99.997941245878394</v>
      </c>
      <c r="G2937" s="1979">
        <v>2.06349948359325E-3</v>
      </c>
    </row>
    <row r="2938" spans="1:7" x14ac:dyDescent="0.25">
      <c r="A2938" s="11" t="s">
        <v>1102</v>
      </c>
      <c r="B2938" s="11" t="s">
        <v>1103</v>
      </c>
      <c r="C2938" s="1980">
        <v>1</v>
      </c>
      <c r="D2938" s="1980">
        <v>733.06356540633499</v>
      </c>
      <c r="E2938" s="1981">
        <v>734.64773794601604</v>
      </c>
      <c r="F2938" s="1982">
        <v>2.0587541216574401E-3</v>
      </c>
      <c r="G2938" s="1983">
        <v>2.0634994835903499E-3</v>
      </c>
    </row>
    <row r="2939" spans="1:7" x14ac:dyDescent="0.25">
      <c r="A2939" s="6" t="s">
        <v>6417</v>
      </c>
      <c r="B2939" s="6" t="s">
        <v>6418</v>
      </c>
      <c r="C2939" s="1976">
        <v>4289</v>
      </c>
      <c r="D2939" s="1976">
        <v>3537672.9944484299</v>
      </c>
      <c r="E2939" s="1977">
        <v>76845.450492467804</v>
      </c>
      <c r="F2939" s="1978">
        <v>9.0373979882814606</v>
      </c>
      <c r="G2939" s="1979">
        <v>0.19631065979785001</v>
      </c>
    </row>
    <row r="2940" spans="1:7" x14ac:dyDescent="0.25">
      <c r="A2940" s="11" t="s">
        <v>6417</v>
      </c>
      <c r="B2940" s="11" t="s">
        <v>6419</v>
      </c>
      <c r="C2940" s="1980">
        <v>55819</v>
      </c>
      <c r="D2940" s="1980">
        <v>39144818</v>
      </c>
      <c r="E2940" s="1981">
        <v>0</v>
      </c>
      <c r="F2940" s="1982">
        <v>100</v>
      </c>
      <c r="G2940" s="1983">
        <v>0</v>
      </c>
    </row>
    <row r="2941" spans="1:7" x14ac:dyDescent="0.25">
      <c r="A2941" s="3729" t="s">
        <v>1002</v>
      </c>
      <c r="B2941" s="3730"/>
      <c r="C2941" s="3730"/>
      <c r="D2941" s="3730"/>
      <c r="E2941" s="3730"/>
      <c r="F2941" s="3730"/>
      <c r="G2941" s="3730"/>
    </row>
    <row r="2942" spans="1:7" x14ac:dyDescent="0.25">
      <c r="A2942" s="11" t="s">
        <v>1094</v>
      </c>
      <c r="B2942" s="11" t="s">
        <v>1159</v>
      </c>
      <c r="C2942" s="1988">
        <v>3710</v>
      </c>
      <c r="D2942" s="1988">
        <v>2604410.6624164898</v>
      </c>
      <c r="E2942" s="1989">
        <v>79452.613012686998</v>
      </c>
      <c r="F2942" s="1990">
        <v>100</v>
      </c>
      <c r="G2942" s="1991">
        <v>0</v>
      </c>
    </row>
    <row r="2943" spans="1:7" x14ac:dyDescent="0.25">
      <c r="A2943" s="6" t="s">
        <v>1088</v>
      </c>
      <c r="B2943" s="6" t="s">
        <v>1089</v>
      </c>
      <c r="C2943" s="1984">
        <v>52108</v>
      </c>
      <c r="D2943" s="1984">
        <v>36539674.274017997</v>
      </c>
      <c r="E2943" s="1985">
        <v>79138.665014317696</v>
      </c>
      <c r="F2943" s="1986">
        <v>99.997993827604006</v>
      </c>
      <c r="G2943" s="1987">
        <v>2.0097782424434401E-3</v>
      </c>
    </row>
    <row r="2944" spans="1:7" x14ac:dyDescent="0.25">
      <c r="A2944" s="11" t="s">
        <v>1102</v>
      </c>
      <c r="B2944" s="11" t="s">
        <v>1103</v>
      </c>
      <c r="C2944" s="1988">
        <v>1</v>
      </c>
      <c r="D2944" s="1988">
        <v>733.06356540633499</v>
      </c>
      <c r="E2944" s="1989">
        <v>734.64773794601604</v>
      </c>
      <c r="F2944" s="1990">
        <v>2.0061723960377101E-3</v>
      </c>
      <c r="G2944" s="1991">
        <v>2.0097782424416699E-3</v>
      </c>
    </row>
    <row r="2945" spans="1:7" x14ac:dyDescent="0.25">
      <c r="A2945" s="6" t="s">
        <v>6417</v>
      </c>
      <c r="B2945" s="6" t="s">
        <v>6418</v>
      </c>
      <c r="C2945" s="1984">
        <v>3710</v>
      </c>
      <c r="D2945" s="1984">
        <v>2604410.6624164898</v>
      </c>
      <c r="E2945" s="1985">
        <v>79452.613012686998</v>
      </c>
      <c r="F2945" s="1986">
        <v>6.6532705872243296</v>
      </c>
      <c r="G2945" s="1987">
        <v>0.20297096032659301</v>
      </c>
    </row>
    <row r="2946" spans="1:7" x14ac:dyDescent="0.25">
      <c r="A2946" s="11" t="s">
        <v>6417</v>
      </c>
      <c r="B2946" s="11" t="s">
        <v>6419</v>
      </c>
      <c r="C2946" s="1988">
        <v>55819</v>
      </c>
      <c r="D2946" s="1988">
        <v>39144817.999999903</v>
      </c>
      <c r="E2946" s="1989">
        <v>0</v>
      </c>
      <c r="F2946" s="1990">
        <v>100</v>
      </c>
      <c r="G2946" s="1991">
        <v>0</v>
      </c>
    </row>
    <row r="2947" spans="1:7" x14ac:dyDescent="0.25">
      <c r="A2947" s="3729" t="s">
        <v>1004</v>
      </c>
      <c r="B2947" s="3730"/>
      <c r="C2947" s="3730"/>
      <c r="D2947" s="3730"/>
      <c r="E2947" s="3730"/>
      <c r="F2947" s="3730"/>
      <c r="G2947" s="3730"/>
    </row>
    <row r="2948" spans="1:7" x14ac:dyDescent="0.25">
      <c r="A2948" s="11" t="s">
        <v>1096</v>
      </c>
      <c r="B2948" s="11" t="s">
        <v>1169</v>
      </c>
      <c r="C2948" s="1996">
        <v>5614</v>
      </c>
      <c r="D2948" s="1996">
        <v>3098998.1744616898</v>
      </c>
      <c r="E2948" s="1997">
        <v>86297.388726734207</v>
      </c>
      <c r="F2948" s="1998">
        <v>100</v>
      </c>
      <c r="G2948" s="1999">
        <v>0</v>
      </c>
    </row>
    <row r="2949" spans="1:7" x14ac:dyDescent="0.25">
      <c r="A2949" s="6" t="s">
        <v>1088</v>
      </c>
      <c r="B2949" s="6" t="s">
        <v>1089</v>
      </c>
      <c r="C2949" s="1992">
        <v>50204</v>
      </c>
      <c r="D2949" s="1992">
        <v>36045086.761972703</v>
      </c>
      <c r="E2949" s="1993">
        <v>86143.401294237599</v>
      </c>
      <c r="F2949" s="1994">
        <v>99.997966300755706</v>
      </c>
      <c r="G2949" s="1995">
        <v>2.0379219474902601E-3</v>
      </c>
    </row>
    <row r="2950" spans="1:7" x14ac:dyDescent="0.25">
      <c r="A2950" s="11" t="s">
        <v>1102</v>
      </c>
      <c r="B2950" s="11" t="s">
        <v>1103</v>
      </c>
      <c r="C2950" s="1996">
        <v>1</v>
      </c>
      <c r="D2950" s="1996">
        <v>733.06356540633499</v>
      </c>
      <c r="E2950" s="1997">
        <v>734.64773794601604</v>
      </c>
      <c r="F2950" s="1998">
        <v>2.03369924433503E-3</v>
      </c>
      <c r="G2950" s="1999">
        <v>2.0379219474879898E-3</v>
      </c>
    </row>
    <row r="2951" spans="1:7" x14ac:dyDescent="0.25">
      <c r="A2951" s="6" t="s">
        <v>6417</v>
      </c>
      <c r="B2951" s="6" t="s">
        <v>6418</v>
      </c>
      <c r="C2951" s="1992">
        <v>5614</v>
      </c>
      <c r="D2951" s="1992">
        <v>3098998.1744616898</v>
      </c>
      <c r="E2951" s="1993">
        <v>86297.388726734207</v>
      </c>
      <c r="F2951" s="1994">
        <v>7.9167520320613001</v>
      </c>
      <c r="G2951" s="1995">
        <v>0.22045673766250501</v>
      </c>
    </row>
    <row r="2952" spans="1:7" x14ac:dyDescent="0.25">
      <c r="A2952" s="11" t="s">
        <v>6417</v>
      </c>
      <c r="B2952" s="11" t="s">
        <v>6419</v>
      </c>
      <c r="C2952" s="1996">
        <v>55819</v>
      </c>
      <c r="D2952" s="1996">
        <v>39144817.999999799</v>
      </c>
      <c r="E2952" s="1997">
        <v>0</v>
      </c>
      <c r="F2952" s="1998">
        <v>100</v>
      </c>
      <c r="G2952" s="1999">
        <v>0</v>
      </c>
    </row>
    <row r="2953" spans="1:7" x14ac:dyDescent="0.25">
      <c r="A2953" s="3729" t="s">
        <v>1006</v>
      </c>
      <c r="B2953" s="3730"/>
      <c r="C2953" s="3730"/>
      <c r="D2953" s="3730"/>
      <c r="E2953" s="3730"/>
      <c r="F2953" s="3730"/>
      <c r="G2953" s="3730"/>
    </row>
    <row r="2954" spans="1:7" x14ac:dyDescent="0.25">
      <c r="A2954" s="11" t="s">
        <v>1098</v>
      </c>
      <c r="B2954" s="11" t="s">
        <v>6313</v>
      </c>
      <c r="C2954" s="2004">
        <v>24507</v>
      </c>
      <c r="D2954" s="2004">
        <v>14389483.0838203</v>
      </c>
      <c r="E2954" s="2005">
        <v>283709.51053766202</v>
      </c>
      <c r="F2954" s="2006">
        <v>100</v>
      </c>
      <c r="G2954" s="2007">
        <v>0</v>
      </c>
    </row>
    <row r="2955" spans="1:7" x14ac:dyDescent="0.25">
      <c r="A2955" s="6" t="s">
        <v>1088</v>
      </c>
      <c r="B2955" s="6" t="s">
        <v>1089</v>
      </c>
      <c r="C2955" s="2000">
        <v>31311</v>
      </c>
      <c r="D2955" s="2000">
        <v>24754601.852614399</v>
      </c>
      <c r="E2955" s="2001">
        <v>283875.517514001</v>
      </c>
      <c r="F2955" s="2002">
        <v>99.997038765309</v>
      </c>
      <c r="G2955" s="2003">
        <v>2.9690285664803898E-3</v>
      </c>
    </row>
    <row r="2956" spans="1:7" x14ac:dyDescent="0.25">
      <c r="A2956" s="11" t="s">
        <v>1102</v>
      </c>
      <c r="B2956" s="11" t="s">
        <v>1103</v>
      </c>
      <c r="C2956" s="2004">
        <v>1</v>
      </c>
      <c r="D2956" s="2004">
        <v>733.06356540633499</v>
      </c>
      <c r="E2956" s="2005">
        <v>734.64773794601604</v>
      </c>
      <c r="F2956" s="2006">
        <v>2.9612346909805398E-3</v>
      </c>
      <c r="G2956" s="2007">
        <v>2.9690285664799301E-3</v>
      </c>
    </row>
    <row r="2957" spans="1:7" x14ac:dyDescent="0.25">
      <c r="A2957" s="6" t="s">
        <v>6417</v>
      </c>
      <c r="B2957" s="6" t="s">
        <v>6418</v>
      </c>
      <c r="C2957" s="2000">
        <v>24507</v>
      </c>
      <c r="D2957" s="2000">
        <v>14389483.0838203</v>
      </c>
      <c r="E2957" s="2001">
        <v>283709.51053766202</v>
      </c>
      <c r="F2957" s="2002">
        <v>36.759611665125803</v>
      </c>
      <c r="G2957" s="2003">
        <v>0.72476901166757202</v>
      </c>
    </row>
    <row r="2958" spans="1:7" x14ac:dyDescent="0.25">
      <c r="A2958" s="11" t="s">
        <v>6417</v>
      </c>
      <c r="B2958" s="11" t="s">
        <v>6419</v>
      </c>
      <c r="C2958" s="2004">
        <v>55819</v>
      </c>
      <c r="D2958" s="2004">
        <v>39144818.000000201</v>
      </c>
      <c r="E2958" s="2005">
        <v>0</v>
      </c>
      <c r="F2958" s="2006">
        <v>100</v>
      </c>
      <c r="G2958" s="2007">
        <v>0</v>
      </c>
    </row>
    <row r="2959" spans="1:7" x14ac:dyDescent="0.25">
      <c r="A2959" s="3729" t="s">
        <v>1008</v>
      </c>
      <c r="B2959" s="3730"/>
      <c r="C2959" s="3730"/>
      <c r="D2959" s="3730"/>
      <c r="E2959" s="3730"/>
      <c r="F2959" s="3730"/>
      <c r="G2959" s="3730"/>
    </row>
    <row r="2960" spans="1:7" x14ac:dyDescent="0.25">
      <c r="A2960" s="11" t="s">
        <v>1100</v>
      </c>
      <c r="B2960" s="11" t="s">
        <v>1172</v>
      </c>
      <c r="C2960" s="2012">
        <v>10205</v>
      </c>
      <c r="D2960" s="2012">
        <v>8186365.9298225502</v>
      </c>
      <c r="E2960" s="2013">
        <v>137188.26452034299</v>
      </c>
      <c r="F2960" s="2014">
        <v>100</v>
      </c>
      <c r="G2960" s="2015">
        <v>0</v>
      </c>
    </row>
    <row r="2961" spans="1:7" x14ac:dyDescent="0.25">
      <c r="A2961" s="6" t="s">
        <v>1088</v>
      </c>
      <c r="B2961" s="6" t="s">
        <v>1089</v>
      </c>
      <c r="C2961" s="2008">
        <v>45613</v>
      </c>
      <c r="D2961" s="2008">
        <v>30957719.0066121</v>
      </c>
      <c r="E2961" s="2009">
        <v>137577.43791373799</v>
      </c>
      <c r="F2961" s="2010">
        <v>99.997632105236605</v>
      </c>
      <c r="G2961" s="2011">
        <v>2.37305486517314E-3</v>
      </c>
    </row>
    <row r="2962" spans="1:7" x14ac:dyDescent="0.25">
      <c r="A2962" s="11" t="s">
        <v>1102</v>
      </c>
      <c r="B2962" s="11" t="s">
        <v>1103</v>
      </c>
      <c r="C2962" s="2012">
        <v>1</v>
      </c>
      <c r="D2962" s="2012">
        <v>733.06356540633499</v>
      </c>
      <c r="E2962" s="2013">
        <v>734.64773794601604</v>
      </c>
      <c r="F2962" s="2014">
        <v>2.36789476342229E-3</v>
      </c>
      <c r="G2962" s="2015">
        <v>2.3730548651714799E-3</v>
      </c>
    </row>
    <row r="2963" spans="1:7" x14ac:dyDescent="0.25">
      <c r="A2963" s="6" t="s">
        <v>6417</v>
      </c>
      <c r="B2963" s="6" t="s">
        <v>6418</v>
      </c>
      <c r="C2963" s="2008">
        <v>10205</v>
      </c>
      <c r="D2963" s="2008">
        <v>8186365.9298225502</v>
      </c>
      <c r="E2963" s="2009">
        <v>137188.26452034299</v>
      </c>
      <c r="F2963" s="2010">
        <v>20.913025907599099</v>
      </c>
      <c r="G2963" s="2011">
        <v>0.35046341132641901</v>
      </c>
    </row>
    <row r="2964" spans="1:7" x14ac:dyDescent="0.25">
      <c r="A2964" s="11" t="s">
        <v>6417</v>
      </c>
      <c r="B2964" s="11" t="s">
        <v>6419</v>
      </c>
      <c r="C2964" s="2012">
        <v>55819</v>
      </c>
      <c r="D2964" s="2012">
        <v>39144818.000000097</v>
      </c>
      <c r="E2964" s="2013">
        <v>0</v>
      </c>
      <c r="F2964" s="2014">
        <v>100</v>
      </c>
      <c r="G2964" s="2015">
        <v>0</v>
      </c>
    </row>
    <row r="2965" spans="1:7" x14ac:dyDescent="0.25">
      <c r="A2965" s="3729" t="s">
        <v>1010</v>
      </c>
      <c r="B2965" s="3730"/>
      <c r="C2965" s="3730"/>
      <c r="D2965" s="3730"/>
      <c r="E2965" s="3730"/>
      <c r="F2965" s="3730"/>
      <c r="G2965" s="3730"/>
    </row>
    <row r="2966" spans="1:7" x14ac:dyDescent="0.25">
      <c r="A2966" s="11" t="s">
        <v>1109</v>
      </c>
      <c r="B2966" s="11" t="s">
        <v>1173</v>
      </c>
      <c r="C2966" s="2020">
        <v>5303</v>
      </c>
      <c r="D2966" s="2020">
        <v>4092628.2202555598</v>
      </c>
      <c r="E2966" s="2021">
        <v>114785.162922588</v>
      </c>
      <c r="F2966" s="2022">
        <v>100</v>
      </c>
      <c r="G2966" s="2023">
        <v>0</v>
      </c>
    </row>
    <row r="2967" spans="1:7" x14ac:dyDescent="0.25">
      <c r="A2967" s="6" t="s">
        <v>1088</v>
      </c>
      <c r="B2967" s="6" t="s">
        <v>1089</v>
      </c>
      <c r="C2967" s="2016">
        <v>50515</v>
      </c>
      <c r="D2967" s="2016">
        <v>35051456.716178901</v>
      </c>
      <c r="E2967" s="2017">
        <v>115116.013436767</v>
      </c>
      <c r="F2967" s="2018">
        <v>99.997908651157005</v>
      </c>
      <c r="G2967" s="2019">
        <v>2.0957686684486198E-3</v>
      </c>
    </row>
    <row r="2968" spans="1:7" x14ac:dyDescent="0.25">
      <c r="A2968" s="11" t="s">
        <v>1102</v>
      </c>
      <c r="B2968" s="11" t="s">
        <v>1103</v>
      </c>
      <c r="C2968" s="2020">
        <v>1</v>
      </c>
      <c r="D2968" s="2020">
        <v>733.06356540633499</v>
      </c>
      <c r="E2968" s="2021">
        <v>734.64773794601604</v>
      </c>
      <c r="F2968" s="2022">
        <v>2.09134884300425E-3</v>
      </c>
      <c r="G2968" s="2023">
        <v>2.0957686684474801E-3</v>
      </c>
    </row>
    <row r="2969" spans="1:7" x14ac:dyDescent="0.25">
      <c r="A2969" s="6" t="s">
        <v>6417</v>
      </c>
      <c r="B2969" s="6" t="s">
        <v>6418</v>
      </c>
      <c r="C2969" s="2016">
        <v>5303</v>
      </c>
      <c r="D2969" s="2016">
        <v>4092628.2202555598</v>
      </c>
      <c r="E2969" s="2017">
        <v>114785.162922588</v>
      </c>
      <c r="F2969" s="2018">
        <v>10.455095793919799</v>
      </c>
      <c r="G2969" s="2019">
        <v>0.29323207716175098</v>
      </c>
    </row>
    <row r="2970" spans="1:7" x14ac:dyDescent="0.25">
      <c r="A2970" s="11" t="s">
        <v>6417</v>
      </c>
      <c r="B2970" s="11" t="s">
        <v>6419</v>
      </c>
      <c r="C2970" s="2020">
        <v>55819</v>
      </c>
      <c r="D2970" s="2020">
        <v>39144817.999999903</v>
      </c>
      <c r="E2970" s="2021">
        <v>0</v>
      </c>
      <c r="F2970" s="2022">
        <v>100</v>
      </c>
      <c r="G2970" s="2023">
        <v>0</v>
      </c>
    </row>
    <row r="2971" spans="1:7" x14ac:dyDescent="0.25">
      <c r="A2971" s="3729" t="s">
        <v>1012</v>
      </c>
      <c r="B2971" s="3730"/>
      <c r="C2971" s="3730"/>
      <c r="D2971" s="3730"/>
      <c r="E2971" s="3730"/>
      <c r="F2971" s="3730"/>
      <c r="G2971" s="3730"/>
    </row>
    <row r="2972" spans="1:7" x14ac:dyDescent="0.25">
      <c r="A2972" s="11" t="s">
        <v>1119</v>
      </c>
      <c r="B2972" s="11" t="s">
        <v>1174</v>
      </c>
      <c r="C2972" s="2028">
        <v>2143</v>
      </c>
      <c r="D2972" s="2028">
        <v>1874228.1973268799</v>
      </c>
      <c r="E2972" s="2029">
        <v>71440.861518998296</v>
      </c>
      <c r="F2972" s="2030">
        <v>100</v>
      </c>
      <c r="G2972" s="2031">
        <v>0</v>
      </c>
    </row>
    <row r="2973" spans="1:7" x14ac:dyDescent="0.25">
      <c r="A2973" s="6" t="s">
        <v>1088</v>
      </c>
      <c r="B2973" s="6" t="s">
        <v>1089</v>
      </c>
      <c r="C2973" s="2024">
        <v>53675</v>
      </c>
      <c r="D2973" s="2024">
        <v>37269856.739107601</v>
      </c>
      <c r="E2973" s="2025">
        <v>71011.277408236099</v>
      </c>
      <c r="F2973" s="2026">
        <v>99.998033131299294</v>
      </c>
      <c r="G2973" s="2027">
        <v>1.97080026775415E-3</v>
      </c>
    </row>
    <row r="2974" spans="1:7" x14ac:dyDescent="0.25">
      <c r="A2974" s="11" t="s">
        <v>1102</v>
      </c>
      <c r="B2974" s="11" t="s">
        <v>1103</v>
      </c>
      <c r="C2974" s="2028">
        <v>1</v>
      </c>
      <c r="D2974" s="2028">
        <v>733.06356540633499</v>
      </c>
      <c r="E2974" s="2029">
        <v>734.64773794601604</v>
      </c>
      <c r="F2974" s="2030">
        <v>1.96686870073025E-3</v>
      </c>
      <c r="G2974" s="2031">
        <v>1.9708002677541799E-3</v>
      </c>
    </row>
    <row r="2975" spans="1:7" x14ac:dyDescent="0.25">
      <c r="A2975" s="6" t="s">
        <v>6417</v>
      </c>
      <c r="B2975" s="6" t="s">
        <v>6418</v>
      </c>
      <c r="C2975" s="2024">
        <v>2143</v>
      </c>
      <c r="D2975" s="2024">
        <v>1874228.1973268799</v>
      </c>
      <c r="E2975" s="2025">
        <v>71440.861518998296</v>
      </c>
      <c r="F2975" s="2026">
        <v>4.7879343756992103</v>
      </c>
      <c r="G2975" s="2027">
        <v>0.182504007347776</v>
      </c>
    </row>
    <row r="2976" spans="1:7" x14ac:dyDescent="0.25">
      <c r="A2976" s="11" t="s">
        <v>6417</v>
      </c>
      <c r="B2976" s="11" t="s">
        <v>6419</v>
      </c>
      <c r="C2976" s="2028">
        <v>55819</v>
      </c>
      <c r="D2976" s="2028">
        <v>39144817.999999799</v>
      </c>
      <c r="E2976" s="2029">
        <v>0</v>
      </c>
      <c r="F2976" s="2030">
        <v>100</v>
      </c>
      <c r="G2976" s="2031">
        <v>0</v>
      </c>
    </row>
    <row r="2977" spans="1:7" x14ac:dyDescent="0.25">
      <c r="A2977" s="3729" t="s">
        <v>1014</v>
      </c>
      <c r="B2977" s="3730"/>
      <c r="C2977" s="3730"/>
      <c r="D2977" s="3730"/>
      <c r="E2977" s="3730"/>
      <c r="F2977" s="3730"/>
      <c r="G2977" s="3730"/>
    </row>
    <row r="2978" spans="1:7" x14ac:dyDescent="0.25">
      <c r="A2978" s="11" t="s">
        <v>1121</v>
      </c>
      <c r="B2978" s="11" t="s">
        <v>1175</v>
      </c>
      <c r="C2978" s="2036">
        <v>9495</v>
      </c>
      <c r="D2978" s="2036">
        <v>4983977.04668664</v>
      </c>
      <c r="E2978" s="2037">
        <v>108969.744026389</v>
      </c>
      <c r="F2978" s="2038">
        <v>100</v>
      </c>
      <c r="G2978" s="2039">
        <v>0</v>
      </c>
    </row>
    <row r="2979" spans="1:7" x14ac:dyDescent="0.25">
      <c r="A2979" s="6" t="s">
        <v>1088</v>
      </c>
      <c r="B2979" s="6" t="s">
        <v>1089</v>
      </c>
      <c r="C2979" s="2032">
        <v>46323</v>
      </c>
      <c r="D2979" s="2032">
        <v>34160107.889748096</v>
      </c>
      <c r="E2979" s="2033">
        <v>109104.029855411</v>
      </c>
      <c r="F2979" s="2034">
        <v>99.997854082203602</v>
      </c>
      <c r="G2979" s="2035">
        <v>2.1509010780427799E-3</v>
      </c>
    </row>
    <row r="2980" spans="1:7" x14ac:dyDescent="0.25">
      <c r="A2980" s="11" t="s">
        <v>1102</v>
      </c>
      <c r="B2980" s="11" t="s">
        <v>1103</v>
      </c>
      <c r="C2980" s="2036">
        <v>1</v>
      </c>
      <c r="D2980" s="2036">
        <v>733.06356540633499</v>
      </c>
      <c r="E2980" s="2037">
        <v>734.64773794601604</v>
      </c>
      <c r="F2980" s="2038">
        <v>2.1459177963686201E-3</v>
      </c>
      <c r="G2980" s="2039">
        <v>2.1509010780395299E-3</v>
      </c>
    </row>
    <row r="2981" spans="1:7" x14ac:dyDescent="0.25">
      <c r="A2981" s="6" t="s">
        <v>6417</v>
      </c>
      <c r="B2981" s="6" t="s">
        <v>6418</v>
      </c>
      <c r="C2981" s="2032">
        <v>9495</v>
      </c>
      <c r="D2981" s="2032">
        <v>4983977.04668664</v>
      </c>
      <c r="E2981" s="2033">
        <v>108969.744026389</v>
      </c>
      <c r="F2981" s="2034">
        <v>12.7321502598035</v>
      </c>
      <c r="G2981" s="2035">
        <v>0.27837591179089899</v>
      </c>
    </row>
    <row r="2982" spans="1:7" x14ac:dyDescent="0.25">
      <c r="A2982" s="11" t="s">
        <v>6417</v>
      </c>
      <c r="B2982" s="11" t="s">
        <v>6419</v>
      </c>
      <c r="C2982" s="2036">
        <v>55819</v>
      </c>
      <c r="D2982" s="2036">
        <v>39144818.000000097</v>
      </c>
      <c r="E2982" s="2037">
        <v>0</v>
      </c>
      <c r="F2982" s="2038">
        <v>100</v>
      </c>
      <c r="G2982" s="2039">
        <v>0</v>
      </c>
    </row>
    <row r="2983" spans="1:7" x14ac:dyDescent="0.25">
      <c r="A2983" s="3729" t="s">
        <v>998</v>
      </c>
      <c r="B2983" s="3730"/>
      <c r="C2983" s="3730"/>
      <c r="D2983" s="3730"/>
      <c r="E2983" s="3730"/>
      <c r="F2983" s="3730"/>
      <c r="G2983" s="3730"/>
    </row>
    <row r="2984" spans="1:7" x14ac:dyDescent="0.25">
      <c r="A2984" s="11" t="s">
        <v>1123</v>
      </c>
      <c r="B2984" s="11" t="s">
        <v>1176</v>
      </c>
      <c r="C2984" s="2044">
        <v>15129</v>
      </c>
      <c r="D2984" s="2044">
        <v>10549676.306248801</v>
      </c>
      <c r="E2984" s="2045">
        <v>139271.82212396499</v>
      </c>
      <c r="F2984" s="2046">
        <v>100</v>
      </c>
      <c r="G2984" s="2047">
        <v>0</v>
      </c>
    </row>
    <row r="2985" spans="1:7" x14ac:dyDescent="0.25">
      <c r="A2985" s="6" t="s">
        <v>1088</v>
      </c>
      <c r="B2985" s="6" t="s">
        <v>1089</v>
      </c>
      <c r="C2985" s="2040">
        <v>40689</v>
      </c>
      <c r="D2985" s="2040">
        <v>28594408.630185999</v>
      </c>
      <c r="E2985" s="2041">
        <v>139254.14038996</v>
      </c>
      <c r="F2985" s="2042">
        <v>99.997436405200403</v>
      </c>
      <c r="G2985" s="2043">
        <v>2.56897961279327E-3</v>
      </c>
    </row>
    <row r="2986" spans="1:7" x14ac:dyDescent="0.25">
      <c r="A2986" s="11" t="s">
        <v>1102</v>
      </c>
      <c r="B2986" s="11" t="s">
        <v>1103</v>
      </c>
      <c r="C2986" s="2044">
        <v>1</v>
      </c>
      <c r="D2986" s="2044">
        <v>733.06356540633499</v>
      </c>
      <c r="E2986" s="2045">
        <v>734.64773794601604</v>
      </c>
      <c r="F2986" s="2046">
        <v>2.5635947996247299E-3</v>
      </c>
      <c r="G2986" s="2047">
        <v>2.5689796127926299E-3</v>
      </c>
    </row>
    <row r="2987" spans="1:7" x14ac:dyDescent="0.25">
      <c r="A2987" s="6" t="s">
        <v>6417</v>
      </c>
      <c r="B2987" s="6" t="s">
        <v>6418</v>
      </c>
      <c r="C2987" s="2040">
        <v>15129</v>
      </c>
      <c r="D2987" s="2040">
        <v>10549676.306248801</v>
      </c>
      <c r="E2987" s="2041">
        <v>139271.82212396499</v>
      </c>
      <c r="F2987" s="2042">
        <v>26.950377713465802</v>
      </c>
      <c r="G2987" s="2043">
        <v>0.35578610206838701</v>
      </c>
    </row>
    <row r="2988" spans="1:7" x14ac:dyDescent="0.25">
      <c r="A2988" s="11" t="s">
        <v>6417</v>
      </c>
      <c r="B2988" s="11" t="s">
        <v>6419</v>
      </c>
      <c r="C2988" s="2044">
        <v>55819</v>
      </c>
      <c r="D2988" s="2044">
        <v>39144818.000000201</v>
      </c>
      <c r="E2988" s="2045">
        <v>0</v>
      </c>
      <c r="F2988" s="2046">
        <v>100</v>
      </c>
      <c r="G2988" s="2047">
        <v>0</v>
      </c>
    </row>
    <row r="2989" spans="1:7" x14ac:dyDescent="0.25">
      <c r="A2989" s="3729" t="s">
        <v>1025</v>
      </c>
      <c r="B2989" s="3730"/>
      <c r="C2989" s="3730"/>
      <c r="D2989" s="3730"/>
      <c r="E2989" s="3730"/>
      <c r="F2989" s="3730"/>
      <c r="G2989" s="3730"/>
    </row>
    <row r="2990" spans="1:7" x14ac:dyDescent="0.25">
      <c r="A2990" s="11" t="s">
        <v>1111</v>
      </c>
      <c r="B2990" s="11" t="s">
        <v>1143</v>
      </c>
      <c r="C2990" s="2052">
        <v>7875</v>
      </c>
      <c r="D2990" s="2052">
        <v>4824256.8776649404</v>
      </c>
      <c r="E2990" s="2053">
        <v>132949.07877323599</v>
      </c>
      <c r="F2990" s="2054">
        <v>100</v>
      </c>
      <c r="G2990" s="2055">
        <v>0</v>
      </c>
    </row>
    <row r="2991" spans="1:7" x14ac:dyDescent="0.25">
      <c r="A2991" s="6" t="s">
        <v>1088</v>
      </c>
      <c r="B2991" s="6" t="s">
        <v>1089</v>
      </c>
      <c r="C2991" s="2048">
        <v>47943</v>
      </c>
      <c r="D2991" s="2048">
        <v>34319828.058769703</v>
      </c>
      <c r="E2991" s="2049">
        <v>132624.84971102999</v>
      </c>
      <c r="F2991" s="2050">
        <v>99.997864068822196</v>
      </c>
      <c r="G2991" s="2051">
        <v>2.1403652709526999E-3</v>
      </c>
    </row>
    <row r="2992" spans="1:7" x14ac:dyDescent="0.25">
      <c r="A2992" s="11" t="s">
        <v>1102</v>
      </c>
      <c r="B2992" s="11" t="s">
        <v>1103</v>
      </c>
      <c r="C2992" s="2052">
        <v>1</v>
      </c>
      <c r="D2992" s="2052">
        <v>733.06356540633499</v>
      </c>
      <c r="E2992" s="2053">
        <v>734.64773794601604</v>
      </c>
      <c r="F2992" s="2054">
        <v>2.1359311777955502E-3</v>
      </c>
      <c r="G2992" s="2055">
        <v>2.1403652709498602E-3</v>
      </c>
    </row>
    <row r="2993" spans="1:7" x14ac:dyDescent="0.25">
      <c r="A2993" s="6" t="s">
        <v>6417</v>
      </c>
      <c r="B2993" s="6" t="s">
        <v>6418</v>
      </c>
      <c r="C2993" s="2048">
        <v>7875</v>
      </c>
      <c r="D2993" s="2048">
        <v>4824256.8776649404</v>
      </c>
      <c r="E2993" s="2049">
        <v>132949.07877323599</v>
      </c>
      <c r="F2993" s="2050">
        <v>12.324126472282799</v>
      </c>
      <c r="G2993" s="2051">
        <v>0.339633917248573</v>
      </c>
    </row>
    <row r="2994" spans="1:7" x14ac:dyDescent="0.25">
      <c r="A2994" s="11" t="s">
        <v>6417</v>
      </c>
      <c r="B2994" s="11" t="s">
        <v>6419</v>
      </c>
      <c r="C2994" s="2052">
        <v>55819</v>
      </c>
      <c r="D2994" s="2052">
        <v>39144818.000000097</v>
      </c>
      <c r="E2994" s="2053">
        <v>0</v>
      </c>
      <c r="F2994" s="2054">
        <v>100</v>
      </c>
      <c r="G2994" s="2055">
        <v>0</v>
      </c>
    </row>
    <row r="2995" spans="1:7" x14ac:dyDescent="0.25">
      <c r="A2995" s="3729" t="s">
        <v>1018</v>
      </c>
      <c r="B2995" s="3730"/>
      <c r="C2995" s="3730"/>
      <c r="D2995" s="3730"/>
      <c r="E2995" s="3730"/>
      <c r="F2995" s="3730"/>
      <c r="G2995" s="3730"/>
    </row>
    <row r="2996" spans="1:7" x14ac:dyDescent="0.25">
      <c r="A2996" s="11" t="s">
        <v>1125</v>
      </c>
      <c r="B2996" s="11" t="s">
        <v>1177</v>
      </c>
      <c r="C2996" s="2060">
        <v>26352</v>
      </c>
      <c r="D2996" s="2060">
        <v>16626810.273676099</v>
      </c>
      <c r="E2996" s="2061">
        <v>155457.48403597999</v>
      </c>
      <c r="F2996" s="2062">
        <v>100</v>
      </c>
      <c r="G2996" s="2063">
        <v>0</v>
      </c>
    </row>
    <row r="2997" spans="1:7" x14ac:dyDescent="0.25">
      <c r="A2997" s="6" t="s">
        <v>1088</v>
      </c>
      <c r="B2997" s="6" t="s">
        <v>1089</v>
      </c>
      <c r="C2997" s="2056">
        <v>29466</v>
      </c>
      <c r="D2997" s="2056">
        <v>22517274.662758701</v>
      </c>
      <c r="E2997" s="2057">
        <v>155351.630655421</v>
      </c>
      <c r="F2997" s="2058">
        <v>99.996744545191007</v>
      </c>
      <c r="G2997" s="2059">
        <v>3.2640829816251902E-3</v>
      </c>
    </row>
    <row r="2998" spans="1:7" x14ac:dyDescent="0.25">
      <c r="A2998" s="11" t="s">
        <v>1102</v>
      </c>
      <c r="B2998" s="11" t="s">
        <v>1103</v>
      </c>
      <c r="C2998" s="2060">
        <v>1</v>
      </c>
      <c r="D2998" s="2060">
        <v>733.06356540633499</v>
      </c>
      <c r="E2998" s="2061">
        <v>734.64773794601604</v>
      </c>
      <c r="F2998" s="2062">
        <v>3.2554548089499301E-3</v>
      </c>
      <c r="G2998" s="2063">
        <v>3.2640829816245401E-3</v>
      </c>
    </row>
    <row r="2999" spans="1:7" x14ac:dyDescent="0.25">
      <c r="A2999" s="6" t="s">
        <v>6417</v>
      </c>
      <c r="B2999" s="6" t="s">
        <v>6418</v>
      </c>
      <c r="C2999" s="2056">
        <v>26352</v>
      </c>
      <c r="D2999" s="2056">
        <v>16626810.273676099</v>
      </c>
      <c r="E2999" s="2057">
        <v>155457.48403597999</v>
      </c>
      <c r="F2999" s="2058">
        <v>42.475124737266597</v>
      </c>
      <c r="G2999" s="2059">
        <v>0.39713426189919898</v>
      </c>
    </row>
    <row r="3000" spans="1:7" x14ac:dyDescent="0.25">
      <c r="A3000" s="11" t="s">
        <v>6417</v>
      </c>
      <c r="B3000" s="11" t="s">
        <v>6419</v>
      </c>
      <c r="C3000" s="2060">
        <v>55819</v>
      </c>
      <c r="D3000" s="2060">
        <v>39144818.000000201</v>
      </c>
      <c r="E3000" s="2061">
        <v>0</v>
      </c>
      <c r="F3000" s="2062">
        <v>100</v>
      </c>
      <c r="G3000" s="2063">
        <v>0</v>
      </c>
    </row>
    <row r="3001" spans="1:7" x14ac:dyDescent="0.25">
      <c r="A3001" s="3729" t="s">
        <v>1023</v>
      </c>
      <c r="B3001" s="3730"/>
      <c r="C3001" s="3730"/>
      <c r="D3001" s="3730"/>
      <c r="E3001" s="3730"/>
      <c r="F3001" s="3730"/>
      <c r="G3001" s="3730"/>
    </row>
    <row r="3002" spans="1:7" x14ac:dyDescent="0.25">
      <c r="A3002" s="11" t="s">
        <v>1088</v>
      </c>
      <c r="B3002" s="11" t="s">
        <v>1089</v>
      </c>
      <c r="C3002" s="2068">
        <v>55768</v>
      </c>
      <c r="D3002" s="2068">
        <v>39112862.137344398</v>
      </c>
      <c r="E3002" s="2069">
        <v>12781.75578487</v>
      </c>
      <c r="F3002" s="2070">
        <v>99.918365024317197</v>
      </c>
      <c r="G3002" s="2071">
        <v>3.2652484895890302E-2</v>
      </c>
    </row>
    <row r="3003" spans="1:7" x14ac:dyDescent="0.25">
      <c r="A3003" s="6" t="s">
        <v>1086</v>
      </c>
      <c r="B3003" s="6" t="s">
        <v>1087</v>
      </c>
      <c r="C3003" s="2064">
        <v>50</v>
      </c>
      <c r="D3003" s="2064">
        <v>31222.799089952601</v>
      </c>
      <c r="E3003" s="2065">
        <v>12972.778329381201</v>
      </c>
      <c r="F3003" s="2066">
        <v>7.9762279364672894E-2</v>
      </c>
      <c r="G3003" s="2067">
        <v>3.3140474249697897E-2</v>
      </c>
    </row>
    <row r="3004" spans="1:7" x14ac:dyDescent="0.25">
      <c r="A3004" s="11" t="s">
        <v>1102</v>
      </c>
      <c r="B3004" s="11" t="s">
        <v>1103</v>
      </c>
      <c r="C3004" s="2068">
        <v>1</v>
      </c>
      <c r="D3004" s="2068">
        <v>733.06356540633499</v>
      </c>
      <c r="E3004" s="2069">
        <v>734.64773794601604</v>
      </c>
      <c r="F3004" s="2070">
        <v>1.87269631808312E-3</v>
      </c>
      <c r="G3004" s="2071">
        <v>1.8767432714747001E-3</v>
      </c>
    </row>
    <row r="3005" spans="1:7" x14ac:dyDescent="0.25">
      <c r="A3005" s="6" t="s">
        <v>6417</v>
      </c>
      <c r="B3005" s="6" t="s">
        <v>6418</v>
      </c>
      <c r="C3005" s="2064">
        <v>0</v>
      </c>
      <c r="D3005" s="2064">
        <v>0</v>
      </c>
      <c r="E3005" s="2065">
        <v>0</v>
      </c>
      <c r="F3005" s="2066">
        <v>0</v>
      </c>
      <c r="G3005" s="2067">
        <v>0</v>
      </c>
    </row>
    <row r="3006" spans="1:7" x14ac:dyDescent="0.25">
      <c r="A3006" s="11" t="s">
        <v>6417</v>
      </c>
      <c r="B3006" s="11" t="s">
        <v>6419</v>
      </c>
      <c r="C3006" s="2068">
        <v>55819</v>
      </c>
      <c r="D3006" s="2068">
        <v>39144817.999999799</v>
      </c>
      <c r="E3006" s="2069">
        <v>0</v>
      </c>
      <c r="F3006" s="2070">
        <v>100</v>
      </c>
      <c r="G3006" s="2071">
        <v>0</v>
      </c>
    </row>
    <row r="3007" spans="1:7" x14ac:dyDescent="0.25">
      <c r="A3007" s="3729" t="s">
        <v>1016</v>
      </c>
      <c r="B3007" s="3730"/>
      <c r="C3007" s="3730"/>
      <c r="D3007" s="3730"/>
      <c r="E3007" s="3730"/>
      <c r="F3007" s="3730"/>
      <c r="G3007" s="3730"/>
    </row>
    <row r="3008" spans="1:7" x14ac:dyDescent="0.25">
      <c r="A3008" s="11" t="s">
        <v>1088</v>
      </c>
      <c r="B3008" s="11" t="s">
        <v>1089</v>
      </c>
      <c r="C3008" s="2076">
        <v>55771</v>
      </c>
      <c r="D3008" s="2076">
        <v>39086745.666640699</v>
      </c>
      <c r="E3008" s="2077">
        <v>16660.5306659286</v>
      </c>
      <c r="F3008" s="2078">
        <v>99.851647455969399</v>
      </c>
      <c r="G3008" s="2079">
        <v>4.2561267409820601E-2</v>
      </c>
    </row>
    <row r="3009" spans="1:7" x14ac:dyDescent="0.25">
      <c r="A3009" s="6" t="s">
        <v>1084</v>
      </c>
      <c r="B3009" s="6" t="s">
        <v>1085</v>
      </c>
      <c r="C3009" s="2072">
        <v>47</v>
      </c>
      <c r="D3009" s="2072">
        <v>57339.269793728803</v>
      </c>
      <c r="E3009" s="2073">
        <v>16649.578747272099</v>
      </c>
      <c r="F3009" s="2074">
        <v>0.14647984771248401</v>
      </c>
      <c r="G3009" s="2075">
        <v>4.25332894567855E-2</v>
      </c>
    </row>
    <row r="3010" spans="1:7" x14ac:dyDescent="0.25">
      <c r="A3010" s="11" t="s">
        <v>1102</v>
      </c>
      <c r="B3010" s="11" t="s">
        <v>1103</v>
      </c>
      <c r="C3010" s="2076">
        <v>1</v>
      </c>
      <c r="D3010" s="2076">
        <v>733.06356540633499</v>
      </c>
      <c r="E3010" s="2077">
        <v>734.64773794601604</v>
      </c>
      <c r="F3010" s="2078">
        <v>1.87269631808312E-3</v>
      </c>
      <c r="G3010" s="2079">
        <v>1.8767432714747001E-3</v>
      </c>
    </row>
    <row r="3011" spans="1:7" x14ac:dyDescent="0.25">
      <c r="A3011" s="6" t="s">
        <v>6417</v>
      </c>
      <c r="B3011" s="6" t="s">
        <v>6418</v>
      </c>
      <c r="C3011" s="2072">
        <v>0</v>
      </c>
      <c r="D3011" s="2072">
        <v>0</v>
      </c>
      <c r="E3011" s="2073">
        <v>0</v>
      </c>
      <c r="F3011" s="2074">
        <v>0</v>
      </c>
      <c r="G3011" s="2075">
        <v>0</v>
      </c>
    </row>
    <row r="3012" spans="1:7" x14ac:dyDescent="0.25">
      <c r="A3012" s="11" t="s">
        <v>6417</v>
      </c>
      <c r="B3012" s="11" t="s">
        <v>6419</v>
      </c>
      <c r="C3012" s="2076">
        <v>55819</v>
      </c>
      <c r="D3012" s="2076">
        <v>39144817.999999799</v>
      </c>
      <c r="E3012" s="2077">
        <v>0</v>
      </c>
      <c r="F3012" s="2078">
        <v>100</v>
      </c>
      <c r="G3012" s="2079">
        <v>0</v>
      </c>
    </row>
    <row r="3013" spans="1:7" x14ac:dyDescent="0.25">
      <c r="A3013" s="3729" t="s">
        <v>1020</v>
      </c>
      <c r="B3013" s="3730"/>
      <c r="C3013" s="3730"/>
      <c r="D3013" s="3730"/>
      <c r="E3013" s="3730"/>
      <c r="F3013" s="3730"/>
      <c r="G3013" s="3730"/>
    </row>
    <row r="3014" spans="1:7" x14ac:dyDescent="0.25">
      <c r="A3014" s="11" t="s">
        <v>6682</v>
      </c>
      <c r="B3014" s="11"/>
      <c r="C3014" s="2084">
        <v>2617</v>
      </c>
      <c r="D3014" s="2084">
        <v>1797336.78249723</v>
      </c>
      <c r="E3014" s="2085">
        <v>80645.853827943894</v>
      </c>
      <c r="F3014" s="2086">
        <v>38.247004804773603</v>
      </c>
      <c r="G3014" s="2087">
        <v>1.11453675778262</v>
      </c>
    </row>
    <row r="3015" spans="1:7" x14ac:dyDescent="0.25">
      <c r="A3015" s="6" t="s">
        <v>6693</v>
      </c>
      <c r="B3015" s="6"/>
      <c r="C3015" s="2080">
        <v>1767</v>
      </c>
      <c r="D3015" s="2080">
        <v>1228377.9330176001</v>
      </c>
      <c r="E3015" s="2081">
        <v>76158.241897025204</v>
      </c>
      <c r="F3015" s="2082">
        <v>26.139662395895101</v>
      </c>
      <c r="G3015" s="2083">
        <v>1.52585818018244</v>
      </c>
    </row>
    <row r="3016" spans="1:7" x14ac:dyDescent="0.25">
      <c r="A3016" s="11" t="s">
        <v>6694</v>
      </c>
      <c r="B3016" s="11"/>
      <c r="C3016" s="2084">
        <v>1924</v>
      </c>
      <c r="D3016" s="2084">
        <v>924003.58025632706</v>
      </c>
      <c r="E3016" s="2085">
        <v>72419.424726965299</v>
      </c>
      <c r="F3016" s="2086">
        <v>19.662630686603801</v>
      </c>
      <c r="G3016" s="2087">
        <v>1.4893651102662</v>
      </c>
    </row>
    <row r="3017" spans="1:7" x14ac:dyDescent="0.25">
      <c r="A3017" s="6" t="s">
        <v>6695</v>
      </c>
      <c r="B3017" s="6"/>
      <c r="C3017" s="2080">
        <v>507</v>
      </c>
      <c r="D3017" s="2080">
        <v>289596.50607788999</v>
      </c>
      <c r="E3017" s="2081">
        <v>24308.7091939007</v>
      </c>
      <c r="F3017" s="2082">
        <v>6.1625617787765803</v>
      </c>
      <c r="G3017" s="2083">
        <v>0.515896030217742</v>
      </c>
    </row>
    <row r="3018" spans="1:7" x14ac:dyDescent="0.25">
      <c r="A3018" s="11" t="s">
        <v>6636</v>
      </c>
      <c r="B3018" s="11"/>
      <c r="C3018" s="2084">
        <v>284</v>
      </c>
      <c r="D3018" s="2084">
        <v>144288.10085657201</v>
      </c>
      <c r="E3018" s="2085">
        <v>27433.096614759299</v>
      </c>
      <c r="F3018" s="2086">
        <v>3.0704249423223802</v>
      </c>
      <c r="G3018" s="2087">
        <v>0.54978147806215605</v>
      </c>
    </row>
    <row r="3019" spans="1:7" x14ac:dyDescent="0.25">
      <c r="A3019" s="6" t="s">
        <v>6687</v>
      </c>
      <c r="B3019" s="6"/>
      <c r="C3019" s="2080">
        <v>225</v>
      </c>
      <c r="D3019" s="2080">
        <v>137074.915191776</v>
      </c>
      <c r="E3019" s="2081">
        <v>19561.993679884901</v>
      </c>
      <c r="F3019" s="2082">
        <v>2.9169296433523901</v>
      </c>
      <c r="G3019" s="2083">
        <v>0.37630799034589202</v>
      </c>
    </row>
    <row r="3020" spans="1:7" x14ac:dyDescent="0.25">
      <c r="A3020" s="11" t="s">
        <v>6692</v>
      </c>
      <c r="B3020" s="11"/>
      <c r="C3020" s="2084">
        <v>288</v>
      </c>
      <c r="D3020" s="2084">
        <v>98389.558016992902</v>
      </c>
      <c r="E3020" s="2085">
        <v>17203.171057629799</v>
      </c>
      <c r="F3020" s="2086">
        <v>2.09371217173166</v>
      </c>
      <c r="G3020" s="2087">
        <v>0.398481391527092</v>
      </c>
    </row>
    <row r="3021" spans="1:7" x14ac:dyDescent="0.25">
      <c r="A3021" s="6" t="s">
        <v>6696</v>
      </c>
      <c r="B3021" s="6"/>
      <c r="C3021" s="2080">
        <v>37</v>
      </c>
      <c r="D3021" s="2080">
        <v>31649.193592264201</v>
      </c>
      <c r="E3021" s="2081">
        <v>6550.7388342247796</v>
      </c>
      <c r="F3021" s="2082">
        <v>0.67348917085460103</v>
      </c>
      <c r="G3021" s="2083">
        <v>0.142616627152682</v>
      </c>
    </row>
    <row r="3022" spans="1:7" x14ac:dyDescent="0.25">
      <c r="A3022" s="11" t="s">
        <v>6637</v>
      </c>
      <c r="B3022" s="11"/>
      <c r="C3022" s="2084">
        <v>44</v>
      </c>
      <c r="D3022" s="2084">
        <v>31512.602332532999</v>
      </c>
      <c r="E3022" s="2085">
        <v>7137.6704516629698</v>
      </c>
      <c r="F3022" s="2086">
        <v>0.67058253331282003</v>
      </c>
      <c r="G3022" s="2087">
        <v>0.148038326094973</v>
      </c>
    </row>
    <row r="3023" spans="1:7" x14ac:dyDescent="0.25">
      <c r="A3023" s="6" t="s">
        <v>6690</v>
      </c>
      <c r="B3023" s="6"/>
      <c r="C3023" s="2080">
        <v>34</v>
      </c>
      <c r="D3023" s="2080">
        <v>17058.502245313099</v>
      </c>
      <c r="E3023" s="2081">
        <v>6725.5990029775103</v>
      </c>
      <c r="F3023" s="2082">
        <v>0.36300187237710202</v>
      </c>
      <c r="G3023" s="2083">
        <v>0.14474051252571299</v>
      </c>
    </row>
    <row r="3024" spans="1:7" x14ac:dyDescent="0.25">
      <c r="A3024" s="11" t="s">
        <v>1088</v>
      </c>
      <c r="B3024" s="11" t="s">
        <v>1089</v>
      </c>
      <c r="C3024" s="2084">
        <v>47944</v>
      </c>
      <c r="D3024" s="2084">
        <v>34320561.122335203</v>
      </c>
      <c r="E3024" s="2085">
        <v>132949.078773146</v>
      </c>
      <c r="F3024" s="2086">
        <v>99.637197620713096</v>
      </c>
      <c r="G3024" s="2087">
        <v>4.12295745593751E-2</v>
      </c>
    </row>
    <row r="3025" spans="1:7" x14ac:dyDescent="0.25">
      <c r="A3025" s="6" t="s">
        <v>1102</v>
      </c>
      <c r="B3025" s="6"/>
      <c r="C3025" s="2080">
        <v>148</v>
      </c>
      <c r="D3025" s="2080">
        <v>124969.203580435</v>
      </c>
      <c r="E3025" s="2081">
        <v>14162.4673020098</v>
      </c>
      <c r="F3025" s="2082">
        <v>0.36280237928696601</v>
      </c>
      <c r="G3025" s="2083">
        <v>4.1229574559382497E-2</v>
      </c>
    </row>
    <row r="3026" spans="1:7" x14ac:dyDescent="0.25">
      <c r="A3026" s="11" t="s">
        <v>6417</v>
      </c>
      <c r="B3026" s="11" t="s">
        <v>6418</v>
      </c>
      <c r="C3026" s="2084">
        <v>7727</v>
      </c>
      <c r="D3026" s="2084">
        <v>4699287.6740845004</v>
      </c>
      <c r="E3026" s="2085">
        <v>131355.18999445799</v>
      </c>
      <c r="F3026" s="2086">
        <v>12.004878076287101</v>
      </c>
      <c r="G3026" s="2087">
        <v>0.33556214259176798</v>
      </c>
    </row>
    <row r="3027" spans="1:7" x14ac:dyDescent="0.25">
      <c r="A3027" s="6" t="s">
        <v>6417</v>
      </c>
      <c r="B3027" s="6" t="s">
        <v>6419</v>
      </c>
      <c r="C3027" s="2080">
        <v>55819</v>
      </c>
      <c r="D3027" s="2080">
        <v>39144818.000000097</v>
      </c>
      <c r="E3027" s="2081">
        <v>0</v>
      </c>
      <c r="F3027" s="2082">
        <v>100</v>
      </c>
      <c r="G3027" s="2083">
        <v>0</v>
      </c>
    </row>
    <row r="3028" spans="1:7" x14ac:dyDescent="0.25">
      <c r="A3028" s="3729" t="s">
        <v>77</v>
      </c>
      <c r="B3028" s="3730"/>
      <c r="C3028" s="3730"/>
      <c r="D3028" s="3730"/>
      <c r="E3028" s="3730"/>
      <c r="F3028" s="3730"/>
      <c r="G3028" s="3730"/>
    </row>
    <row r="3029" spans="1:7" x14ac:dyDescent="0.25">
      <c r="A3029" s="11" t="s">
        <v>1090</v>
      </c>
      <c r="B3029" s="11" t="s">
        <v>1166</v>
      </c>
      <c r="C3029" s="2092">
        <v>8646</v>
      </c>
      <c r="D3029" s="2092">
        <v>4208466.8920901697</v>
      </c>
      <c r="E3029" s="2093">
        <v>143766.28648790001</v>
      </c>
      <c r="F3029" s="2094">
        <v>100</v>
      </c>
      <c r="G3029" s="2095">
        <v>0</v>
      </c>
    </row>
    <row r="3030" spans="1:7" x14ac:dyDescent="0.25">
      <c r="A3030" s="6" t="s">
        <v>1088</v>
      </c>
      <c r="B3030" s="6" t="s">
        <v>1089</v>
      </c>
      <c r="C3030" s="2088">
        <v>47172</v>
      </c>
      <c r="D3030" s="2088">
        <v>34935618.044344403</v>
      </c>
      <c r="E3030" s="2089">
        <v>144075.60290692199</v>
      </c>
      <c r="F3030" s="2090">
        <v>99.997901716858905</v>
      </c>
      <c r="G3030" s="2091">
        <v>2.1031643609247699E-3</v>
      </c>
    </row>
    <row r="3031" spans="1:7" x14ac:dyDescent="0.25">
      <c r="A3031" s="11" t="s">
        <v>1102</v>
      </c>
      <c r="B3031" s="11" t="s">
        <v>1103</v>
      </c>
      <c r="C3031" s="2092">
        <v>1</v>
      </c>
      <c r="D3031" s="2092">
        <v>733.06356540633499</v>
      </c>
      <c r="E3031" s="2093">
        <v>734.64773794601604</v>
      </c>
      <c r="F3031" s="2094">
        <v>2.0982831410815699E-3</v>
      </c>
      <c r="G3031" s="2095">
        <v>2.1031643609232199E-3</v>
      </c>
    </row>
    <row r="3032" spans="1:7" x14ac:dyDescent="0.25">
      <c r="A3032" s="6" t="s">
        <v>6417</v>
      </c>
      <c r="B3032" s="6" t="s">
        <v>6418</v>
      </c>
      <c r="C3032" s="2088">
        <v>8646</v>
      </c>
      <c r="D3032" s="2088">
        <v>4208466.8920901697</v>
      </c>
      <c r="E3032" s="2089">
        <v>143766.28648790001</v>
      </c>
      <c r="F3032" s="2090">
        <v>10.7510191823862</v>
      </c>
      <c r="G3032" s="2091">
        <v>0.36726773512627803</v>
      </c>
    </row>
    <row r="3033" spans="1:7" x14ac:dyDescent="0.25">
      <c r="A3033" s="11" t="s">
        <v>6417</v>
      </c>
      <c r="B3033" s="11" t="s">
        <v>6419</v>
      </c>
      <c r="C3033" s="2092">
        <v>55819</v>
      </c>
      <c r="D3033" s="2092">
        <v>39144817.999999903</v>
      </c>
      <c r="E3033" s="2093">
        <v>0</v>
      </c>
      <c r="F3033" s="2094">
        <v>100</v>
      </c>
      <c r="G3033" s="2095">
        <v>0</v>
      </c>
    </row>
    <row r="3034" spans="1:7" x14ac:dyDescent="0.25">
      <c r="A3034" s="3729" t="s">
        <v>87</v>
      </c>
      <c r="B3034" s="3730"/>
      <c r="C3034" s="3730"/>
      <c r="D3034" s="3730"/>
      <c r="E3034" s="3730"/>
      <c r="F3034" s="3730"/>
      <c r="G3034" s="3730"/>
    </row>
    <row r="3035" spans="1:7" x14ac:dyDescent="0.25">
      <c r="A3035" s="11" t="s">
        <v>1092</v>
      </c>
      <c r="B3035" s="11" t="s">
        <v>1167</v>
      </c>
      <c r="C3035" s="2100">
        <v>2949</v>
      </c>
      <c r="D3035" s="2100">
        <v>2494220.2081758198</v>
      </c>
      <c r="E3035" s="2101">
        <v>71824.749439977095</v>
      </c>
      <c r="F3035" s="2102">
        <v>100</v>
      </c>
      <c r="G3035" s="2103">
        <v>0</v>
      </c>
    </row>
    <row r="3036" spans="1:7" x14ac:dyDescent="0.25">
      <c r="A3036" s="6" t="s">
        <v>1088</v>
      </c>
      <c r="B3036" s="6" t="s">
        <v>1089</v>
      </c>
      <c r="C3036" s="2096">
        <v>52869</v>
      </c>
      <c r="D3036" s="2096">
        <v>36649864.728258602</v>
      </c>
      <c r="E3036" s="2097">
        <v>71825.208467202407</v>
      </c>
      <c r="F3036" s="2098">
        <v>99.997999859184901</v>
      </c>
      <c r="G3036" s="2099">
        <v>2.0046442113276801E-3</v>
      </c>
    </row>
    <row r="3037" spans="1:7" x14ac:dyDescent="0.25">
      <c r="A3037" s="11" t="s">
        <v>1102</v>
      </c>
      <c r="B3037" s="11" t="s">
        <v>1103</v>
      </c>
      <c r="C3037" s="2100">
        <v>1</v>
      </c>
      <c r="D3037" s="2100">
        <v>733.06356540633499</v>
      </c>
      <c r="E3037" s="2101">
        <v>734.64773794601604</v>
      </c>
      <c r="F3037" s="2102">
        <v>2.0001408150834201E-3</v>
      </c>
      <c r="G3037" s="2103">
        <v>2.0046442113261201E-3</v>
      </c>
    </row>
    <row r="3038" spans="1:7" x14ac:dyDescent="0.25">
      <c r="A3038" s="6" t="s">
        <v>6417</v>
      </c>
      <c r="B3038" s="6" t="s">
        <v>6418</v>
      </c>
      <c r="C3038" s="2096">
        <v>2949</v>
      </c>
      <c r="D3038" s="2096">
        <v>2494220.2081758198</v>
      </c>
      <c r="E3038" s="2097">
        <v>71824.749439977095</v>
      </c>
      <c r="F3038" s="2098">
        <v>6.3717762289144702</v>
      </c>
      <c r="G3038" s="2099">
        <v>0.18348469378496901</v>
      </c>
    </row>
    <row r="3039" spans="1:7" x14ac:dyDescent="0.25">
      <c r="A3039" s="11" t="s">
        <v>6417</v>
      </c>
      <c r="B3039" s="11" t="s">
        <v>6419</v>
      </c>
      <c r="C3039" s="2100">
        <v>55819</v>
      </c>
      <c r="D3039" s="2100">
        <v>39144817.999999799</v>
      </c>
      <c r="E3039" s="2101">
        <v>0</v>
      </c>
      <c r="F3039" s="2102">
        <v>100</v>
      </c>
      <c r="G3039" s="2103">
        <v>0</v>
      </c>
    </row>
    <row r="3040" spans="1:7" x14ac:dyDescent="0.25">
      <c r="A3040" s="3729" t="s">
        <v>89</v>
      </c>
      <c r="B3040" s="3730"/>
      <c r="C3040" s="3730"/>
      <c r="D3040" s="3730"/>
      <c r="E3040" s="3730"/>
      <c r="F3040" s="3730"/>
      <c r="G3040" s="3730"/>
    </row>
    <row r="3041" spans="1:7" x14ac:dyDescent="0.25">
      <c r="A3041" s="11" t="s">
        <v>1094</v>
      </c>
      <c r="B3041" s="11" t="s">
        <v>1159</v>
      </c>
      <c r="C3041" s="2108">
        <v>3413</v>
      </c>
      <c r="D3041" s="2108">
        <v>2249639.0120774298</v>
      </c>
      <c r="E3041" s="2109">
        <v>79331.835681805795</v>
      </c>
      <c r="F3041" s="2110">
        <v>100</v>
      </c>
      <c r="G3041" s="2111">
        <v>0</v>
      </c>
    </row>
    <row r="3042" spans="1:7" x14ac:dyDescent="0.25">
      <c r="A3042" s="6" t="s">
        <v>1088</v>
      </c>
      <c r="B3042" s="6" t="s">
        <v>1089</v>
      </c>
      <c r="C3042" s="2104">
        <v>52405</v>
      </c>
      <c r="D3042" s="2104">
        <v>36894445.924356997</v>
      </c>
      <c r="E3042" s="2105">
        <v>79227.581660520693</v>
      </c>
      <c r="F3042" s="2106">
        <v>99.998013118284007</v>
      </c>
      <c r="G3042" s="2107">
        <v>1.9904798937132599E-3</v>
      </c>
    </row>
    <row r="3043" spans="1:7" x14ac:dyDescent="0.25">
      <c r="A3043" s="11" t="s">
        <v>1102</v>
      </c>
      <c r="B3043" s="11" t="s">
        <v>1103</v>
      </c>
      <c r="C3043" s="2108">
        <v>1</v>
      </c>
      <c r="D3043" s="2108">
        <v>733.06356540633499</v>
      </c>
      <c r="E3043" s="2109">
        <v>734.64773794601604</v>
      </c>
      <c r="F3043" s="2110">
        <v>1.9868817160266401E-3</v>
      </c>
      <c r="G3043" s="2111">
        <v>1.99047989371254E-3</v>
      </c>
    </row>
    <row r="3044" spans="1:7" x14ac:dyDescent="0.25">
      <c r="A3044" s="6" t="s">
        <v>6417</v>
      </c>
      <c r="B3044" s="6" t="s">
        <v>6418</v>
      </c>
      <c r="C3044" s="2104">
        <v>3413</v>
      </c>
      <c r="D3044" s="2104">
        <v>2249639.0120774298</v>
      </c>
      <c r="E3044" s="2105">
        <v>79331.835681805795</v>
      </c>
      <c r="F3044" s="2106">
        <v>5.7469650569775101</v>
      </c>
      <c r="G3044" s="2107">
        <v>0.20266242055796099</v>
      </c>
    </row>
    <row r="3045" spans="1:7" x14ac:dyDescent="0.25">
      <c r="A3045" s="11" t="s">
        <v>6417</v>
      </c>
      <c r="B3045" s="11" t="s">
        <v>6419</v>
      </c>
      <c r="C3045" s="2108">
        <v>55819</v>
      </c>
      <c r="D3045" s="2108">
        <v>39144817.999999903</v>
      </c>
      <c r="E3045" s="2109">
        <v>0</v>
      </c>
      <c r="F3045" s="2110">
        <v>100</v>
      </c>
      <c r="G3045" s="2111">
        <v>0</v>
      </c>
    </row>
    <row r="3046" spans="1:7" x14ac:dyDescent="0.25">
      <c r="A3046" s="3729" t="s">
        <v>91</v>
      </c>
      <c r="B3046" s="3730"/>
      <c r="C3046" s="3730"/>
      <c r="D3046" s="3730"/>
      <c r="E3046" s="3730"/>
      <c r="F3046" s="3730"/>
      <c r="G3046" s="3730"/>
    </row>
    <row r="3047" spans="1:7" x14ac:dyDescent="0.25">
      <c r="A3047" s="11" t="s">
        <v>1096</v>
      </c>
      <c r="B3047" s="11" t="s">
        <v>1168</v>
      </c>
      <c r="C3047" s="2116">
        <v>6609</v>
      </c>
      <c r="D3047" s="2116">
        <v>4318261.5920529701</v>
      </c>
      <c r="E3047" s="2117">
        <v>95833.405429341699</v>
      </c>
      <c r="F3047" s="2118">
        <v>100</v>
      </c>
      <c r="G3047" s="2119">
        <v>0</v>
      </c>
    </row>
    <row r="3048" spans="1:7" x14ac:dyDescent="0.25">
      <c r="A3048" s="6" t="s">
        <v>1088</v>
      </c>
      <c r="B3048" s="6" t="s">
        <v>1089</v>
      </c>
      <c r="C3048" s="2112">
        <v>49209</v>
      </c>
      <c r="D3048" s="2112">
        <v>34825823.344381496</v>
      </c>
      <c r="E3048" s="2113">
        <v>96241.83926778</v>
      </c>
      <c r="F3048" s="2114">
        <v>99.997895101781495</v>
      </c>
      <c r="G3048" s="2115">
        <v>2.1093959956796798E-3</v>
      </c>
    </row>
    <row r="3049" spans="1:7" x14ac:dyDescent="0.25">
      <c r="A3049" s="11" t="s">
        <v>1102</v>
      </c>
      <c r="B3049" s="11" t="s">
        <v>1103</v>
      </c>
      <c r="C3049" s="2116">
        <v>1</v>
      </c>
      <c r="D3049" s="2116">
        <v>733.06356540633499</v>
      </c>
      <c r="E3049" s="2117">
        <v>734.64773794601604</v>
      </c>
      <c r="F3049" s="2118">
        <v>2.1048982185303301E-3</v>
      </c>
      <c r="G3049" s="2119">
        <v>2.1093959956764502E-3</v>
      </c>
    </row>
    <row r="3050" spans="1:7" x14ac:dyDescent="0.25">
      <c r="A3050" s="6" t="s">
        <v>6417</v>
      </c>
      <c r="B3050" s="6" t="s">
        <v>6418</v>
      </c>
      <c r="C3050" s="2112">
        <v>6609</v>
      </c>
      <c r="D3050" s="2112">
        <v>4318261.5920529701</v>
      </c>
      <c r="E3050" s="2113">
        <v>95833.405429341699</v>
      </c>
      <c r="F3050" s="2114">
        <v>11.0315025402672</v>
      </c>
      <c r="G3050" s="2115">
        <v>0.24481760377415299</v>
      </c>
    </row>
    <row r="3051" spans="1:7" x14ac:dyDescent="0.25">
      <c r="A3051" s="11" t="s">
        <v>6417</v>
      </c>
      <c r="B3051" s="11" t="s">
        <v>6419</v>
      </c>
      <c r="C3051" s="2116">
        <v>55819</v>
      </c>
      <c r="D3051" s="2116">
        <v>39144817.999999903</v>
      </c>
      <c r="E3051" s="2117">
        <v>0</v>
      </c>
      <c r="F3051" s="2118">
        <v>100</v>
      </c>
      <c r="G3051" s="2119">
        <v>0</v>
      </c>
    </row>
    <row r="3052" spans="1:7" x14ac:dyDescent="0.25">
      <c r="A3052" s="3729" t="s">
        <v>93</v>
      </c>
      <c r="B3052" s="3730"/>
      <c r="C3052" s="3730"/>
      <c r="D3052" s="3730"/>
      <c r="E3052" s="3730"/>
      <c r="F3052" s="3730"/>
      <c r="G3052" s="3730"/>
    </row>
    <row r="3053" spans="1:7" x14ac:dyDescent="0.25">
      <c r="A3053" s="11" t="s">
        <v>1098</v>
      </c>
      <c r="B3053" s="11" t="s">
        <v>1169</v>
      </c>
      <c r="C3053" s="2124">
        <v>2509</v>
      </c>
      <c r="D3053" s="2124">
        <v>1736130.2620985201</v>
      </c>
      <c r="E3053" s="2125">
        <v>64222.932785633398</v>
      </c>
      <c r="F3053" s="2126">
        <v>100</v>
      </c>
      <c r="G3053" s="2127">
        <v>0</v>
      </c>
    </row>
    <row r="3054" spans="1:7" x14ac:dyDescent="0.25">
      <c r="A3054" s="6" t="s">
        <v>1088</v>
      </c>
      <c r="B3054" s="6" t="s">
        <v>1089</v>
      </c>
      <c r="C3054" s="2120">
        <v>53309</v>
      </c>
      <c r="D3054" s="2120">
        <v>37407954.6743358</v>
      </c>
      <c r="E3054" s="2121">
        <v>64497.146337010003</v>
      </c>
      <c r="F3054" s="2122">
        <v>99.998040392193005</v>
      </c>
      <c r="G3054" s="2123">
        <v>1.9638496062815299E-3</v>
      </c>
    </row>
    <row r="3055" spans="1:7" x14ac:dyDescent="0.25">
      <c r="A3055" s="11" t="s">
        <v>1102</v>
      </c>
      <c r="B3055" s="11" t="s">
        <v>1103</v>
      </c>
      <c r="C3055" s="2124">
        <v>1</v>
      </c>
      <c r="D3055" s="2124">
        <v>733.06356540633499</v>
      </c>
      <c r="E3055" s="2125">
        <v>734.64773794601604</v>
      </c>
      <c r="F3055" s="2126">
        <v>1.95960780699511E-3</v>
      </c>
      <c r="G3055" s="2127">
        <v>1.9638496062807701E-3</v>
      </c>
    </row>
    <row r="3056" spans="1:7" x14ac:dyDescent="0.25">
      <c r="A3056" s="6" t="s">
        <v>6417</v>
      </c>
      <c r="B3056" s="6" t="s">
        <v>6418</v>
      </c>
      <c r="C3056" s="2120">
        <v>2509</v>
      </c>
      <c r="D3056" s="2120">
        <v>1736130.2620985201</v>
      </c>
      <c r="E3056" s="2121">
        <v>64222.932785633398</v>
      </c>
      <c r="F3056" s="2122">
        <v>4.4351471045248703</v>
      </c>
      <c r="G3056" s="2123">
        <v>0.164064967132171</v>
      </c>
    </row>
    <row r="3057" spans="1:7" x14ac:dyDescent="0.25">
      <c r="A3057" s="11" t="s">
        <v>6417</v>
      </c>
      <c r="B3057" s="11" t="s">
        <v>6419</v>
      </c>
      <c r="C3057" s="2124">
        <v>55819</v>
      </c>
      <c r="D3057" s="2124">
        <v>39144817.999999702</v>
      </c>
      <c r="E3057" s="2125">
        <v>0</v>
      </c>
      <c r="F3057" s="2126">
        <v>100</v>
      </c>
      <c r="G3057" s="2127">
        <v>0</v>
      </c>
    </row>
    <row r="3058" spans="1:7" x14ac:dyDescent="0.25">
      <c r="A3058" s="3729" t="s">
        <v>95</v>
      </c>
      <c r="B3058" s="3730"/>
      <c r="C3058" s="3730"/>
      <c r="D3058" s="3730"/>
      <c r="E3058" s="3730"/>
      <c r="F3058" s="3730"/>
      <c r="G3058" s="3730"/>
    </row>
    <row r="3059" spans="1:7" x14ac:dyDescent="0.25">
      <c r="A3059" s="11" t="s">
        <v>1100</v>
      </c>
      <c r="B3059" s="11" t="s">
        <v>1170</v>
      </c>
      <c r="C3059" s="2132">
        <v>241</v>
      </c>
      <c r="D3059" s="2132">
        <v>222190.06734602799</v>
      </c>
      <c r="E3059" s="2133">
        <v>25771.2785522862</v>
      </c>
      <c r="F3059" s="2134">
        <v>100</v>
      </c>
      <c r="G3059" s="2135">
        <v>0</v>
      </c>
    </row>
    <row r="3060" spans="1:7" x14ac:dyDescent="0.25">
      <c r="A3060" s="6" t="s">
        <v>1088</v>
      </c>
      <c r="B3060" s="6" t="s">
        <v>1089</v>
      </c>
      <c r="C3060" s="2128">
        <v>55577</v>
      </c>
      <c r="D3060" s="2128">
        <v>38921894.869088396</v>
      </c>
      <c r="E3060" s="2129">
        <v>25844.408287636201</v>
      </c>
      <c r="F3060" s="2130">
        <v>99.998116613383203</v>
      </c>
      <c r="G3060" s="2131">
        <v>1.8875073116928201E-3</v>
      </c>
    </row>
    <row r="3061" spans="1:7" x14ac:dyDescent="0.25">
      <c r="A3061" s="11" t="s">
        <v>1102</v>
      </c>
      <c r="B3061" s="11" t="s">
        <v>1103</v>
      </c>
      <c r="C3061" s="2132">
        <v>1</v>
      </c>
      <c r="D3061" s="2132">
        <v>733.06356540633499</v>
      </c>
      <c r="E3061" s="2133">
        <v>734.64773794601604</v>
      </c>
      <c r="F3061" s="2134">
        <v>1.8833866168407899E-3</v>
      </c>
      <c r="G3061" s="2135">
        <v>1.8875073116926E-3</v>
      </c>
    </row>
    <row r="3062" spans="1:7" x14ac:dyDescent="0.25">
      <c r="A3062" s="6" t="s">
        <v>6417</v>
      </c>
      <c r="B3062" s="6" t="s">
        <v>6418</v>
      </c>
      <c r="C3062" s="2128">
        <v>241</v>
      </c>
      <c r="D3062" s="2128">
        <v>222190.06734602799</v>
      </c>
      <c r="E3062" s="2129">
        <v>25771.2785522862</v>
      </c>
      <c r="F3062" s="2130">
        <v>0.56761042380125404</v>
      </c>
      <c r="G3062" s="2131">
        <v>6.583573476389E-2</v>
      </c>
    </row>
    <row r="3063" spans="1:7" x14ac:dyDescent="0.25">
      <c r="A3063" s="11" t="s">
        <v>6417</v>
      </c>
      <c r="B3063" s="11" t="s">
        <v>6419</v>
      </c>
      <c r="C3063" s="2132">
        <v>55819</v>
      </c>
      <c r="D3063" s="2132">
        <v>39144817.999999799</v>
      </c>
      <c r="E3063" s="2133">
        <v>0</v>
      </c>
      <c r="F3063" s="2134">
        <v>100</v>
      </c>
      <c r="G3063" s="2135">
        <v>0</v>
      </c>
    </row>
    <row r="3064" spans="1:7" x14ac:dyDescent="0.25">
      <c r="A3064" s="3729" t="s">
        <v>97</v>
      </c>
      <c r="B3064" s="3730"/>
      <c r="C3064" s="3730"/>
      <c r="D3064" s="3730"/>
      <c r="E3064" s="3730"/>
      <c r="F3064" s="3730"/>
      <c r="G3064" s="3730"/>
    </row>
    <row r="3065" spans="1:7" x14ac:dyDescent="0.25">
      <c r="A3065" s="11" t="s">
        <v>1109</v>
      </c>
      <c r="B3065" s="11" t="s">
        <v>1171</v>
      </c>
      <c r="C3065" s="2140">
        <v>12843</v>
      </c>
      <c r="D3065" s="2140">
        <v>7580038.5940463003</v>
      </c>
      <c r="E3065" s="2141">
        <v>175012.13203112801</v>
      </c>
      <c r="F3065" s="2142">
        <v>100</v>
      </c>
      <c r="G3065" s="2143">
        <v>0</v>
      </c>
    </row>
    <row r="3066" spans="1:7" x14ac:dyDescent="0.25">
      <c r="A3066" s="6" t="s">
        <v>1088</v>
      </c>
      <c r="B3066" s="6" t="s">
        <v>1089</v>
      </c>
      <c r="C3066" s="2136">
        <v>42975</v>
      </c>
      <c r="D3066" s="2136">
        <v>31564046.3423885</v>
      </c>
      <c r="E3066" s="2137">
        <v>174953.2042149</v>
      </c>
      <c r="F3066" s="2138">
        <v>99.997677590088699</v>
      </c>
      <c r="G3066" s="2139">
        <v>2.32689160031473E-3</v>
      </c>
    </row>
    <row r="3067" spans="1:7" x14ac:dyDescent="0.25">
      <c r="A3067" s="11" t="s">
        <v>1102</v>
      </c>
      <c r="B3067" s="11" t="s">
        <v>1103</v>
      </c>
      <c r="C3067" s="2140">
        <v>1</v>
      </c>
      <c r="D3067" s="2140">
        <v>733.06356540633499</v>
      </c>
      <c r="E3067" s="2141">
        <v>734.64773794601604</v>
      </c>
      <c r="F3067" s="2142">
        <v>2.32240991130786E-3</v>
      </c>
      <c r="G3067" s="2143">
        <v>2.3268916003143002E-3</v>
      </c>
    </row>
    <row r="3068" spans="1:7" x14ac:dyDescent="0.25">
      <c r="A3068" s="6" t="s">
        <v>6417</v>
      </c>
      <c r="B3068" s="6" t="s">
        <v>6418</v>
      </c>
      <c r="C3068" s="2136">
        <v>12843</v>
      </c>
      <c r="D3068" s="2136">
        <v>7580038.5940463003</v>
      </c>
      <c r="E3068" s="2137">
        <v>175012.13203112801</v>
      </c>
      <c r="F3068" s="2138">
        <v>19.3640920595065</v>
      </c>
      <c r="G3068" s="2139">
        <v>0.44708888934194002</v>
      </c>
    </row>
    <row r="3069" spans="1:7" x14ac:dyDescent="0.25">
      <c r="A3069" s="11" t="s">
        <v>6417</v>
      </c>
      <c r="B3069" s="11" t="s">
        <v>6419</v>
      </c>
      <c r="C3069" s="2140">
        <v>55819</v>
      </c>
      <c r="D3069" s="2140">
        <v>39144818.000000201</v>
      </c>
      <c r="E3069" s="2141">
        <v>0</v>
      </c>
      <c r="F3069" s="2142">
        <v>100</v>
      </c>
      <c r="G3069" s="2143">
        <v>0</v>
      </c>
    </row>
    <row r="3070" spans="1:7" x14ac:dyDescent="0.25">
      <c r="A3070" s="3729" t="s">
        <v>99</v>
      </c>
      <c r="B3070" s="3730"/>
      <c r="C3070" s="3730"/>
      <c r="D3070" s="3730"/>
      <c r="E3070" s="3730"/>
      <c r="F3070" s="3730"/>
      <c r="G3070" s="3730"/>
    </row>
    <row r="3071" spans="1:7" x14ac:dyDescent="0.25">
      <c r="A3071" s="11" t="s">
        <v>1119</v>
      </c>
      <c r="B3071" s="11" t="s">
        <v>1172</v>
      </c>
      <c r="C3071" s="2148">
        <v>13884</v>
      </c>
      <c r="D3071" s="2148">
        <v>9219725.9247977398</v>
      </c>
      <c r="E3071" s="2149">
        <v>97477.022555773903</v>
      </c>
      <c r="F3071" s="2150">
        <v>100</v>
      </c>
      <c r="G3071" s="2151">
        <v>0</v>
      </c>
    </row>
    <row r="3072" spans="1:7" x14ac:dyDescent="0.25">
      <c r="A3072" s="6" t="s">
        <v>1088</v>
      </c>
      <c r="B3072" s="6" t="s">
        <v>1089</v>
      </c>
      <c r="C3072" s="2144">
        <v>41934</v>
      </c>
      <c r="D3072" s="2144">
        <v>29924359.011636999</v>
      </c>
      <c r="E3072" s="2145">
        <v>97163.942128861599</v>
      </c>
      <c r="F3072" s="2146">
        <v>99.9975503381458</v>
      </c>
      <c r="G3072" s="2147">
        <v>2.4539812884787002E-3</v>
      </c>
    </row>
    <row r="3073" spans="1:7" x14ac:dyDescent="0.25">
      <c r="A3073" s="11" t="s">
        <v>1102</v>
      </c>
      <c r="B3073" s="11" t="s">
        <v>1103</v>
      </c>
      <c r="C3073" s="2148">
        <v>1</v>
      </c>
      <c r="D3073" s="2148">
        <v>733.06356540633499</v>
      </c>
      <c r="E3073" s="2149">
        <v>734.64773794601604</v>
      </c>
      <c r="F3073" s="2150">
        <v>2.44966185421963E-3</v>
      </c>
      <c r="G3073" s="2151">
        <v>2.45398128847825E-3</v>
      </c>
    </row>
    <row r="3074" spans="1:7" x14ac:dyDescent="0.25">
      <c r="A3074" s="6" t="s">
        <v>6417</v>
      </c>
      <c r="B3074" s="6" t="s">
        <v>6418</v>
      </c>
      <c r="C3074" s="2144">
        <v>13884</v>
      </c>
      <c r="D3074" s="2144">
        <v>9219725.9247977398</v>
      </c>
      <c r="E3074" s="2145">
        <v>97477.022555773903</v>
      </c>
      <c r="F3074" s="2146">
        <v>23.5528644552587</v>
      </c>
      <c r="G3074" s="2147">
        <v>0.24901641529087201</v>
      </c>
    </row>
    <row r="3075" spans="1:7" x14ac:dyDescent="0.25">
      <c r="A3075" s="11" t="s">
        <v>6417</v>
      </c>
      <c r="B3075" s="11" t="s">
        <v>6419</v>
      </c>
      <c r="C3075" s="2148">
        <v>55819</v>
      </c>
      <c r="D3075" s="2148">
        <v>39144818.000000097</v>
      </c>
      <c r="E3075" s="2149">
        <v>0</v>
      </c>
      <c r="F3075" s="2150">
        <v>100</v>
      </c>
      <c r="G3075" s="2151">
        <v>0</v>
      </c>
    </row>
    <row r="3076" spans="1:7" x14ac:dyDescent="0.25">
      <c r="A3076" s="3729" t="s">
        <v>101</v>
      </c>
      <c r="B3076" s="3730"/>
      <c r="C3076" s="3730"/>
      <c r="D3076" s="3730"/>
      <c r="E3076" s="3730"/>
      <c r="F3076" s="3730"/>
      <c r="G3076" s="3730"/>
    </row>
    <row r="3077" spans="1:7" x14ac:dyDescent="0.25">
      <c r="A3077" s="11" t="s">
        <v>1121</v>
      </c>
      <c r="B3077" s="11" t="s">
        <v>1173</v>
      </c>
      <c r="C3077" s="2156">
        <v>8452</v>
      </c>
      <c r="D3077" s="2156">
        <v>5865959.8802304799</v>
      </c>
      <c r="E3077" s="2157">
        <v>92702.829694015003</v>
      </c>
      <c r="F3077" s="2158">
        <v>100</v>
      </c>
      <c r="G3077" s="2159">
        <v>0</v>
      </c>
    </row>
    <row r="3078" spans="1:7" x14ac:dyDescent="0.25">
      <c r="A3078" s="6" t="s">
        <v>1088</v>
      </c>
      <c r="B3078" s="6" t="s">
        <v>1089</v>
      </c>
      <c r="C3078" s="2152">
        <v>47366</v>
      </c>
      <c r="D3078" s="2152">
        <v>33278125.0562043</v>
      </c>
      <c r="E3078" s="2153">
        <v>92860.816749696794</v>
      </c>
      <c r="F3078" s="2154">
        <v>99.997797209379101</v>
      </c>
      <c r="G3078" s="2155">
        <v>2.2080894080948599E-3</v>
      </c>
    </row>
    <row r="3079" spans="1:7" x14ac:dyDescent="0.25">
      <c r="A3079" s="11" t="s">
        <v>1102</v>
      </c>
      <c r="B3079" s="11" t="s">
        <v>1103</v>
      </c>
      <c r="C3079" s="2156">
        <v>1</v>
      </c>
      <c r="D3079" s="2156">
        <v>733.06356540633499</v>
      </c>
      <c r="E3079" s="2157">
        <v>734.64773794601604</v>
      </c>
      <c r="F3079" s="2158">
        <v>2.2027906209042998E-3</v>
      </c>
      <c r="G3079" s="2159">
        <v>2.2080894080934999E-3</v>
      </c>
    </row>
    <row r="3080" spans="1:7" x14ac:dyDescent="0.25">
      <c r="A3080" s="6" t="s">
        <v>6417</v>
      </c>
      <c r="B3080" s="6" t="s">
        <v>6418</v>
      </c>
      <c r="C3080" s="2152">
        <v>8452</v>
      </c>
      <c r="D3080" s="2152">
        <v>5865959.8802304799</v>
      </c>
      <c r="E3080" s="2153">
        <v>92702.829694015003</v>
      </c>
      <c r="F3080" s="2154">
        <v>14.985278205228701</v>
      </c>
      <c r="G3080" s="2155">
        <v>0.23682018318248299</v>
      </c>
    </row>
    <row r="3081" spans="1:7" x14ac:dyDescent="0.25">
      <c r="A3081" s="11" t="s">
        <v>6417</v>
      </c>
      <c r="B3081" s="11" t="s">
        <v>6419</v>
      </c>
      <c r="C3081" s="2156">
        <v>55819</v>
      </c>
      <c r="D3081" s="2156">
        <v>39144818.000000201</v>
      </c>
      <c r="E3081" s="2157">
        <v>0</v>
      </c>
      <c r="F3081" s="2158">
        <v>100</v>
      </c>
      <c r="G3081" s="2159">
        <v>0</v>
      </c>
    </row>
    <row r="3082" spans="1:7" x14ac:dyDescent="0.25">
      <c r="A3082" s="3729" t="s">
        <v>81</v>
      </c>
      <c r="B3082" s="3730"/>
      <c r="C3082" s="3730"/>
      <c r="D3082" s="3730"/>
      <c r="E3082" s="3730"/>
      <c r="F3082" s="3730"/>
      <c r="G3082" s="3730"/>
    </row>
    <row r="3083" spans="1:7" x14ac:dyDescent="0.25">
      <c r="A3083" s="11" t="s">
        <v>1123</v>
      </c>
      <c r="B3083" s="11" t="s">
        <v>1174</v>
      </c>
      <c r="C3083" s="2164">
        <v>1236</v>
      </c>
      <c r="D3083" s="2164">
        <v>1039529.22824927</v>
      </c>
      <c r="E3083" s="2165">
        <v>64939.5089671366</v>
      </c>
      <c r="F3083" s="2166">
        <v>100</v>
      </c>
      <c r="G3083" s="2167">
        <v>0</v>
      </c>
    </row>
    <row r="3084" spans="1:7" x14ac:dyDescent="0.25">
      <c r="A3084" s="6" t="s">
        <v>1088</v>
      </c>
      <c r="B3084" s="6" t="s">
        <v>1089</v>
      </c>
      <c r="C3084" s="2160">
        <v>54582</v>
      </c>
      <c r="D3084" s="2160">
        <v>38104555.708185099</v>
      </c>
      <c r="E3084" s="2161">
        <v>65019.9624151963</v>
      </c>
      <c r="F3084" s="2162">
        <v>99.998076215693303</v>
      </c>
      <c r="G3084" s="2163">
        <v>1.92803651073749E-3</v>
      </c>
    </row>
    <row r="3085" spans="1:7" x14ac:dyDescent="0.25">
      <c r="A3085" s="11" t="s">
        <v>1102</v>
      </c>
      <c r="B3085" s="11" t="s">
        <v>1103</v>
      </c>
      <c r="C3085" s="2164">
        <v>1</v>
      </c>
      <c r="D3085" s="2164">
        <v>733.06356540633499</v>
      </c>
      <c r="E3085" s="2165">
        <v>734.64773794601604</v>
      </c>
      <c r="F3085" s="2166">
        <v>1.9237843066807899E-3</v>
      </c>
      <c r="G3085" s="2167">
        <v>1.92803651073665E-3</v>
      </c>
    </row>
    <row r="3086" spans="1:7" x14ac:dyDescent="0.25">
      <c r="A3086" s="6" t="s">
        <v>6417</v>
      </c>
      <c r="B3086" s="6" t="s">
        <v>6418</v>
      </c>
      <c r="C3086" s="2160">
        <v>1236</v>
      </c>
      <c r="D3086" s="2160">
        <v>1039529.22824927</v>
      </c>
      <c r="E3086" s="2161">
        <v>64939.5089671366</v>
      </c>
      <c r="F3086" s="2162">
        <v>2.6555985730966301</v>
      </c>
      <c r="G3086" s="2163">
        <v>0.16589554450636901</v>
      </c>
    </row>
    <row r="3087" spans="1:7" x14ac:dyDescent="0.25">
      <c r="A3087" s="11" t="s">
        <v>6417</v>
      </c>
      <c r="B3087" s="11" t="s">
        <v>6419</v>
      </c>
      <c r="C3087" s="2164">
        <v>55819</v>
      </c>
      <c r="D3087" s="2164">
        <v>39144817.999999799</v>
      </c>
      <c r="E3087" s="2165">
        <v>0</v>
      </c>
      <c r="F3087" s="2166">
        <v>100</v>
      </c>
      <c r="G3087" s="2167">
        <v>0</v>
      </c>
    </row>
    <row r="3088" spans="1:7" x14ac:dyDescent="0.25">
      <c r="A3088" s="3729" t="s">
        <v>83</v>
      </c>
      <c r="B3088" s="3730"/>
      <c r="C3088" s="3730"/>
      <c r="D3088" s="3730"/>
      <c r="E3088" s="3730"/>
      <c r="F3088" s="3730"/>
      <c r="G3088" s="3730"/>
    </row>
    <row r="3089" spans="1:7" x14ac:dyDescent="0.25">
      <c r="A3089" s="11" t="s">
        <v>1125</v>
      </c>
      <c r="B3089" s="11" t="s">
        <v>1175</v>
      </c>
      <c r="C3089" s="2172">
        <v>3317</v>
      </c>
      <c r="D3089" s="2172">
        <v>1560699.20645597</v>
      </c>
      <c r="E3089" s="2173">
        <v>52374.435349819498</v>
      </c>
      <c r="F3089" s="2174">
        <v>100</v>
      </c>
      <c r="G3089" s="2175">
        <v>0</v>
      </c>
    </row>
    <row r="3090" spans="1:7" x14ac:dyDescent="0.25">
      <c r="A3090" s="6" t="s">
        <v>1088</v>
      </c>
      <c r="B3090" s="6" t="s">
        <v>1089</v>
      </c>
      <c r="C3090" s="2168">
        <v>52501</v>
      </c>
      <c r="D3090" s="2168">
        <v>37583385.729978502</v>
      </c>
      <c r="E3090" s="2169">
        <v>52031.622161670697</v>
      </c>
      <c r="F3090" s="2170">
        <v>99.998049539036899</v>
      </c>
      <c r="G3090" s="2171">
        <v>1.9545131904811098E-3</v>
      </c>
    </row>
    <row r="3091" spans="1:7" x14ac:dyDescent="0.25">
      <c r="A3091" s="11" t="s">
        <v>1102</v>
      </c>
      <c r="B3091" s="11" t="s">
        <v>1103</v>
      </c>
      <c r="C3091" s="2172">
        <v>1</v>
      </c>
      <c r="D3091" s="2172">
        <v>733.06356540633499</v>
      </c>
      <c r="E3091" s="2173">
        <v>734.64773794601604</v>
      </c>
      <c r="F3091" s="2174">
        <v>1.9504609631349401E-3</v>
      </c>
      <c r="G3091" s="2175">
        <v>1.95451319048017E-3</v>
      </c>
    </row>
    <row r="3092" spans="1:7" x14ac:dyDescent="0.25">
      <c r="A3092" s="6" t="s">
        <v>6417</v>
      </c>
      <c r="B3092" s="6" t="s">
        <v>6418</v>
      </c>
      <c r="C3092" s="2168">
        <v>3317</v>
      </c>
      <c r="D3092" s="2168">
        <v>1560699.20645597</v>
      </c>
      <c r="E3092" s="2169">
        <v>52374.435349819498</v>
      </c>
      <c r="F3092" s="2170">
        <v>3.98698802599103</v>
      </c>
      <c r="G3092" s="2171">
        <v>0.13379659946259301</v>
      </c>
    </row>
    <row r="3093" spans="1:7" x14ac:dyDescent="0.25">
      <c r="A3093" s="11" t="s">
        <v>6417</v>
      </c>
      <c r="B3093" s="11" t="s">
        <v>6419</v>
      </c>
      <c r="C3093" s="2172">
        <v>55819</v>
      </c>
      <c r="D3093" s="2172">
        <v>39144817.999999799</v>
      </c>
      <c r="E3093" s="2173">
        <v>0</v>
      </c>
      <c r="F3093" s="2174">
        <v>100</v>
      </c>
      <c r="G3093" s="2175">
        <v>0</v>
      </c>
    </row>
    <row r="3094" spans="1:7" x14ac:dyDescent="0.25">
      <c r="A3094" s="3729" t="s">
        <v>85</v>
      </c>
      <c r="B3094" s="3730"/>
      <c r="C3094" s="3730"/>
      <c r="D3094" s="3730"/>
      <c r="E3094" s="3730"/>
      <c r="F3094" s="3730"/>
      <c r="G3094" s="3730"/>
    </row>
    <row r="3095" spans="1:7" x14ac:dyDescent="0.25">
      <c r="A3095" s="11" t="s">
        <v>1127</v>
      </c>
      <c r="B3095" s="11" t="s">
        <v>1176</v>
      </c>
      <c r="C3095" s="2180">
        <v>12775</v>
      </c>
      <c r="D3095" s="2180">
        <v>8514430.2248071898</v>
      </c>
      <c r="E3095" s="2181">
        <v>168764.96108444699</v>
      </c>
      <c r="F3095" s="2182">
        <v>100</v>
      </c>
      <c r="G3095" s="2183">
        <v>0</v>
      </c>
    </row>
    <row r="3096" spans="1:7" x14ac:dyDescent="0.25">
      <c r="A3096" s="6" t="s">
        <v>1088</v>
      </c>
      <c r="B3096" s="6" t="s">
        <v>1089</v>
      </c>
      <c r="C3096" s="2176">
        <v>43043</v>
      </c>
      <c r="D3096" s="2176">
        <v>30629654.711627599</v>
      </c>
      <c r="E3096" s="2177">
        <v>168794.57700083</v>
      </c>
      <c r="F3096" s="2178">
        <v>99.997606744090902</v>
      </c>
      <c r="G3096" s="2179">
        <v>2.3982427342263599E-3</v>
      </c>
    </row>
    <row r="3097" spans="1:7" x14ac:dyDescent="0.25">
      <c r="A3097" s="11" t="s">
        <v>1102</v>
      </c>
      <c r="B3097" s="11" t="s">
        <v>1103</v>
      </c>
      <c r="C3097" s="2180">
        <v>1</v>
      </c>
      <c r="D3097" s="2180">
        <v>733.06356540633499</v>
      </c>
      <c r="E3097" s="2181">
        <v>734.64773794601604</v>
      </c>
      <c r="F3097" s="2182">
        <v>2.39325590908787E-3</v>
      </c>
      <c r="G3097" s="2183">
        <v>2.3982427342254102E-3</v>
      </c>
    </row>
    <row r="3098" spans="1:7" x14ac:dyDescent="0.25">
      <c r="A3098" s="6" t="s">
        <v>6417</v>
      </c>
      <c r="B3098" s="6" t="s">
        <v>6418</v>
      </c>
      <c r="C3098" s="2176">
        <v>12775</v>
      </c>
      <c r="D3098" s="2176">
        <v>8514430.2248071898</v>
      </c>
      <c r="E3098" s="2177">
        <v>168764.96108444699</v>
      </c>
      <c r="F3098" s="2178">
        <v>21.751104385789102</v>
      </c>
      <c r="G3098" s="2179">
        <v>0.43112976303651501</v>
      </c>
    </row>
    <row r="3099" spans="1:7" x14ac:dyDescent="0.25">
      <c r="A3099" s="11" t="s">
        <v>6417</v>
      </c>
      <c r="B3099" s="11" t="s">
        <v>6419</v>
      </c>
      <c r="C3099" s="2180">
        <v>55819</v>
      </c>
      <c r="D3099" s="2180">
        <v>39144818.000000201</v>
      </c>
      <c r="E3099" s="2181">
        <v>0</v>
      </c>
      <c r="F3099" s="2182">
        <v>100</v>
      </c>
      <c r="G3099" s="2183">
        <v>0</v>
      </c>
    </row>
    <row r="3100" spans="1:7" x14ac:dyDescent="0.25">
      <c r="A3100" s="3729" t="s">
        <v>112</v>
      </c>
      <c r="B3100" s="3730"/>
      <c r="C3100" s="3730"/>
      <c r="D3100" s="3730"/>
      <c r="E3100" s="3730"/>
      <c r="F3100" s="3730"/>
      <c r="G3100" s="3730"/>
    </row>
    <row r="3101" spans="1:7" x14ac:dyDescent="0.25">
      <c r="A3101" s="11" t="s">
        <v>1111</v>
      </c>
      <c r="B3101" s="11" t="s">
        <v>1143</v>
      </c>
      <c r="C3101" s="2188">
        <v>15321</v>
      </c>
      <c r="D3101" s="2188">
        <v>9469633.1506183594</v>
      </c>
      <c r="E3101" s="2189">
        <v>106922.70435519201</v>
      </c>
      <c r="F3101" s="2190">
        <v>100</v>
      </c>
      <c r="G3101" s="2191">
        <v>0</v>
      </c>
    </row>
    <row r="3102" spans="1:7" x14ac:dyDescent="0.25">
      <c r="A3102" s="6" t="s">
        <v>1088</v>
      </c>
      <c r="B3102" s="6" t="s">
        <v>1089</v>
      </c>
      <c r="C3102" s="2184">
        <v>40497</v>
      </c>
      <c r="D3102" s="2184">
        <v>29674451.785816502</v>
      </c>
      <c r="E3102" s="2185">
        <v>106866.659598176</v>
      </c>
      <c r="F3102" s="2186">
        <v>99.997529708511905</v>
      </c>
      <c r="G3102" s="2187">
        <v>2.4765144251480201E-3</v>
      </c>
    </row>
    <row r="3103" spans="1:7" x14ac:dyDescent="0.25">
      <c r="A3103" s="11" t="s">
        <v>1102</v>
      </c>
      <c r="B3103" s="11" t="s">
        <v>1103</v>
      </c>
      <c r="C3103" s="2188">
        <v>1</v>
      </c>
      <c r="D3103" s="2188">
        <v>733.06356540633499</v>
      </c>
      <c r="E3103" s="2189">
        <v>734.64773794601604</v>
      </c>
      <c r="F3103" s="2190">
        <v>2.4702914880801599E-3</v>
      </c>
      <c r="G3103" s="2191">
        <v>2.476514425146E-3</v>
      </c>
    </row>
    <row r="3104" spans="1:7" x14ac:dyDescent="0.25">
      <c r="A3104" s="6" t="s">
        <v>6417</v>
      </c>
      <c r="B3104" s="6" t="s">
        <v>6418</v>
      </c>
      <c r="C3104" s="2184">
        <v>15321</v>
      </c>
      <c r="D3104" s="2184">
        <v>9469633.1506183594</v>
      </c>
      <c r="E3104" s="2185">
        <v>106922.70435519201</v>
      </c>
      <c r="F3104" s="2186">
        <v>24.191281590882099</v>
      </c>
      <c r="G3104" s="2187">
        <v>0.27314651036383097</v>
      </c>
    </row>
    <row r="3105" spans="1:7" x14ac:dyDescent="0.25">
      <c r="A3105" s="11" t="s">
        <v>6417</v>
      </c>
      <c r="B3105" s="11" t="s">
        <v>6419</v>
      </c>
      <c r="C3105" s="2188">
        <v>55819</v>
      </c>
      <c r="D3105" s="2188">
        <v>39144818.000000201</v>
      </c>
      <c r="E3105" s="2189">
        <v>0</v>
      </c>
      <c r="F3105" s="2190">
        <v>100</v>
      </c>
      <c r="G3105" s="2191">
        <v>0</v>
      </c>
    </row>
    <row r="3106" spans="1:7" x14ac:dyDescent="0.25">
      <c r="A3106" s="3729" t="s">
        <v>105</v>
      </c>
      <c r="B3106" s="3730"/>
      <c r="C3106" s="3730"/>
      <c r="D3106" s="3730"/>
      <c r="E3106" s="3730"/>
      <c r="F3106" s="3730"/>
      <c r="G3106" s="3730"/>
    </row>
    <row r="3107" spans="1:7" x14ac:dyDescent="0.25">
      <c r="A3107" s="11" t="s">
        <v>1129</v>
      </c>
      <c r="B3107" s="11" t="s">
        <v>1177</v>
      </c>
      <c r="C3107" s="2196">
        <v>28261</v>
      </c>
      <c r="D3107" s="2196">
        <v>18001731.897516999</v>
      </c>
      <c r="E3107" s="2197">
        <v>185030.21044047599</v>
      </c>
      <c r="F3107" s="2198">
        <v>100</v>
      </c>
      <c r="G3107" s="2199">
        <v>0</v>
      </c>
    </row>
    <row r="3108" spans="1:7" x14ac:dyDescent="0.25">
      <c r="A3108" s="6" t="s">
        <v>1088</v>
      </c>
      <c r="B3108" s="6" t="s">
        <v>1089</v>
      </c>
      <c r="C3108" s="2192">
        <v>27557</v>
      </c>
      <c r="D3108" s="2192">
        <v>21142353.038917799</v>
      </c>
      <c r="E3108" s="2193">
        <v>184779.20991618899</v>
      </c>
      <c r="F3108" s="2194">
        <v>99.996532845007295</v>
      </c>
      <c r="G3108" s="2195">
        <v>3.4752437583354802E-3</v>
      </c>
    </row>
    <row r="3109" spans="1:7" x14ac:dyDescent="0.25">
      <c r="A3109" s="11" t="s">
        <v>1102</v>
      </c>
      <c r="B3109" s="11" t="s">
        <v>1103</v>
      </c>
      <c r="C3109" s="2196">
        <v>1</v>
      </c>
      <c r="D3109" s="2196">
        <v>733.06356540633499</v>
      </c>
      <c r="E3109" s="2197">
        <v>734.64773794601604</v>
      </c>
      <c r="F3109" s="2198">
        <v>3.46715499266797E-3</v>
      </c>
      <c r="G3109" s="2199">
        <v>3.4752437583353999E-3</v>
      </c>
    </row>
    <row r="3110" spans="1:7" x14ac:dyDescent="0.25">
      <c r="A3110" s="6" t="s">
        <v>6417</v>
      </c>
      <c r="B3110" s="6" t="s">
        <v>6418</v>
      </c>
      <c r="C3110" s="2192">
        <v>28261</v>
      </c>
      <c r="D3110" s="2192">
        <v>18001731.897516999</v>
      </c>
      <c r="E3110" s="2193">
        <v>185030.21044047599</v>
      </c>
      <c r="F3110" s="2194">
        <v>45.987522275660801</v>
      </c>
      <c r="G3110" s="2195">
        <v>0.47268123826894198</v>
      </c>
    </row>
    <row r="3111" spans="1:7" x14ac:dyDescent="0.25">
      <c r="A3111" s="11" t="s">
        <v>6417</v>
      </c>
      <c r="B3111" s="11" t="s">
        <v>6419</v>
      </c>
      <c r="C3111" s="2196">
        <v>55819</v>
      </c>
      <c r="D3111" s="2196">
        <v>39144818.000000201</v>
      </c>
      <c r="E3111" s="2197">
        <v>0</v>
      </c>
      <c r="F3111" s="2198">
        <v>100</v>
      </c>
      <c r="G3111" s="2199">
        <v>0</v>
      </c>
    </row>
    <row r="3112" spans="1:7" x14ac:dyDescent="0.25">
      <c r="A3112" s="3729" t="s">
        <v>103</v>
      </c>
      <c r="B3112" s="3730"/>
      <c r="C3112" s="3730"/>
      <c r="D3112" s="3730"/>
      <c r="E3112" s="3730"/>
      <c r="F3112" s="3730"/>
      <c r="G3112" s="3730"/>
    </row>
    <row r="3113" spans="1:7" x14ac:dyDescent="0.25">
      <c r="A3113" s="11" t="s">
        <v>1088</v>
      </c>
      <c r="B3113" s="11" t="s">
        <v>1089</v>
      </c>
      <c r="C3113" s="2204">
        <v>55799</v>
      </c>
      <c r="D3113" s="2204">
        <v>39110076.389201902</v>
      </c>
      <c r="E3113" s="2205">
        <v>12173.555784530399</v>
      </c>
      <c r="F3113" s="2206">
        <v>99.911248506001698</v>
      </c>
      <c r="G3113" s="2207">
        <v>3.1098767107201102E-2</v>
      </c>
    </row>
    <row r="3114" spans="1:7" x14ac:dyDescent="0.25">
      <c r="A3114" s="6" t="s">
        <v>1084</v>
      </c>
      <c r="B3114" s="6" t="s">
        <v>1085</v>
      </c>
      <c r="C3114" s="2200">
        <v>19</v>
      </c>
      <c r="D3114" s="2200">
        <v>34008.547232511897</v>
      </c>
      <c r="E3114" s="2201">
        <v>12299.8160107535</v>
      </c>
      <c r="F3114" s="2202">
        <v>8.6878797680224301E-2</v>
      </c>
      <c r="G3114" s="2203">
        <v>3.1421313571450601E-2</v>
      </c>
    </row>
    <row r="3115" spans="1:7" x14ac:dyDescent="0.25">
      <c r="A3115" s="11" t="s">
        <v>1102</v>
      </c>
      <c r="B3115" s="11" t="s">
        <v>1103</v>
      </c>
      <c r="C3115" s="2204">
        <v>1</v>
      </c>
      <c r="D3115" s="2204">
        <v>733.06356540633499</v>
      </c>
      <c r="E3115" s="2205">
        <v>734.64773794601604</v>
      </c>
      <c r="F3115" s="2206">
        <v>1.87269631808312E-3</v>
      </c>
      <c r="G3115" s="2207">
        <v>1.8767432714747001E-3</v>
      </c>
    </row>
    <row r="3116" spans="1:7" x14ac:dyDescent="0.25">
      <c r="A3116" s="6" t="s">
        <v>6417</v>
      </c>
      <c r="B3116" s="6" t="s">
        <v>6418</v>
      </c>
      <c r="C3116" s="2200">
        <v>0</v>
      </c>
      <c r="D3116" s="2200">
        <v>0</v>
      </c>
      <c r="E3116" s="2201">
        <v>0</v>
      </c>
      <c r="F3116" s="2202">
        <v>0</v>
      </c>
      <c r="G3116" s="2203">
        <v>0</v>
      </c>
    </row>
    <row r="3117" spans="1:7" x14ac:dyDescent="0.25">
      <c r="A3117" s="11" t="s">
        <v>6417</v>
      </c>
      <c r="B3117" s="11" t="s">
        <v>6419</v>
      </c>
      <c r="C3117" s="2204">
        <v>55819</v>
      </c>
      <c r="D3117" s="2204">
        <v>39144817.999999799</v>
      </c>
      <c r="E3117" s="2205">
        <v>0</v>
      </c>
      <c r="F3117" s="2206">
        <v>100</v>
      </c>
      <c r="G3117" s="2207">
        <v>0</v>
      </c>
    </row>
    <row r="3118" spans="1:7" x14ac:dyDescent="0.25">
      <c r="A3118" s="3729" t="s">
        <v>110</v>
      </c>
      <c r="B3118" s="3730"/>
      <c r="C3118" s="3730"/>
      <c r="D3118" s="3730"/>
      <c r="E3118" s="3730"/>
      <c r="F3118" s="3730"/>
      <c r="G3118" s="3730"/>
    </row>
    <row r="3119" spans="1:7" x14ac:dyDescent="0.25">
      <c r="A3119" s="11" t="s">
        <v>1088</v>
      </c>
      <c r="B3119" s="11" t="s">
        <v>1089</v>
      </c>
      <c r="C3119" s="2212">
        <v>55791</v>
      </c>
      <c r="D3119" s="2212">
        <v>39135863.435199201</v>
      </c>
      <c r="E3119" s="2213">
        <v>4527.3111163050398</v>
      </c>
      <c r="F3119" s="2214">
        <v>99.977124520541693</v>
      </c>
      <c r="G3119" s="2215">
        <v>1.15655439149055E-2</v>
      </c>
    </row>
    <row r="3120" spans="1:7" x14ac:dyDescent="0.25">
      <c r="A3120" s="6" t="s">
        <v>1086</v>
      </c>
      <c r="B3120" s="6" t="s">
        <v>1087</v>
      </c>
      <c r="C3120" s="2208">
        <v>27</v>
      </c>
      <c r="D3120" s="2208">
        <v>8221.5012351917303</v>
      </c>
      <c r="E3120" s="2209">
        <v>4633.8818644082303</v>
      </c>
      <c r="F3120" s="2210">
        <v>2.10027831402659E-2</v>
      </c>
      <c r="G3120" s="2211">
        <v>1.18377913122709E-2</v>
      </c>
    </row>
    <row r="3121" spans="1:7" x14ac:dyDescent="0.25">
      <c r="A3121" s="11" t="s">
        <v>1102</v>
      </c>
      <c r="B3121" s="11" t="s">
        <v>1103</v>
      </c>
      <c r="C3121" s="2212">
        <v>1</v>
      </c>
      <c r="D3121" s="2212">
        <v>733.06356540633499</v>
      </c>
      <c r="E3121" s="2213">
        <v>734.64773794601604</v>
      </c>
      <c r="F3121" s="2214">
        <v>1.87269631808312E-3</v>
      </c>
      <c r="G3121" s="2215">
        <v>1.8767432714747001E-3</v>
      </c>
    </row>
    <row r="3122" spans="1:7" x14ac:dyDescent="0.25">
      <c r="A3122" s="6" t="s">
        <v>6417</v>
      </c>
      <c r="B3122" s="6" t="s">
        <v>6418</v>
      </c>
      <c r="C3122" s="2208">
        <v>0</v>
      </c>
      <c r="D3122" s="2208">
        <v>0</v>
      </c>
      <c r="E3122" s="2209">
        <v>0</v>
      </c>
      <c r="F3122" s="2210">
        <v>0</v>
      </c>
      <c r="G3122" s="2211">
        <v>0</v>
      </c>
    </row>
    <row r="3123" spans="1:7" x14ac:dyDescent="0.25">
      <c r="A3123" s="11" t="s">
        <v>6417</v>
      </c>
      <c r="B3123" s="11" t="s">
        <v>6419</v>
      </c>
      <c r="C3123" s="2212">
        <v>55819</v>
      </c>
      <c r="D3123" s="2212">
        <v>39144817.999999799</v>
      </c>
      <c r="E3123" s="2213">
        <v>0</v>
      </c>
      <c r="F3123" s="2214">
        <v>100</v>
      </c>
      <c r="G3123" s="2215">
        <v>0</v>
      </c>
    </row>
    <row r="3124" spans="1:7" x14ac:dyDescent="0.25">
      <c r="A3124" s="3729" t="s">
        <v>107</v>
      </c>
      <c r="B3124" s="3730"/>
      <c r="C3124" s="3730"/>
      <c r="D3124" s="3730"/>
      <c r="E3124" s="3730"/>
      <c r="F3124" s="3730"/>
      <c r="G3124" s="3730"/>
    </row>
    <row r="3125" spans="1:7" x14ac:dyDescent="0.25">
      <c r="A3125" s="11" t="s">
        <v>6697</v>
      </c>
      <c r="B3125" s="11"/>
      <c r="C3125" s="2220">
        <v>7572</v>
      </c>
      <c r="D3125" s="2220">
        <v>5052478.6840027301</v>
      </c>
      <c r="E3125" s="2221">
        <v>97515.303926649198</v>
      </c>
      <c r="F3125" s="2222">
        <v>53.537657254443197</v>
      </c>
      <c r="G3125" s="2223">
        <v>1.2183076106550701</v>
      </c>
    </row>
    <row r="3126" spans="1:7" x14ac:dyDescent="0.25">
      <c r="A3126" s="6" t="s">
        <v>6698</v>
      </c>
      <c r="B3126" s="6"/>
      <c r="C3126" s="2216">
        <v>1666</v>
      </c>
      <c r="D3126" s="2216">
        <v>992836.57490567898</v>
      </c>
      <c r="E3126" s="2217">
        <v>62731.293003436003</v>
      </c>
      <c r="F3126" s="2218">
        <v>10.5204094032645</v>
      </c>
      <c r="G3126" s="2219">
        <v>0.66694725240525898</v>
      </c>
    </row>
    <row r="3127" spans="1:7" x14ac:dyDescent="0.25">
      <c r="A3127" s="11" t="s">
        <v>6699</v>
      </c>
      <c r="B3127" s="11"/>
      <c r="C3127" s="2220">
        <v>1124</v>
      </c>
      <c r="D3127" s="2220">
        <v>746135.49352732301</v>
      </c>
      <c r="E3127" s="2221">
        <v>61417.306099974499</v>
      </c>
      <c r="F3127" s="2222">
        <v>7.90628695660204</v>
      </c>
      <c r="G3127" s="2223">
        <v>0.59229531302261995</v>
      </c>
    </row>
    <row r="3128" spans="1:7" x14ac:dyDescent="0.25">
      <c r="A3128" s="6" t="s">
        <v>6700</v>
      </c>
      <c r="B3128" s="6"/>
      <c r="C3128" s="2216">
        <v>670</v>
      </c>
      <c r="D3128" s="2216">
        <v>634951.65223695897</v>
      </c>
      <c r="E3128" s="2217">
        <v>51814.648875891202</v>
      </c>
      <c r="F3128" s="2218">
        <v>6.7281479164348896</v>
      </c>
      <c r="G3128" s="2219">
        <v>0.527145359171727</v>
      </c>
    </row>
    <row r="3129" spans="1:7" x14ac:dyDescent="0.25">
      <c r="A3129" s="11" t="s">
        <v>6694</v>
      </c>
      <c r="B3129" s="11"/>
      <c r="C3129" s="2220">
        <v>1349</v>
      </c>
      <c r="D3129" s="2220">
        <v>554989.87700628303</v>
      </c>
      <c r="E3129" s="2221">
        <v>39432.621170462</v>
      </c>
      <c r="F3129" s="2222">
        <v>5.88084773299994</v>
      </c>
      <c r="G3129" s="2223">
        <v>0.38846129921751799</v>
      </c>
    </row>
    <row r="3130" spans="1:7" x14ac:dyDescent="0.25">
      <c r="A3130" s="6" t="s">
        <v>6701</v>
      </c>
      <c r="B3130" s="6"/>
      <c r="C3130" s="2216">
        <v>565</v>
      </c>
      <c r="D3130" s="2216">
        <v>335154.19297449198</v>
      </c>
      <c r="E3130" s="2217">
        <v>33811.701142039798</v>
      </c>
      <c r="F3130" s="2218">
        <v>3.5513995076655198</v>
      </c>
      <c r="G3130" s="2219">
        <v>0.34259925864503699</v>
      </c>
    </row>
    <row r="3131" spans="1:7" x14ac:dyDescent="0.25">
      <c r="A3131" s="11" t="s">
        <v>6636</v>
      </c>
      <c r="B3131" s="11"/>
      <c r="C3131" s="2220">
        <v>758</v>
      </c>
      <c r="D3131" s="2220">
        <v>323009.35742934799</v>
      </c>
      <c r="E3131" s="2221">
        <v>26254.500499708702</v>
      </c>
      <c r="F3131" s="2222">
        <v>3.42270900078893</v>
      </c>
      <c r="G3131" s="2223">
        <v>0.26564550304592399</v>
      </c>
    </row>
    <row r="3132" spans="1:7" x14ac:dyDescent="0.25">
      <c r="A3132" s="6" t="s">
        <v>6702</v>
      </c>
      <c r="B3132" s="6"/>
      <c r="C3132" s="2216">
        <v>525</v>
      </c>
      <c r="D3132" s="2216">
        <v>311553.00552280399</v>
      </c>
      <c r="E3132" s="2217">
        <v>35029.444073247898</v>
      </c>
      <c r="F3132" s="2218">
        <v>3.3013138836356801</v>
      </c>
      <c r="G3132" s="2219">
        <v>0.38063346079037003</v>
      </c>
    </row>
    <row r="3133" spans="1:7" x14ac:dyDescent="0.25">
      <c r="A3133" s="11" t="s">
        <v>6692</v>
      </c>
      <c r="B3133" s="11"/>
      <c r="C3133" s="2220">
        <v>702</v>
      </c>
      <c r="D3133" s="2220">
        <v>285357.596573585</v>
      </c>
      <c r="E3133" s="2221">
        <v>17785.026373036198</v>
      </c>
      <c r="F3133" s="2222">
        <v>3.0237390706228702</v>
      </c>
      <c r="G3133" s="2223">
        <v>0.19772894834834601</v>
      </c>
    </row>
    <row r="3134" spans="1:7" x14ac:dyDescent="0.25">
      <c r="A3134" s="6" t="s">
        <v>6687</v>
      </c>
      <c r="B3134" s="6"/>
      <c r="C3134" s="2216">
        <v>216</v>
      </c>
      <c r="D3134" s="2216">
        <v>134606.463749722</v>
      </c>
      <c r="E3134" s="2217">
        <v>24623.175723344899</v>
      </c>
      <c r="F3134" s="2218">
        <v>1.4263325332341701</v>
      </c>
      <c r="G3134" s="2219">
        <v>0.25595499310457698</v>
      </c>
    </row>
    <row r="3135" spans="1:7" x14ac:dyDescent="0.25">
      <c r="A3135" s="11" t="s">
        <v>6696</v>
      </c>
      <c r="B3135" s="11"/>
      <c r="C3135" s="2220">
        <v>65</v>
      </c>
      <c r="D3135" s="2220">
        <v>28624.506706407301</v>
      </c>
      <c r="E3135" s="2221">
        <v>8762.12043663652</v>
      </c>
      <c r="F3135" s="2222">
        <v>0.30331429877722099</v>
      </c>
      <c r="G3135" s="2223">
        <v>9.3111909738466697E-2</v>
      </c>
    </row>
    <row r="3136" spans="1:7" x14ac:dyDescent="0.25">
      <c r="A3136" s="6" t="s">
        <v>6637</v>
      </c>
      <c r="B3136" s="6"/>
      <c r="C3136" s="2216">
        <v>27</v>
      </c>
      <c r="D3136" s="2216">
        <v>20167.121573639401</v>
      </c>
      <c r="E3136" s="2217">
        <v>7755.3439686274296</v>
      </c>
      <c r="F3136" s="2218">
        <v>0.21369717917598799</v>
      </c>
      <c r="G3136" s="2219">
        <v>8.1764802771724904E-2</v>
      </c>
    </row>
    <row r="3137" spans="1:7" x14ac:dyDescent="0.25">
      <c r="A3137" s="11" t="s">
        <v>6690</v>
      </c>
      <c r="B3137" s="11"/>
      <c r="C3137" s="2220">
        <v>41</v>
      </c>
      <c r="D3137" s="2220">
        <v>17378.235442534598</v>
      </c>
      <c r="E3137" s="2221">
        <v>2887.6986823082102</v>
      </c>
      <c r="F3137" s="2222">
        <v>0.18414526235514</v>
      </c>
      <c r="G3137" s="2223">
        <v>3.09013796183054E-2</v>
      </c>
    </row>
    <row r="3138" spans="1:7" x14ac:dyDescent="0.25">
      <c r="A3138" s="6" t="s">
        <v>1088</v>
      </c>
      <c r="B3138" s="6" t="s">
        <v>1089</v>
      </c>
      <c r="C3138" s="2216">
        <v>40498</v>
      </c>
      <c r="D3138" s="2216">
        <v>29675184.849381901</v>
      </c>
      <c r="E3138" s="2217">
        <v>106922.70435552701</v>
      </c>
      <c r="F3138" s="2218">
        <v>99.890969260510403</v>
      </c>
      <c r="G3138" s="2219">
        <v>2.4379763628078099E-2</v>
      </c>
    </row>
    <row r="3139" spans="1:7" x14ac:dyDescent="0.25">
      <c r="A3139" s="11" t="s">
        <v>1102</v>
      </c>
      <c r="B3139" s="11"/>
      <c r="C3139" s="2220">
        <v>41</v>
      </c>
      <c r="D3139" s="2220">
        <v>32390.388966801798</v>
      </c>
      <c r="E3139" s="2221">
        <v>7197.8403135209901</v>
      </c>
      <c r="F3139" s="2222">
        <v>0.109030739489603</v>
      </c>
      <c r="G3139" s="2223">
        <v>2.4379763628078099E-2</v>
      </c>
    </row>
    <row r="3140" spans="1:7" x14ac:dyDescent="0.25">
      <c r="A3140" s="6" t="s">
        <v>6417</v>
      </c>
      <c r="B3140" s="6" t="s">
        <v>6418</v>
      </c>
      <c r="C3140" s="2216">
        <v>15280</v>
      </c>
      <c r="D3140" s="2216">
        <v>9437242.7616515104</v>
      </c>
      <c r="E3140" s="2217">
        <v>103939.524336086</v>
      </c>
      <c r="F3140" s="2218">
        <v>24.108536567091601</v>
      </c>
      <c r="G3140" s="2219">
        <v>0.265525629308481</v>
      </c>
    </row>
    <row r="3141" spans="1:7" x14ac:dyDescent="0.25">
      <c r="A3141" s="11" t="s">
        <v>6417</v>
      </c>
      <c r="B3141" s="11" t="s">
        <v>6419</v>
      </c>
      <c r="C3141" s="2220">
        <v>55819</v>
      </c>
      <c r="D3141" s="2220">
        <v>39144818.000000201</v>
      </c>
      <c r="E3141" s="2221">
        <v>0</v>
      </c>
      <c r="F3141" s="2222">
        <v>100</v>
      </c>
      <c r="G3141" s="2223">
        <v>0</v>
      </c>
    </row>
    <row r="3142" spans="1:7" x14ac:dyDescent="0.25">
      <c r="A3142" s="3729" t="s">
        <v>1036</v>
      </c>
      <c r="B3142" s="3730"/>
      <c r="C3142" s="3730"/>
      <c r="D3142" s="3730"/>
      <c r="E3142" s="3730"/>
      <c r="F3142" s="3730"/>
      <c r="G3142" s="3730"/>
    </row>
    <row r="3143" spans="1:7" x14ac:dyDescent="0.25">
      <c r="A3143" s="11" t="s">
        <v>1090</v>
      </c>
      <c r="B3143" s="11" t="s">
        <v>1179</v>
      </c>
      <c r="C3143" s="2228">
        <v>25551</v>
      </c>
      <c r="D3143" s="2228">
        <v>18593752.7650754</v>
      </c>
      <c r="E3143" s="2229">
        <v>118722.506347495</v>
      </c>
      <c r="F3143" s="2230">
        <v>59.899284716083201</v>
      </c>
      <c r="G3143" s="2231">
        <v>0.36985235580185799</v>
      </c>
    </row>
    <row r="3144" spans="1:7" x14ac:dyDescent="0.25">
      <c r="A3144" s="6" t="s">
        <v>1092</v>
      </c>
      <c r="B3144" s="6" t="s">
        <v>1180</v>
      </c>
      <c r="C3144" s="2224">
        <v>22633</v>
      </c>
      <c r="D3144" s="2224">
        <v>12447941.394058499</v>
      </c>
      <c r="E3144" s="2225">
        <v>113930.438238366</v>
      </c>
      <c r="F3144" s="2226">
        <v>40.100715283916799</v>
      </c>
      <c r="G3144" s="2227">
        <v>0.36985235580186399</v>
      </c>
    </row>
    <row r="3145" spans="1:7" x14ac:dyDescent="0.25">
      <c r="A3145" s="11" t="s">
        <v>1088</v>
      </c>
      <c r="B3145" s="11" t="s">
        <v>1089</v>
      </c>
      <c r="C3145" s="2228">
        <v>7630</v>
      </c>
      <c r="D3145" s="2228">
        <v>8093871.5523033896</v>
      </c>
      <c r="E3145" s="2229">
        <v>32750.9513625158</v>
      </c>
      <c r="F3145" s="2230">
        <v>99.885818250534101</v>
      </c>
      <c r="G3145" s="2231">
        <v>6.8245958143025601E-2</v>
      </c>
    </row>
    <row r="3146" spans="1:7" x14ac:dyDescent="0.25">
      <c r="A3146" s="6" t="s">
        <v>1102</v>
      </c>
      <c r="B3146" s="6" t="s">
        <v>1103</v>
      </c>
      <c r="C3146" s="2224">
        <v>5</v>
      </c>
      <c r="D3146" s="2224">
        <v>9252.2885628895492</v>
      </c>
      <c r="E3146" s="2225">
        <v>5529.1768311071</v>
      </c>
      <c r="F3146" s="2226">
        <v>0.1141817494659</v>
      </c>
      <c r="G3146" s="2227">
        <v>6.8245958143023894E-2</v>
      </c>
    </row>
    <row r="3147" spans="1:7" x14ac:dyDescent="0.25">
      <c r="A3147" s="11" t="s">
        <v>6417</v>
      </c>
      <c r="B3147" s="11" t="s">
        <v>6418</v>
      </c>
      <c r="C3147" s="2228">
        <v>48184</v>
      </c>
      <c r="D3147" s="2228">
        <v>31041694.1591339</v>
      </c>
      <c r="E3147" s="2229">
        <v>31819.955237891001</v>
      </c>
      <c r="F3147" s="2230">
        <v>79.299625710697597</v>
      </c>
      <c r="G3147" s="2231">
        <v>8.1287784344473604E-2</v>
      </c>
    </row>
    <row r="3148" spans="1:7" x14ac:dyDescent="0.25">
      <c r="A3148" s="6" t="s">
        <v>6417</v>
      </c>
      <c r="B3148" s="6" t="s">
        <v>6419</v>
      </c>
      <c r="C3148" s="2224">
        <v>55819</v>
      </c>
      <c r="D3148" s="2224">
        <v>39144818.000000201</v>
      </c>
      <c r="E3148" s="2225">
        <v>0</v>
      </c>
      <c r="F3148" s="2226">
        <v>100</v>
      </c>
      <c r="G3148" s="2227">
        <v>0</v>
      </c>
    </row>
    <row r="3149" spans="1:7" x14ac:dyDescent="0.25">
      <c r="A3149" s="3729" t="s">
        <v>175</v>
      </c>
      <c r="B3149" s="3730"/>
      <c r="C3149" s="3730"/>
      <c r="D3149" s="3730"/>
      <c r="E3149" s="3730"/>
      <c r="F3149" s="3730"/>
      <c r="G3149" s="3730"/>
    </row>
    <row r="3150" spans="1:7" x14ac:dyDescent="0.25">
      <c r="A3150" s="11" t="s">
        <v>1090</v>
      </c>
      <c r="B3150" s="11" t="s">
        <v>1179</v>
      </c>
      <c r="C3150" s="2236">
        <v>36366</v>
      </c>
      <c r="D3150" s="2236">
        <v>24168882.953072</v>
      </c>
      <c r="E3150" s="2237">
        <v>190592.626474939</v>
      </c>
      <c r="F3150" s="2238">
        <v>61.7422284427835</v>
      </c>
      <c r="G3150" s="2239">
        <v>0.48689107834133699</v>
      </c>
    </row>
    <row r="3151" spans="1:7" x14ac:dyDescent="0.25">
      <c r="A3151" s="6" t="s">
        <v>1092</v>
      </c>
      <c r="B3151" s="6" t="s">
        <v>1180</v>
      </c>
      <c r="C3151" s="2232">
        <v>19453</v>
      </c>
      <c r="D3151" s="2232">
        <v>14975935.046928201</v>
      </c>
      <c r="E3151" s="2233">
        <v>190592.62647495899</v>
      </c>
      <c r="F3151" s="2234">
        <v>38.2577715572165</v>
      </c>
      <c r="G3151" s="2235">
        <v>0.486891078341329</v>
      </c>
    </row>
    <row r="3152" spans="1:7" x14ac:dyDescent="0.25">
      <c r="A3152" s="11" t="s">
        <v>6417</v>
      </c>
      <c r="B3152" s="11" t="s">
        <v>6418</v>
      </c>
      <c r="C3152" s="2236">
        <v>55819</v>
      </c>
      <c r="D3152" s="2236">
        <v>39144818.000000201</v>
      </c>
      <c r="E3152" s="2237">
        <v>2.6376408289412402E-6</v>
      </c>
      <c r="F3152" s="2238">
        <v>100</v>
      </c>
      <c r="G3152" s="2239">
        <v>1.01233138679652E-13</v>
      </c>
    </row>
    <row r="3153" spans="1:7" x14ac:dyDescent="0.25">
      <c r="A3153" s="6" t="s">
        <v>6417</v>
      </c>
      <c r="B3153" s="6" t="s">
        <v>6419</v>
      </c>
      <c r="C3153" s="2232">
        <v>55819</v>
      </c>
      <c r="D3153" s="2232">
        <v>39144818.000000201</v>
      </c>
      <c r="E3153" s="2233">
        <v>0</v>
      </c>
      <c r="F3153" s="2234">
        <v>100</v>
      </c>
      <c r="G3153" s="2235">
        <v>0</v>
      </c>
    </row>
    <row r="3154" spans="1:7" x14ac:dyDescent="0.25">
      <c r="A3154" s="3729" t="s">
        <v>508</v>
      </c>
      <c r="B3154" s="3730"/>
      <c r="C3154" s="3730"/>
      <c r="D3154" s="3730"/>
      <c r="E3154" s="3730"/>
      <c r="F3154" s="3730"/>
      <c r="G3154" s="3730"/>
    </row>
    <row r="3155" spans="1:7" x14ac:dyDescent="0.25">
      <c r="A3155" s="11" t="s">
        <v>1092</v>
      </c>
      <c r="B3155" s="11" t="s">
        <v>1180</v>
      </c>
      <c r="C3155" s="2244">
        <v>55534</v>
      </c>
      <c r="D3155" s="2244">
        <v>38991140.268804602</v>
      </c>
      <c r="E3155" s="2245">
        <v>22331.999384114399</v>
      </c>
      <c r="F3155" s="2246">
        <v>99.607412324167001</v>
      </c>
      <c r="G3155" s="2247">
        <v>5.70496952737609E-2</v>
      </c>
    </row>
    <row r="3156" spans="1:7" x14ac:dyDescent="0.25">
      <c r="A3156" s="6" t="s">
        <v>1090</v>
      </c>
      <c r="B3156" s="6" t="s">
        <v>1179</v>
      </c>
      <c r="C3156" s="2240">
        <v>285</v>
      </c>
      <c r="D3156" s="2240">
        <v>153677.731195247</v>
      </c>
      <c r="E3156" s="2241">
        <v>22331.9993844686</v>
      </c>
      <c r="F3156" s="2242">
        <v>0.39258767583297499</v>
      </c>
      <c r="G3156" s="2243">
        <v>5.7049695273758402E-2</v>
      </c>
    </row>
    <row r="3157" spans="1:7" x14ac:dyDescent="0.25">
      <c r="A3157" s="11" t="s">
        <v>6417</v>
      </c>
      <c r="B3157" s="11" t="s">
        <v>6418</v>
      </c>
      <c r="C3157" s="2244">
        <v>55819</v>
      </c>
      <c r="D3157" s="2244">
        <v>39144817.999999799</v>
      </c>
      <c r="E3157" s="2245">
        <v>3.20342537911696E-6</v>
      </c>
      <c r="F3157" s="2246">
        <v>100</v>
      </c>
      <c r="G3157" s="2247">
        <v>2.5177491625509499E-14</v>
      </c>
    </row>
    <row r="3158" spans="1:7" x14ac:dyDescent="0.25">
      <c r="A3158" s="6" t="s">
        <v>6417</v>
      </c>
      <c r="B3158" s="6" t="s">
        <v>6419</v>
      </c>
      <c r="C3158" s="2240">
        <v>55819</v>
      </c>
      <c r="D3158" s="2240">
        <v>39144817.999999799</v>
      </c>
      <c r="E3158" s="2241">
        <v>0</v>
      </c>
      <c r="F3158" s="2242">
        <v>100</v>
      </c>
      <c r="G3158" s="2243">
        <v>0</v>
      </c>
    </row>
    <row r="3159" spans="1:7" x14ac:dyDescent="0.25">
      <c r="A3159" s="3729" t="s">
        <v>228</v>
      </c>
      <c r="B3159" s="3730"/>
      <c r="C3159" s="3730"/>
      <c r="D3159" s="3730"/>
      <c r="E3159" s="3730"/>
      <c r="F3159" s="3730"/>
      <c r="G3159" s="3730"/>
    </row>
    <row r="3160" spans="1:7" x14ac:dyDescent="0.25">
      <c r="A3160" s="11" t="s">
        <v>1090</v>
      </c>
      <c r="B3160" s="11" t="s">
        <v>1179</v>
      </c>
      <c r="C3160" s="2252">
        <v>49622</v>
      </c>
      <c r="D3160" s="2252">
        <v>34186991.766248003</v>
      </c>
      <c r="E3160" s="2253">
        <v>127037.19233827799</v>
      </c>
      <c r="F3160" s="2254">
        <v>93.409373098191494</v>
      </c>
      <c r="G3160" s="2255">
        <v>0.34424555946691099</v>
      </c>
    </row>
    <row r="3161" spans="1:7" x14ac:dyDescent="0.25">
      <c r="A3161" s="6" t="s">
        <v>1092</v>
      </c>
      <c r="B3161" s="6" t="s">
        <v>1180</v>
      </c>
      <c r="C3161" s="2248">
        <v>3958</v>
      </c>
      <c r="D3161" s="2248">
        <v>2412110.26424181</v>
      </c>
      <c r="E3161" s="2249">
        <v>125929.634691204</v>
      </c>
      <c r="F3161" s="2250">
        <v>6.5906269018085197</v>
      </c>
      <c r="G3161" s="2251">
        <v>0.34424555946691798</v>
      </c>
    </row>
    <row r="3162" spans="1:7" x14ac:dyDescent="0.25">
      <c r="A3162" s="11" t="s">
        <v>1102</v>
      </c>
      <c r="B3162" s="11" t="s">
        <v>1103</v>
      </c>
      <c r="C3162" s="2252">
        <v>2201</v>
      </c>
      <c r="D3162" s="2252">
        <v>2509732.7101034299</v>
      </c>
      <c r="E3162" s="2253">
        <v>1088.6476504873101</v>
      </c>
      <c r="F3162" s="2254">
        <v>98.586517119829097</v>
      </c>
      <c r="G3162" s="2255">
        <v>0.32856662095383699</v>
      </c>
    </row>
    <row r="3163" spans="1:7" x14ac:dyDescent="0.25">
      <c r="A3163" s="6" t="s">
        <v>1086</v>
      </c>
      <c r="B3163" s="6"/>
      <c r="C3163" s="2248">
        <v>28</v>
      </c>
      <c r="D3163" s="2248">
        <v>26863.160111515699</v>
      </c>
      <c r="E3163" s="2249">
        <v>10061.129999508799</v>
      </c>
      <c r="F3163" s="2250">
        <v>1.05523005839037</v>
      </c>
      <c r="G3163" s="2251">
        <v>0.39291351377385902</v>
      </c>
    </row>
    <row r="3164" spans="1:7" x14ac:dyDescent="0.25">
      <c r="A3164" s="11" t="s">
        <v>1084</v>
      </c>
      <c r="B3164" s="11"/>
      <c r="C3164" s="2252">
        <v>10</v>
      </c>
      <c r="D3164" s="2252">
        <v>9120.0992952877095</v>
      </c>
      <c r="E3164" s="2253">
        <v>6360.2137508553596</v>
      </c>
      <c r="F3164" s="2254">
        <v>0.35825282178051898</v>
      </c>
      <c r="G3164" s="2255">
        <v>0.24986057842889201</v>
      </c>
    </row>
    <row r="3165" spans="1:7" x14ac:dyDescent="0.25">
      <c r="A3165" s="6" t="s">
        <v>6417</v>
      </c>
      <c r="B3165" s="6" t="s">
        <v>6418</v>
      </c>
      <c r="C3165" s="2248">
        <v>53580</v>
      </c>
      <c r="D3165" s="2248">
        <v>36599102.030489802</v>
      </c>
      <c r="E3165" s="2249">
        <v>7784.9303168651504</v>
      </c>
      <c r="F3165" s="2250">
        <v>93.496671846806805</v>
      </c>
      <c r="G3165" s="2251">
        <v>1.98875118458329E-2</v>
      </c>
    </row>
    <row r="3166" spans="1:7" x14ac:dyDescent="0.25">
      <c r="A3166" s="11" t="s">
        <v>6417</v>
      </c>
      <c r="B3166" s="11" t="s">
        <v>6419</v>
      </c>
      <c r="C3166" s="2252">
        <v>55819</v>
      </c>
      <c r="D3166" s="2252">
        <v>39144818</v>
      </c>
      <c r="E3166" s="2253">
        <v>0</v>
      </c>
      <c r="F3166" s="2254">
        <v>100</v>
      </c>
      <c r="G3166" s="2255">
        <v>0</v>
      </c>
    </row>
    <row r="3167" spans="1:7" x14ac:dyDescent="0.25">
      <c r="A3167" s="3729" t="s">
        <v>230</v>
      </c>
      <c r="B3167" s="3730"/>
      <c r="C3167" s="3730"/>
      <c r="D3167" s="3730"/>
      <c r="E3167" s="3730"/>
      <c r="F3167" s="3730"/>
      <c r="G3167" s="3730"/>
    </row>
    <row r="3168" spans="1:7" x14ac:dyDescent="0.25">
      <c r="A3168" s="11" t="s">
        <v>1090</v>
      </c>
      <c r="B3168" s="11" t="s">
        <v>1179</v>
      </c>
      <c r="C3168" s="2260">
        <v>49829</v>
      </c>
      <c r="D3168" s="2260">
        <v>34659062.392161399</v>
      </c>
      <c r="E3168" s="2261">
        <v>81369.525063296707</v>
      </c>
      <c r="F3168" s="2262">
        <v>88.540614474593895</v>
      </c>
      <c r="G3168" s="2263">
        <v>0.20786793558047101</v>
      </c>
    </row>
    <row r="3169" spans="1:7" x14ac:dyDescent="0.25">
      <c r="A3169" s="6" t="s">
        <v>1092</v>
      </c>
      <c r="B3169" s="6" t="s">
        <v>1180</v>
      </c>
      <c r="C3169" s="2256">
        <v>5990</v>
      </c>
      <c r="D3169" s="2256">
        <v>4485755.6078385497</v>
      </c>
      <c r="E3169" s="2257">
        <v>81369.525063335706</v>
      </c>
      <c r="F3169" s="2258">
        <v>11.4593855254061</v>
      </c>
      <c r="G3169" s="2259">
        <v>0.20786793558046601</v>
      </c>
    </row>
    <row r="3170" spans="1:7" x14ac:dyDescent="0.25">
      <c r="A3170" s="11" t="s">
        <v>6417</v>
      </c>
      <c r="B3170" s="11" t="s">
        <v>6418</v>
      </c>
      <c r="C3170" s="2260">
        <v>55819</v>
      </c>
      <c r="D3170" s="2260">
        <v>39144817.999999903</v>
      </c>
      <c r="E3170" s="2261">
        <v>1.1257528958921701E-6</v>
      </c>
      <c r="F3170" s="2262">
        <v>100</v>
      </c>
      <c r="G3170" s="2263">
        <v>2.9469498398124499E-13</v>
      </c>
    </row>
    <row r="3171" spans="1:7" x14ac:dyDescent="0.25">
      <c r="A3171" s="6" t="s">
        <v>6417</v>
      </c>
      <c r="B3171" s="6" t="s">
        <v>6419</v>
      </c>
      <c r="C3171" s="2256">
        <v>55819</v>
      </c>
      <c r="D3171" s="2256">
        <v>39144817.999999903</v>
      </c>
      <c r="E3171" s="2257">
        <v>0</v>
      </c>
      <c r="F3171" s="2258">
        <v>100</v>
      </c>
      <c r="G3171" s="2259">
        <v>0</v>
      </c>
    </row>
    <row r="3172" spans="1:7" x14ac:dyDescent="0.25">
      <c r="A3172" s="3729" t="s">
        <v>143</v>
      </c>
      <c r="B3172" s="3730"/>
      <c r="C3172" s="3730"/>
      <c r="D3172" s="3730"/>
      <c r="E3172" s="3730"/>
      <c r="F3172" s="3730"/>
      <c r="G3172" s="3730"/>
    </row>
    <row r="3173" spans="1:7" x14ac:dyDescent="0.25">
      <c r="A3173" s="11" t="s">
        <v>6426</v>
      </c>
      <c r="B3173" s="11"/>
      <c r="C3173" s="2268">
        <v>12132</v>
      </c>
      <c r="D3173" s="2268">
        <v>10079444.7714583</v>
      </c>
      <c r="E3173" s="2269">
        <v>130213.68710856</v>
      </c>
      <c r="F3173" s="2270">
        <v>27.511527356397199</v>
      </c>
      <c r="G3173" s="2271">
        <v>0.35541416129060699</v>
      </c>
    </row>
    <row r="3174" spans="1:7" x14ac:dyDescent="0.25">
      <c r="A3174" s="6" t="s">
        <v>6428</v>
      </c>
      <c r="B3174" s="6"/>
      <c r="C3174" s="2264">
        <v>8046</v>
      </c>
      <c r="D3174" s="2264">
        <v>5912796.4571265001</v>
      </c>
      <c r="E3174" s="2265">
        <v>123459.125379251</v>
      </c>
      <c r="F3174" s="2266">
        <v>16.138791885012601</v>
      </c>
      <c r="G3174" s="2267">
        <v>0.336977798930294</v>
      </c>
    </row>
    <row r="3175" spans="1:7" x14ac:dyDescent="0.25">
      <c r="A3175" s="11" t="s">
        <v>1292</v>
      </c>
      <c r="B3175" s="11"/>
      <c r="C3175" s="2268">
        <v>9750</v>
      </c>
      <c r="D3175" s="2268">
        <v>5535885.8751818202</v>
      </c>
      <c r="E3175" s="2269">
        <v>186159.41533937401</v>
      </c>
      <c r="F3175" s="2270">
        <v>15.110026310995201</v>
      </c>
      <c r="G3175" s="2271">
        <v>0.50811626570318602</v>
      </c>
    </row>
    <row r="3176" spans="1:7" x14ac:dyDescent="0.25">
      <c r="A3176" s="6" t="s">
        <v>6429</v>
      </c>
      <c r="B3176" s="6"/>
      <c r="C3176" s="2264">
        <v>6338</v>
      </c>
      <c r="D3176" s="2264">
        <v>4329691.3111841204</v>
      </c>
      <c r="E3176" s="2265">
        <v>122150.879815102</v>
      </c>
      <c r="F3176" s="2266">
        <v>11.8177562011844</v>
      </c>
      <c r="G3176" s="2267">
        <v>0.33340698260500201</v>
      </c>
    </row>
    <row r="3177" spans="1:7" x14ac:dyDescent="0.25">
      <c r="A3177" s="11" t="s">
        <v>6430</v>
      </c>
      <c r="B3177" s="11"/>
      <c r="C3177" s="2268">
        <v>4911</v>
      </c>
      <c r="D3177" s="2268">
        <v>3142841.0102348798</v>
      </c>
      <c r="E3177" s="2269">
        <v>129013.504216484</v>
      </c>
      <c r="F3177" s="2270">
        <v>8.5782856487018702</v>
      </c>
      <c r="G3177" s="2271">
        <v>0.352138300689044</v>
      </c>
    </row>
    <row r="3178" spans="1:7" x14ac:dyDescent="0.25">
      <c r="A3178" s="6" t="s">
        <v>6431</v>
      </c>
      <c r="B3178" s="6"/>
      <c r="C3178" s="2264">
        <v>4145</v>
      </c>
      <c r="D3178" s="2264">
        <v>2598276.1103117098</v>
      </c>
      <c r="E3178" s="2265">
        <v>54962.466668913999</v>
      </c>
      <c r="F3178" s="2266">
        <v>7.0919128889647798</v>
      </c>
      <c r="G3178" s="2267">
        <v>0.150018323694255</v>
      </c>
    </row>
    <row r="3179" spans="1:7" x14ac:dyDescent="0.25">
      <c r="A3179" s="11" t="s">
        <v>6432</v>
      </c>
      <c r="B3179" s="11"/>
      <c r="C3179" s="2268">
        <v>2603</v>
      </c>
      <c r="D3179" s="2268">
        <v>1547166.24958853</v>
      </c>
      <c r="E3179" s="2269">
        <v>78389.311223400902</v>
      </c>
      <c r="F3179" s="2270">
        <v>4.2229415970390702</v>
      </c>
      <c r="G3179" s="2271">
        <v>0.213961158812459</v>
      </c>
    </row>
    <row r="3180" spans="1:7" x14ac:dyDescent="0.25">
      <c r="A3180" s="6" t="s">
        <v>6433</v>
      </c>
      <c r="B3180" s="6"/>
      <c r="C3180" s="2264">
        <v>1789</v>
      </c>
      <c r="D3180" s="2264">
        <v>1038176.93016977</v>
      </c>
      <c r="E3180" s="2265">
        <v>50622.394426107698</v>
      </c>
      <c r="F3180" s="2266">
        <v>2.8336712649117199</v>
      </c>
      <c r="G3180" s="2267">
        <v>0.13817223298926001</v>
      </c>
    </row>
    <row r="3181" spans="1:7" x14ac:dyDescent="0.25">
      <c r="A3181" s="11" t="s">
        <v>6427</v>
      </c>
      <c r="B3181" s="11"/>
      <c r="C3181" s="2268">
        <v>1324</v>
      </c>
      <c r="D3181" s="2268">
        <v>795725.73946896801</v>
      </c>
      <c r="E3181" s="2269">
        <v>77604.402807440405</v>
      </c>
      <c r="F3181" s="2270">
        <v>2.1719083685621099</v>
      </c>
      <c r="G3181" s="2271">
        <v>0.211818775555765</v>
      </c>
    </row>
    <row r="3182" spans="1:7" x14ac:dyDescent="0.25">
      <c r="A3182" s="6" t="s">
        <v>6434</v>
      </c>
      <c r="B3182" s="6"/>
      <c r="C3182" s="2264">
        <v>1105</v>
      </c>
      <c r="D3182" s="2264">
        <v>714542.05744231294</v>
      </c>
      <c r="E3182" s="2265">
        <v>38457.587636623</v>
      </c>
      <c r="F3182" s="2266">
        <v>1.9503200628953301</v>
      </c>
      <c r="G3182" s="2267">
        <v>0.10496877535203999</v>
      </c>
    </row>
    <row r="3183" spans="1:7" x14ac:dyDescent="0.25">
      <c r="A3183" s="11" t="s">
        <v>1123</v>
      </c>
      <c r="B3183" s="11"/>
      <c r="C3183" s="2268">
        <v>632</v>
      </c>
      <c r="D3183" s="2268">
        <v>379343.52491164103</v>
      </c>
      <c r="E3183" s="2269">
        <v>26920.524263888201</v>
      </c>
      <c r="F3183" s="2270">
        <v>1.0354062152938199</v>
      </c>
      <c r="G3183" s="2271">
        <v>7.3478723997041306E-2</v>
      </c>
    </row>
    <row r="3184" spans="1:7" x14ac:dyDescent="0.25">
      <c r="A3184" s="6" t="s">
        <v>1125</v>
      </c>
      <c r="B3184" s="6"/>
      <c r="C3184" s="2264">
        <v>323</v>
      </c>
      <c r="D3184" s="2264">
        <v>193745.374769413</v>
      </c>
      <c r="E3184" s="2265">
        <v>25124.624231514401</v>
      </c>
      <c r="F3184" s="2266">
        <v>0.528821904281635</v>
      </c>
      <c r="G3184" s="2267">
        <v>6.8576871323680205E-2</v>
      </c>
    </row>
    <row r="3185" spans="1:7" x14ac:dyDescent="0.25">
      <c r="A3185" s="11" t="s">
        <v>1127</v>
      </c>
      <c r="B3185" s="11"/>
      <c r="C3185" s="2268">
        <v>217</v>
      </c>
      <c r="D3185" s="2268">
        <v>155913.42446035499</v>
      </c>
      <c r="E3185" s="2269">
        <v>25188.311493011701</v>
      </c>
      <c r="F3185" s="2270">
        <v>0.42556078628624899</v>
      </c>
      <c r="G3185" s="2271">
        <v>6.8750703650461806E-2</v>
      </c>
    </row>
    <row r="3186" spans="1:7" x14ac:dyDescent="0.25">
      <c r="A3186" s="6" t="s">
        <v>1129</v>
      </c>
      <c r="B3186" s="6"/>
      <c r="C3186" s="2264">
        <v>109</v>
      </c>
      <c r="D3186" s="2264">
        <v>66407.837205926393</v>
      </c>
      <c r="E3186" s="2265">
        <v>10336.543201729801</v>
      </c>
      <c r="F3186" s="2266">
        <v>0.181258102146998</v>
      </c>
      <c r="G3186" s="2267">
        <v>2.8213269439489E-2</v>
      </c>
    </row>
    <row r="3187" spans="1:7" x14ac:dyDescent="0.25">
      <c r="A3187" s="11" t="s">
        <v>1131</v>
      </c>
      <c r="B3187" s="11"/>
      <c r="C3187" s="2268">
        <v>77</v>
      </c>
      <c r="D3187" s="2268">
        <v>51326.849810772299</v>
      </c>
      <c r="E3187" s="2269">
        <v>13412.395688103999</v>
      </c>
      <c r="F3187" s="2270">
        <v>0.14009502157155501</v>
      </c>
      <c r="G3187" s="2271">
        <v>3.66087120096317E-2</v>
      </c>
    </row>
    <row r="3188" spans="1:7" x14ac:dyDescent="0.25">
      <c r="A3188" s="6" t="s">
        <v>1135</v>
      </c>
      <c r="B3188" s="6"/>
      <c r="C3188" s="2264">
        <v>42</v>
      </c>
      <c r="D3188" s="2264">
        <v>29246.960904778502</v>
      </c>
      <c r="E3188" s="2265">
        <v>10695.8093500058</v>
      </c>
      <c r="F3188" s="2266">
        <v>7.9828659541023403E-2</v>
      </c>
      <c r="G3188" s="2267">
        <v>2.9193875086690801E-2</v>
      </c>
    </row>
    <row r="3189" spans="1:7" x14ac:dyDescent="0.25">
      <c r="A3189" s="11" t="s">
        <v>1133</v>
      </c>
      <c r="B3189" s="11"/>
      <c r="C3189" s="2268">
        <v>39</v>
      </c>
      <c r="D3189" s="2268">
        <v>27962.1970971316</v>
      </c>
      <c r="E3189" s="2269">
        <v>5823.2412024191999</v>
      </c>
      <c r="F3189" s="2270">
        <v>7.6321937152834599E-2</v>
      </c>
      <c r="G3189" s="2271">
        <v>1.5894353630155601E-2</v>
      </c>
    </row>
    <row r="3190" spans="1:7" x14ac:dyDescent="0.25">
      <c r="A3190" s="6" t="s">
        <v>1137</v>
      </c>
      <c r="B3190" s="6"/>
      <c r="C3190" s="2264">
        <v>8</v>
      </c>
      <c r="D3190" s="2264">
        <v>12580.1768562617</v>
      </c>
      <c r="E3190" s="2265">
        <v>6574.5488887849897</v>
      </c>
      <c r="F3190" s="2266">
        <v>3.4337196896936401E-2</v>
      </c>
      <c r="G3190" s="2267">
        <v>1.79450243245005E-2</v>
      </c>
    </row>
    <row r="3191" spans="1:7" x14ac:dyDescent="0.25">
      <c r="A3191" s="11" t="s">
        <v>1141</v>
      </c>
      <c r="B3191" s="11"/>
      <c r="C3191" s="2268">
        <v>7</v>
      </c>
      <c r="D3191" s="2268">
        <v>11276.667820688601</v>
      </c>
      <c r="E3191" s="2269">
        <v>6467.3106253797596</v>
      </c>
      <c r="F3191" s="2270">
        <v>3.0779309998936799E-2</v>
      </c>
      <c r="G3191" s="2271">
        <v>1.76523208591431E-2</v>
      </c>
    </row>
    <row r="3192" spans="1:7" x14ac:dyDescent="0.25">
      <c r="A3192" s="6" t="s">
        <v>1139</v>
      </c>
      <c r="B3192" s="6"/>
      <c r="C3192" s="2264">
        <v>9</v>
      </c>
      <c r="D3192" s="2264">
        <v>9365.7660545985109</v>
      </c>
      <c r="E3192" s="2265">
        <v>5589.2958461826702</v>
      </c>
      <c r="F3192" s="2266">
        <v>2.5563563754457098E-2</v>
      </c>
      <c r="G3192" s="2267">
        <v>1.52558071455937E-2</v>
      </c>
    </row>
    <row r="3193" spans="1:7" x14ac:dyDescent="0.25">
      <c r="A3193" s="11" t="s">
        <v>3176</v>
      </c>
      <c r="B3193" s="11"/>
      <c r="C3193" s="2268">
        <v>3</v>
      </c>
      <c r="D3193" s="2268">
        <v>1299.68710778935</v>
      </c>
      <c r="E3193" s="2269">
        <v>999.05421403474099</v>
      </c>
      <c r="F3193" s="2270">
        <v>3.5474550663697102E-3</v>
      </c>
      <c r="G3193" s="2271">
        <v>2.7268870421842599E-3</v>
      </c>
    </row>
    <row r="3194" spans="1:7" x14ac:dyDescent="0.25">
      <c r="A3194" s="6" t="s">
        <v>1191</v>
      </c>
      <c r="B3194" s="6"/>
      <c r="C3194" s="2264">
        <v>2</v>
      </c>
      <c r="D3194" s="2264">
        <v>967.00321951799697</v>
      </c>
      <c r="E3194" s="2265">
        <v>885.12066307795806</v>
      </c>
      <c r="F3194" s="2266">
        <v>2.63940486115134E-3</v>
      </c>
      <c r="G3194" s="2267">
        <v>2.4159089998323801E-3</v>
      </c>
    </row>
    <row r="3195" spans="1:7" x14ac:dyDescent="0.25">
      <c r="A3195" s="11" t="s">
        <v>3195</v>
      </c>
      <c r="B3195" s="11"/>
      <c r="C3195" s="2268">
        <v>1</v>
      </c>
      <c r="D3195" s="2268">
        <v>957.632069850525</v>
      </c>
      <c r="E3195" s="2269">
        <v>956.03942762541305</v>
      </c>
      <c r="F3195" s="2270">
        <v>2.6138266029949401E-3</v>
      </c>
      <c r="G3195" s="2271">
        <v>2.6094795361950398E-3</v>
      </c>
    </row>
    <row r="3196" spans="1:7" x14ac:dyDescent="0.25">
      <c r="A3196" s="6" t="s">
        <v>1295</v>
      </c>
      <c r="B3196" s="6"/>
      <c r="C3196" s="2264">
        <v>3</v>
      </c>
      <c r="D3196" s="2264">
        <v>739.98959695325902</v>
      </c>
      <c r="E3196" s="2265">
        <v>679.91342361488296</v>
      </c>
      <c r="F3196" s="2266">
        <v>2.0197783212897598E-3</v>
      </c>
      <c r="G3196" s="2267">
        <v>1.8558022964526499E-3</v>
      </c>
    </row>
    <row r="3197" spans="1:7" x14ac:dyDescent="0.25">
      <c r="A3197" s="11" t="s">
        <v>3172</v>
      </c>
      <c r="B3197" s="11"/>
      <c r="C3197" s="2268">
        <v>1</v>
      </c>
      <c r="D3197" s="2268">
        <v>619.08183140725396</v>
      </c>
      <c r="E3197" s="2269">
        <v>615.643310488574</v>
      </c>
      <c r="F3197" s="2270">
        <v>1.6897643795656201E-3</v>
      </c>
      <c r="G3197" s="2271">
        <v>1.68037904492749E-3</v>
      </c>
    </row>
    <row r="3198" spans="1:7" x14ac:dyDescent="0.25">
      <c r="A3198" s="6" t="s">
        <v>3174</v>
      </c>
      <c r="B3198" s="6"/>
      <c r="C3198" s="2264">
        <v>1</v>
      </c>
      <c r="D3198" s="2264">
        <v>410.72003664434402</v>
      </c>
      <c r="E3198" s="2265">
        <v>413.619134433596</v>
      </c>
      <c r="F3198" s="2266">
        <v>1.1210474168138599E-3</v>
      </c>
      <c r="G3198" s="2267">
        <v>1.12896041302065E-3</v>
      </c>
    </row>
    <row r="3199" spans="1:7" x14ac:dyDescent="0.25">
      <c r="A3199" s="11" t="s">
        <v>1187</v>
      </c>
      <c r="B3199" s="11"/>
      <c r="C3199" s="2268">
        <v>3</v>
      </c>
      <c r="D3199" s="2268">
        <v>303.41860519743898</v>
      </c>
      <c r="E3199" s="2269">
        <v>201.441914438038</v>
      </c>
      <c r="F3199" s="2270">
        <v>8.2817153589319304E-4</v>
      </c>
      <c r="G3199" s="2271">
        <v>5.4982936717208001E-4</v>
      </c>
    </row>
    <row r="3200" spans="1:7" x14ac:dyDescent="0.25">
      <c r="A3200" s="6" t="s">
        <v>1189</v>
      </c>
      <c r="B3200" s="6"/>
      <c r="C3200" s="2264">
        <v>1</v>
      </c>
      <c r="D3200" s="2264">
        <v>156.173343504982</v>
      </c>
      <c r="E3200" s="2265">
        <v>156.18595257506001</v>
      </c>
      <c r="F3200" s="2266">
        <v>4.2627022714026902E-4</v>
      </c>
      <c r="G3200" s="2267">
        <v>4.2630464321027E-4</v>
      </c>
    </row>
    <row r="3201" spans="1:7" x14ac:dyDescent="0.25">
      <c r="A3201" s="11" t="s">
        <v>1088</v>
      </c>
      <c r="B3201" s="11"/>
      <c r="C3201" s="2268">
        <v>2198</v>
      </c>
      <c r="D3201" s="2268">
        <v>2507649.0021306202</v>
      </c>
      <c r="E3201" s="2269">
        <v>4.77482304698748E-3</v>
      </c>
      <c r="F3201" s="2270">
        <v>100</v>
      </c>
      <c r="G3201" s="2271">
        <v>0</v>
      </c>
    </row>
    <row r="3202" spans="1:7" x14ac:dyDescent="0.25">
      <c r="A3202" s="6" t="s">
        <v>6417</v>
      </c>
      <c r="B3202" s="6" t="s">
        <v>6418</v>
      </c>
      <c r="C3202" s="2264">
        <v>53621</v>
      </c>
      <c r="D3202" s="2264">
        <v>36637168.997869298</v>
      </c>
      <c r="E3202" s="2265">
        <v>4.7747907606562603E-3</v>
      </c>
      <c r="F3202" s="2266">
        <v>93.593918351771094</v>
      </c>
      <c r="G3202" s="2267">
        <v>1.2197831158067001E-8</v>
      </c>
    </row>
    <row r="3203" spans="1:7" x14ac:dyDescent="0.25">
      <c r="A3203" s="11" t="s">
        <v>6417</v>
      </c>
      <c r="B3203" s="11" t="s">
        <v>6419</v>
      </c>
      <c r="C3203" s="2268">
        <v>55819</v>
      </c>
      <c r="D3203" s="2268">
        <v>39144818</v>
      </c>
      <c r="E3203" s="2269">
        <v>0</v>
      </c>
      <c r="F3203" s="2270">
        <v>100</v>
      </c>
      <c r="G3203" s="2271">
        <v>0</v>
      </c>
    </row>
    <row r="3204" spans="1:7" x14ac:dyDescent="0.25">
      <c r="A3204" s="3729" t="s">
        <v>244</v>
      </c>
      <c r="B3204" s="3730"/>
      <c r="C3204" s="3730"/>
      <c r="D3204" s="3730"/>
      <c r="E3204" s="3730"/>
      <c r="F3204" s="3730"/>
      <c r="G3204" s="3730"/>
    </row>
    <row r="3205" spans="1:7" x14ac:dyDescent="0.25">
      <c r="A3205" s="11" t="s">
        <v>1102</v>
      </c>
      <c r="B3205" s="11" t="s">
        <v>1103</v>
      </c>
      <c r="C3205" s="2276">
        <v>33321</v>
      </c>
      <c r="D3205" s="2276">
        <v>21330358.503888302</v>
      </c>
      <c r="E3205" s="2277">
        <v>89672.709039072201</v>
      </c>
      <c r="F3205" s="2278">
        <v>89.480458878547395</v>
      </c>
      <c r="G3205" s="2279">
        <v>3.9575609873427599E-2</v>
      </c>
    </row>
    <row r="3206" spans="1:7" x14ac:dyDescent="0.25">
      <c r="A3206" s="6" t="s">
        <v>1088</v>
      </c>
      <c r="B3206" s="6"/>
      <c r="C3206" s="2272">
        <v>2198</v>
      </c>
      <c r="D3206" s="2272">
        <v>2507649.0021306202</v>
      </c>
      <c r="E3206" s="2273">
        <v>4.77482304698748E-3</v>
      </c>
      <c r="F3206" s="2274">
        <v>10.519541121452599</v>
      </c>
      <c r="G3206" s="2275">
        <v>3.9575609873422998E-2</v>
      </c>
    </row>
    <row r="3207" spans="1:7" x14ac:dyDescent="0.25">
      <c r="A3207" s="11" t="s">
        <v>6417</v>
      </c>
      <c r="B3207" s="11" t="s">
        <v>6418</v>
      </c>
      <c r="C3207" s="2276">
        <v>19666</v>
      </c>
      <c r="D3207" s="2276">
        <v>15306810.493981199</v>
      </c>
      <c r="E3207" s="2277">
        <v>89672.7078340765</v>
      </c>
      <c r="F3207" s="2278">
        <v>39.103031451011397</v>
      </c>
      <c r="G3207" s="2279">
        <v>0.22907938372346801</v>
      </c>
    </row>
    <row r="3208" spans="1:7" x14ac:dyDescent="0.25">
      <c r="A3208" s="6" t="s">
        <v>6417</v>
      </c>
      <c r="B3208" s="6" t="s">
        <v>6419</v>
      </c>
      <c r="C3208" s="2272">
        <v>55185</v>
      </c>
      <c r="D3208" s="2272">
        <v>39144818.000000097</v>
      </c>
      <c r="E3208" s="2273">
        <v>0</v>
      </c>
      <c r="F3208" s="2274">
        <v>100</v>
      </c>
      <c r="G3208" s="2275">
        <v>0</v>
      </c>
    </row>
    <row r="3209" spans="1:7" x14ac:dyDescent="0.25">
      <c r="A3209" s="3729" t="s">
        <v>1030</v>
      </c>
      <c r="B3209" s="3730"/>
      <c r="C3209" s="3730"/>
      <c r="D3209" s="3730"/>
      <c r="E3209" s="3730"/>
      <c r="F3209" s="3730"/>
      <c r="G3209" s="3730"/>
    </row>
    <row r="3210" spans="1:7" x14ac:dyDescent="0.25">
      <c r="A3210" s="11" t="s">
        <v>1100</v>
      </c>
      <c r="B3210" s="11" t="s">
        <v>3155</v>
      </c>
      <c r="C3210" s="2284">
        <v>20166</v>
      </c>
      <c r="D3210" s="2284">
        <v>15210718.297935201</v>
      </c>
      <c r="E3210" s="2285">
        <v>80729.955283296295</v>
      </c>
      <c r="F3210" s="2286">
        <v>99.415170255049503</v>
      </c>
      <c r="G3210" s="2287">
        <v>0.12565974684717901</v>
      </c>
    </row>
    <row r="3211" spans="1:7" x14ac:dyDescent="0.25">
      <c r="A3211" s="6" t="s">
        <v>1127</v>
      </c>
      <c r="B3211" s="6" t="s">
        <v>3160</v>
      </c>
      <c r="C3211" s="2280">
        <v>6</v>
      </c>
      <c r="D3211" s="2280">
        <v>8946.3708198820495</v>
      </c>
      <c r="E3211" s="2281">
        <v>5970.0327987901201</v>
      </c>
      <c r="F3211" s="2282">
        <v>5.84722536307909E-2</v>
      </c>
      <c r="G3211" s="2283">
        <v>3.8896893062495101E-2</v>
      </c>
    </row>
    <row r="3212" spans="1:7" x14ac:dyDescent="0.25">
      <c r="A3212" s="11" t="s">
        <v>1096</v>
      </c>
      <c r="B3212" s="11" t="s">
        <v>3153</v>
      </c>
      <c r="C3212" s="2284">
        <v>5</v>
      </c>
      <c r="D3212" s="2284">
        <v>7635.6542037072504</v>
      </c>
      <c r="E3212" s="2285">
        <v>4243.0139333826201</v>
      </c>
      <c r="F3212" s="2286">
        <v>4.9905589453542398E-2</v>
      </c>
      <c r="G3212" s="2287">
        <v>2.7696241648729501E-2</v>
      </c>
    </row>
    <row r="3213" spans="1:7" x14ac:dyDescent="0.25">
      <c r="A3213" s="6" t="s">
        <v>1119</v>
      </c>
      <c r="B3213" s="6" t="s">
        <v>3156</v>
      </c>
      <c r="C3213" s="2280">
        <v>8</v>
      </c>
      <c r="D3213" s="2280">
        <v>7618.0881033609203</v>
      </c>
      <c r="E3213" s="2281">
        <v>3621.6904899472602</v>
      </c>
      <c r="F3213" s="2282">
        <v>4.9790779829010402E-2</v>
      </c>
      <c r="G3213" s="2283">
        <v>2.3619350482230898E-2</v>
      </c>
    </row>
    <row r="3214" spans="1:7" x14ac:dyDescent="0.25">
      <c r="A3214" s="11" t="s">
        <v>1203</v>
      </c>
      <c r="B3214" s="11" t="s">
        <v>3198</v>
      </c>
      <c r="C3214" s="2284">
        <v>9</v>
      </c>
      <c r="D3214" s="2284">
        <v>6545.3401793889998</v>
      </c>
      <c r="E3214" s="2285">
        <v>3397.2865215072702</v>
      </c>
      <c r="F3214" s="2286">
        <v>4.2779446411778201E-2</v>
      </c>
      <c r="G3214" s="2287">
        <v>2.2226805205876901E-2</v>
      </c>
    </row>
    <row r="3215" spans="1:7" x14ac:dyDescent="0.25">
      <c r="A3215" s="6" t="s">
        <v>1201</v>
      </c>
      <c r="B3215" s="6" t="s">
        <v>3186</v>
      </c>
      <c r="C3215" s="2280">
        <v>4</v>
      </c>
      <c r="D3215" s="2280">
        <v>6346.5825483370099</v>
      </c>
      <c r="E3215" s="2281">
        <v>5372.18565428074</v>
      </c>
      <c r="F3215" s="2282">
        <v>4.1480393773796802E-2</v>
      </c>
      <c r="G3215" s="2283">
        <v>3.5095443422065699E-2</v>
      </c>
    </row>
    <row r="3216" spans="1:7" x14ac:dyDescent="0.25">
      <c r="A3216" s="11" t="s">
        <v>1090</v>
      </c>
      <c r="B3216" s="11" t="s">
        <v>3151</v>
      </c>
      <c r="C3216" s="2284">
        <v>2</v>
      </c>
      <c r="D3216" s="2284">
        <v>5764.0624303794202</v>
      </c>
      <c r="E3216" s="2285">
        <v>5904.1721804252902</v>
      </c>
      <c r="F3216" s="2286">
        <v>3.7673122113811797E-2</v>
      </c>
      <c r="G3216" s="2287">
        <v>3.8569565278867603E-2</v>
      </c>
    </row>
    <row r="3217" spans="1:7" x14ac:dyDescent="0.25">
      <c r="A3217" s="6" t="s">
        <v>1125</v>
      </c>
      <c r="B3217" s="6" t="s">
        <v>3159</v>
      </c>
      <c r="C3217" s="2280">
        <v>1</v>
      </c>
      <c r="D3217" s="2280">
        <v>5605.7893696577203</v>
      </c>
      <c r="E3217" s="2281">
        <v>5715.5744425816301</v>
      </c>
      <c r="F3217" s="2282">
        <v>3.6638671079334897E-2</v>
      </c>
      <c r="G3217" s="2283">
        <v>3.7330416742028701E-2</v>
      </c>
    </row>
    <row r="3218" spans="1:7" x14ac:dyDescent="0.25">
      <c r="A3218" s="11" t="s">
        <v>3172</v>
      </c>
      <c r="B3218" s="11" t="s">
        <v>3173</v>
      </c>
      <c r="C3218" s="2284">
        <v>3</v>
      </c>
      <c r="D3218" s="2284">
        <v>4136.81413004773</v>
      </c>
      <c r="E3218" s="2285">
        <v>4137.5676352664404</v>
      </c>
      <c r="F3218" s="2286">
        <v>2.7037650227735601E-2</v>
      </c>
      <c r="G3218" s="2287">
        <v>2.70473206250708E-2</v>
      </c>
    </row>
    <row r="3219" spans="1:7" x14ac:dyDescent="0.25">
      <c r="A3219" s="6" t="s">
        <v>3201</v>
      </c>
      <c r="B3219" s="6" t="s">
        <v>3202</v>
      </c>
      <c r="C3219" s="2280">
        <v>2</v>
      </c>
      <c r="D3219" s="2280">
        <v>4036.9947050610199</v>
      </c>
      <c r="E3219" s="2281">
        <v>4057.98683521359</v>
      </c>
      <c r="F3219" s="2282">
        <v>2.6385244145692599E-2</v>
      </c>
      <c r="G3219" s="2283">
        <v>2.6526207270563099E-2</v>
      </c>
    </row>
    <row r="3220" spans="1:7" x14ac:dyDescent="0.25">
      <c r="A3220" s="11" t="s">
        <v>1197</v>
      </c>
      <c r="B3220" s="11" t="s">
        <v>3184</v>
      </c>
      <c r="C3220" s="2284">
        <v>27</v>
      </c>
      <c r="D3220" s="2284">
        <v>3700.6550131651402</v>
      </c>
      <c r="E3220" s="2285">
        <v>1724.0751118369801</v>
      </c>
      <c r="F3220" s="2286">
        <v>2.4186974012854801E-2</v>
      </c>
      <c r="G3220" s="2287">
        <v>1.12587454855457E-2</v>
      </c>
    </row>
    <row r="3221" spans="1:7" x14ac:dyDescent="0.25">
      <c r="A3221" s="6" t="s">
        <v>1129</v>
      </c>
      <c r="B3221" s="6" t="s">
        <v>3161</v>
      </c>
      <c r="C3221" s="2280">
        <v>4</v>
      </c>
      <c r="D3221" s="2280">
        <v>2843.0447337948899</v>
      </c>
      <c r="E3221" s="2281">
        <v>1894.5902222275599</v>
      </c>
      <c r="F3221" s="2282">
        <v>1.8581750757379299E-2</v>
      </c>
      <c r="G3221" s="2283">
        <v>1.23631161694962E-2</v>
      </c>
    </row>
    <row r="3222" spans="1:7" x14ac:dyDescent="0.25">
      <c r="A3222" s="11" t="s">
        <v>1187</v>
      </c>
      <c r="B3222" s="11" t="s">
        <v>3168</v>
      </c>
      <c r="C3222" s="2284">
        <v>1</v>
      </c>
      <c r="D3222" s="2284">
        <v>2719.4828095663502</v>
      </c>
      <c r="E3222" s="2285">
        <v>2748.8071908986599</v>
      </c>
      <c r="F3222" s="2286">
        <v>1.7774166954062798E-2</v>
      </c>
      <c r="G3222" s="2287">
        <v>1.7956711295198099E-2</v>
      </c>
    </row>
    <row r="3223" spans="1:7" x14ac:dyDescent="0.25">
      <c r="A3223" s="6" t="s">
        <v>3195</v>
      </c>
      <c r="B3223" s="6" t="s">
        <v>3196</v>
      </c>
      <c r="C3223" s="2280">
        <v>3</v>
      </c>
      <c r="D3223" s="2280">
        <v>2705.3504957674299</v>
      </c>
      <c r="E3223" s="2281">
        <v>2210.7450747397102</v>
      </c>
      <c r="F3223" s="2282">
        <v>1.7681800087824301E-2</v>
      </c>
      <c r="G3223" s="2283">
        <v>1.44419300399497E-2</v>
      </c>
    </row>
    <row r="3224" spans="1:7" x14ac:dyDescent="0.25">
      <c r="A3224" s="11" t="s">
        <v>3189</v>
      </c>
      <c r="B3224" s="11" t="s">
        <v>3190</v>
      </c>
      <c r="C3224" s="2284">
        <v>4</v>
      </c>
      <c r="D3224" s="2284">
        <v>2684.6589817282902</v>
      </c>
      <c r="E3224" s="2285">
        <v>2725.40791278083</v>
      </c>
      <c r="F3224" s="2286">
        <v>1.75465631877159E-2</v>
      </c>
      <c r="G3224" s="2287">
        <v>1.7801899256243099E-2</v>
      </c>
    </row>
    <row r="3225" spans="1:7" x14ac:dyDescent="0.25">
      <c r="A3225" s="6" t="s">
        <v>3207</v>
      </c>
      <c r="B3225" s="6" t="s">
        <v>3208</v>
      </c>
      <c r="C3225" s="2280">
        <v>8</v>
      </c>
      <c r="D3225" s="2280">
        <v>2370.4533887795401</v>
      </c>
      <c r="E3225" s="2281">
        <v>2311.0312585593001</v>
      </c>
      <c r="F3225" s="2282">
        <v>1.54929584922473E-2</v>
      </c>
      <c r="G3225" s="2283">
        <v>1.5097907111169699E-2</v>
      </c>
    </row>
    <row r="3226" spans="1:7" x14ac:dyDescent="0.25">
      <c r="A3226" s="11" t="s">
        <v>1209</v>
      </c>
      <c r="B3226" s="11" t="s">
        <v>3200</v>
      </c>
      <c r="C3226" s="2284">
        <v>1</v>
      </c>
      <c r="D3226" s="2284">
        <v>2326.7398448970198</v>
      </c>
      <c r="E3226" s="2285">
        <v>2350.4532773579299</v>
      </c>
      <c r="F3226" s="2286">
        <v>1.5207252760117499E-2</v>
      </c>
      <c r="G3226" s="2287">
        <v>1.5357955709354601E-2</v>
      </c>
    </row>
    <row r="3227" spans="1:7" x14ac:dyDescent="0.25">
      <c r="A3227" s="6" t="s">
        <v>3176</v>
      </c>
      <c r="B3227" s="6" t="s">
        <v>3177</v>
      </c>
      <c r="C3227" s="2280">
        <v>4</v>
      </c>
      <c r="D3227" s="2280">
        <v>2105.5299404816801</v>
      </c>
      <c r="E3227" s="2281">
        <v>1717.4952930598899</v>
      </c>
      <c r="F3227" s="2282">
        <v>1.3761455140386399E-2</v>
      </c>
      <c r="G3227" s="2283">
        <v>1.12158830714888E-2</v>
      </c>
    </row>
    <row r="3228" spans="1:7" x14ac:dyDescent="0.25">
      <c r="A3228" s="11" t="s">
        <v>1211</v>
      </c>
      <c r="B3228" s="11" t="s">
        <v>3212</v>
      </c>
      <c r="C3228" s="2284">
        <v>1</v>
      </c>
      <c r="D3228" s="2284">
        <v>1879.8964603657</v>
      </c>
      <c r="E3228" s="2285">
        <v>1899.6843645024201</v>
      </c>
      <c r="F3228" s="2286">
        <v>1.22867456361013E-2</v>
      </c>
      <c r="G3228" s="2287">
        <v>1.24061241814389E-2</v>
      </c>
    </row>
    <row r="3229" spans="1:7" x14ac:dyDescent="0.25">
      <c r="A3229" s="6" t="s">
        <v>1205</v>
      </c>
      <c r="B3229" s="6" t="s">
        <v>3199</v>
      </c>
      <c r="C3229" s="2280">
        <v>4</v>
      </c>
      <c r="D3229" s="2280">
        <v>1496.21692122374</v>
      </c>
      <c r="E3229" s="2281">
        <v>1418.5564837934601</v>
      </c>
      <c r="F3229" s="2282">
        <v>9.7790687493131394E-3</v>
      </c>
      <c r="G3229" s="2283">
        <v>9.2633700238306093E-3</v>
      </c>
    </row>
    <row r="3230" spans="1:7" x14ac:dyDescent="0.25">
      <c r="A3230" s="11" t="s">
        <v>1137</v>
      </c>
      <c r="B3230" s="11" t="s">
        <v>3164</v>
      </c>
      <c r="C3230" s="2284">
        <v>3</v>
      </c>
      <c r="D3230" s="2284">
        <v>1327.7647362017201</v>
      </c>
      <c r="E3230" s="2285">
        <v>745.91460252602303</v>
      </c>
      <c r="F3230" s="2286">
        <v>8.6780883533990102E-3</v>
      </c>
      <c r="G3230" s="2287">
        <v>4.8636842482008003E-3</v>
      </c>
    </row>
    <row r="3231" spans="1:7" x14ac:dyDescent="0.25">
      <c r="A3231" s="6" t="s">
        <v>3205</v>
      </c>
      <c r="B3231" s="6" t="s">
        <v>3206</v>
      </c>
      <c r="C3231" s="2280">
        <v>2</v>
      </c>
      <c r="D3231" s="2280">
        <v>1108.5045537881499</v>
      </c>
      <c r="E3231" s="2281">
        <v>994.49871161420504</v>
      </c>
      <c r="F3231" s="2282">
        <v>7.2450338494735303E-3</v>
      </c>
      <c r="G3231" s="2283">
        <v>6.4950965107177898E-3</v>
      </c>
    </row>
    <row r="3232" spans="1:7" x14ac:dyDescent="0.25">
      <c r="A3232" s="11" t="s">
        <v>1195</v>
      </c>
      <c r="B3232" s="11" t="s">
        <v>3183</v>
      </c>
      <c r="C3232" s="2284">
        <v>1</v>
      </c>
      <c r="D3232" s="2284">
        <v>1105.7120187021301</v>
      </c>
      <c r="E3232" s="2285">
        <v>1115.7883610091001</v>
      </c>
      <c r="F3232" s="2286">
        <v>7.2267822228519298E-3</v>
      </c>
      <c r="G3232" s="2287">
        <v>7.2874333383228804E-3</v>
      </c>
    </row>
    <row r="3233" spans="1:7" x14ac:dyDescent="0.25">
      <c r="A3233" s="6" t="s">
        <v>3180</v>
      </c>
      <c r="B3233" s="6" t="s">
        <v>3181</v>
      </c>
      <c r="C3233" s="2280">
        <v>4</v>
      </c>
      <c r="D3233" s="2280">
        <v>950.52994783588395</v>
      </c>
      <c r="E3233" s="2281">
        <v>977.59293488594903</v>
      </c>
      <c r="F3233" s="2282">
        <v>6.2125334744681498E-3</v>
      </c>
      <c r="G3233" s="2283">
        <v>6.3868453236077E-3</v>
      </c>
    </row>
    <row r="3234" spans="1:7" x14ac:dyDescent="0.25">
      <c r="A3234" s="11" t="s">
        <v>1193</v>
      </c>
      <c r="B3234" s="11" t="s">
        <v>3171</v>
      </c>
      <c r="C3234" s="2284">
        <v>2</v>
      </c>
      <c r="D3234" s="2284">
        <v>922.05871606618598</v>
      </c>
      <c r="E3234" s="2285">
        <v>693.41841794184995</v>
      </c>
      <c r="F3234" s="2286">
        <v>6.02644940543771E-3</v>
      </c>
      <c r="G3234" s="2287">
        <v>4.52944399250595E-3</v>
      </c>
    </row>
    <row r="3235" spans="1:7" x14ac:dyDescent="0.25">
      <c r="A3235" s="6" t="s">
        <v>3209</v>
      </c>
      <c r="B3235" s="6" t="s">
        <v>3210</v>
      </c>
      <c r="C3235" s="2280">
        <v>5</v>
      </c>
      <c r="D3235" s="2280">
        <v>904.91659603771302</v>
      </c>
      <c r="E3235" s="2281">
        <v>512.89819700678299</v>
      </c>
      <c r="F3235" s="2282">
        <v>5.9144108581592096E-3</v>
      </c>
      <c r="G3235" s="2283">
        <v>3.3667759776445801E-3</v>
      </c>
    </row>
    <row r="3236" spans="1:7" x14ac:dyDescent="0.25">
      <c r="A3236" s="11" t="s">
        <v>1301</v>
      </c>
      <c r="B3236" s="11" t="s">
        <v>3211</v>
      </c>
      <c r="C3236" s="2284">
        <v>1</v>
      </c>
      <c r="D3236" s="2284">
        <v>766.01663709558898</v>
      </c>
      <c r="E3236" s="2285">
        <v>761.52874426709002</v>
      </c>
      <c r="F3236" s="2286">
        <v>5.0065797619429902E-3</v>
      </c>
      <c r="G3236" s="2287">
        <v>4.9776129801862804E-3</v>
      </c>
    </row>
    <row r="3237" spans="1:7" x14ac:dyDescent="0.25">
      <c r="A3237" s="6" t="s">
        <v>1189</v>
      </c>
      <c r="B3237" s="6" t="s">
        <v>3169</v>
      </c>
      <c r="C3237" s="2280">
        <v>1</v>
      </c>
      <c r="D3237" s="2280">
        <v>258.37629663490702</v>
      </c>
      <c r="E3237" s="2281">
        <v>256.61545955529698</v>
      </c>
      <c r="F3237" s="2282">
        <v>1.6887120658407901E-3</v>
      </c>
      <c r="G3237" s="2283">
        <v>1.67682354247946E-3</v>
      </c>
    </row>
    <row r="3238" spans="1:7" x14ac:dyDescent="0.25">
      <c r="A3238" s="11" t="s">
        <v>3191</v>
      </c>
      <c r="B3238" s="11" t="s">
        <v>3192</v>
      </c>
      <c r="C3238" s="2284">
        <v>3</v>
      </c>
      <c r="D3238" s="2284">
        <v>225.21149267564201</v>
      </c>
      <c r="E3238" s="2285">
        <v>225.20652711150899</v>
      </c>
      <c r="F3238" s="2286">
        <v>1.47195145220604E-3</v>
      </c>
      <c r="G3238" s="2287">
        <v>1.4711135210691501E-3</v>
      </c>
    </row>
    <row r="3239" spans="1:7" x14ac:dyDescent="0.25">
      <c r="A3239" s="6" t="s">
        <v>3215</v>
      </c>
      <c r="B3239" s="6" t="s">
        <v>3216</v>
      </c>
      <c r="C3239" s="2280">
        <v>1</v>
      </c>
      <c r="D3239" s="2280">
        <v>150.534261368345</v>
      </c>
      <c r="E3239" s="2281">
        <v>151.81139366222101</v>
      </c>
      <c r="F3239" s="2282">
        <v>9.838713024606881E-4</v>
      </c>
      <c r="G3239" s="2283">
        <v>9.9146943325144603E-4</v>
      </c>
    </row>
    <row r="3240" spans="1:7" x14ac:dyDescent="0.25">
      <c r="A3240" s="11" t="s">
        <v>1215</v>
      </c>
      <c r="B3240" s="11" t="s">
        <v>3213</v>
      </c>
      <c r="C3240" s="2284">
        <v>2</v>
      </c>
      <c r="D3240" s="2284">
        <v>133.12591770033501</v>
      </c>
      <c r="E3240" s="2285">
        <v>134.64440502316</v>
      </c>
      <c r="F3240" s="2286">
        <v>8.7009275395857303E-4</v>
      </c>
      <c r="G3240" s="2287">
        <v>8.7986645099827701E-4</v>
      </c>
    </row>
    <row r="3241" spans="1:7" x14ac:dyDescent="0.25">
      <c r="A3241" s="6" t="s">
        <v>3193</v>
      </c>
      <c r="B3241" s="6" t="s">
        <v>3194</v>
      </c>
      <c r="C3241" s="2280">
        <v>1</v>
      </c>
      <c r="D3241" s="2280">
        <v>93.745397544153306</v>
      </c>
      <c r="E3241" s="2281">
        <v>93.207885549313104</v>
      </c>
      <c r="F3241" s="2282">
        <v>6.1270707108844501E-4</v>
      </c>
      <c r="G3241" s="2283">
        <v>6.0915535657106099E-4</v>
      </c>
    </row>
    <row r="3242" spans="1:7" x14ac:dyDescent="0.25">
      <c r="A3242" s="11" t="s">
        <v>1295</v>
      </c>
      <c r="B3242" s="11" t="s">
        <v>3167</v>
      </c>
      <c r="C3242" s="2284">
        <v>1</v>
      </c>
      <c r="D3242" s="2284">
        <v>65.889682603686893</v>
      </c>
      <c r="E3242" s="2285">
        <v>64.937533476195199</v>
      </c>
      <c r="F3242" s="2286">
        <v>4.3064593570087302E-4</v>
      </c>
      <c r="G3242" s="2287">
        <v>4.2409330872065902E-4</v>
      </c>
    </row>
    <row r="3243" spans="1:7" x14ac:dyDescent="0.25">
      <c r="A3243" s="6" t="s">
        <v>1102</v>
      </c>
      <c r="B3243" s="6" t="s">
        <v>1103</v>
      </c>
      <c r="C3243" s="2280">
        <v>33328</v>
      </c>
      <c r="D3243" s="2280">
        <v>21336970.588600501</v>
      </c>
      <c r="E3243" s="2281">
        <v>89357.131160055796</v>
      </c>
      <c r="F3243" s="2282">
        <v>89.483375934815101</v>
      </c>
      <c r="G3243" s="2283">
        <v>3.94155400827109E-2</v>
      </c>
    </row>
    <row r="3244" spans="1:7" x14ac:dyDescent="0.25">
      <c r="A3244" s="11" t="s">
        <v>1088</v>
      </c>
      <c r="B3244" s="11"/>
      <c r="C3244" s="2284">
        <v>2198</v>
      </c>
      <c r="D3244" s="2284">
        <v>2507649.0021306202</v>
      </c>
      <c r="E3244" s="2285">
        <v>4.77482304698748E-3</v>
      </c>
      <c r="F3244" s="2286">
        <v>10.516624065184899</v>
      </c>
      <c r="G3244" s="2287">
        <v>3.94155400827036E-2</v>
      </c>
    </row>
    <row r="3245" spans="1:7" x14ac:dyDescent="0.25">
      <c r="A3245" s="6" t="s">
        <v>6417</v>
      </c>
      <c r="B3245" s="6" t="s">
        <v>6418</v>
      </c>
      <c r="C3245" s="2280">
        <v>20290</v>
      </c>
      <c r="D3245" s="2280">
        <v>15300198.4092691</v>
      </c>
      <c r="E3245" s="2281">
        <v>89357.129909184296</v>
      </c>
      <c r="F3245" s="2282">
        <v>39.086140109960397</v>
      </c>
      <c r="G3245" s="2283">
        <v>0.228273203132907</v>
      </c>
    </row>
    <row r="3246" spans="1:7" x14ac:dyDescent="0.25">
      <c r="A3246" s="11" t="s">
        <v>6417</v>
      </c>
      <c r="B3246" s="11" t="s">
        <v>6419</v>
      </c>
      <c r="C3246" s="2284">
        <v>55816</v>
      </c>
      <c r="D3246" s="2284">
        <v>39144818.000000097</v>
      </c>
      <c r="E3246" s="2285">
        <v>0</v>
      </c>
      <c r="F3246" s="2286">
        <v>100</v>
      </c>
      <c r="G3246" s="2287">
        <v>0</v>
      </c>
    </row>
    <row r="3247" spans="1:7" x14ac:dyDescent="0.25">
      <c r="A3247" s="3729" t="s">
        <v>42</v>
      </c>
      <c r="B3247" s="3730"/>
      <c r="C3247" s="3730"/>
      <c r="D3247" s="3730"/>
      <c r="E3247" s="3730"/>
      <c r="F3247" s="3730"/>
      <c r="G3247" s="3730"/>
    </row>
    <row r="3248" spans="1:7" x14ac:dyDescent="0.25">
      <c r="A3248" s="11" t="s">
        <v>1094</v>
      </c>
      <c r="B3248" s="11" t="s">
        <v>1114</v>
      </c>
      <c r="C3248" s="2292">
        <v>993</v>
      </c>
      <c r="D3248" s="2292">
        <v>902974.50584462204</v>
      </c>
      <c r="E3248" s="2293">
        <v>66652.385688504597</v>
      </c>
      <c r="F3248" s="2294">
        <v>26.646734641562698</v>
      </c>
      <c r="G3248" s="2295">
        <v>1.24851679977295</v>
      </c>
    </row>
    <row r="3249" spans="1:7" x14ac:dyDescent="0.25">
      <c r="A3249" s="6" t="s">
        <v>1137</v>
      </c>
      <c r="B3249" s="6" t="s">
        <v>1138</v>
      </c>
      <c r="C3249" s="2288">
        <v>997</v>
      </c>
      <c r="D3249" s="2288">
        <v>359608.32591594203</v>
      </c>
      <c r="E3249" s="2289">
        <v>70076.974630041004</v>
      </c>
      <c r="F3249" s="2290">
        <v>10.6120245627705</v>
      </c>
      <c r="G3249" s="2291">
        <v>1.72363735068941</v>
      </c>
    </row>
    <row r="3250" spans="1:7" x14ac:dyDescent="0.25">
      <c r="A3250" s="11" t="s">
        <v>1119</v>
      </c>
      <c r="B3250" s="11" t="s">
        <v>1120</v>
      </c>
      <c r="C3250" s="2292">
        <v>276</v>
      </c>
      <c r="D3250" s="2292">
        <v>355386.58408948599</v>
      </c>
      <c r="E3250" s="2293">
        <v>37426.839649952402</v>
      </c>
      <c r="F3250" s="2294">
        <v>10.4874411626339</v>
      </c>
      <c r="G3250" s="2295">
        <v>1.0359060253278101</v>
      </c>
    </row>
    <row r="3251" spans="1:7" x14ac:dyDescent="0.25">
      <c r="A3251" s="6" t="s">
        <v>1111</v>
      </c>
      <c r="B3251" s="6" t="s">
        <v>1143</v>
      </c>
      <c r="C3251" s="2288">
        <v>614</v>
      </c>
      <c r="D3251" s="2288">
        <v>332822.67044420203</v>
      </c>
      <c r="E3251" s="2289">
        <v>33812.754614306497</v>
      </c>
      <c r="F3251" s="2290">
        <v>9.8215811461115194</v>
      </c>
      <c r="G3251" s="2291">
        <v>0.94223419658334495</v>
      </c>
    </row>
    <row r="3252" spans="1:7" x14ac:dyDescent="0.25">
      <c r="A3252" s="11" t="s">
        <v>1135</v>
      </c>
      <c r="B3252" s="11" t="s">
        <v>1136</v>
      </c>
      <c r="C3252" s="2292">
        <v>593</v>
      </c>
      <c r="D3252" s="2292">
        <v>330015.09503242001</v>
      </c>
      <c r="E3252" s="2293">
        <v>23916.528014347699</v>
      </c>
      <c r="F3252" s="2294">
        <v>9.7387297294882593</v>
      </c>
      <c r="G3252" s="2295">
        <v>0.90943164947431099</v>
      </c>
    </row>
    <row r="3253" spans="1:7" x14ac:dyDescent="0.25">
      <c r="A3253" s="6" t="s">
        <v>1133</v>
      </c>
      <c r="B3253" s="6" t="s">
        <v>1134</v>
      </c>
      <c r="C3253" s="2288">
        <v>647</v>
      </c>
      <c r="D3253" s="2288">
        <v>274366.20234144002</v>
      </c>
      <c r="E3253" s="2289">
        <v>32108.018158343501</v>
      </c>
      <c r="F3253" s="2290">
        <v>8.0965335577964606</v>
      </c>
      <c r="G3253" s="2291">
        <v>0.81325378950298699</v>
      </c>
    </row>
    <row r="3254" spans="1:7" x14ac:dyDescent="0.25">
      <c r="A3254" s="11" t="s">
        <v>1125</v>
      </c>
      <c r="B3254" s="11" t="s">
        <v>1126</v>
      </c>
      <c r="C3254" s="2292">
        <v>197</v>
      </c>
      <c r="D3254" s="2292">
        <v>130504.12719028399</v>
      </c>
      <c r="E3254" s="2293">
        <v>17498.8842769945</v>
      </c>
      <c r="F3254" s="2294">
        <v>3.8511705749825702</v>
      </c>
      <c r="G3254" s="2295">
        <v>0.49147741903235798</v>
      </c>
    </row>
    <row r="3255" spans="1:7" x14ac:dyDescent="0.25">
      <c r="A3255" s="6" t="s">
        <v>1100</v>
      </c>
      <c r="B3255" s="6" t="s">
        <v>1117</v>
      </c>
      <c r="C3255" s="2288">
        <v>96</v>
      </c>
      <c r="D3255" s="2288">
        <v>108950.521402718</v>
      </c>
      <c r="E3255" s="2289">
        <v>13071.6308948798</v>
      </c>
      <c r="F3255" s="2290">
        <v>3.21512469520118</v>
      </c>
      <c r="G3255" s="2291">
        <v>0.47551827515942402</v>
      </c>
    </row>
    <row r="3256" spans="1:7" x14ac:dyDescent="0.25">
      <c r="A3256" s="11" t="s">
        <v>1121</v>
      </c>
      <c r="B3256" s="11" t="s">
        <v>1122</v>
      </c>
      <c r="C3256" s="2292">
        <v>101</v>
      </c>
      <c r="D3256" s="2292">
        <v>102143.20326058401</v>
      </c>
      <c r="E3256" s="2293">
        <v>16247.984792671499</v>
      </c>
      <c r="F3256" s="2294">
        <v>3.0142410611893</v>
      </c>
      <c r="G3256" s="2295">
        <v>0.56082990619126605</v>
      </c>
    </row>
    <row r="3257" spans="1:7" x14ac:dyDescent="0.25">
      <c r="A3257" s="6" t="s">
        <v>1096</v>
      </c>
      <c r="B3257" s="6" t="s">
        <v>1115</v>
      </c>
      <c r="C3257" s="2288">
        <v>152</v>
      </c>
      <c r="D3257" s="2288">
        <v>97797.938506679799</v>
      </c>
      <c r="E3257" s="2289">
        <v>14127.7818480077</v>
      </c>
      <c r="F3257" s="2290">
        <v>2.8860125053495</v>
      </c>
      <c r="G3257" s="2291">
        <v>0.37939400456373101</v>
      </c>
    </row>
    <row r="3258" spans="1:7" x14ac:dyDescent="0.25">
      <c r="A3258" s="11" t="s">
        <v>1098</v>
      </c>
      <c r="B3258" s="11" t="s">
        <v>1116</v>
      </c>
      <c r="C3258" s="2292">
        <v>163</v>
      </c>
      <c r="D3258" s="2292">
        <v>92339.282026813395</v>
      </c>
      <c r="E3258" s="2293">
        <v>22504.792888531902</v>
      </c>
      <c r="F3258" s="2294">
        <v>2.7249278127286498</v>
      </c>
      <c r="G3258" s="2295">
        <v>0.58239302787713099</v>
      </c>
    </row>
    <row r="3259" spans="1:7" x14ac:dyDescent="0.25">
      <c r="A3259" s="6" t="s">
        <v>1139</v>
      </c>
      <c r="B3259" s="6" t="s">
        <v>1140</v>
      </c>
      <c r="C3259" s="2288">
        <v>165</v>
      </c>
      <c r="D3259" s="2288">
        <v>87709.810300563797</v>
      </c>
      <c r="E3259" s="2289">
        <v>11132.569919187201</v>
      </c>
      <c r="F3259" s="2290">
        <v>2.5883123226771301</v>
      </c>
      <c r="G3259" s="2291">
        <v>0.36132390052782898</v>
      </c>
    </row>
    <row r="3260" spans="1:7" x14ac:dyDescent="0.25">
      <c r="A3260" s="11" t="s">
        <v>1141</v>
      </c>
      <c r="B3260" s="11" t="s">
        <v>1142</v>
      </c>
      <c r="C3260" s="2292">
        <v>128</v>
      </c>
      <c r="D3260" s="2292">
        <v>69266.438254321605</v>
      </c>
      <c r="E3260" s="2293">
        <v>11009.3228913033</v>
      </c>
      <c r="F3260" s="2294">
        <v>2.0440492924023799</v>
      </c>
      <c r="G3260" s="2295">
        <v>0.35145273773755398</v>
      </c>
    </row>
    <row r="3261" spans="1:7" x14ac:dyDescent="0.25">
      <c r="A3261" s="6" t="s">
        <v>1131</v>
      </c>
      <c r="B3261" s="6" t="s">
        <v>1132</v>
      </c>
      <c r="C3261" s="2288">
        <v>40</v>
      </c>
      <c r="D3261" s="2288">
        <v>41963.263230669902</v>
      </c>
      <c r="E3261" s="2289">
        <v>12811.030820124801</v>
      </c>
      <c r="F3261" s="2290">
        <v>1.2383338984258301</v>
      </c>
      <c r="G3261" s="2291">
        <v>0.38469549415737803</v>
      </c>
    </row>
    <row r="3262" spans="1:7" x14ac:dyDescent="0.25">
      <c r="A3262" s="11" t="s">
        <v>1109</v>
      </c>
      <c r="B3262" s="11" t="s">
        <v>1118</v>
      </c>
      <c r="C3262" s="2292">
        <v>83</v>
      </c>
      <c r="D3262" s="2292">
        <v>37110.438842468902</v>
      </c>
      <c r="E3262" s="2293">
        <v>9284.4251880766406</v>
      </c>
      <c r="F3262" s="2294">
        <v>1.0951272819626701</v>
      </c>
      <c r="G3262" s="2295">
        <v>0.278501249635976</v>
      </c>
    </row>
    <row r="3263" spans="1:7" x14ac:dyDescent="0.25">
      <c r="A3263" s="6" t="s">
        <v>1129</v>
      </c>
      <c r="B3263" s="6" t="s">
        <v>1130</v>
      </c>
      <c r="C3263" s="2288">
        <v>57</v>
      </c>
      <c r="D3263" s="2288">
        <v>30242.701055171201</v>
      </c>
      <c r="E3263" s="2289">
        <v>8809.1576056394697</v>
      </c>
      <c r="F3263" s="2290">
        <v>0.89246066710096295</v>
      </c>
      <c r="G3263" s="2291">
        <v>0.26762095210443199</v>
      </c>
    </row>
    <row r="3264" spans="1:7" x14ac:dyDescent="0.25">
      <c r="A3264" s="11" t="s">
        <v>1123</v>
      </c>
      <c r="B3264" s="11" t="s">
        <v>1124</v>
      </c>
      <c r="C3264" s="2292">
        <v>52</v>
      </c>
      <c r="D3264" s="2292">
        <v>21927.0542774729</v>
      </c>
      <c r="E3264" s="2293">
        <v>5374.3593446886498</v>
      </c>
      <c r="F3264" s="2294">
        <v>0.64706632692407495</v>
      </c>
      <c r="G3264" s="2295">
        <v>0.153443538559664</v>
      </c>
    </row>
    <row r="3265" spans="1:7" x14ac:dyDescent="0.25">
      <c r="A3265" s="6" t="s">
        <v>1127</v>
      </c>
      <c r="B3265" s="6" t="s">
        <v>1128</v>
      </c>
      <c r="C3265" s="2288">
        <v>21</v>
      </c>
      <c r="D3265" s="2288">
        <v>13559.1123948407</v>
      </c>
      <c r="E3265" s="2289">
        <v>5368.7801739757397</v>
      </c>
      <c r="F3265" s="2290">
        <v>0.400128760692403</v>
      </c>
      <c r="G3265" s="2291">
        <v>0.149852078746749</v>
      </c>
    </row>
    <row r="3266" spans="1:7" x14ac:dyDescent="0.25">
      <c r="A3266" s="11" t="s">
        <v>1088</v>
      </c>
      <c r="B3266" s="11" t="s">
        <v>1089</v>
      </c>
      <c r="C3266" s="2292">
        <v>50403</v>
      </c>
      <c r="D3266" s="2292">
        <v>35718063.758209698</v>
      </c>
      <c r="E3266" s="2293">
        <v>161090.43434421299</v>
      </c>
      <c r="F3266" s="2294">
        <v>99.893537229540399</v>
      </c>
      <c r="G3266" s="2295">
        <v>2.1998907100080799E-2</v>
      </c>
    </row>
    <row r="3267" spans="1:7" x14ac:dyDescent="0.25">
      <c r="A3267" s="6" t="s">
        <v>1086</v>
      </c>
      <c r="B3267" s="6" t="s">
        <v>1087</v>
      </c>
      <c r="C3267" s="2288">
        <v>28</v>
      </c>
      <c r="D3267" s="2288">
        <v>26863.160111515699</v>
      </c>
      <c r="E3267" s="2289">
        <v>10061.129999508799</v>
      </c>
      <c r="F3267" s="2290">
        <v>7.5128822851883104E-2</v>
      </c>
      <c r="G3267" s="2291">
        <v>2.8289738360438101E-2</v>
      </c>
    </row>
    <row r="3268" spans="1:7" x14ac:dyDescent="0.25">
      <c r="A3268" s="11" t="s">
        <v>1084</v>
      </c>
      <c r="B3268" s="11" t="s">
        <v>1085</v>
      </c>
      <c r="C3268" s="2292">
        <v>10</v>
      </c>
      <c r="D3268" s="2292">
        <v>9120.0992952877095</v>
      </c>
      <c r="E3268" s="2293">
        <v>6360.2137508553596</v>
      </c>
      <c r="F3268" s="2294">
        <v>2.55063931980784E-2</v>
      </c>
      <c r="G3268" s="2295">
        <v>1.7761311395841799E-2</v>
      </c>
    </row>
    <row r="3269" spans="1:7" x14ac:dyDescent="0.25">
      <c r="A3269" s="6" t="s">
        <v>1102</v>
      </c>
      <c r="B3269" s="6" t="s">
        <v>1103</v>
      </c>
      <c r="C3269" s="2288">
        <v>3</v>
      </c>
      <c r="D3269" s="2288">
        <v>2083.7079728144699</v>
      </c>
      <c r="E3269" s="2289">
        <v>1088.6446565199701</v>
      </c>
      <c r="F3269" s="2290">
        <v>5.82755440963651E-3</v>
      </c>
      <c r="G3269" s="2291">
        <v>3.0390292163487501E-3</v>
      </c>
    </row>
    <row r="3270" spans="1:7" x14ac:dyDescent="0.25">
      <c r="A3270" s="11" t="s">
        <v>6417</v>
      </c>
      <c r="B3270" s="11" t="s">
        <v>6418</v>
      </c>
      <c r="C3270" s="2292">
        <v>5375</v>
      </c>
      <c r="D3270" s="2292">
        <v>3388687.2744107</v>
      </c>
      <c r="E3270" s="2293">
        <v>157401.581972043</v>
      </c>
      <c r="F3270" s="2294">
        <v>8.6567966018150901</v>
      </c>
      <c r="G3270" s="2295">
        <v>0.40210068666573801</v>
      </c>
    </row>
    <row r="3271" spans="1:7" x14ac:dyDescent="0.25">
      <c r="A3271" s="6" t="s">
        <v>6417</v>
      </c>
      <c r="B3271" s="6" t="s">
        <v>6419</v>
      </c>
      <c r="C3271" s="2288">
        <v>55819</v>
      </c>
      <c r="D3271" s="2288">
        <v>39144818</v>
      </c>
      <c r="E3271" s="2289">
        <v>0</v>
      </c>
      <c r="F3271" s="2290">
        <v>100</v>
      </c>
      <c r="G3271" s="2291">
        <v>0</v>
      </c>
    </row>
    <row r="3272" spans="1:7" x14ac:dyDescent="0.25">
      <c r="A3272" s="3729" t="s">
        <v>44</v>
      </c>
      <c r="B3272" s="3730"/>
      <c r="C3272" s="3730"/>
      <c r="D3272" s="3730"/>
      <c r="E3272" s="3730"/>
      <c r="F3272" s="3730"/>
      <c r="G3272" s="3730"/>
    </row>
    <row r="3273" spans="1:7" x14ac:dyDescent="0.25">
      <c r="A3273" s="11" t="s">
        <v>1090</v>
      </c>
      <c r="B3273" s="11" t="s">
        <v>1144</v>
      </c>
      <c r="C3273" s="2300">
        <v>1285</v>
      </c>
      <c r="D3273" s="2300">
        <v>560386.33809636405</v>
      </c>
      <c r="E3273" s="2301">
        <v>43232.411356741097</v>
      </c>
      <c r="F3273" s="2302">
        <v>28.376584647125199</v>
      </c>
      <c r="G3273" s="2303">
        <v>2.22437835111542</v>
      </c>
    </row>
    <row r="3274" spans="1:7" x14ac:dyDescent="0.25">
      <c r="A3274" s="6" t="s">
        <v>1094</v>
      </c>
      <c r="B3274" s="6" t="s">
        <v>1114</v>
      </c>
      <c r="C3274" s="2296">
        <v>500</v>
      </c>
      <c r="D3274" s="2296">
        <v>483131.16124986298</v>
      </c>
      <c r="E3274" s="2297">
        <v>36772.583875949502</v>
      </c>
      <c r="F3274" s="2298">
        <v>24.4645726722073</v>
      </c>
      <c r="G3274" s="2299">
        <v>1.7492623022517699</v>
      </c>
    </row>
    <row r="3275" spans="1:7" x14ac:dyDescent="0.25">
      <c r="A3275" s="11" t="s">
        <v>1137</v>
      </c>
      <c r="B3275" s="11" t="s">
        <v>1138</v>
      </c>
      <c r="C3275" s="2300">
        <v>795</v>
      </c>
      <c r="D3275" s="2300">
        <v>267507.57075784402</v>
      </c>
      <c r="E3275" s="2301">
        <v>54911.909673157599</v>
      </c>
      <c r="F3275" s="2302">
        <v>13.545924854526801</v>
      </c>
      <c r="G3275" s="2303">
        <v>2.6738482206519998</v>
      </c>
    </row>
    <row r="3276" spans="1:7" x14ac:dyDescent="0.25">
      <c r="A3276" s="6" t="s">
        <v>1133</v>
      </c>
      <c r="B3276" s="6" t="s">
        <v>1134</v>
      </c>
      <c r="C3276" s="2296">
        <v>533</v>
      </c>
      <c r="D3276" s="2296">
        <v>192085.84658172401</v>
      </c>
      <c r="E3276" s="2297">
        <v>32133.969903720299</v>
      </c>
      <c r="F3276" s="2298">
        <v>9.7267544093904501</v>
      </c>
      <c r="G3276" s="2299">
        <v>1.6277502737351801</v>
      </c>
    </row>
    <row r="3277" spans="1:7" x14ac:dyDescent="0.25">
      <c r="A3277" s="11" t="s">
        <v>1119</v>
      </c>
      <c r="B3277" s="11" t="s">
        <v>1120</v>
      </c>
      <c r="C3277" s="2300">
        <v>44</v>
      </c>
      <c r="D3277" s="2300">
        <v>86885.292227848695</v>
      </c>
      <c r="E3277" s="2301">
        <v>26651.6605911857</v>
      </c>
      <c r="F3277" s="2302">
        <v>4.3996573111848098</v>
      </c>
      <c r="G3277" s="2303">
        <v>1.29113246209803</v>
      </c>
    </row>
    <row r="3278" spans="1:7" x14ac:dyDescent="0.25">
      <c r="A3278" s="6" t="s">
        <v>1096</v>
      </c>
      <c r="B3278" s="6" t="s">
        <v>1115</v>
      </c>
      <c r="C3278" s="2296">
        <v>115</v>
      </c>
      <c r="D3278" s="2296">
        <v>72943.260570541301</v>
      </c>
      <c r="E3278" s="2297">
        <v>12203.372727874201</v>
      </c>
      <c r="F3278" s="2298">
        <v>3.6936671494324198</v>
      </c>
      <c r="G3278" s="2299">
        <v>0.56766356684626396</v>
      </c>
    </row>
    <row r="3279" spans="1:7" x14ac:dyDescent="0.25">
      <c r="A3279" s="11" t="s">
        <v>1111</v>
      </c>
      <c r="B3279" s="11" t="s">
        <v>1143</v>
      </c>
      <c r="C3279" s="2300">
        <v>99</v>
      </c>
      <c r="D3279" s="2300">
        <v>58264.301992740497</v>
      </c>
      <c r="E3279" s="2301">
        <v>13750.176938239299</v>
      </c>
      <c r="F3279" s="2302">
        <v>2.9503608225337499</v>
      </c>
      <c r="G3279" s="2303">
        <v>0.67172658158035103</v>
      </c>
    </row>
    <row r="3280" spans="1:7" x14ac:dyDescent="0.25">
      <c r="A3280" s="6" t="s">
        <v>1135</v>
      </c>
      <c r="B3280" s="6" t="s">
        <v>1136</v>
      </c>
      <c r="C3280" s="2296">
        <v>57</v>
      </c>
      <c r="D3280" s="2296">
        <v>49670.8537363293</v>
      </c>
      <c r="E3280" s="2297">
        <v>14761.966881787999</v>
      </c>
      <c r="F3280" s="2298">
        <v>2.5152097574897399</v>
      </c>
      <c r="G3280" s="2299">
        <v>0.79150236847744904</v>
      </c>
    </row>
    <row r="3281" spans="1:7" x14ac:dyDescent="0.25">
      <c r="A3281" s="11" t="s">
        <v>1125</v>
      </c>
      <c r="B3281" s="11" t="s">
        <v>1126</v>
      </c>
      <c r="C3281" s="2300">
        <v>38</v>
      </c>
      <c r="D3281" s="2300">
        <v>35107.535057749403</v>
      </c>
      <c r="E3281" s="2301">
        <v>7938.3076658039899</v>
      </c>
      <c r="F3281" s="2302">
        <v>1.7777591504146</v>
      </c>
      <c r="G3281" s="2303">
        <v>0.36134072411690399</v>
      </c>
    </row>
    <row r="3282" spans="1:7" x14ac:dyDescent="0.25">
      <c r="A3282" s="6" t="s">
        <v>1092</v>
      </c>
      <c r="B3282" s="6" t="s">
        <v>1145</v>
      </c>
      <c r="C3282" s="2296">
        <v>38</v>
      </c>
      <c r="D3282" s="2296">
        <v>33365.6333185763</v>
      </c>
      <c r="E3282" s="2297">
        <v>10806.8148376175</v>
      </c>
      <c r="F3282" s="2298">
        <v>1.6895535344166599</v>
      </c>
      <c r="G3282" s="2299">
        <v>0.50784132071462496</v>
      </c>
    </row>
    <row r="3283" spans="1:7" x14ac:dyDescent="0.25">
      <c r="A3283" s="11" t="s">
        <v>1109</v>
      </c>
      <c r="B3283" s="11" t="s">
        <v>1118</v>
      </c>
      <c r="C3283" s="2300">
        <v>70</v>
      </c>
      <c r="D3283" s="2300">
        <v>33357.746985069403</v>
      </c>
      <c r="E3283" s="2301">
        <v>8968.0092638305305</v>
      </c>
      <c r="F3283" s="2302">
        <v>1.6891541899018101</v>
      </c>
      <c r="G3283" s="2303">
        <v>0.42935343954705402</v>
      </c>
    </row>
    <row r="3284" spans="1:7" x14ac:dyDescent="0.25">
      <c r="A3284" s="6" t="s">
        <v>1139</v>
      </c>
      <c r="B3284" s="6" t="s">
        <v>1140</v>
      </c>
      <c r="C3284" s="2296">
        <v>73</v>
      </c>
      <c r="D3284" s="2296">
        <v>32162.787639186699</v>
      </c>
      <c r="E3284" s="2297">
        <v>9351.0027924690894</v>
      </c>
      <c r="F3284" s="2298">
        <v>1.62864439028124</v>
      </c>
      <c r="G3284" s="2299">
        <v>0.43859141689979902</v>
      </c>
    </row>
    <row r="3285" spans="1:7" x14ac:dyDescent="0.25">
      <c r="A3285" s="11" t="s">
        <v>1100</v>
      </c>
      <c r="B3285" s="11" t="s">
        <v>1117</v>
      </c>
      <c r="C3285" s="2300">
        <v>26</v>
      </c>
      <c r="D3285" s="2300">
        <v>21801.860744384299</v>
      </c>
      <c r="E3285" s="2301">
        <v>6420.0340275858598</v>
      </c>
      <c r="F3285" s="2302">
        <v>1.1039925580260499</v>
      </c>
      <c r="G3285" s="2303">
        <v>0.327203645233477</v>
      </c>
    </row>
    <row r="3286" spans="1:7" x14ac:dyDescent="0.25">
      <c r="A3286" s="6" t="s">
        <v>1098</v>
      </c>
      <c r="B3286" s="6" t="s">
        <v>1116</v>
      </c>
      <c r="C3286" s="2296">
        <v>36</v>
      </c>
      <c r="D3286" s="2296">
        <v>14737.4087577667</v>
      </c>
      <c r="E3286" s="2297">
        <v>7306.5126409612203</v>
      </c>
      <c r="F3286" s="2298">
        <v>0.74626610012419103</v>
      </c>
      <c r="G3286" s="2299">
        <v>0.36105445318157903</v>
      </c>
    </row>
    <row r="3287" spans="1:7" x14ac:dyDescent="0.25">
      <c r="A3287" s="11" t="s">
        <v>1129</v>
      </c>
      <c r="B3287" s="11" t="s">
        <v>1130</v>
      </c>
      <c r="C3287" s="2300">
        <v>17</v>
      </c>
      <c r="D3287" s="2300">
        <v>8287.75461305114</v>
      </c>
      <c r="E3287" s="2301">
        <v>4234.8135087814198</v>
      </c>
      <c r="F3287" s="2302">
        <v>0.419671491476308</v>
      </c>
      <c r="G3287" s="2303">
        <v>0.22170229459393301</v>
      </c>
    </row>
    <row r="3288" spans="1:7" x14ac:dyDescent="0.25">
      <c r="A3288" s="6" t="s">
        <v>1141</v>
      </c>
      <c r="B3288" s="6" t="s">
        <v>1142</v>
      </c>
      <c r="C3288" s="2296">
        <v>30</v>
      </c>
      <c r="D3288" s="2296">
        <v>6916.5467287689198</v>
      </c>
      <c r="E3288" s="2297">
        <v>3726.86375597914</v>
      </c>
      <c r="F3288" s="2298">
        <v>0.350236899745685</v>
      </c>
      <c r="G3288" s="2299">
        <v>0.18832899322437999</v>
      </c>
    </row>
    <row r="3289" spans="1:7" x14ac:dyDescent="0.25">
      <c r="A3289" s="11" t="s">
        <v>1131</v>
      </c>
      <c r="B3289" s="11" t="s">
        <v>1132</v>
      </c>
      <c r="C3289" s="2300">
        <v>8</v>
      </c>
      <c r="D3289" s="2300">
        <v>6663.6349430471</v>
      </c>
      <c r="E3289" s="2301">
        <v>5318.8554948375504</v>
      </c>
      <c r="F3289" s="2302">
        <v>0.33743006951465099</v>
      </c>
      <c r="G3289" s="2303">
        <v>0.27087019946972701</v>
      </c>
    </row>
    <row r="3290" spans="1:7" x14ac:dyDescent="0.25">
      <c r="A3290" s="6" t="s">
        <v>1121</v>
      </c>
      <c r="B3290" s="6" t="s">
        <v>1122</v>
      </c>
      <c r="C3290" s="2296">
        <v>9</v>
      </c>
      <c r="D3290" s="2296">
        <v>6011.3059080671101</v>
      </c>
      <c r="E3290" s="2297">
        <v>3366.38458870146</v>
      </c>
      <c r="F3290" s="2298">
        <v>0.30439773303448497</v>
      </c>
      <c r="G3290" s="2299">
        <v>0.17396430650158301</v>
      </c>
    </row>
    <row r="3291" spans="1:7" x14ac:dyDescent="0.25">
      <c r="A3291" s="11" t="s">
        <v>1127</v>
      </c>
      <c r="B3291" s="11" t="s">
        <v>1128</v>
      </c>
      <c r="C3291" s="2300">
        <v>4</v>
      </c>
      <c r="D3291" s="2300">
        <v>3231.0441974942901</v>
      </c>
      <c r="E3291" s="2301">
        <v>3026.4815797373899</v>
      </c>
      <c r="F3291" s="2302">
        <v>0.16361212423603499</v>
      </c>
      <c r="G3291" s="2303">
        <v>0.154085450147394</v>
      </c>
    </row>
    <row r="3292" spans="1:7" x14ac:dyDescent="0.25">
      <c r="A3292" s="6" t="s">
        <v>1123</v>
      </c>
      <c r="B3292" s="6" t="s">
        <v>1124</v>
      </c>
      <c r="C3292" s="2296">
        <v>8</v>
      </c>
      <c r="D3292" s="2296">
        <v>2301.6548374189902</v>
      </c>
      <c r="E3292" s="2297">
        <v>1600.2589187615299</v>
      </c>
      <c r="F3292" s="2298">
        <v>0.116550134937897</v>
      </c>
      <c r="G3292" s="2299">
        <v>8.0689392607950994E-2</v>
      </c>
    </row>
    <row r="3293" spans="1:7" x14ac:dyDescent="0.25">
      <c r="A3293" s="11" t="s">
        <v>1088</v>
      </c>
      <c r="B3293" s="11" t="s">
        <v>1089</v>
      </c>
      <c r="C3293" s="2300">
        <v>52027</v>
      </c>
      <c r="D3293" s="2300">
        <v>37166711.394291997</v>
      </c>
      <c r="E3293" s="2301">
        <v>81369.527453180606</v>
      </c>
      <c r="F3293" s="2302">
        <v>99.991156666935197</v>
      </c>
      <c r="G3293" s="2303">
        <v>5.8727583793767397E-3</v>
      </c>
    </row>
    <row r="3294" spans="1:7" x14ac:dyDescent="0.25">
      <c r="A3294" s="6" t="s">
        <v>1086</v>
      </c>
      <c r="B3294" s="6" t="s">
        <v>1087</v>
      </c>
      <c r="C3294" s="2296">
        <v>4</v>
      </c>
      <c r="D3294" s="2296">
        <v>2281.56245260064</v>
      </c>
      <c r="E3294" s="2297">
        <v>2050.4246492781899</v>
      </c>
      <c r="F3294" s="2298">
        <v>6.1381828008174001E-3</v>
      </c>
      <c r="G3294" s="2299">
        <v>5.5182141103057598E-3</v>
      </c>
    </row>
    <row r="3295" spans="1:7" x14ac:dyDescent="0.25">
      <c r="A3295" s="11" t="s">
        <v>1102</v>
      </c>
      <c r="B3295" s="11" t="s">
        <v>1103</v>
      </c>
      <c r="C3295" s="2300">
        <v>1</v>
      </c>
      <c r="D3295" s="2300">
        <v>1005.50431149434</v>
      </c>
      <c r="E3295" s="2301">
        <v>1014.97505161985</v>
      </c>
      <c r="F3295" s="2302">
        <v>2.7051502639900099E-3</v>
      </c>
      <c r="G3295" s="2303">
        <v>2.7308476732168501E-3</v>
      </c>
    </row>
    <row r="3296" spans="1:7" x14ac:dyDescent="0.25">
      <c r="A3296" s="6" t="s">
        <v>6417</v>
      </c>
      <c r="B3296" s="6" t="s">
        <v>6418</v>
      </c>
      <c r="C3296" s="2296">
        <v>3785</v>
      </c>
      <c r="D3296" s="2296">
        <v>1974819.53894384</v>
      </c>
      <c r="E3296" s="2297">
        <v>80233.558747139003</v>
      </c>
      <c r="F3296" s="2298">
        <v>5.0449066820130302</v>
      </c>
      <c r="G3296" s="2299">
        <v>0.20496597722628601</v>
      </c>
    </row>
    <row r="3297" spans="1:7" x14ac:dyDescent="0.25">
      <c r="A3297" s="11" t="s">
        <v>6417</v>
      </c>
      <c r="B3297" s="11" t="s">
        <v>6419</v>
      </c>
      <c r="C3297" s="2300">
        <v>55817</v>
      </c>
      <c r="D3297" s="2300">
        <v>39144817.999999903</v>
      </c>
      <c r="E3297" s="2301">
        <v>0</v>
      </c>
      <c r="F3297" s="2302">
        <v>100</v>
      </c>
      <c r="G3297" s="2303">
        <v>0</v>
      </c>
    </row>
    <row r="3298" spans="1:7" x14ac:dyDescent="0.25">
      <c r="A3298" s="3729" t="s">
        <v>189</v>
      </c>
      <c r="B3298" s="3730"/>
      <c r="C3298" s="3730"/>
      <c r="D3298" s="3730"/>
      <c r="E3298" s="3730"/>
      <c r="F3298" s="3730"/>
      <c r="G3298" s="3730"/>
    </row>
    <row r="3299" spans="1:7" x14ac:dyDescent="0.25">
      <c r="A3299" s="11" t="s">
        <v>1090</v>
      </c>
      <c r="B3299" s="11" t="s">
        <v>1179</v>
      </c>
      <c r="C3299" s="2308">
        <v>43793</v>
      </c>
      <c r="D3299" s="2308">
        <v>26448873.250168901</v>
      </c>
      <c r="E3299" s="2309">
        <v>112310.93181418499</v>
      </c>
      <c r="F3299" s="2310">
        <v>67.566729394856097</v>
      </c>
      <c r="G3299" s="2311">
        <v>0.286911365417924</v>
      </c>
    </row>
    <row r="3300" spans="1:7" x14ac:dyDescent="0.25">
      <c r="A3300" s="6" t="s">
        <v>1092</v>
      </c>
      <c r="B3300" s="6" t="s">
        <v>1180</v>
      </c>
      <c r="C3300" s="2304">
        <v>12026</v>
      </c>
      <c r="D3300" s="2304">
        <v>12695944.749831101</v>
      </c>
      <c r="E3300" s="2305">
        <v>112310.931814143</v>
      </c>
      <c r="F3300" s="2306">
        <v>32.433270605143903</v>
      </c>
      <c r="G3300" s="2307">
        <v>0.28691136541790802</v>
      </c>
    </row>
    <row r="3301" spans="1:7" x14ac:dyDescent="0.25">
      <c r="A3301" s="11" t="s">
        <v>6417</v>
      </c>
      <c r="B3301" s="11" t="s">
        <v>6418</v>
      </c>
      <c r="C3301" s="2308">
        <v>55819</v>
      </c>
      <c r="D3301" s="2308">
        <v>39144818</v>
      </c>
      <c r="E3301" s="2309">
        <v>1.02896652890084E-6</v>
      </c>
      <c r="F3301" s="2310">
        <v>100</v>
      </c>
      <c r="G3301" s="2311">
        <v>2.0557335828564899E-14</v>
      </c>
    </row>
    <row r="3302" spans="1:7" x14ac:dyDescent="0.25">
      <c r="A3302" s="6" t="s">
        <v>6417</v>
      </c>
      <c r="B3302" s="6" t="s">
        <v>6419</v>
      </c>
      <c r="C3302" s="2304">
        <v>55819</v>
      </c>
      <c r="D3302" s="2304">
        <v>39144818</v>
      </c>
      <c r="E3302" s="2305">
        <v>0</v>
      </c>
      <c r="F3302" s="2306">
        <v>100</v>
      </c>
      <c r="G3302" s="2307">
        <v>0</v>
      </c>
    </row>
    <row r="3303" spans="1:7" x14ac:dyDescent="0.25">
      <c r="A3303" s="3729" t="s">
        <v>725</v>
      </c>
      <c r="B3303" s="3730"/>
      <c r="C3303" s="3730"/>
      <c r="D3303" s="3730"/>
      <c r="E3303" s="3730"/>
      <c r="F3303" s="3730"/>
      <c r="G3303" s="3730"/>
    </row>
    <row r="3304" spans="1:7" x14ac:dyDescent="0.25">
      <c r="A3304" s="11" t="s">
        <v>1092</v>
      </c>
      <c r="B3304" s="11" t="s">
        <v>1180</v>
      </c>
      <c r="C3304" s="2316">
        <v>25736</v>
      </c>
      <c r="D3304" s="2316">
        <v>19708359.073808901</v>
      </c>
      <c r="E3304" s="2317">
        <v>151061.881204832</v>
      </c>
      <c r="F3304" s="2318">
        <v>50.347300308839799</v>
      </c>
      <c r="G3304" s="2319">
        <v>0.38590518214897801</v>
      </c>
    </row>
    <row r="3305" spans="1:7" x14ac:dyDescent="0.25">
      <c r="A3305" s="6" t="s">
        <v>1090</v>
      </c>
      <c r="B3305" s="6" t="s">
        <v>1179</v>
      </c>
      <c r="C3305" s="2312">
        <v>30083</v>
      </c>
      <c r="D3305" s="2312">
        <v>19436458.9261913</v>
      </c>
      <c r="E3305" s="2313">
        <v>151061.88120474</v>
      </c>
      <c r="F3305" s="2314">
        <v>49.652699691160201</v>
      </c>
      <c r="G3305" s="2315">
        <v>0.38590518214897701</v>
      </c>
    </row>
    <row r="3306" spans="1:7" x14ac:dyDescent="0.25">
      <c r="A3306" s="11" t="s">
        <v>6417</v>
      </c>
      <c r="B3306" s="11" t="s">
        <v>6418</v>
      </c>
      <c r="C3306" s="2316">
        <v>55819</v>
      </c>
      <c r="D3306" s="2316">
        <v>39144818.000000201</v>
      </c>
      <c r="E3306" s="2317">
        <v>2.26563113363508E-6</v>
      </c>
      <c r="F3306" s="2318">
        <v>100</v>
      </c>
      <c r="G3306" s="2319">
        <v>1.00709966502038E-13</v>
      </c>
    </row>
    <row r="3307" spans="1:7" x14ac:dyDescent="0.25">
      <c r="A3307" s="6" t="s">
        <v>6417</v>
      </c>
      <c r="B3307" s="6" t="s">
        <v>6419</v>
      </c>
      <c r="C3307" s="2312">
        <v>55819</v>
      </c>
      <c r="D3307" s="2312">
        <v>39144818.000000201</v>
      </c>
      <c r="E3307" s="2313">
        <v>0</v>
      </c>
      <c r="F3307" s="2314">
        <v>100</v>
      </c>
      <c r="G3307" s="2315">
        <v>0</v>
      </c>
    </row>
    <row r="3308" spans="1:7" x14ac:dyDescent="0.25">
      <c r="A3308" s="3729" t="s">
        <v>510</v>
      </c>
      <c r="B3308" s="3730"/>
      <c r="C3308" s="3730"/>
      <c r="D3308" s="3730"/>
      <c r="E3308" s="3730"/>
      <c r="F3308" s="3730"/>
      <c r="G3308" s="3730"/>
    </row>
    <row r="3309" spans="1:7" x14ac:dyDescent="0.25">
      <c r="A3309" s="11" t="s">
        <v>1092</v>
      </c>
      <c r="B3309" s="11" t="s">
        <v>1180</v>
      </c>
      <c r="C3309" s="2324">
        <v>51466</v>
      </c>
      <c r="D3309" s="2324">
        <v>35520486.7379333</v>
      </c>
      <c r="E3309" s="2325">
        <v>90470.410924636701</v>
      </c>
      <c r="F3309" s="2326">
        <v>90.741223366866507</v>
      </c>
      <c r="G3309" s="2327">
        <v>0.23111720924242701</v>
      </c>
    </row>
    <row r="3310" spans="1:7" x14ac:dyDescent="0.25">
      <c r="A3310" s="6" t="s">
        <v>1090</v>
      </c>
      <c r="B3310" s="6" t="s">
        <v>1179</v>
      </c>
      <c r="C3310" s="2320">
        <v>4353</v>
      </c>
      <c r="D3310" s="2320">
        <v>3624331.2620666102</v>
      </c>
      <c r="E3310" s="2321">
        <v>90470.410924625496</v>
      </c>
      <c r="F3310" s="2322">
        <v>9.2587766331334596</v>
      </c>
      <c r="G3310" s="2323">
        <v>0.23111720924242399</v>
      </c>
    </row>
    <row r="3311" spans="1:7" x14ac:dyDescent="0.25">
      <c r="A3311" s="11" t="s">
        <v>6417</v>
      </c>
      <c r="B3311" s="11" t="s">
        <v>6418</v>
      </c>
      <c r="C3311" s="2324">
        <v>55819</v>
      </c>
      <c r="D3311" s="2324">
        <v>39144817.999999903</v>
      </c>
      <c r="E3311" s="2325">
        <v>1.8758983499938701E-6</v>
      </c>
      <c r="F3311" s="2326">
        <v>100</v>
      </c>
      <c r="G3311" s="2327">
        <v>1.88971010377597E-13</v>
      </c>
    </row>
    <row r="3312" spans="1:7" x14ac:dyDescent="0.25">
      <c r="A3312" s="6" t="s">
        <v>6417</v>
      </c>
      <c r="B3312" s="6" t="s">
        <v>6419</v>
      </c>
      <c r="C3312" s="2320">
        <v>55819</v>
      </c>
      <c r="D3312" s="2320">
        <v>39144817.999999903</v>
      </c>
      <c r="E3312" s="2321">
        <v>0</v>
      </c>
      <c r="F3312" s="2322">
        <v>100</v>
      </c>
      <c r="G3312" s="2323">
        <v>0</v>
      </c>
    </row>
    <row r="3313" spans="1:7" x14ac:dyDescent="0.25">
      <c r="A3313" s="3729" t="s">
        <v>187</v>
      </c>
      <c r="B3313" s="3730"/>
      <c r="C3313" s="3730"/>
      <c r="D3313" s="3730"/>
      <c r="E3313" s="3730"/>
      <c r="F3313" s="3730"/>
      <c r="G3313" s="3730"/>
    </row>
    <row r="3314" spans="1:7" x14ac:dyDescent="0.25">
      <c r="A3314" s="11" t="s">
        <v>1102</v>
      </c>
      <c r="B3314" s="11" t="s">
        <v>1103</v>
      </c>
      <c r="C3314" s="2332">
        <v>33365</v>
      </c>
      <c r="D3314" s="2332">
        <v>21354614.131476101</v>
      </c>
      <c r="E3314" s="2333">
        <v>93100.257753243495</v>
      </c>
      <c r="F3314" s="2334">
        <v>89.491151832120494</v>
      </c>
      <c r="G3314" s="2335">
        <v>4.1005412552575303E-2</v>
      </c>
    </row>
    <row r="3315" spans="1:7" x14ac:dyDescent="0.25">
      <c r="A3315" s="6" t="s">
        <v>1088</v>
      </c>
      <c r="B3315" s="6" t="s">
        <v>1089</v>
      </c>
      <c r="C3315" s="2328">
        <v>2198</v>
      </c>
      <c r="D3315" s="2328">
        <v>2507649.0021306202</v>
      </c>
      <c r="E3315" s="2329">
        <v>4.77482304698748E-3</v>
      </c>
      <c r="F3315" s="2330">
        <v>10.508848167879499</v>
      </c>
      <c r="G3315" s="2331">
        <v>4.1005412552579203E-2</v>
      </c>
    </row>
    <row r="3316" spans="1:7" x14ac:dyDescent="0.25">
      <c r="A3316" s="11" t="s">
        <v>6417</v>
      </c>
      <c r="B3316" s="11" t="s">
        <v>6418</v>
      </c>
      <c r="C3316" s="2332">
        <v>19543</v>
      </c>
      <c r="D3316" s="2332">
        <v>15282554.8663934</v>
      </c>
      <c r="E3316" s="2333">
        <v>93100.256576540705</v>
      </c>
      <c r="F3316" s="2334">
        <v>39.041067623288903</v>
      </c>
      <c r="G3316" s="2335">
        <v>0.23783545647482701</v>
      </c>
    </row>
    <row r="3317" spans="1:7" x14ac:dyDescent="0.25">
      <c r="A3317" s="6" t="s">
        <v>6417</v>
      </c>
      <c r="B3317" s="6" t="s">
        <v>6419</v>
      </c>
      <c r="C3317" s="2328">
        <v>55106</v>
      </c>
      <c r="D3317" s="2328">
        <v>39144818.000000097</v>
      </c>
      <c r="E3317" s="2329">
        <v>0</v>
      </c>
      <c r="F3317" s="2330">
        <v>100</v>
      </c>
      <c r="G3317" s="2331">
        <v>0</v>
      </c>
    </row>
    <row r="3318" spans="1:7" x14ac:dyDescent="0.25">
      <c r="A3318" s="3729" t="s">
        <v>185</v>
      </c>
      <c r="B3318" s="3730"/>
      <c r="C3318" s="3730"/>
      <c r="D3318" s="3730"/>
      <c r="E3318" s="3730"/>
      <c r="F3318" s="3730"/>
      <c r="G3318" s="3730"/>
    </row>
    <row r="3319" spans="1:7" x14ac:dyDescent="0.25">
      <c r="A3319" s="11" t="s">
        <v>1102</v>
      </c>
      <c r="B3319" s="11" t="s">
        <v>1103</v>
      </c>
      <c r="C3319" s="2340">
        <v>47652</v>
      </c>
      <c r="D3319" s="2340">
        <v>30486287.800521102</v>
      </c>
      <c r="E3319" s="2341">
        <v>41659.114508231403</v>
      </c>
      <c r="F3319" s="2342">
        <v>92.400285760044994</v>
      </c>
      <c r="G3319" s="2343">
        <v>9.4671598952280594E-3</v>
      </c>
    </row>
    <row r="3320" spans="1:7" x14ac:dyDescent="0.25">
      <c r="A3320" s="6" t="s">
        <v>1088</v>
      </c>
      <c r="B3320" s="6" t="s">
        <v>1089</v>
      </c>
      <c r="C3320" s="2336">
        <v>2197</v>
      </c>
      <c r="D3320" s="2336">
        <v>2507428.1276862901</v>
      </c>
      <c r="E3320" s="2337">
        <v>222.13610675910201</v>
      </c>
      <c r="F3320" s="2338">
        <v>7.5997142399550297</v>
      </c>
      <c r="G3320" s="2339">
        <v>9.4671598952252092E-3</v>
      </c>
    </row>
    <row r="3321" spans="1:7" x14ac:dyDescent="0.25">
      <c r="A3321" s="11" t="s">
        <v>6417</v>
      </c>
      <c r="B3321" s="11" t="s">
        <v>6418</v>
      </c>
      <c r="C3321" s="2340">
        <v>5735</v>
      </c>
      <c r="D3321" s="2340">
        <v>6151102.0717925699</v>
      </c>
      <c r="E3321" s="2341">
        <v>41712.479012975797</v>
      </c>
      <c r="F3321" s="2342">
        <v>15.713707167555601</v>
      </c>
      <c r="G3321" s="2343">
        <v>0.10655938932445599</v>
      </c>
    </row>
    <row r="3322" spans="1:7" x14ac:dyDescent="0.25">
      <c r="A3322" s="6" t="s">
        <v>6417</v>
      </c>
      <c r="B3322" s="6" t="s">
        <v>6419</v>
      </c>
      <c r="C3322" s="2336">
        <v>55584</v>
      </c>
      <c r="D3322" s="2336">
        <v>39144817.999999903</v>
      </c>
      <c r="E3322" s="2337">
        <v>0</v>
      </c>
      <c r="F3322" s="2338">
        <v>100</v>
      </c>
      <c r="G3322" s="2339">
        <v>0</v>
      </c>
    </row>
    <row r="3323" spans="1:7" x14ac:dyDescent="0.25">
      <c r="A3323" s="3729" t="s">
        <v>657</v>
      </c>
      <c r="B3323" s="3730"/>
      <c r="C3323" s="3730"/>
      <c r="D3323" s="3730"/>
      <c r="E3323" s="3730"/>
      <c r="F3323" s="3730"/>
      <c r="G3323" s="3730"/>
    </row>
    <row r="3324" spans="1:7" x14ac:dyDescent="0.25">
      <c r="A3324" s="11" t="s">
        <v>1094</v>
      </c>
      <c r="B3324" s="11" t="s">
        <v>6138</v>
      </c>
      <c r="C3324" s="2348">
        <v>40866</v>
      </c>
      <c r="D3324" s="2348">
        <v>28940441.087941401</v>
      </c>
      <c r="E3324" s="2349">
        <v>168314.29234305001</v>
      </c>
      <c r="F3324" s="2350">
        <v>73.931729834435203</v>
      </c>
      <c r="G3324" s="2351">
        <v>0.42997847721039001</v>
      </c>
    </row>
    <row r="3325" spans="1:7" x14ac:dyDescent="0.25">
      <c r="A3325" s="6" t="s">
        <v>1092</v>
      </c>
      <c r="B3325" s="6" t="s">
        <v>6137</v>
      </c>
      <c r="C3325" s="2344">
        <v>14953</v>
      </c>
      <c r="D3325" s="2344">
        <v>10204376.9120587</v>
      </c>
      <c r="E3325" s="2345">
        <v>168314.29234322201</v>
      </c>
      <c r="F3325" s="2346">
        <v>26.068270165564801</v>
      </c>
      <c r="G3325" s="2347">
        <v>0.42997847721038801</v>
      </c>
    </row>
    <row r="3326" spans="1:7" x14ac:dyDescent="0.25">
      <c r="A3326" s="11" t="s">
        <v>6417</v>
      </c>
      <c r="B3326" s="11" t="s">
        <v>6418</v>
      </c>
      <c r="C3326" s="2348">
        <v>55819</v>
      </c>
      <c r="D3326" s="2348">
        <v>39144818.000000097</v>
      </c>
      <c r="E3326" s="2349">
        <v>1.6695619029932299E-6</v>
      </c>
      <c r="F3326" s="2350">
        <v>100</v>
      </c>
      <c r="G3326" s="2351">
        <v>0</v>
      </c>
    </row>
    <row r="3327" spans="1:7" x14ac:dyDescent="0.25">
      <c r="A3327" s="6" t="s">
        <v>6417</v>
      </c>
      <c r="B3327" s="6" t="s">
        <v>6419</v>
      </c>
      <c r="C3327" s="2344">
        <v>55819</v>
      </c>
      <c r="D3327" s="2344">
        <v>39144818.000000097</v>
      </c>
      <c r="E3327" s="2345">
        <v>0</v>
      </c>
      <c r="F3327" s="2346">
        <v>100</v>
      </c>
      <c r="G3327" s="2347">
        <v>0</v>
      </c>
    </row>
    <row r="3328" spans="1:7" x14ac:dyDescent="0.25">
      <c r="A3328" s="3729" t="s">
        <v>617</v>
      </c>
      <c r="B3328" s="3730"/>
      <c r="C3328" s="3730"/>
      <c r="D3328" s="3730"/>
      <c r="E3328" s="3730"/>
      <c r="F3328" s="3730"/>
      <c r="G3328" s="3730"/>
    </row>
    <row r="3329" spans="1:7" x14ac:dyDescent="0.25">
      <c r="A3329" s="11" t="s">
        <v>6417</v>
      </c>
      <c r="B3329" s="11" t="s">
        <v>6418</v>
      </c>
      <c r="C3329" s="2356">
        <v>55818</v>
      </c>
      <c r="D3329" s="2356">
        <v>39144818</v>
      </c>
      <c r="E3329" s="2357">
        <v>1.94001444671922E-7</v>
      </c>
      <c r="F3329" s="2358">
        <v>100</v>
      </c>
      <c r="G3329" s="2359">
        <v>1.78031750616652E-14</v>
      </c>
    </row>
    <row r="3330" spans="1:7" x14ac:dyDescent="0.25">
      <c r="A3330" s="6" t="s">
        <v>6417</v>
      </c>
      <c r="B3330" s="6" t="s">
        <v>6419</v>
      </c>
      <c r="C3330" s="2352">
        <v>55818</v>
      </c>
      <c r="D3330" s="2352">
        <v>39144818</v>
      </c>
      <c r="E3330" s="2353">
        <v>0</v>
      </c>
      <c r="F3330" s="2354">
        <v>100</v>
      </c>
      <c r="G3330" s="2355">
        <v>0</v>
      </c>
    </row>
    <row r="3331" spans="1:7" x14ac:dyDescent="0.25">
      <c r="A3331" s="3729" t="s">
        <v>661</v>
      </c>
      <c r="B3331" s="3730"/>
      <c r="C3331" s="3730"/>
      <c r="D3331" s="3730"/>
      <c r="E3331" s="3730"/>
      <c r="F3331" s="3730"/>
      <c r="G3331" s="3730"/>
    </row>
    <row r="3332" spans="1:7" x14ac:dyDescent="0.25">
      <c r="A3332" s="11" t="s">
        <v>1092</v>
      </c>
      <c r="B3332" s="11"/>
      <c r="C3332" s="2364">
        <v>29220</v>
      </c>
      <c r="D3332" s="2364">
        <v>19704259.9998689</v>
      </c>
      <c r="E3332" s="2365">
        <v>4.3844664526829398E-3</v>
      </c>
      <c r="F3332" s="2366">
        <v>50.336828746703603</v>
      </c>
      <c r="G3332" s="2367">
        <v>1.12005136172456E-8</v>
      </c>
    </row>
    <row r="3333" spans="1:7" x14ac:dyDescent="0.25">
      <c r="A3333" s="6" t="s">
        <v>1090</v>
      </c>
      <c r="B3333" s="6"/>
      <c r="C3333" s="2360">
        <v>26599</v>
      </c>
      <c r="D3333" s="2360">
        <v>19440558.000131302</v>
      </c>
      <c r="E3333" s="2361">
        <v>4.38437420895753E-3</v>
      </c>
      <c r="F3333" s="2362">
        <v>49.663171253296397</v>
      </c>
      <c r="G3333" s="2363">
        <v>1.1200511629041101E-8</v>
      </c>
    </row>
    <row r="3334" spans="1:7" x14ac:dyDescent="0.25">
      <c r="A3334" s="11" t="s">
        <v>6417</v>
      </c>
      <c r="B3334" s="11" t="s">
        <v>6418</v>
      </c>
      <c r="C3334" s="2364">
        <v>55819</v>
      </c>
      <c r="D3334" s="2364">
        <v>39144818.000000201</v>
      </c>
      <c r="E3334" s="2365">
        <v>1.7039900635364901E-6</v>
      </c>
      <c r="F3334" s="2366">
        <v>100</v>
      </c>
      <c r="G3334" s="2367">
        <v>1.78031750616652E-14</v>
      </c>
    </row>
    <row r="3335" spans="1:7" x14ac:dyDescent="0.25">
      <c r="A3335" s="6" t="s">
        <v>6417</v>
      </c>
      <c r="B3335" s="6" t="s">
        <v>6419</v>
      </c>
      <c r="C3335" s="2360">
        <v>55819</v>
      </c>
      <c r="D3335" s="2360">
        <v>39144818.000000201</v>
      </c>
      <c r="E3335" s="2361">
        <v>0</v>
      </c>
      <c r="F3335" s="2362">
        <v>100</v>
      </c>
      <c r="G3335" s="2363">
        <v>0</v>
      </c>
    </row>
    <row r="3336" spans="1:7" x14ac:dyDescent="0.25">
      <c r="A3336" s="3729" t="s">
        <v>645</v>
      </c>
      <c r="B3336" s="3730"/>
      <c r="C3336" s="3730"/>
      <c r="D3336" s="3730"/>
      <c r="E3336" s="3730"/>
      <c r="F3336" s="3730"/>
      <c r="G3336" s="3730"/>
    </row>
    <row r="3337" spans="1:7" x14ac:dyDescent="0.25">
      <c r="A3337" s="11" t="s">
        <v>1092</v>
      </c>
      <c r="B3337" s="11"/>
      <c r="C3337" s="2372">
        <v>47422</v>
      </c>
      <c r="D3337" s="2372">
        <v>23960272.9906893</v>
      </c>
      <c r="E3337" s="2373">
        <v>4.4192538042505197E-2</v>
      </c>
      <c r="F3337" s="2374">
        <v>61.2093099799038</v>
      </c>
      <c r="G3337" s="2375">
        <v>1.12895169187506E-7</v>
      </c>
    </row>
    <row r="3338" spans="1:7" x14ac:dyDescent="0.25">
      <c r="A3338" s="6" t="s">
        <v>1090</v>
      </c>
      <c r="B3338" s="6"/>
      <c r="C3338" s="2368">
        <v>8397</v>
      </c>
      <c r="D3338" s="2368">
        <v>15184545.009310899</v>
      </c>
      <c r="E3338" s="2369">
        <v>4.4192652915849298E-2</v>
      </c>
      <c r="F3338" s="2370">
        <v>38.7906900200962</v>
      </c>
      <c r="G3338" s="2371">
        <v>1.12895168755184E-7</v>
      </c>
    </row>
    <row r="3339" spans="1:7" x14ac:dyDescent="0.25">
      <c r="A3339" s="11" t="s">
        <v>6417</v>
      </c>
      <c r="B3339" s="11" t="s">
        <v>6418</v>
      </c>
      <c r="C3339" s="2372">
        <v>55819</v>
      </c>
      <c r="D3339" s="2372">
        <v>39144818.000000201</v>
      </c>
      <c r="E3339" s="2373">
        <v>1.5346852592951E-6</v>
      </c>
      <c r="F3339" s="2374">
        <v>100</v>
      </c>
      <c r="G3339" s="2375">
        <v>3.5606350123330501E-14</v>
      </c>
    </row>
    <row r="3340" spans="1:7" x14ac:dyDescent="0.25">
      <c r="A3340" s="6" t="s">
        <v>6417</v>
      </c>
      <c r="B3340" s="6" t="s">
        <v>6419</v>
      </c>
      <c r="C3340" s="2368">
        <v>55819</v>
      </c>
      <c r="D3340" s="2368">
        <v>39144818.000000201</v>
      </c>
      <c r="E3340" s="2369">
        <v>0</v>
      </c>
      <c r="F3340" s="2370">
        <v>100</v>
      </c>
      <c r="G3340" s="2371">
        <v>0</v>
      </c>
    </row>
    <row r="3341" spans="1:7" x14ac:dyDescent="0.25">
      <c r="A3341" s="3729" t="s">
        <v>652</v>
      </c>
      <c r="B3341" s="3730"/>
      <c r="C3341" s="3730"/>
      <c r="D3341" s="3730"/>
      <c r="E3341" s="3730"/>
      <c r="F3341" s="3730"/>
      <c r="G3341" s="3730"/>
    </row>
    <row r="3342" spans="1:7" x14ac:dyDescent="0.25">
      <c r="A3342" s="11" t="s">
        <v>1090</v>
      </c>
      <c r="B3342" s="11"/>
      <c r="C3342" s="2380">
        <v>41834</v>
      </c>
      <c r="D3342" s="2380">
        <v>23631077.1309902</v>
      </c>
      <c r="E3342" s="2381">
        <v>222326.52047614299</v>
      </c>
      <c r="F3342" s="2382">
        <v>60.368340787764403</v>
      </c>
      <c r="G3342" s="2383">
        <v>0.56795900922604103</v>
      </c>
    </row>
    <row r="3343" spans="1:7" x14ac:dyDescent="0.25">
      <c r="A3343" s="6" t="s">
        <v>1094</v>
      </c>
      <c r="B3343" s="6"/>
      <c r="C3343" s="2376">
        <v>5465</v>
      </c>
      <c r="D3343" s="2376">
        <v>5161006.1409720602</v>
      </c>
      <c r="E3343" s="2377">
        <v>171490.77944075601</v>
      </c>
      <c r="F3343" s="2378">
        <v>13.184391714305701</v>
      </c>
      <c r="G3343" s="2379">
        <v>0.43809318372807798</v>
      </c>
    </row>
    <row r="3344" spans="1:7" x14ac:dyDescent="0.25">
      <c r="A3344" s="11" t="s">
        <v>1111</v>
      </c>
      <c r="B3344" s="11"/>
      <c r="C3344" s="2380">
        <v>2736</v>
      </c>
      <c r="D3344" s="2380">
        <v>4559989.1383725796</v>
      </c>
      <c r="E3344" s="2381">
        <v>204949.115411451</v>
      </c>
      <c r="F3344" s="2382">
        <v>11.6490237312448</v>
      </c>
      <c r="G3344" s="2383">
        <v>0.52356640261157095</v>
      </c>
    </row>
    <row r="3345" spans="1:7" x14ac:dyDescent="0.25">
      <c r="A3345" s="6" t="s">
        <v>1100</v>
      </c>
      <c r="B3345" s="6"/>
      <c r="C3345" s="2376">
        <v>3271</v>
      </c>
      <c r="D3345" s="2376">
        <v>2837455.5999184102</v>
      </c>
      <c r="E3345" s="2377">
        <v>122106.604352569</v>
      </c>
      <c r="F3345" s="2378">
        <v>7.2486110419989798</v>
      </c>
      <c r="G3345" s="2379">
        <v>0.311935552625555</v>
      </c>
    </row>
    <row r="3346" spans="1:7" x14ac:dyDescent="0.25">
      <c r="A3346" s="11" t="s">
        <v>1092</v>
      </c>
      <c r="B3346" s="11"/>
      <c r="C3346" s="2380">
        <v>1730</v>
      </c>
      <c r="D3346" s="2380">
        <v>2277228.9600073998</v>
      </c>
      <c r="E3346" s="2381">
        <v>7.9553050074273698E-2</v>
      </c>
      <c r="F3346" s="2382">
        <v>5.8174467946367603</v>
      </c>
      <c r="G3346" s="2383">
        <v>2.0322752121556399E-7</v>
      </c>
    </row>
    <row r="3347" spans="1:7" x14ac:dyDescent="0.25">
      <c r="A3347" s="6" t="s">
        <v>1096</v>
      </c>
      <c r="B3347" s="6"/>
      <c r="C3347" s="2376">
        <v>443</v>
      </c>
      <c r="D3347" s="2376">
        <v>381053.42622521002</v>
      </c>
      <c r="E3347" s="2377">
        <v>47224.048466011103</v>
      </c>
      <c r="F3347" s="2378">
        <v>0.97344538994972296</v>
      </c>
      <c r="G3347" s="2379">
        <v>0.120639335878407</v>
      </c>
    </row>
    <row r="3348" spans="1:7" x14ac:dyDescent="0.25">
      <c r="A3348" s="11" t="s">
        <v>1098</v>
      </c>
      <c r="B3348" s="11"/>
      <c r="C3348" s="2380">
        <v>340</v>
      </c>
      <c r="D3348" s="2380">
        <v>297007.60351423401</v>
      </c>
      <c r="E3348" s="2381">
        <v>25861.220802167802</v>
      </c>
      <c r="F3348" s="2382">
        <v>0.75874054009967096</v>
      </c>
      <c r="G3348" s="2383">
        <v>6.6065502724187999E-2</v>
      </c>
    </row>
    <row r="3349" spans="1:7" x14ac:dyDescent="0.25">
      <c r="A3349" s="6" t="s">
        <v>6417</v>
      </c>
      <c r="B3349" s="6" t="s">
        <v>6418</v>
      </c>
      <c r="C3349" s="2376">
        <v>55819</v>
      </c>
      <c r="D3349" s="2376">
        <v>39144818.000000097</v>
      </c>
      <c r="E3349" s="2377">
        <v>3.8511029038575101E-7</v>
      </c>
      <c r="F3349" s="2378">
        <v>100</v>
      </c>
      <c r="G3349" s="2379">
        <v>2.71947991102104E-14</v>
      </c>
    </row>
    <row r="3350" spans="1:7" x14ac:dyDescent="0.25">
      <c r="A3350" s="11" t="s">
        <v>6417</v>
      </c>
      <c r="B3350" s="11" t="s">
        <v>6419</v>
      </c>
      <c r="C3350" s="2380">
        <v>55819</v>
      </c>
      <c r="D3350" s="2380">
        <v>39144818.000000097</v>
      </c>
      <c r="E3350" s="2381">
        <v>0</v>
      </c>
      <c r="F3350" s="2382">
        <v>100</v>
      </c>
      <c r="G3350" s="2383">
        <v>0</v>
      </c>
    </row>
    <row r="3351" spans="1:7" x14ac:dyDescent="0.25">
      <c r="A3351" s="3729" t="s">
        <v>1038</v>
      </c>
      <c r="B3351" s="3730"/>
      <c r="C3351" s="3730"/>
      <c r="D3351" s="3730"/>
      <c r="E3351" s="3730"/>
      <c r="F3351" s="3730"/>
      <c r="G3351" s="3730"/>
    </row>
    <row r="3352" spans="1:7" x14ac:dyDescent="0.25">
      <c r="A3352" s="11" t="s">
        <v>1090</v>
      </c>
      <c r="B3352" s="11"/>
      <c r="C3352" s="2388">
        <v>25555</v>
      </c>
      <c r="D3352" s="2388">
        <v>18603013.160574399</v>
      </c>
      <c r="E3352" s="2389">
        <v>114977.592721056</v>
      </c>
      <c r="F3352" s="2390">
        <v>59.897328805028103</v>
      </c>
      <c r="G3352" s="2391">
        <v>0.36538394504389698</v>
      </c>
    </row>
    <row r="3353" spans="1:7" x14ac:dyDescent="0.25">
      <c r="A3353" s="6" t="s">
        <v>1092</v>
      </c>
      <c r="B3353" s="6"/>
      <c r="C3353" s="2384">
        <v>22637</v>
      </c>
      <c r="D3353" s="2384">
        <v>12455155.0945227</v>
      </c>
      <c r="E3353" s="2385">
        <v>114327.07465486199</v>
      </c>
      <c r="F3353" s="2386">
        <v>40.102671194971897</v>
      </c>
      <c r="G3353" s="2387">
        <v>0.36538394504389798</v>
      </c>
    </row>
    <row r="3354" spans="1:7" x14ac:dyDescent="0.25">
      <c r="A3354" s="11" t="s">
        <v>1088</v>
      </c>
      <c r="B3354" s="11"/>
      <c r="C3354" s="2388">
        <v>7627</v>
      </c>
      <c r="D3354" s="2388">
        <v>8086649.7449030802</v>
      </c>
      <c r="E3354" s="2389">
        <v>32304.392133631402</v>
      </c>
      <c r="F3354" s="2390">
        <v>100</v>
      </c>
      <c r="G3354" s="2391">
        <v>0</v>
      </c>
    </row>
    <row r="3355" spans="1:7" x14ac:dyDescent="0.25">
      <c r="A3355" s="6" t="s">
        <v>6417</v>
      </c>
      <c r="B3355" s="6" t="s">
        <v>6418</v>
      </c>
      <c r="C3355" s="2384">
        <v>48192</v>
      </c>
      <c r="D3355" s="2384">
        <v>31058168.255097099</v>
      </c>
      <c r="E3355" s="2385">
        <v>32304.392133635301</v>
      </c>
      <c r="F3355" s="2386">
        <v>79.341710708929497</v>
      </c>
      <c r="G3355" s="2387">
        <v>8.2525334856923802E-2</v>
      </c>
    </row>
    <row r="3356" spans="1:7" x14ac:dyDescent="0.25">
      <c r="A3356" s="11" t="s">
        <v>6417</v>
      </c>
      <c r="B3356" s="11" t="s">
        <v>6419</v>
      </c>
      <c r="C3356" s="2388">
        <v>55819</v>
      </c>
      <c r="D3356" s="2388">
        <v>39144818.000000201</v>
      </c>
      <c r="E3356" s="2389">
        <v>0</v>
      </c>
      <c r="F3356" s="2390">
        <v>100</v>
      </c>
      <c r="G3356" s="2391">
        <v>0</v>
      </c>
    </row>
    <row r="3357" spans="1:7" x14ac:dyDescent="0.25">
      <c r="A3357" s="3731" t="s">
        <v>1113</v>
      </c>
      <c r="B3357" s="3730"/>
      <c r="C3357" s="3730"/>
      <c r="D3357" s="3730"/>
      <c r="E3357" s="3730"/>
      <c r="F3357" s="3730"/>
      <c r="G3357" s="3730"/>
    </row>
    <row r="3358" spans="1:7" x14ac:dyDescent="0.25">
      <c r="A3358" s="3729" t="s">
        <v>349</v>
      </c>
      <c r="B3358" s="3730"/>
      <c r="C3358" s="3730"/>
      <c r="D3358" s="3730"/>
      <c r="E3358" s="3730"/>
      <c r="F3358" s="3730"/>
      <c r="G3358" s="3730"/>
    </row>
    <row r="3359" spans="1:7" x14ac:dyDescent="0.25">
      <c r="A3359" s="11" t="s">
        <v>6417</v>
      </c>
      <c r="B3359" s="11" t="s">
        <v>6418</v>
      </c>
      <c r="C3359" s="2396">
        <v>36227</v>
      </c>
      <c r="D3359" s="2396">
        <v>25115374.147975899</v>
      </c>
      <c r="E3359" s="2397">
        <v>111182.95762383399</v>
      </c>
      <c r="F3359" s="2398">
        <v>100</v>
      </c>
      <c r="G3359" s="2399">
        <v>0</v>
      </c>
    </row>
    <row r="3360" spans="1:7" x14ac:dyDescent="0.25">
      <c r="A3360" s="6" t="s">
        <v>6417</v>
      </c>
      <c r="B3360" s="6" t="s">
        <v>6419</v>
      </c>
      <c r="C3360" s="2392">
        <v>36227</v>
      </c>
      <c r="D3360" s="2392">
        <v>25115374.147975899</v>
      </c>
      <c r="E3360" s="2393">
        <v>0</v>
      </c>
      <c r="F3360" s="2394">
        <v>100</v>
      </c>
      <c r="G3360" s="2395">
        <v>0</v>
      </c>
    </row>
    <row r="3361" spans="1:7" x14ac:dyDescent="0.25">
      <c r="A3361" s="3729" t="s">
        <v>886</v>
      </c>
      <c r="B3361" s="3730"/>
      <c r="C3361" s="3730"/>
      <c r="D3361" s="3730"/>
      <c r="E3361" s="3730"/>
      <c r="F3361" s="3730"/>
      <c r="G3361" s="3730"/>
    </row>
    <row r="3362" spans="1:7" x14ac:dyDescent="0.25">
      <c r="A3362" s="11" t="s">
        <v>1090</v>
      </c>
      <c r="B3362" s="11" t="s">
        <v>6246</v>
      </c>
      <c r="C3362" s="2404">
        <v>24928</v>
      </c>
      <c r="D3362" s="2404">
        <v>11927600.858356601</v>
      </c>
      <c r="E3362" s="2405">
        <v>1319.7026729243601</v>
      </c>
      <c r="F3362" s="2406">
        <v>47.491233011624601</v>
      </c>
      <c r="G3362" s="2407">
        <v>0.207387596333344</v>
      </c>
    </row>
    <row r="3363" spans="1:7" x14ac:dyDescent="0.25">
      <c r="A3363" s="6" t="s">
        <v>1092</v>
      </c>
      <c r="B3363" s="6" t="s">
        <v>6247</v>
      </c>
      <c r="C3363" s="2400">
        <v>16489</v>
      </c>
      <c r="D3363" s="2400">
        <v>7841352.6786980201</v>
      </c>
      <c r="E3363" s="2401">
        <v>1608.52590530886</v>
      </c>
      <c r="F3363" s="2402">
        <v>31.2213253622979</v>
      </c>
      <c r="G3363" s="2403">
        <v>0.14363074953156801</v>
      </c>
    </row>
    <row r="3364" spans="1:7" x14ac:dyDescent="0.25">
      <c r="A3364" s="11" t="s">
        <v>1094</v>
      </c>
      <c r="B3364" s="11" t="s">
        <v>6248</v>
      </c>
      <c r="C3364" s="2404">
        <v>6724</v>
      </c>
      <c r="D3364" s="2404">
        <v>3386081.6325630802</v>
      </c>
      <c r="E3364" s="2405">
        <v>37866.259350310298</v>
      </c>
      <c r="F3364" s="2406">
        <v>13.4821070656276</v>
      </c>
      <c r="G3364" s="2407">
        <v>0.14316700406897601</v>
      </c>
    </row>
    <row r="3365" spans="1:7" x14ac:dyDescent="0.25">
      <c r="A3365" s="6" t="s">
        <v>1096</v>
      </c>
      <c r="B3365" s="6" t="s">
        <v>6249</v>
      </c>
      <c r="C3365" s="2400">
        <v>2535</v>
      </c>
      <c r="D3365" s="2400">
        <v>1282788.64424255</v>
      </c>
      <c r="E3365" s="2401">
        <v>73373.083165551696</v>
      </c>
      <c r="F3365" s="2402">
        <v>5.1075832543228499</v>
      </c>
      <c r="G3365" s="2403">
        <v>0.27184021396852998</v>
      </c>
    </row>
    <row r="3366" spans="1:7" x14ac:dyDescent="0.25">
      <c r="A3366" s="11" t="s">
        <v>1098</v>
      </c>
      <c r="B3366" s="11" t="s">
        <v>6250</v>
      </c>
      <c r="C3366" s="2404">
        <v>902</v>
      </c>
      <c r="D3366" s="2404">
        <v>420493.937553711</v>
      </c>
      <c r="E3366" s="2405">
        <v>32141.7573343695</v>
      </c>
      <c r="F3366" s="2406">
        <v>1.6742491474593399</v>
      </c>
      <c r="G3366" s="2407">
        <v>0.122134470079781</v>
      </c>
    </row>
    <row r="3367" spans="1:7" x14ac:dyDescent="0.25">
      <c r="A3367" s="6" t="s">
        <v>1100</v>
      </c>
      <c r="B3367" s="6" t="s">
        <v>6251</v>
      </c>
      <c r="C3367" s="2400">
        <v>354</v>
      </c>
      <c r="D3367" s="2400">
        <v>146862.73189200499</v>
      </c>
      <c r="E3367" s="2401">
        <v>17985.043388910999</v>
      </c>
      <c r="F3367" s="2402">
        <v>0.58475231556062801</v>
      </c>
      <c r="G3367" s="2403">
        <v>7.0475570025210293E-2</v>
      </c>
    </row>
    <row r="3368" spans="1:7" x14ac:dyDescent="0.25">
      <c r="A3368" s="11" t="s">
        <v>1109</v>
      </c>
      <c r="B3368" s="11" t="s">
        <v>6252</v>
      </c>
      <c r="C3368" s="2404">
        <v>153</v>
      </c>
      <c r="D3368" s="2404">
        <v>60277.626195296798</v>
      </c>
      <c r="E3368" s="2405">
        <v>11993.694344870901</v>
      </c>
      <c r="F3368" s="2406">
        <v>0.24000289957915899</v>
      </c>
      <c r="G3368" s="2407">
        <v>4.7864956539827599E-2</v>
      </c>
    </row>
    <row r="3369" spans="1:7" x14ac:dyDescent="0.25">
      <c r="A3369" s="6" t="s">
        <v>1119</v>
      </c>
      <c r="B3369" s="6" t="s">
        <v>6253</v>
      </c>
      <c r="C3369" s="2400">
        <v>63</v>
      </c>
      <c r="D3369" s="2400">
        <v>21389.8084370449</v>
      </c>
      <c r="E3369" s="2401">
        <v>6270.12678253172</v>
      </c>
      <c r="F3369" s="2402">
        <v>8.5166194662358793E-2</v>
      </c>
      <c r="G3369" s="2403">
        <v>2.4844093584237E-2</v>
      </c>
    </row>
    <row r="3370" spans="1:7" x14ac:dyDescent="0.25">
      <c r="A3370" s="11" t="s">
        <v>1121</v>
      </c>
      <c r="B3370" s="11" t="s">
        <v>6254</v>
      </c>
      <c r="C3370" s="2404">
        <v>36</v>
      </c>
      <c r="D3370" s="2404">
        <v>12165.3982784649</v>
      </c>
      <c r="E3370" s="2405">
        <v>5072.5909236144398</v>
      </c>
      <c r="F3370" s="2406">
        <v>4.8438053149390599E-2</v>
      </c>
      <c r="G3370" s="2407">
        <v>2.0175142534538702E-2</v>
      </c>
    </row>
    <row r="3371" spans="1:7" x14ac:dyDescent="0.25">
      <c r="A3371" s="6" t="s">
        <v>1123</v>
      </c>
      <c r="B3371" s="6" t="s">
        <v>6255</v>
      </c>
      <c r="C3371" s="2400">
        <v>24</v>
      </c>
      <c r="D3371" s="2400">
        <v>7653.7227216859401</v>
      </c>
      <c r="E3371" s="2401">
        <v>4470.4465365286196</v>
      </c>
      <c r="F3371" s="2402">
        <v>3.0474253246602599E-2</v>
      </c>
      <c r="G3371" s="2403">
        <v>1.7811950294094499E-2</v>
      </c>
    </row>
    <row r="3372" spans="1:7" x14ac:dyDescent="0.25">
      <c r="A3372" s="11" t="s">
        <v>1125</v>
      </c>
      <c r="B3372" s="11" t="s">
        <v>6256</v>
      </c>
      <c r="C3372" s="2404">
        <v>12</v>
      </c>
      <c r="D3372" s="2404">
        <v>4800.9889356219101</v>
      </c>
      <c r="E3372" s="2405">
        <v>3218.3036655566898</v>
      </c>
      <c r="F3372" s="2406">
        <v>1.9115737266485501E-2</v>
      </c>
      <c r="G3372" s="2407">
        <v>1.28258747092837E-2</v>
      </c>
    </row>
    <row r="3373" spans="1:7" x14ac:dyDescent="0.25">
      <c r="A3373" s="6" t="s">
        <v>1127</v>
      </c>
      <c r="B3373" s="6" t="s">
        <v>6257</v>
      </c>
      <c r="C3373" s="2400">
        <v>8</v>
      </c>
      <c r="D3373" s="2400">
        <v>3906.1201018756301</v>
      </c>
      <c r="E3373" s="2401">
        <v>3368.0297230107699</v>
      </c>
      <c r="F3373" s="2402">
        <v>1.5552705203041599E-2</v>
      </c>
      <c r="G3373" s="2403">
        <v>1.3419033830354799E-2</v>
      </c>
    </row>
    <row r="3374" spans="1:7" x14ac:dyDescent="0.25">
      <c r="A3374" s="11" t="s">
        <v>6417</v>
      </c>
      <c r="B3374" s="11" t="s">
        <v>6418</v>
      </c>
      <c r="C3374" s="2404">
        <v>52228</v>
      </c>
      <c r="D3374" s="2404">
        <v>25115374.147975899</v>
      </c>
      <c r="E3374" s="2405">
        <v>111182.957623903</v>
      </c>
      <c r="F3374" s="2406">
        <v>100</v>
      </c>
      <c r="G3374" s="2407">
        <v>1.02786679142825E-14</v>
      </c>
    </row>
    <row r="3375" spans="1:7" x14ac:dyDescent="0.25">
      <c r="A3375" s="6" t="s">
        <v>6417</v>
      </c>
      <c r="B3375" s="6" t="s">
        <v>6419</v>
      </c>
      <c r="C3375" s="2400">
        <v>52228</v>
      </c>
      <c r="D3375" s="2400">
        <v>25115374.147975899</v>
      </c>
      <c r="E3375" s="2401">
        <v>0</v>
      </c>
      <c r="F3375" s="2402">
        <v>100</v>
      </c>
      <c r="G3375" s="2403">
        <v>0</v>
      </c>
    </row>
    <row r="3376" spans="1:7" x14ac:dyDescent="0.25">
      <c r="A3376" s="3729" t="s">
        <v>906</v>
      </c>
      <c r="B3376" s="3730"/>
      <c r="C3376" s="3730"/>
      <c r="D3376" s="3730"/>
      <c r="E3376" s="3730"/>
      <c r="F3376" s="3730"/>
      <c r="G3376" s="3730"/>
    </row>
    <row r="3377" spans="1:7" x14ac:dyDescent="0.25">
      <c r="A3377" s="11" t="s">
        <v>6544</v>
      </c>
      <c r="B3377" s="11"/>
      <c r="C3377" s="2412">
        <v>3145</v>
      </c>
      <c r="D3377" s="2412">
        <v>1729770.91209138</v>
      </c>
      <c r="E3377" s="2413">
        <v>53618.791140384499</v>
      </c>
      <c r="F3377" s="2414">
        <v>6.9363651693645298</v>
      </c>
      <c r="G3377" s="2415">
        <v>0.22429458979977401</v>
      </c>
    </row>
    <row r="3378" spans="1:7" x14ac:dyDescent="0.25">
      <c r="A3378" s="6" t="s">
        <v>6546</v>
      </c>
      <c r="B3378" s="6"/>
      <c r="C3378" s="2408">
        <v>3047</v>
      </c>
      <c r="D3378" s="2408">
        <v>1654850.2690139201</v>
      </c>
      <c r="E3378" s="2409">
        <v>80703.190395330501</v>
      </c>
      <c r="F3378" s="2410">
        <v>6.6359340917713903</v>
      </c>
      <c r="G3378" s="2411">
        <v>0.32774613084221599</v>
      </c>
    </row>
    <row r="3379" spans="1:7" x14ac:dyDescent="0.25">
      <c r="A3379" s="11" t="s">
        <v>6543</v>
      </c>
      <c r="B3379" s="11"/>
      <c r="C3379" s="2412">
        <v>3080</v>
      </c>
      <c r="D3379" s="2412">
        <v>1615128.2980502599</v>
      </c>
      <c r="E3379" s="2413">
        <v>70898.488671639599</v>
      </c>
      <c r="F3379" s="2414">
        <v>6.4766493599465704</v>
      </c>
      <c r="G3379" s="2415">
        <v>0.29108411459036798</v>
      </c>
    </row>
    <row r="3380" spans="1:7" x14ac:dyDescent="0.25">
      <c r="A3380" s="6" t="s">
        <v>6550</v>
      </c>
      <c r="B3380" s="6"/>
      <c r="C3380" s="2408">
        <v>2642</v>
      </c>
      <c r="D3380" s="2408">
        <v>1392394.0545407301</v>
      </c>
      <c r="E3380" s="2409">
        <v>63288.940296056498</v>
      </c>
      <c r="F3380" s="2410">
        <v>5.5834871279395903</v>
      </c>
      <c r="G3380" s="2411">
        <v>0.25285049393947101</v>
      </c>
    </row>
    <row r="3381" spans="1:7" x14ac:dyDescent="0.25">
      <c r="A3381" s="11" t="s">
        <v>6548</v>
      </c>
      <c r="B3381" s="11"/>
      <c r="C3381" s="2412">
        <v>2507</v>
      </c>
      <c r="D3381" s="2412">
        <v>1346057.92820601</v>
      </c>
      <c r="E3381" s="2413">
        <v>58792.4908489964</v>
      </c>
      <c r="F3381" s="2414">
        <v>5.3976796949756602</v>
      </c>
      <c r="G3381" s="2415">
        <v>0.230178940695973</v>
      </c>
    </row>
    <row r="3382" spans="1:7" x14ac:dyDescent="0.25">
      <c r="A3382" s="6" t="s">
        <v>6557</v>
      </c>
      <c r="B3382" s="6"/>
      <c r="C3382" s="2408">
        <v>2790</v>
      </c>
      <c r="D3382" s="2408">
        <v>1284040.92824297</v>
      </c>
      <c r="E3382" s="2409">
        <v>51534.534591217503</v>
      </c>
      <c r="F3382" s="2410">
        <v>5.1489921055121197</v>
      </c>
      <c r="G3382" s="2411">
        <v>0.20065942469211501</v>
      </c>
    </row>
    <row r="3383" spans="1:7" x14ac:dyDescent="0.25">
      <c r="A3383" s="11" t="s">
        <v>6552</v>
      </c>
      <c r="B3383" s="11"/>
      <c r="C3383" s="2412">
        <v>2741</v>
      </c>
      <c r="D3383" s="2412">
        <v>1271610.22369646</v>
      </c>
      <c r="E3383" s="2413">
        <v>47972.883269292899</v>
      </c>
      <c r="F3383" s="2414">
        <v>5.0991450966138103</v>
      </c>
      <c r="G3383" s="2415">
        <v>0.199669398157753</v>
      </c>
    </row>
    <row r="3384" spans="1:7" x14ac:dyDescent="0.25">
      <c r="A3384" s="6" t="s">
        <v>6562</v>
      </c>
      <c r="B3384" s="6"/>
      <c r="C3384" s="2408">
        <v>2491</v>
      </c>
      <c r="D3384" s="2408">
        <v>1271138.2898430401</v>
      </c>
      <c r="E3384" s="2409">
        <v>37740.292586205098</v>
      </c>
      <c r="F3384" s="2410">
        <v>5.0972526462782097</v>
      </c>
      <c r="G3384" s="2411">
        <v>0.14668577511662401</v>
      </c>
    </row>
    <row r="3385" spans="1:7" x14ac:dyDescent="0.25">
      <c r="A3385" s="11" t="s">
        <v>6545</v>
      </c>
      <c r="B3385" s="11"/>
      <c r="C3385" s="2412">
        <v>2739</v>
      </c>
      <c r="D3385" s="2412">
        <v>1266403.11016546</v>
      </c>
      <c r="E3385" s="2413">
        <v>56130.1094422799</v>
      </c>
      <c r="F3385" s="2414">
        <v>5.0782646200854602</v>
      </c>
      <c r="G3385" s="2415">
        <v>0.21292813745733999</v>
      </c>
    </row>
    <row r="3386" spans="1:7" x14ac:dyDescent="0.25">
      <c r="A3386" s="6" t="s">
        <v>6553</v>
      </c>
      <c r="B3386" s="6"/>
      <c r="C3386" s="2408">
        <v>2460</v>
      </c>
      <c r="D3386" s="2408">
        <v>1187984.8195378999</v>
      </c>
      <c r="E3386" s="2409">
        <v>31567.181491530901</v>
      </c>
      <c r="F3386" s="2410">
        <v>4.7638080085492698</v>
      </c>
      <c r="G3386" s="2411">
        <v>0.128009844441165</v>
      </c>
    </row>
    <row r="3387" spans="1:7" x14ac:dyDescent="0.25">
      <c r="A3387" s="11" t="s">
        <v>6559</v>
      </c>
      <c r="B3387" s="11"/>
      <c r="C3387" s="2412">
        <v>2361</v>
      </c>
      <c r="D3387" s="2412">
        <v>1115924.9099371401</v>
      </c>
      <c r="E3387" s="2413">
        <v>36143.903139421796</v>
      </c>
      <c r="F3387" s="2414">
        <v>4.4748484454254402</v>
      </c>
      <c r="G3387" s="2415">
        <v>0.13834344005947399</v>
      </c>
    </row>
    <row r="3388" spans="1:7" x14ac:dyDescent="0.25">
      <c r="A3388" s="6" t="s">
        <v>6576</v>
      </c>
      <c r="B3388" s="6"/>
      <c r="C3388" s="2408">
        <v>2102</v>
      </c>
      <c r="D3388" s="2408">
        <v>1058552.3595557499</v>
      </c>
      <c r="E3388" s="2409">
        <v>27618.294605543899</v>
      </c>
      <c r="F3388" s="2410">
        <v>4.24478505531909</v>
      </c>
      <c r="G3388" s="2411">
        <v>0.114997674336207</v>
      </c>
    </row>
    <row r="3389" spans="1:7" x14ac:dyDescent="0.25">
      <c r="A3389" s="11" t="s">
        <v>3398</v>
      </c>
      <c r="B3389" s="11"/>
      <c r="C3389" s="2412">
        <v>2005</v>
      </c>
      <c r="D3389" s="2412">
        <v>996868.03542665695</v>
      </c>
      <c r="E3389" s="2413">
        <v>50003.0018812833</v>
      </c>
      <c r="F3389" s="2414">
        <v>3.9974314928363301</v>
      </c>
      <c r="G3389" s="2415">
        <v>0.19787052823127099</v>
      </c>
    </row>
    <row r="3390" spans="1:7" x14ac:dyDescent="0.25">
      <c r="A3390" s="6" t="s">
        <v>6549</v>
      </c>
      <c r="B3390" s="6"/>
      <c r="C3390" s="2408">
        <v>2062</v>
      </c>
      <c r="D3390" s="2408">
        <v>983764.04508734902</v>
      </c>
      <c r="E3390" s="2409">
        <v>24347.908602607899</v>
      </c>
      <c r="F3390" s="2410">
        <v>3.9448846142098599</v>
      </c>
      <c r="G3390" s="2411">
        <v>9.9005058593578901E-2</v>
      </c>
    </row>
    <row r="3391" spans="1:7" x14ac:dyDescent="0.25">
      <c r="A3391" s="11" t="s">
        <v>6560</v>
      </c>
      <c r="B3391" s="11"/>
      <c r="C3391" s="2412">
        <v>2116</v>
      </c>
      <c r="D3391" s="2412">
        <v>926298.54983319202</v>
      </c>
      <c r="E3391" s="2413">
        <v>49697.704574552103</v>
      </c>
      <c r="F3391" s="2414">
        <v>3.7144485160335501</v>
      </c>
      <c r="G3391" s="2415">
        <v>0.209743311390928</v>
      </c>
    </row>
    <row r="3392" spans="1:7" x14ac:dyDescent="0.25">
      <c r="A3392" s="6" t="s">
        <v>6583</v>
      </c>
      <c r="B3392" s="6"/>
      <c r="C3392" s="2408">
        <v>1737</v>
      </c>
      <c r="D3392" s="2408">
        <v>902631.97043057205</v>
      </c>
      <c r="E3392" s="2409">
        <v>50106.027914203602</v>
      </c>
      <c r="F3392" s="2410">
        <v>3.6195457541135601</v>
      </c>
      <c r="G3392" s="2411">
        <v>0.19485279188680299</v>
      </c>
    </row>
    <row r="3393" spans="1:7" x14ac:dyDescent="0.25">
      <c r="A3393" s="11" t="s">
        <v>6542</v>
      </c>
      <c r="B3393" s="11"/>
      <c r="C3393" s="2412">
        <v>1800</v>
      </c>
      <c r="D3393" s="2412">
        <v>895089.36069670401</v>
      </c>
      <c r="E3393" s="2413">
        <v>56217.666817263897</v>
      </c>
      <c r="F3393" s="2414">
        <v>3.58929995966853</v>
      </c>
      <c r="G3393" s="2415">
        <v>0.21798380788784599</v>
      </c>
    </row>
    <row r="3394" spans="1:7" x14ac:dyDescent="0.25">
      <c r="A3394" s="6" t="s">
        <v>6556</v>
      </c>
      <c r="B3394" s="6"/>
      <c r="C3394" s="2408">
        <v>1372</v>
      </c>
      <c r="D3394" s="2408">
        <v>627676.76337763399</v>
      </c>
      <c r="E3394" s="2409">
        <v>34561.296723152103</v>
      </c>
      <c r="F3394" s="2410">
        <v>2.5169779470092499</v>
      </c>
      <c r="G3394" s="2411">
        <v>0.13376056427263799</v>
      </c>
    </row>
    <row r="3395" spans="1:7" x14ac:dyDescent="0.25">
      <c r="A3395" s="11" t="s">
        <v>6558</v>
      </c>
      <c r="B3395" s="11"/>
      <c r="C3395" s="2412">
        <v>1138</v>
      </c>
      <c r="D3395" s="2412">
        <v>536544.715785468</v>
      </c>
      <c r="E3395" s="2413">
        <v>20287.5202643876</v>
      </c>
      <c r="F3395" s="2414">
        <v>2.1515392890271401</v>
      </c>
      <c r="G3395" s="2415">
        <v>8.05514932057248E-2</v>
      </c>
    </row>
    <row r="3396" spans="1:7" x14ac:dyDescent="0.25">
      <c r="A3396" s="6" t="s">
        <v>6577</v>
      </c>
      <c r="B3396" s="6"/>
      <c r="C3396" s="2408">
        <v>926</v>
      </c>
      <c r="D3396" s="2408">
        <v>404546.81117121299</v>
      </c>
      <c r="E3396" s="2409">
        <v>20559.674303586999</v>
      </c>
      <c r="F3396" s="2410">
        <v>1.6222289268310099</v>
      </c>
      <c r="G3396" s="2411">
        <v>8.3805883881981097E-2</v>
      </c>
    </row>
    <row r="3397" spans="1:7" x14ac:dyDescent="0.25">
      <c r="A3397" s="11" t="s">
        <v>6568</v>
      </c>
      <c r="B3397" s="11"/>
      <c r="C3397" s="2412">
        <v>716</v>
      </c>
      <c r="D3397" s="2412">
        <v>300208.11596986401</v>
      </c>
      <c r="E3397" s="2413">
        <v>19213.141742341799</v>
      </c>
      <c r="F3397" s="2414">
        <v>1.20383173553094</v>
      </c>
      <c r="G3397" s="2415">
        <v>7.5168680335313001E-2</v>
      </c>
    </row>
    <row r="3398" spans="1:7" x14ac:dyDescent="0.25">
      <c r="A3398" s="6" t="s">
        <v>6551</v>
      </c>
      <c r="B3398" s="6"/>
      <c r="C3398" s="2408">
        <v>634</v>
      </c>
      <c r="D3398" s="2408">
        <v>287985.68356187799</v>
      </c>
      <c r="E3398" s="2409">
        <v>17819.519543082199</v>
      </c>
      <c r="F3398" s="2410">
        <v>1.1548198959589799</v>
      </c>
      <c r="G3398" s="2411">
        <v>7.0385824103942798E-2</v>
      </c>
    </row>
    <row r="3399" spans="1:7" x14ac:dyDescent="0.25">
      <c r="A3399" s="11" t="s">
        <v>6606</v>
      </c>
      <c r="B3399" s="11"/>
      <c r="C3399" s="2412">
        <v>486</v>
      </c>
      <c r="D3399" s="2412">
        <v>238908.07976105699</v>
      </c>
      <c r="E3399" s="2413">
        <v>21805.086036975401</v>
      </c>
      <c r="F3399" s="2414">
        <v>0.95801916401217502</v>
      </c>
      <c r="G3399" s="2415">
        <v>8.7912321564971793E-2</v>
      </c>
    </row>
    <row r="3400" spans="1:7" x14ac:dyDescent="0.25">
      <c r="A3400" s="6" t="s">
        <v>6564</v>
      </c>
      <c r="B3400" s="6"/>
      <c r="C3400" s="2408">
        <v>522</v>
      </c>
      <c r="D3400" s="2408">
        <v>210223.80552102899</v>
      </c>
      <c r="E3400" s="2409">
        <v>20045.7134533729</v>
      </c>
      <c r="F3400" s="2410">
        <v>0.84299549275245</v>
      </c>
      <c r="G3400" s="2411">
        <v>8.0827227492715994E-2</v>
      </c>
    </row>
    <row r="3401" spans="1:7" x14ac:dyDescent="0.25">
      <c r="A3401" s="11" t="s">
        <v>6563</v>
      </c>
      <c r="B3401" s="11"/>
      <c r="C3401" s="2412">
        <v>406</v>
      </c>
      <c r="D3401" s="2412">
        <v>152277.95058533599</v>
      </c>
      <c r="E3401" s="2413">
        <v>6702.2373791176897</v>
      </c>
      <c r="F3401" s="2414">
        <v>0.61063315674864305</v>
      </c>
      <c r="G3401" s="2415">
        <v>2.7633276540119399E-2</v>
      </c>
    </row>
    <row r="3402" spans="1:7" x14ac:dyDescent="0.25">
      <c r="A3402" s="6" t="s">
        <v>6566</v>
      </c>
      <c r="B3402" s="6"/>
      <c r="C3402" s="2408">
        <v>315</v>
      </c>
      <c r="D3402" s="2408">
        <v>120993.176733627</v>
      </c>
      <c r="E3402" s="2409">
        <v>13616.986030154199</v>
      </c>
      <c r="F3402" s="2410">
        <v>0.48518150638294399</v>
      </c>
      <c r="G3402" s="2411">
        <v>5.5464138076442002E-2</v>
      </c>
    </row>
    <row r="3403" spans="1:7" x14ac:dyDescent="0.25">
      <c r="A3403" s="11" t="s">
        <v>6574</v>
      </c>
      <c r="B3403" s="11"/>
      <c r="C3403" s="2412">
        <v>304</v>
      </c>
      <c r="D3403" s="2412">
        <v>113932.738248936</v>
      </c>
      <c r="E3403" s="2413">
        <v>11179.9564718526</v>
      </c>
      <c r="F3403" s="2414">
        <v>0.456869214134695</v>
      </c>
      <c r="G3403" s="2415">
        <v>4.4961378069972101E-2</v>
      </c>
    </row>
    <row r="3404" spans="1:7" x14ac:dyDescent="0.25">
      <c r="A3404" s="6" t="s">
        <v>6555</v>
      </c>
      <c r="B3404" s="6"/>
      <c r="C3404" s="2408">
        <v>293</v>
      </c>
      <c r="D3404" s="2408">
        <v>112369.128068957</v>
      </c>
      <c r="E3404" s="2409">
        <v>13461.687229675301</v>
      </c>
      <c r="F3404" s="2410">
        <v>0.45059915194608102</v>
      </c>
      <c r="G3404" s="2411">
        <v>5.4296095779079401E-2</v>
      </c>
    </row>
    <row r="3405" spans="1:7" x14ac:dyDescent="0.25">
      <c r="A3405" s="11" t="s">
        <v>6575</v>
      </c>
      <c r="B3405" s="11"/>
      <c r="C3405" s="2412">
        <v>184</v>
      </c>
      <c r="D3405" s="2412">
        <v>69344.2504758789</v>
      </c>
      <c r="E3405" s="2413">
        <v>9983.4273343041496</v>
      </c>
      <c r="F3405" s="2414">
        <v>0.27806979544766802</v>
      </c>
      <c r="G3405" s="2415">
        <v>4.0032336043348403E-2</v>
      </c>
    </row>
    <row r="3406" spans="1:7" x14ac:dyDescent="0.25">
      <c r="A3406" s="6" t="s">
        <v>6573</v>
      </c>
      <c r="B3406" s="6"/>
      <c r="C3406" s="2408">
        <v>183</v>
      </c>
      <c r="D3406" s="2408">
        <v>57730.494768527802</v>
      </c>
      <c r="E3406" s="2409">
        <v>17409.827526551901</v>
      </c>
      <c r="F3406" s="2410">
        <v>0.23149874374893101</v>
      </c>
      <c r="G3406" s="2411">
        <v>6.9824087601726897E-2</v>
      </c>
    </row>
    <row r="3407" spans="1:7" x14ac:dyDescent="0.25">
      <c r="A3407" s="11" t="s">
        <v>6565</v>
      </c>
      <c r="B3407" s="11"/>
      <c r="C3407" s="2412">
        <v>179</v>
      </c>
      <c r="D3407" s="2412">
        <v>56311.527814433903</v>
      </c>
      <c r="E3407" s="2413">
        <v>13160.424157489801</v>
      </c>
      <c r="F3407" s="2414">
        <v>0.22580869954246699</v>
      </c>
      <c r="G3407" s="2415">
        <v>5.2406317774898903E-2</v>
      </c>
    </row>
    <row r="3408" spans="1:7" x14ac:dyDescent="0.25">
      <c r="A3408" s="6" t="s">
        <v>6554</v>
      </c>
      <c r="B3408" s="6"/>
      <c r="C3408" s="2408">
        <v>222</v>
      </c>
      <c r="D3408" s="2408">
        <v>54038.799483063704</v>
      </c>
      <c r="E3408" s="2409">
        <v>7814.1368389847803</v>
      </c>
      <c r="F3408" s="2410">
        <v>0.21669508020308001</v>
      </c>
      <c r="G3408" s="2411">
        <v>3.1123147013493498E-2</v>
      </c>
    </row>
    <row r="3409" spans="1:7" x14ac:dyDescent="0.25">
      <c r="A3409" s="11" t="s">
        <v>6547</v>
      </c>
      <c r="B3409" s="11"/>
      <c r="C3409" s="2412">
        <v>165</v>
      </c>
      <c r="D3409" s="2412">
        <v>52538.789382439099</v>
      </c>
      <c r="E3409" s="2413">
        <v>9778.1709891943101</v>
      </c>
      <c r="F3409" s="2414">
        <v>0.21068005373747301</v>
      </c>
      <c r="G3409" s="2415">
        <v>3.9040979861344201E-2</v>
      </c>
    </row>
    <row r="3410" spans="1:7" x14ac:dyDescent="0.25">
      <c r="A3410" s="6" t="s">
        <v>6571</v>
      </c>
      <c r="B3410" s="6"/>
      <c r="C3410" s="2408">
        <v>87</v>
      </c>
      <c r="D3410" s="2408">
        <v>41674.617728333003</v>
      </c>
      <c r="E3410" s="2409">
        <v>7077.06995032945</v>
      </c>
      <c r="F3410" s="2410">
        <v>0.16711482707724001</v>
      </c>
      <c r="G3410" s="2411">
        <v>2.83745919460669E-2</v>
      </c>
    </row>
    <row r="3411" spans="1:7" x14ac:dyDescent="0.25">
      <c r="A3411" s="11" t="s">
        <v>6589</v>
      </c>
      <c r="B3411" s="11"/>
      <c r="C3411" s="2412">
        <v>99</v>
      </c>
      <c r="D3411" s="2412">
        <v>37341.099926978997</v>
      </c>
      <c r="E3411" s="2413">
        <v>8988.8837191049006</v>
      </c>
      <c r="F3411" s="2414">
        <v>0.14973746124918899</v>
      </c>
      <c r="G3411" s="2415">
        <v>3.5993929141680502E-2</v>
      </c>
    </row>
    <row r="3412" spans="1:7" x14ac:dyDescent="0.25">
      <c r="A3412" s="6" t="s">
        <v>6582</v>
      </c>
      <c r="B3412" s="6"/>
      <c r="C3412" s="2408">
        <v>117</v>
      </c>
      <c r="D3412" s="2408">
        <v>36534.357268657397</v>
      </c>
      <c r="E3412" s="2409">
        <v>6825.5615384930297</v>
      </c>
      <c r="F3412" s="2410">
        <v>0.14650243073924901</v>
      </c>
      <c r="G3412" s="2411">
        <v>2.7411771543113202E-2</v>
      </c>
    </row>
    <row r="3413" spans="1:7" x14ac:dyDescent="0.25">
      <c r="A3413" s="11" t="s">
        <v>6588</v>
      </c>
      <c r="B3413" s="11"/>
      <c r="C3413" s="2412">
        <v>107</v>
      </c>
      <c r="D3413" s="2412">
        <v>31574.621207134402</v>
      </c>
      <c r="E3413" s="2413">
        <v>8538.05239156688</v>
      </c>
      <c r="F3413" s="2414">
        <v>0.126613935548406</v>
      </c>
      <c r="G3413" s="2415">
        <v>3.4408073334224902E-2</v>
      </c>
    </row>
    <row r="3414" spans="1:7" x14ac:dyDescent="0.25">
      <c r="A3414" s="6" t="s">
        <v>6580</v>
      </c>
      <c r="B3414" s="6"/>
      <c r="C3414" s="2408">
        <v>80</v>
      </c>
      <c r="D3414" s="2408">
        <v>28461.797551846899</v>
      </c>
      <c r="E3414" s="2409">
        <v>6020.3628366626299</v>
      </c>
      <c r="F3414" s="2410">
        <v>0.114131541822173</v>
      </c>
      <c r="G3414" s="2411">
        <v>2.41872592114451E-2</v>
      </c>
    </row>
    <row r="3415" spans="1:7" x14ac:dyDescent="0.25">
      <c r="A3415" s="11" t="s">
        <v>6579</v>
      </c>
      <c r="B3415" s="11"/>
      <c r="C3415" s="2412">
        <v>86</v>
      </c>
      <c r="D3415" s="2412">
        <v>28073.578746814899</v>
      </c>
      <c r="E3415" s="2413">
        <v>8846.49011181065</v>
      </c>
      <c r="F3415" s="2414">
        <v>0.112574788047154</v>
      </c>
      <c r="G3415" s="2415">
        <v>3.5423101185544398E-2</v>
      </c>
    </row>
    <row r="3416" spans="1:7" x14ac:dyDescent="0.25">
      <c r="A3416" s="6" t="s">
        <v>6584</v>
      </c>
      <c r="B3416" s="6"/>
      <c r="C3416" s="2408">
        <v>83</v>
      </c>
      <c r="D3416" s="2408">
        <v>26644.606496706001</v>
      </c>
      <c r="E3416" s="2409">
        <v>4957.8838699922599</v>
      </c>
      <c r="F3416" s="2410">
        <v>0.10684462269730401</v>
      </c>
      <c r="G3416" s="2411">
        <v>1.98298170004193E-2</v>
      </c>
    </row>
    <row r="3417" spans="1:7" x14ac:dyDescent="0.25">
      <c r="A3417" s="11" t="s">
        <v>6567</v>
      </c>
      <c r="B3417" s="11"/>
      <c r="C3417" s="2412">
        <v>66</v>
      </c>
      <c r="D3417" s="2412">
        <v>25980.864973496598</v>
      </c>
      <c r="E3417" s="2413">
        <v>7144.7481545297896</v>
      </c>
      <c r="F3417" s="2414">
        <v>0.10418302540088301</v>
      </c>
      <c r="G3417" s="2415">
        <v>2.8923981289228299E-2</v>
      </c>
    </row>
    <row r="3418" spans="1:7" x14ac:dyDescent="0.25">
      <c r="A3418" s="6" t="s">
        <v>6587</v>
      </c>
      <c r="B3418" s="6"/>
      <c r="C3418" s="2408">
        <v>89</v>
      </c>
      <c r="D3418" s="2408">
        <v>25343.8680473526</v>
      </c>
      <c r="E3418" s="2409">
        <v>5991.5789274775998</v>
      </c>
      <c r="F3418" s="2410">
        <v>0.101628673688404</v>
      </c>
      <c r="G3418" s="2411">
        <v>2.3851403328448699E-2</v>
      </c>
    </row>
    <row r="3419" spans="1:7" x14ac:dyDescent="0.25">
      <c r="A3419" s="11" t="s">
        <v>6593</v>
      </c>
      <c r="B3419" s="11"/>
      <c r="C3419" s="2412">
        <v>53</v>
      </c>
      <c r="D3419" s="2412">
        <v>23936.8383623019</v>
      </c>
      <c r="E3419" s="2413">
        <v>4177.7175662551199</v>
      </c>
      <c r="F3419" s="2414">
        <v>9.5986497819087302E-2</v>
      </c>
      <c r="G3419" s="2415">
        <v>1.66293631733061E-2</v>
      </c>
    </row>
    <row r="3420" spans="1:7" x14ac:dyDescent="0.25">
      <c r="A3420" s="6" t="s">
        <v>6595</v>
      </c>
      <c r="B3420" s="6"/>
      <c r="C3420" s="2408">
        <v>74</v>
      </c>
      <c r="D3420" s="2408">
        <v>23694.645181961499</v>
      </c>
      <c r="E3420" s="2409">
        <v>4242.6180359534201</v>
      </c>
      <c r="F3420" s="2410">
        <v>9.5015305432495603E-2</v>
      </c>
      <c r="G3420" s="2411">
        <v>1.6865672546643101E-2</v>
      </c>
    </row>
    <row r="3421" spans="1:7" x14ac:dyDescent="0.25">
      <c r="A3421" s="11" t="s">
        <v>6578</v>
      </c>
      <c r="B3421" s="11"/>
      <c r="C3421" s="2412">
        <v>70</v>
      </c>
      <c r="D3421" s="2412">
        <v>23406.308803970802</v>
      </c>
      <c r="E3421" s="2413">
        <v>5724.9018325744501</v>
      </c>
      <c r="F3421" s="2414">
        <v>9.3859079255158906E-2</v>
      </c>
      <c r="G3421" s="2415">
        <v>2.29270390273737E-2</v>
      </c>
    </row>
    <row r="3422" spans="1:7" x14ac:dyDescent="0.25">
      <c r="A3422" s="6" t="s">
        <v>6572</v>
      </c>
      <c r="B3422" s="6"/>
      <c r="C3422" s="2408">
        <v>42</v>
      </c>
      <c r="D3422" s="2408">
        <v>23085.3701019004</v>
      </c>
      <c r="E3422" s="2409">
        <v>7619.0285441378501</v>
      </c>
      <c r="F3422" s="2410">
        <v>9.2572118063372594E-2</v>
      </c>
      <c r="G3422" s="2411">
        <v>3.0619299808671101E-2</v>
      </c>
    </row>
    <row r="3423" spans="1:7" x14ac:dyDescent="0.25">
      <c r="A3423" s="11" t="s">
        <v>6590</v>
      </c>
      <c r="B3423" s="11"/>
      <c r="C3423" s="2412">
        <v>38</v>
      </c>
      <c r="D3423" s="2412">
        <v>21580.0777586804</v>
      </c>
      <c r="E3423" s="2413">
        <v>6737.43169246456</v>
      </c>
      <c r="F3423" s="2414">
        <v>8.6535909854391899E-2</v>
      </c>
      <c r="G3423" s="2415">
        <v>2.7044569509387498E-2</v>
      </c>
    </row>
    <row r="3424" spans="1:7" x14ac:dyDescent="0.25">
      <c r="A3424" s="6" t="s">
        <v>6586</v>
      </c>
      <c r="B3424" s="6"/>
      <c r="C3424" s="2408">
        <v>75</v>
      </c>
      <c r="D3424" s="2408">
        <v>21272.023128705099</v>
      </c>
      <c r="E3424" s="2409">
        <v>3350.1979937511001</v>
      </c>
      <c r="F3424" s="2410">
        <v>8.5300613671131204E-2</v>
      </c>
      <c r="G3424" s="2411">
        <v>1.3568850133319901E-2</v>
      </c>
    </row>
    <row r="3425" spans="1:7" x14ac:dyDescent="0.25">
      <c r="A3425" s="11" t="s">
        <v>6596</v>
      </c>
      <c r="B3425" s="11"/>
      <c r="C3425" s="2412">
        <v>81</v>
      </c>
      <c r="D3425" s="2412">
        <v>20450.924271969099</v>
      </c>
      <c r="E3425" s="2413">
        <v>5993.5990390740599</v>
      </c>
      <c r="F3425" s="2414">
        <v>8.2008014939902299E-2</v>
      </c>
      <c r="G3425" s="2415">
        <v>2.4229511654115202E-2</v>
      </c>
    </row>
    <row r="3426" spans="1:7" x14ac:dyDescent="0.25">
      <c r="A3426" s="6" t="s">
        <v>6581</v>
      </c>
      <c r="B3426" s="6"/>
      <c r="C3426" s="2408">
        <v>70</v>
      </c>
      <c r="D3426" s="2408">
        <v>17978.080328272601</v>
      </c>
      <c r="E3426" s="2409">
        <v>5841.9273524789996</v>
      </c>
      <c r="F3426" s="2410">
        <v>7.2091933867876296E-2</v>
      </c>
      <c r="G3426" s="2411">
        <v>2.3309920939044201E-2</v>
      </c>
    </row>
    <row r="3427" spans="1:7" x14ac:dyDescent="0.25">
      <c r="A3427" s="11" t="s">
        <v>6570</v>
      </c>
      <c r="B3427" s="11"/>
      <c r="C3427" s="2412">
        <v>56</v>
      </c>
      <c r="D3427" s="2412">
        <v>16484.3558446838</v>
      </c>
      <c r="E3427" s="2413">
        <v>4074.9914259121101</v>
      </c>
      <c r="F3427" s="2414">
        <v>6.61021126677582E-2</v>
      </c>
      <c r="G3427" s="2415">
        <v>1.62396962657992E-2</v>
      </c>
    </row>
    <row r="3428" spans="1:7" x14ac:dyDescent="0.25">
      <c r="A3428" s="6" t="s">
        <v>6569</v>
      </c>
      <c r="B3428" s="6"/>
      <c r="C3428" s="2408">
        <v>58</v>
      </c>
      <c r="D3428" s="2408">
        <v>15954.3379012436</v>
      </c>
      <c r="E3428" s="2409">
        <v>3640.4255992317999</v>
      </c>
      <c r="F3428" s="2410">
        <v>6.3976745674754407E-2</v>
      </c>
      <c r="G3428" s="2411">
        <v>1.44929902610361E-2</v>
      </c>
    </row>
    <row r="3429" spans="1:7" x14ac:dyDescent="0.25">
      <c r="A3429" s="11" t="s">
        <v>6585</v>
      </c>
      <c r="B3429" s="11"/>
      <c r="C3429" s="2412">
        <v>75</v>
      </c>
      <c r="D3429" s="2412">
        <v>15865.328498771099</v>
      </c>
      <c r="E3429" s="2413">
        <v>3567.94822265532</v>
      </c>
      <c r="F3429" s="2414">
        <v>6.3619818803837394E-2</v>
      </c>
      <c r="G3429" s="2415">
        <v>1.42547041281541E-2</v>
      </c>
    </row>
    <row r="3430" spans="1:7" x14ac:dyDescent="0.25">
      <c r="A3430" s="6" t="s">
        <v>6541</v>
      </c>
      <c r="B3430" s="6"/>
      <c r="C3430" s="2408">
        <v>59</v>
      </c>
      <c r="D3430" s="2408">
        <v>15444.264718841399</v>
      </c>
      <c r="E3430" s="2409">
        <v>4437.4380434736004</v>
      </c>
      <c r="F3430" s="2410">
        <v>6.1931356986859601E-2</v>
      </c>
      <c r="G3430" s="2411">
        <v>1.7633092638153498E-2</v>
      </c>
    </row>
    <row r="3431" spans="1:7" x14ac:dyDescent="0.25">
      <c r="A3431" s="11" t="s">
        <v>6561</v>
      </c>
      <c r="B3431" s="11"/>
      <c r="C3431" s="2412">
        <v>46</v>
      </c>
      <c r="D3431" s="2412">
        <v>13210.831468194499</v>
      </c>
      <c r="E3431" s="2413">
        <v>4933.8897547110901</v>
      </c>
      <c r="F3431" s="2414">
        <v>5.2975310553429099E-2</v>
      </c>
      <c r="G3431" s="2415">
        <v>1.98380580101849E-2</v>
      </c>
    </row>
    <row r="3432" spans="1:7" x14ac:dyDescent="0.25">
      <c r="A3432" s="6" t="s">
        <v>6603</v>
      </c>
      <c r="B3432" s="6"/>
      <c r="C3432" s="2408">
        <v>27</v>
      </c>
      <c r="D3432" s="2408">
        <v>11995.255299979301</v>
      </c>
      <c r="E3432" s="2409">
        <v>3417.6822593253801</v>
      </c>
      <c r="F3432" s="2410">
        <v>4.8100861494898298E-2</v>
      </c>
      <c r="G3432" s="2411">
        <v>1.37217369756618E-2</v>
      </c>
    </row>
    <row r="3433" spans="1:7" x14ac:dyDescent="0.25">
      <c r="A3433" s="11" t="s">
        <v>6594</v>
      </c>
      <c r="B3433" s="11"/>
      <c r="C3433" s="2412">
        <v>39</v>
      </c>
      <c r="D3433" s="2412">
        <v>10806.107151958</v>
      </c>
      <c r="E3433" s="2413">
        <v>4465.4991428861204</v>
      </c>
      <c r="F3433" s="2414">
        <v>4.3332388550017899E-2</v>
      </c>
      <c r="G3433" s="2415">
        <v>1.7885150740512501E-2</v>
      </c>
    </row>
    <row r="3434" spans="1:7" x14ac:dyDescent="0.25">
      <c r="A3434" s="6" t="s">
        <v>6600</v>
      </c>
      <c r="B3434" s="6"/>
      <c r="C3434" s="2408">
        <v>30</v>
      </c>
      <c r="D3434" s="2408">
        <v>9951.8508478579697</v>
      </c>
      <c r="E3434" s="2409">
        <v>3478.3754894869699</v>
      </c>
      <c r="F3434" s="2410">
        <v>3.9906828765164298E-2</v>
      </c>
      <c r="G3434" s="2411">
        <v>1.39498804393514E-2</v>
      </c>
    </row>
    <row r="3435" spans="1:7" x14ac:dyDescent="0.25">
      <c r="A3435" s="11" t="s">
        <v>6601</v>
      </c>
      <c r="B3435" s="11"/>
      <c r="C3435" s="2412">
        <v>17</v>
      </c>
      <c r="D3435" s="2412">
        <v>9477.8243612280094</v>
      </c>
      <c r="E3435" s="2413">
        <v>4325.15182466037</v>
      </c>
      <c r="F3435" s="2414">
        <v>3.8005986989971798E-2</v>
      </c>
      <c r="G3435" s="2415">
        <v>1.7370258378073201E-2</v>
      </c>
    </row>
    <row r="3436" spans="1:7" x14ac:dyDescent="0.25">
      <c r="A3436" s="6" t="s">
        <v>6602</v>
      </c>
      <c r="B3436" s="6"/>
      <c r="C3436" s="2408">
        <v>35</v>
      </c>
      <c r="D3436" s="2408">
        <v>7036.03384492841</v>
      </c>
      <c r="E3436" s="2409">
        <v>1788.6595508054399</v>
      </c>
      <c r="F3436" s="2410">
        <v>2.8214429871192801E-2</v>
      </c>
      <c r="G3436" s="2411">
        <v>7.1732614593465896E-3</v>
      </c>
    </row>
    <row r="3437" spans="1:7" x14ac:dyDescent="0.25">
      <c r="A3437" s="11" t="s">
        <v>6591</v>
      </c>
      <c r="B3437" s="11"/>
      <c r="C3437" s="2412">
        <v>10</v>
      </c>
      <c r="D3437" s="2412">
        <v>5452.153567458</v>
      </c>
      <c r="E3437" s="2413">
        <v>2562.6619691905798</v>
      </c>
      <c r="F3437" s="2414">
        <v>2.1863084781335699E-2</v>
      </c>
      <c r="G3437" s="2415">
        <v>1.02336569224813E-2</v>
      </c>
    </row>
    <row r="3438" spans="1:7" x14ac:dyDescent="0.25">
      <c r="A3438" s="6" t="s">
        <v>6599</v>
      </c>
      <c r="B3438" s="6"/>
      <c r="C3438" s="2408">
        <v>16</v>
      </c>
      <c r="D3438" s="2408">
        <v>5022.1752367333202</v>
      </c>
      <c r="E3438" s="2409">
        <v>1781.09420198409</v>
      </c>
      <c r="F3438" s="2410">
        <v>2.0138875699097E-2</v>
      </c>
      <c r="G3438" s="2411">
        <v>7.1086861750231899E-3</v>
      </c>
    </row>
    <row r="3439" spans="1:7" x14ac:dyDescent="0.25">
      <c r="A3439" s="11" t="s">
        <v>6610</v>
      </c>
      <c r="B3439" s="11"/>
      <c r="C3439" s="2412">
        <v>17</v>
      </c>
      <c r="D3439" s="2412">
        <v>4885.7104476887198</v>
      </c>
      <c r="E3439" s="2413">
        <v>2583.44159077104</v>
      </c>
      <c r="F3439" s="2414">
        <v>1.95916531721387E-2</v>
      </c>
      <c r="G3439" s="2415">
        <v>1.0401865106386901E-2</v>
      </c>
    </row>
    <row r="3440" spans="1:7" x14ac:dyDescent="0.25">
      <c r="A3440" s="6" t="s">
        <v>6624</v>
      </c>
      <c r="B3440" s="6"/>
      <c r="C3440" s="2408">
        <v>12</v>
      </c>
      <c r="D3440" s="2408">
        <v>4410.5959936931704</v>
      </c>
      <c r="E3440" s="2409">
        <v>1934.7198391627701</v>
      </c>
      <c r="F3440" s="2410">
        <v>1.7686448657991901E-2</v>
      </c>
      <c r="G3440" s="2411">
        <v>7.7979079482151797E-3</v>
      </c>
    </row>
    <row r="3441" spans="1:7" x14ac:dyDescent="0.25">
      <c r="A3441" s="11" t="s">
        <v>6607</v>
      </c>
      <c r="B3441" s="11"/>
      <c r="C3441" s="2412">
        <v>14</v>
      </c>
      <c r="D3441" s="2412">
        <v>4400.3007564241898</v>
      </c>
      <c r="E3441" s="2413">
        <v>2418.6089568236398</v>
      </c>
      <c r="F3441" s="2414">
        <v>1.7645164852891599E-2</v>
      </c>
      <c r="G3441" s="2415">
        <v>9.6664057159338308E-3</v>
      </c>
    </row>
    <row r="3442" spans="1:7" x14ac:dyDescent="0.25">
      <c r="A3442" s="6" t="s">
        <v>6608</v>
      </c>
      <c r="B3442" s="6"/>
      <c r="C3442" s="2408">
        <v>7</v>
      </c>
      <c r="D3442" s="2408">
        <v>3230.6135957423699</v>
      </c>
      <c r="E3442" s="2409">
        <v>2429.6193451804502</v>
      </c>
      <c r="F3442" s="2410">
        <v>1.2954730285116E-2</v>
      </c>
      <c r="G3442" s="2411">
        <v>9.7618068768299208E-3</v>
      </c>
    </row>
    <row r="3443" spans="1:7" x14ac:dyDescent="0.25">
      <c r="A3443" s="11" t="s">
        <v>6703</v>
      </c>
      <c r="B3443" s="11"/>
      <c r="C3443" s="2412">
        <v>9</v>
      </c>
      <c r="D3443" s="2412">
        <v>3124.9188129408699</v>
      </c>
      <c r="E3443" s="2413">
        <v>1960.57103496749</v>
      </c>
      <c r="F3443" s="2414">
        <v>1.2530895195230299E-2</v>
      </c>
      <c r="G3443" s="2415">
        <v>7.8522378677866808E-3</v>
      </c>
    </row>
    <row r="3444" spans="1:7" x14ac:dyDescent="0.25">
      <c r="A3444" s="6" t="s">
        <v>6597</v>
      </c>
      <c r="B3444" s="6"/>
      <c r="C3444" s="2408">
        <v>13</v>
      </c>
      <c r="D3444" s="2408">
        <v>2607.4627550027899</v>
      </c>
      <c r="E3444" s="2409">
        <v>1665.87133099938</v>
      </c>
      <c r="F3444" s="2410">
        <v>1.04559012455293E-2</v>
      </c>
      <c r="G3444" s="2411">
        <v>6.6760214321481097E-3</v>
      </c>
    </row>
    <row r="3445" spans="1:7" x14ac:dyDescent="0.25">
      <c r="A3445" s="11" t="s">
        <v>6617</v>
      </c>
      <c r="B3445" s="11"/>
      <c r="C3445" s="2412">
        <v>6</v>
      </c>
      <c r="D3445" s="2412">
        <v>2374.5462473447801</v>
      </c>
      <c r="E3445" s="2413">
        <v>2193.6988575303399</v>
      </c>
      <c r="F3445" s="2414">
        <v>9.5219082295779998E-3</v>
      </c>
      <c r="G3445" s="2415">
        <v>8.7932789476248604E-3</v>
      </c>
    </row>
    <row r="3446" spans="1:7" x14ac:dyDescent="0.25">
      <c r="A3446" s="6" t="s">
        <v>6592</v>
      </c>
      <c r="B3446" s="6"/>
      <c r="C3446" s="2408">
        <v>14</v>
      </c>
      <c r="D3446" s="2408">
        <v>2320.45746088431</v>
      </c>
      <c r="E3446" s="2409">
        <v>1078.74696866973</v>
      </c>
      <c r="F3446" s="2410">
        <v>9.3050127020633498E-3</v>
      </c>
      <c r="G3446" s="2411">
        <v>4.31433343918538E-3</v>
      </c>
    </row>
    <row r="3447" spans="1:7" x14ac:dyDescent="0.25">
      <c r="A3447" s="11" t="s">
        <v>6605</v>
      </c>
      <c r="B3447" s="11"/>
      <c r="C3447" s="2412">
        <v>10</v>
      </c>
      <c r="D3447" s="2412">
        <v>2198.4440383834899</v>
      </c>
      <c r="E3447" s="2413">
        <v>893.27709852848795</v>
      </c>
      <c r="F3447" s="2414">
        <v>8.8157400197019491E-3</v>
      </c>
      <c r="G3447" s="2415">
        <v>3.5959206031538501E-3</v>
      </c>
    </row>
    <row r="3448" spans="1:7" x14ac:dyDescent="0.25">
      <c r="A3448" s="6" t="s">
        <v>6609</v>
      </c>
      <c r="B3448" s="6"/>
      <c r="C3448" s="2408">
        <v>12</v>
      </c>
      <c r="D3448" s="2408">
        <v>2100.98012983841</v>
      </c>
      <c r="E3448" s="2409">
        <v>835.17924351693</v>
      </c>
      <c r="F3448" s="2410">
        <v>8.4249106585556205E-3</v>
      </c>
      <c r="G3448" s="2411">
        <v>3.36574603754427E-3</v>
      </c>
    </row>
    <row r="3449" spans="1:7" x14ac:dyDescent="0.25">
      <c r="A3449" s="11" t="s">
        <v>6598</v>
      </c>
      <c r="B3449" s="11"/>
      <c r="C3449" s="2412">
        <v>21</v>
      </c>
      <c r="D3449" s="2412">
        <v>2080.30632192438</v>
      </c>
      <c r="E3449" s="2413">
        <v>765.81891967102001</v>
      </c>
      <c r="F3449" s="2414">
        <v>8.3420088822969002E-3</v>
      </c>
      <c r="G3449" s="2415">
        <v>3.0628098643119901E-3</v>
      </c>
    </row>
    <row r="3450" spans="1:7" x14ac:dyDescent="0.25">
      <c r="A3450" s="6" t="s">
        <v>6604</v>
      </c>
      <c r="B3450" s="6"/>
      <c r="C3450" s="2408">
        <v>11</v>
      </c>
      <c r="D3450" s="2408">
        <v>1889.57118424238</v>
      </c>
      <c r="E3450" s="2409">
        <v>909.05633237906102</v>
      </c>
      <c r="F3450" s="2410">
        <v>7.5771627651935501E-3</v>
      </c>
      <c r="G3450" s="2411">
        <v>3.6475900900071099E-3</v>
      </c>
    </row>
    <row r="3451" spans="1:7" x14ac:dyDescent="0.25">
      <c r="A3451" s="11" t="s">
        <v>6621</v>
      </c>
      <c r="B3451" s="11"/>
      <c r="C3451" s="2412">
        <v>10</v>
      </c>
      <c r="D3451" s="2412">
        <v>1622.92204288892</v>
      </c>
      <c r="E3451" s="2413">
        <v>572.57262031216305</v>
      </c>
      <c r="F3451" s="2414">
        <v>6.5079022038115504E-3</v>
      </c>
      <c r="G3451" s="2415">
        <v>2.3040736594908099E-3</v>
      </c>
    </row>
    <row r="3452" spans="1:7" x14ac:dyDescent="0.25">
      <c r="A3452" s="6" t="s">
        <v>6704</v>
      </c>
      <c r="B3452" s="6"/>
      <c r="C3452" s="2408">
        <v>2</v>
      </c>
      <c r="D3452" s="2408">
        <v>1471.0404591336101</v>
      </c>
      <c r="E3452" s="2409">
        <v>1421.69685440291</v>
      </c>
      <c r="F3452" s="2410">
        <v>5.8988584743418903E-3</v>
      </c>
      <c r="G3452" s="2411">
        <v>5.7007333418253401E-3</v>
      </c>
    </row>
    <row r="3453" spans="1:7" x14ac:dyDescent="0.25">
      <c r="A3453" s="11" t="s">
        <v>6616</v>
      </c>
      <c r="B3453" s="11"/>
      <c r="C3453" s="2412">
        <v>5</v>
      </c>
      <c r="D3453" s="2412">
        <v>1364.0091821823301</v>
      </c>
      <c r="E3453" s="2413">
        <v>1075.8134767148099</v>
      </c>
      <c r="F3453" s="2414">
        <v>5.4696640554232302E-3</v>
      </c>
      <c r="G3453" s="2415">
        <v>4.3206031076468802E-3</v>
      </c>
    </row>
    <row r="3454" spans="1:7" x14ac:dyDescent="0.25">
      <c r="A3454" s="6" t="s">
        <v>6614</v>
      </c>
      <c r="B3454" s="6"/>
      <c r="C3454" s="2408">
        <v>8</v>
      </c>
      <c r="D3454" s="2408">
        <v>1162.7790052998701</v>
      </c>
      <c r="E3454" s="2409">
        <v>587.85908296026901</v>
      </c>
      <c r="F3454" s="2410">
        <v>4.6627329293442502E-3</v>
      </c>
      <c r="G3454" s="2411">
        <v>2.36251788742484E-3</v>
      </c>
    </row>
    <row r="3455" spans="1:7" x14ac:dyDescent="0.25">
      <c r="A3455" s="11" t="s">
        <v>6615</v>
      </c>
      <c r="B3455" s="11"/>
      <c r="C3455" s="2412">
        <v>4</v>
      </c>
      <c r="D3455" s="2412">
        <v>1091.1158867325601</v>
      </c>
      <c r="E3455" s="2413">
        <v>890.209338720657</v>
      </c>
      <c r="F3455" s="2414">
        <v>4.3753644945511601E-3</v>
      </c>
      <c r="G3455" s="2415">
        <v>3.57004943804057E-3</v>
      </c>
    </row>
    <row r="3456" spans="1:7" x14ac:dyDescent="0.25">
      <c r="A3456" s="6" t="s">
        <v>6705</v>
      </c>
      <c r="B3456" s="6"/>
      <c r="C3456" s="2408">
        <v>6</v>
      </c>
      <c r="D3456" s="2408">
        <v>947.41183401724902</v>
      </c>
      <c r="E3456" s="2409">
        <v>637.57761744287598</v>
      </c>
      <c r="F3456" s="2410">
        <v>3.7991125880222098E-3</v>
      </c>
      <c r="G3456" s="2411">
        <v>2.5570310998847198E-3</v>
      </c>
    </row>
    <row r="3457" spans="1:7" x14ac:dyDescent="0.25">
      <c r="A3457" s="11" t="s">
        <v>6612</v>
      </c>
      <c r="B3457" s="11"/>
      <c r="C3457" s="2412">
        <v>9</v>
      </c>
      <c r="D3457" s="2412">
        <v>857.44594875186101</v>
      </c>
      <c r="E3457" s="2413">
        <v>411.72970332204301</v>
      </c>
      <c r="F3457" s="2414">
        <v>3.4383502300568999E-3</v>
      </c>
      <c r="G3457" s="2415">
        <v>1.6557501022698401E-3</v>
      </c>
    </row>
    <row r="3458" spans="1:7" x14ac:dyDescent="0.25">
      <c r="A3458" s="6" t="s">
        <v>6706</v>
      </c>
      <c r="B3458" s="6"/>
      <c r="C3458" s="2408">
        <v>10</v>
      </c>
      <c r="D3458" s="2408">
        <v>690.70221386311903</v>
      </c>
      <c r="E3458" s="2409">
        <v>358.64417265968598</v>
      </c>
      <c r="F3458" s="2410">
        <v>2.7697094136301501E-3</v>
      </c>
      <c r="G3458" s="2411">
        <v>1.44183937249047E-3</v>
      </c>
    </row>
    <row r="3459" spans="1:7" x14ac:dyDescent="0.25">
      <c r="A3459" s="11" t="s">
        <v>6625</v>
      </c>
      <c r="B3459" s="11"/>
      <c r="C3459" s="2412">
        <v>2</v>
      </c>
      <c r="D3459" s="2412">
        <v>667.57302976456401</v>
      </c>
      <c r="E3459" s="2413">
        <v>670.95450206883197</v>
      </c>
      <c r="F3459" s="2414">
        <v>2.6769616018502301E-3</v>
      </c>
      <c r="G3459" s="2415">
        <v>2.69143429702981E-3</v>
      </c>
    </row>
    <row r="3460" spans="1:7" x14ac:dyDescent="0.25">
      <c r="A3460" s="6" t="s">
        <v>6620</v>
      </c>
      <c r="B3460" s="6"/>
      <c r="C3460" s="2408">
        <v>4</v>
      </c>
      <c r="D3460" s="2408">
        <v>626.46632272356999</v>
      </c>
      <c r="E3460" s="2409">
        <v>417.91737609035999</v>
      </c>
      <c r="F3460" s="2410">
        <v>2.5121240913144102E-3</v>
      </c>
      <c r="G3460" s="2411">
        <v>1.6724586069819501E-3</v>
      </c>
    </row>
    <row r="3461" spans="1:7" x14ac:dyDescent="0.25">
      <c r="A3461" s="11" t="s">
        <v>6707</v>
      </c>
      <c r="B3461" s="11"/>
      <c r="C3461" s="2412">
        <v>5</v>
      </c>
      <c r="D3461" s="2412">
        <v>592.65101397344199</v>
      </c>
      <c r="E3461" s="2413">
        <v>438.999817022076</v>
      </c>
      <c r="F3461" s="2414">
        <v>2.37652501968815E-3</v>
      </c>
      <c r="G3461" s="2415">
        <v>1.75989610234303E-3</v>
      </c>
    </row>
    <row r="3462" spans="1:7" x14ac:dyDescent="0.25">
      <c r="A3462" s="6" t="s">
        <v>6623</v>
      </c>
      <c r="B3462" s="6"/>
      <c r="C3462" s="2408">
        <v>2</v>
      </c>
      <c r="D3462" s="2408">
        <v>532.768350855378</v>
      </c>
      <c r="E3462" s="2409">
        <v>532.107635311683</v>
      </c>
      <c r="F3462" s="2410">
        <v>2.1363961009987198E-3</v>
      </c>
      <c r="G3462" s="2411">
        <v>2.1333751711711301E-3</v>
      </c>
    </row>
    <row r="3463" spans="1:7" x14ac:dyDescent="0.25">
      <c r="A3463" s="11" t="s">
        <v>6708</v>
      </c>
      <c r="B3463" s="11"/>
      <c r="C3463" s="2412">
        <v>2</v>
      </c>
      <c r="D3463" s="2412">
        <v>458.68984573472699</v>
      </c>
      <c r="E3463" s="2413">
        <v>416.877288406969</v>
      </c>
      <c r="F3463" s="2414">
        <v>1.8393419887312099E-3</v>
      </c>
      <c r="G3463" s="2415">
        <v>1.6705296703422899E-3</v>
      </c>
    </row>
    <row r="3464" spans="1:7" x14ac:dyDescent="0.25">
      <c r="A3464" s="6" t="s">
        <v>6709</v>
      </c>
      <c r="B3464" s="6"/>
      <c r="C3464" s="2408">
        <v>1</v>
      </c>
      <c r="D3464" s="2408">
        <v>408.60499689655398</v>
      </c>
      <c r="E3464" s="2409">
        <v>409.735101951047</v>
      </c>
      <c r="F3464" s="2410">
        <v>1.6385022136109499E-3</v>
      </c>
      <c r="G3464" s="2411">
        <v>1.6433508800303E-3</v>
      </c>
    </row>
    <row r="3465" spans="1:7" x14ac:dyDescent="0.25">
      <c r="A3465" s="11" t="s">
        <v>6710</v>
      </c>
      <c r="B3465" s="11"/>
      <c r="C3465" s="2412">
        <v>1</v>
      </c>
      <c r="D3465" s="2412">
        <v>377.36536937474801</v>
      </c>
      <c r="E3465" s="2413">
        <v>385.84738191327398</v>
      </c>
      <c r="F3465" s="2414">
        <v>1.5132315996056599E-3</v>
      </c>
      <c r="G3465" s="2415">
        <v>1.5468466686290501E-3</v>
      </c>
    </row>
    <row r="3466" spans="1:7" x14ac:dyDescent="0.25">
      <c r="A3466" s="6" t="s">
        <v>6622</v>
      </c>
      <c r="B3466" s="6"/>
      <c r="C3466" s="2408">
        <v>3</v>
      </c>
      <c r="D3466" s="2408">
        <v>333.51994673683402</v>
      </c>
      <c r="E3466" s="2409">
        <v>183.27534939560101</v>
      </c>
      <c r="F3466" s="2410">
        <v>1.33741186515656E-3</v>
      </c>
      <c r="G3466" s="2411">
        <v>7.3515590653328901E-4</v>
      </c>
    </row>
    <row r="3467" spans="1:7" x14ac:dyDescent="0.25">
      <c r="A3467" s="11" t="s">
        <v>6619</v>
      </c>
      <c r="B3467" s="11"/>
      <c r="C3467" s="2412">
        <v>3</v>
      </c>
      <c r="D3467" s="2412">
        <v>311.91140136078701</v>
      </c>
      <c r="E3467" s="2413">
        <v>264.000386047353</v>
      </c>
      <c r="F3467" s="2414">
        <v>1.2507618004229399E-3</v>
      </c>
      <c r="G3467" s="2415">
        <v>1.0585768485325199E-3</v>
      </c>
    </row>
    <row r="3468" spans="1:7" x14ac:dyDescent="0.25">
      <c r="A3468" s="6" t="s">
        <v>6711</v>
      </c>
      <c r="B3468" s="6"/>
      <c r="C3468" s="2408">
        <v>2</v>
      </c>
      <c r="D3468" s="2408">
        <v>207.054951971354</v>
      </c>
      <c r="E3468" s="2409">
        <v>158.30409291120901</v>
      </c>
      <c r="F3468" s="2410">
        <v>8.3028841967408096E-4</v>
      </c>
      <c r="G3468" s="2411">
        <v>6.3567725230507903E-4</v>
      </c>
    </row>
    <row r="3469" spans="1:7" x14ac:dyDescent="0.25">
      <c r="A3469" s="11" t="s">
        <v>6712</v>
      </c>
      <c r="B3469" s="11"/>
      <c r="C3469" s="2412">
        <v>2</v>
      </c>
      <c r="D3469" s="2412">
        <v>148.064323621032</v>
      </c>
      <c r="E3469" s="2413">
        <v>107.90585802225</v>
      </c>
      <c r="F3469" s="2414">
        <v>5.9373655205516003E-4</v>
      </c>
      <c r="G3469" s="2415">
        <v>4.3356773034536198E-4</v>
      </c>
    </row>
    <row r="3470" spans="1:7" x14ac:dyDescent="0.25">
      <c r="A3470" s="6" t="s">
        <v>6713</v>
      </c>
      <c r="B3470" s="6"/>
      <c r="C3470" s="2408">
        <v>2</v>
      </c>
      <c r="D3470" s="2408">
        <v>99.285180068027103</v>
      </c>
      <c r="E3470" s="2409">
        <v>98.922039162123696</v>
      </c>
      <c r="F3470" s="2410">
        <v>3.9813264290894E-4</v>
      </c>
      <c r="G3470" s="2411">
        <v>3.9670673511330902E-4</v>
      </c>
    </row>
    <row r="3471" spans="1:7" x14ac:dyDescent="0.25">
      <c r="A3471" s="11" t="s">
        <v>6714</v>
      </c>
      <c r="B3471" s="11"/>
      <c r="C3471" s="2412">
        <v>1</v>
      </c>
      <c r="D3471" s="2412">
        <v>94.139934526664206</v>
      </c>
      <c r="E3471" s="2413">
        <v>94.575395516277894</v>
      </c>
      <c r="F3471" s="2414">
        <v>3.77500256440036E-4</v>
      </c>
      <c r="G3471" s="2415">
        <v>3.7933158715771102E-4</v>
      </c>
    </row>
    <row r="3472" spans="1:7" x14ac:dyDescent="0.25">
      <c r="A3472" s="6" t="s">
        <v>6715</v>
      </c>
      <c r="B3472" s="6"/>
      <c r="C3472" s="2408">
        <v>2</v>
      </c>
      <c r="D3472" s="2408">
        <v>58.325231691826403</v>
      </c>
      <c r="E3472" s="2409">
        <v>58.2321533433608</v>
      </c>
      <c r="F3472" s="2410">
        <v>2.3388363324549201E-4</v>
      </c>
      <c r="G3472" s="2411">
        <v>2.33535597539838E-4</v>
      </c>
    </row>
    <row r="3473" spans="1:7" x14ac:dyDescent="0.25">
      <c r="A3473" s="11" t="s">
        <v>6716</v>
      </c>
      <c r="B3473" s="11"/>
      <c r="C3473" s="2412">
        <v>1</v>
      </c>
      <c r="D3473" s="2412">
        <v>52.611981943365002</v>
      </c>
      <c r="E3473" s="2413">
        <v>52.576858885276899</v>
      </c>
      <c r="F3473" s="2414">
        <v>2.1097355522181101E-4</v>
      </c>
      <c r="G3473" s="2415">
        <v>2.1076539189435599E-4</v>
      </c>
    </row>
    <row r="3474" spans="1:7" x14ac:dyDescent="0.25">
      <c r="A3474" s="6" t="s">
        <v>6613</v>
      </c>
      <c r="B3474" s="6"/>
      <c r="C3474" s="2408">
        <v>2</v>
      </c>
      <c r="D3474" s="2408">
        <v>40.600078534594303</v>
      </c>
      <c r="E3474" s="2409">
        <v>40.786640146319002</v>
      </c>
      <c r="F3474" s="2410">
        <v>1.6280593496646099E-4</v>
      </c>
      <c r="G3474" s="2411">
        <v>1.6358450545405799E-4</v>
      </c>
    </row>
    <row r="3475" spans="1:7" x14ac:dyDescent="0.25">
      <c r="A3475" s="11" t="s">
        <v>1084</v>
      </c>
      <c r="B3475" s="11" t="s">
        <v>1085</v>
      </c>
      <c r="C3475" s="2412">
        <v>234</v>
      </c>
      <c r="D3475" s="2412">
        <v>126435.46999337801</v>
      </c>
      <c r="E3475" s="2413">
        <v>20401.934914502901</v>
      </c>
      <c r="F3475" s="2414">
        <v>71.167064821070994</v>
      </c>
      <c r="G3475" s="2415">
        <v>6.0666209913115496</v>
      </c>
    </row>
    <row r="3476" spans="1:7" x14ac:dyDescent="0.25">
      <c r="A3476" s="6" t="s">
        <v>1086</v>
      </c>
      <c r="B3476" s="6" t="s">
        <v>1087</v>
      </c>
      <c r="C3476" s="2408">
        <v>101</v>
      </c>
      <c r="D3476" s="2408">
        <v>51224.618013993997</v>
      </c>
      <c r="E3476" s="2409">
        <v>10071.552804433901</v>
      </c>
      <c r="F3476" s="2410">
        <v>28.832935178928999</v>
      </c>
      <c r="G3476" s="2411">
        <v>6.0666209913115399</v>
      </c>
    </row>
    <row r="3477" spans="1:7" x14ac:dyDescent="0.25">
      <c r="A3477" s="11" t="s">
        <v>6417</v>
      </c>
      <c r="B3477" s="11" t="s">
        <v>6418</v>
      </c>
      <c r="C3477" s="2412">
        <v>51890</v>
      </c>
      <c r="D3477" s="2412">
        <v>24937714.059968598</v>
      </c>
      <c r="E3477" s="2413">
        <v>101181.251752963</v>
      </c>
      <c r="F3477" s="2414">
        <v>99.292624163348606</v>
      </c>
      <c r="G3477" s="2415">
        <v>7.8378974146796204E-2</v>
      </c>
    </row>
    <row r="3478" spans="1:7" x14ac:dyDescent="0.25">
      <c r="A3478" s="6" t="s">
        <v>6417</v>
      </c>
      <c r="B3478" s="6" t="s">
        <v>6419</v>
      </c>
      <c r="C3478" s="2408">
        <v>52225</v>
      </c>
      <c r="D3478" s="2408">
        <v>25115374.147975899</v>
      </c>
      <c r="E3478" s="2409">
        <v>0</v>
      </c>
      <c r="F3478" s="2410">
        <v>100</v>
      </c>
      <c r="G3478" s="2411">
        <v>0</v>
      </c>
    </row>
    <row r="3479" spans="1:7" x14ac:dyDescent="0.25">
      <c r="A3479" s="3729" t="s">
        <v>884</v>
      </c>
      <c r="B3479" s="3730"/>
      <c r="C3479" s="3730"/>
      <c r="D3479" s="3730"/>
      <c r="E3479" s="3730"/>
      <c r="F3479" s="3730"/>
      <c r="G3479" s="3730"/>
    </row>
    <row r="3480" spans="1:7" x14ac:dyDescent="0.25">
      <c r="A3480" s="11" t="s">
        <v>6426</v>
      </c>
      <c r="B3480" s="11"/>
      <c r="C3480" s="2420">
        <v>3145</v>
      </c>
      <c r="D3480" s="2420">
        <v>1729770.91209138</v>
      </c>
      <c r="E3480" s="2421">
        <v>53618.791140384499</v>
      </c>
      <c r="F3480" s="2422">
        <v>6.9363651693645298</v>
      </c>
      <c r="G3480" s="2423">
        <v>0.22429458979977401</v>
      </c>
    </row>
    <row r="3481" spans="1:7" x14ac:dyDescent="0.25">
      <c r="A3481" s="6" t="s">
        <v>6429</v>
      </c>
      <c r="B3481" s="6"/>
      <c r="C3481" s="2416">
        <v>3047</v>
      </c>
      <c r="D3481" s="2416">
        <v>1654850.2690139201</v>
      </c>
      <c r="E3481" s="2417">
        <v>80703.190395330501</v>
      </c>
      <c r="F3481" s="2418">
        <v>6.6359340917713903</v>
      </c>
      <c r="G3481" s="2419">
        <v>0.32774613084221599</v>
      </c>
    </row>
    <row r="3482" spans="1:7" x14ac:dyDescent="0.25">
      <c r="A3482" s="11" t="s">
        <v>6428</v>
      </c>
      <c r="B3482" s="11"/>
      <c r="C3482" s="2420">
        <v>3080</v>
      </c>
      <c r="D3482" s="2420">
        <v>1615128.2980502599</v>
      </c>
      <c r="E3482" s="2421">
        <v>70898.488671639599</v>
      </c>
      <c r="F3482" s="2422">
        <v>6.4766493599465704</v>
      </c>
      <c r="G3482" s="2423">
        <v>0.29108411459036798</v>
      </c>
    </row>
    <row r="3483" spans="1:7" x14ac:dyDescent="0.25">
      <c r="A3483" s="6" t="s">
        <v>6427</v>
      </c>
      <c r="B3483" s="6"/>
      <c r="C3483" s="2416">
        <v>2993</v>
      </c>
      <c r="D3483" s="2416">
        <v>1584966.00796707</v>
      </c>
      <c r="E3483" s="2417">
        <v>57641.031375632701</v>
      </c>
      <c r="F3483" s="2418">
        <v>6.3556988589878403</v>
      </c>
      <c r="G3483" s="2419">
        <v>0.22559709612013401</v>
      </c>
    </row>
    <row r="3484" spans="1:7" x14ac:dyDescent="0.25">
      <c r="A3484" s="11" t="s">
        <v>6430</v>
      </c>
      <c r="B3484" s="11"/>
      <c r="C3484" s="2420">
        <v>2642</v>
      </c>
      <c r="D3484" s="2420">
        <v>1392394.0545407301</v>
      </c>
      <c r="E3484" s="2421">
        <v>63288.940296056498</v>
      </c>
      <c r="F3484" s="2422">
        <v>5.5834871279395903</v>
      </c>
      <c r="G3484" s="2423">
        <v>0.25285049393947101</v>
      </c>
    </row>
    <row r="3485" spans="1:7" x14ac:dyDescent="0.25">
      <c r="A3485" s="6" t="s">
        <v>1123</v>
      </c>
      <c r="B3485" s="6"/>
      <c r="C3485" s="2416">
        <v>2790</v>
      </c>
      <c r="D3485" s="2416">
        <v>1284040.92824297</v>
      </c>
      <c r="E3485" s="2417">
        <v>51534.534591217503</v>
      </c>
      <c r="F3485" s="2418">
        <v>5.1489921055121197</v>
      </c>
      <c r="G3485" s="2419">
        <v>0.20065942469211401</v>
      </c>
    </row>
    <row r="3486" spans="1:7" x14ac:dyDescent="0.25">
      <c r="A3486" s="11" t="s">
        <v>1125</v>
      </c>
      <c r="B3486" s="11"/>
      <c r="C3486" s="2420">
        <v>2741</v>
      </c>
      <c r="D3486" s="2420">
        <v>1271610.22369646</v>
      </c>
      <c r="E3486" s="2421">
        <v>47972.883269292899</v>
      </c>
      <c r="F3486" s="2422">
        <v>5.0991450966138103</v>
      </c>
      <c r="G3486" s="2423">
        <v>0.199669398157753</v>
      </c>
    </row>
    <row r="3487" spans="1:7" x14ac:dyDescent="0.25">
      <c r="A3487" s="6" t="s">
        <v>1129</v>
      </c>
      <c r="B3487" s="6"/>
      <c r="C3487" s="2416">
        <v>2491</v>
      </c>
      <c r="D3487" s="2416">
        <v>1271138.2898430401</v>
      </c>
      <c r="E3487" s="2417">
        <v>37740.292586205098</v>
      </c>
      <c r="F3487" s="2418">
        <v>5.0972526462782097</v>
      </c>
      <c r="G3487" s="2419">
        <v>0.14668577511662501</v>
      </c>
    </row>
    <row r="3488" spans="1:7" x14ac:dyDescent="0.25">
      <c r="A3488" s="11" t="s">
        <v>1127</v>
      </c>
      <c r="B3488" s="11"/>
      <c r="C3488" s="2420">
        <v>2739</v>
      </c>
      <c r="D3488" s="2420">
        <v>1266403.11016546</v>
      </c>
      <c r="E3488" s="2421">
        <v>56130.1094422799</v>
      </c>
      <c r="F3488" s="2422">
        <v>5.0782646200854602</v>
      </c>
      <c r="G3488" s="2423">
        <v>0.21292813745733999</v>
      </c>
    </row>
    <row r="3489" spans="1:7" x14ac:dyDescent="0.25">
      <c r="A3489" s="6" t="s">
        <v>6434</v>
      </c>
      <c r="B3489" s="6"/>
      <c r="C3489" s="2416">
        <v>2460</v>
      </c>
      <c r="D3489" s="2416">
        <v>1187984.8195378999</v>
      </c>
      <c r="E3489" s="2417">
        <v>31567.181491530901</v>
      </c>
      <c r="F3489" s="2418">
        <v>4.7638080085492698</v>
      </c>
      <c r="G3489" s="2419">
        <v>0.128009844441165</v>
      </c>
    </row>
    <row r="3490" spans="1:7" x14ac:dyDescent="0.25">
      <c r="A3490" s="11" t="s">
        <v>1131</v>
      </c>
      <c r="B3490" s="11"/>
      <c r="C3490" s="2420">
        <v>2361</v>
      </c>
      <c r="D3490" s="2420">
        <v>1115924.9099371401</v>
      </c>
      <c r="E3490" s="2421">
        <v>36143.903139421796</v>
      </c>
      <c r="F3490" s="2422">
        <v>4.4748484454254402</v>
      </c>
      <c r="G3490" s="2423">
        <v>0.13834344005947299</v>
      </c>
    </row>
    <row r="3491" spans="1:7" x14ac:dyDescent="0.25">
      <c r="A3491" s="6" t="s">
        <v>6432</v>
      </c>
      <c r="B3491" s="6"/>
      <c r="C3491" s="2416">
        <v>2102</v>
      </c>
      <c r="D3491" s="2416">
        <v>1058552.3595557499</v>
      </c>
      <c r="E3491" s="2417">
        <v>27618.294605543899</v>
      </c>
      <c r="F3491" s="2418">
        <v>4.24478505531909</v>
      </c>
      <c r="G3491" s="2419">
        <v>0.114997674336208</v>
      </c>
    </row>
    <row r="3492" spans="1:7" x14ac:dyDescent="0.25">
      <c r="A3492" s="11" t="s">
        <v>1135</v>
      </c>
      <c r="B3492" s="11"/>
      <c r="C3492" s="2420">
        <v>2005</v>
      </c>
      <c r="D3492" s="2420">
        <v>996868.03542665695</v>
      </c>
      <c r="E3492" s="2421">
        <v>50003.0018812833</v>
      </c>
      <c r="F3492" s="2422">
        <v>3.9974314928363301</v>
      </c>
      <c r="G3492" s="2423">
        <v>0.19787052823127099</v>
      </c>
    </row>
    <row r="3493" spans="1:7" x14ac:dyDescent="0.25">
      <c r="A3493" s="6" t="s">
        <v>6431</v>
      </c>
      <c r="B3493" s="6"/>
      <c r="C3493" s="2416">
        <v>2062</v>
      </c>
      <c r="D3493" s="2416">
        <v>983764.04508734902</v>
      </c>
      <c r="E3493" s="2417">
        <v>24347.908602607899</v>
      </c>
      <c r="F3493" s="2418">
        <v>3.9448846142098599</v>
      </c>
      <c r="G3493" s="2419">
        <v>9.9005058593578901E-2</v>
      </c>
    </row>
    <row r="3494" spans="1:7" x14ac:dyDescent="0.25">
      <c r="A3494" s="11" t="s">
        <v>1133</v>
      </c>
      <c r="B3494" s="11"/>
      <c r="C3494" s="2420">
        <v>2116</v>
      </c>
      <c r="D3494" s="2420">
        <v>926298.54983319202</v>
      </c>
      <c r="E3494" s="2421">
        <v>49697.704574552103</v>
      </c>
      <c r="F3494" s="2422">
        <v>3.7144485160335501</v>
      </c>
      <c r="G3494" s="2423">
        <v>0.209743311390928</v>
      </c>
    </row>
    <row r="3495" spans="1:7" x14ac:dyDescent="0.25">
      <c r="A3495" s="6" t="s">
        <v>6433</v>
      </c>
      <c r="B3495" s="6"/>
      <c r="C3495" s="2416">
        <v>1737</v>
      </c>
      <c r="D3495" s="2416">
        <v>902631.97043057205</v>
      </c>
      <c r="E3495" s="2417">
        <v>50106.027914203602</v>
      </c>
      <c r="F3495" s="2418">
        <v>3.6195457541135601</v>
      </c>
      <c r="G3495" s="2419">
        <v>0.19485279188680299</v>
      </c>
    </row>
    <row r="3496" spans="1:7" x14ac:dyDescent="0.25">
      <c r="A3496" s="11" t="s">
        <v>1137</v>
      </c>
      <c r="B3496" s="11"/>
      <c r="C3496" s="2420">
        <v>1800</v>
      </c>
      <c r="D3496" s="2420">
        <v>895089.36069670401</v>
      </c>
      <c r="E3496" s="2421">
        <v>56217.666817263897</v>
      </c>
      <c r="F3496" s="2422">
        <v>3.58929995966853</v>
      </c>
      <c r="G3496" s="2423">
        <v>0.21798380788784599</v>
      </c>
    </row>
    <row r="3497" spans="1:7" x14ac:dyDescent="0.25">
      <c r="A3497" s="6" t="s">
        <v>1139</v>
      </c>
      <c r="B3497" s="6"/>
      <c r="C3497" s="2416">
        <v>1372</v>
      </c>
      <c r="D3497" s="2416">
        <v>627676.76337763399</v>
      </c>
      <c r="E3497" s="2417">
        <v>34561.296723152103</v>
      </c>
      <c r="F3497" s="2418">
        <v>2.5169779470092499</v>
      </c>
      <c r="G3497" s="2419">
        <v>0.13376056427263899</v>
      </c>
    </row>
    <row r="3498" spans="1:7" x14ac:dyDescent="0.25">
      <c r="A3498" s="11" t="s">
        <v>1141</v>
      </c>
      <c r="B3498" s="11"/>
      <c r="C3498" s="2420">
        <v>1138</v>
      </c>
      <c r="D3498" s="2420">
        <v>536544.715785468</v>
      </c>
      <c r="E3498" s="2421">
        <v>20287.5202643876</v>
      </c>
      <c r="F3498" s="2422">
        <v>2.1515392890271401</v>
      </c>
      <c r="G3498" s="2423">
        <v>8.0551493205724897E-2</v>
      </c>
    </row>
    <row r="3499" spans="1:7" x14ac:dyDescent="0.25">
      <c r="A3499" s="6" t="s">
        <v>1295</v>
      </c>
      <c r="B3499" s="6"/>
      <c r="C3499" s="2416">
        <v>926</v>
      </c>
      <c r="D3499" s="2416">
        <v>404546.81117121299</v>
      </c>
      <c r="E3499" s="2417">
        <v>20559.674303586999</v>
      </c>
      <c r="F3499" s="2418">
        <v>1.6222289268310099</v>
      </c>
      <c r="G3499" s="2419">
        <v>8.3805883881981097E-2</v>
      </c>
    </row>
    <row r="3500" spans="1:7" x14ac:dyDescent="0.25">
      <c r="A3500" s="11" t="s">
        <v>1187</v>
      </c>
      <c r="B3500" s="11"/>
      <c r="C3500" s="2420">
        <v>716</v>
      </c>
      <c r="D3500" s="2420">
        <v>300208.11596986401</v>
      </c>
      <c r="E3500" s="2421">
        <v>19213.141742341799</v>
      </c>
      <c r="F3500" s="2422">
        <v>1.20383173553094</v>
      </c>
      <c r="G3500" s="2423">
        <v>7.5168680335313001E-2</v>
      </c>
    </row>
    <row r="3501" spans="1:7" x14ac:dyDescent="0.25">
      <c r="A3501" s="6" t="s">
        <v>1189</v>
      </c>
      <c r="B3501" s="6"/>
      <c r="C3501" s="2416">
        <v>634</v>
      </c>
      <c r="D3501" s="2416">
        <v>287985.68356187799</v>
      </c>
      <c r="E3501" s="2417">
        <v>17819.519543082199</v>
      </c>
      <c r="F3501" s="2418">
        <v>1.1548198959589799</v>
      </c>
      <c r="G3501" s="2419">
        <v>7.0385824103942701E-2</v>
      </c>
    </row>
    <row r="3502" spans="1:7" x14ac:dyDescent="0.25">
      <c r="A3502" s="11" t="s">
        <v>1191</v>
      </c>
      <c r="B3502" s="11"/>
      <c r="C3502" s="2420">
        <v>522</v>
      </c>
      <c r="D3502" s="2420">
        <v>210223.80552102899</v>
      </c>
      <c r="E3502" s="2421">
        <v>20045.7134533729</v>
      </c>
      <c r="F3502" s="2422">
        <v>0.84299549275245</v>
      </c>
      <c r="G3502" s="2423">
        <v>8.0827227492716106E-2</v>
      </c>
    </row>
    <row r="3503" spans="1:7" x14ac:dyDescent="0.25">
      <c r="A3503" s="6" t="s">
        <v>1193</v>
      </c>
      <c r="B3503" s="6"/>
      <c r="C3503" s="2416">
        <v>406</v>
      </c>
      <c r="D3503" s="2416">
        <v>152277.95058533599</v>
      </c>
      <c r="E3503" s="2417">
        <v>6702.2373791176897</v>
      </c>
      <c r="F3503" s="2418">
        <v>0.61063315674864305</v>
      </c>
      <c r="G3503" s="2419">
        <v>2.7633276540119399E-2</v>
      </c>
    </row>
    <row r="3504" spans="1:7" x14ac:dyDescent="0.25">
      <c r="A3504" s="11" t="s">
        <v>3172</v>
      </c>
      <c r="B3504" s="11"/>
      <c r="C3504" s="2420">
        <v>315</v>
      </c>
      <c r="D3504" s="2420">
        <v>120993.176733627</v>
      </c>
      <c r="E3504" s="2421">
        <v>13616.986030154199</v>
      </c>
      <c r="F3504" s="2422">
        <v>0.48518150638294399</v>
      </c>
      <c r="G3504" s="2423">
        <v>5.5464138076442002E-2</v>
      </c>
    </row>
    <row r="3505" spans="1:7" x14ac:dyDescent="0.25">
      <c r="A3505" s="6" t="s">
        <v>3174</v>
      </c>
      <c r="B3505" s="6"/>
      <c r="C3505" s="2416">
        <v>304</v>
      </c>
      <c r="D3505" s="2416">
        <v>113932.738248936</v>
      </c>
      <c r="E3505" s="2417">
        <v>11179.9564718526</v>
      </c>
      <c r="F3505" s="2418">
        <v>0.456869214134695</v>
      </c>
      <c r="G3505" s="2419">
        <v>4.4961378069972101E-2</v>
      </c>
    </row>
    <row r="3506" spans="1:7" x14ac:dyDescent="0.25">
      <c r="A3506" s="11" t="s">
        <v>3176</v>
      </c>
      <c r="B3506" s="11"/>
      <c r="C3506" s="2420">
        <v>293</v>
      </c>
      <c r="D3506" s="2420">
        <v>112369.128068957</v>
      </c>
      <c r="E3506" s="2421">
        <v>13461.687229675301</v>
      </c>
      <c r="F3506" s="2422">
        <v>0.45059915194608102</v>
      </c>
      <c r="G3506" s="2423">
        <v>5.4296095779079297E-2</v>
      </c>
    </row>
    <row r="3507" spans="1:7" x14ac:dyDescent="0.25">
      <c r="A3507" s="6" t="s">
        <v>1297</v>
      </c>
      <c r="B3507" s="6"/>
      <c r="C3507" s="2416">
        <v>184</v>
      </c>
      <c r="D3507" s="2416">
        <v>69344.2504758789</v>
      </c>
      <c r="E3507" s="2417">
        <v>9983.4273343041496</v>
      </c>
      <c r="F3507" s="2418">
        <v>0.27806979544766802</v>
      </c>
      <c r="G3507" s="2419">
        <v>4.0032336043348299E-2</v>
      </c>
    </row>
    <row r="3508" spans="1:7" x14ac:dyDescent="0.25">
      <c r="A3508" s="11" t="s">
        <v>3180</v>
      </c>
      <c r="B3508" s="11"/>
      <c r="C3508" s="2420">
        <v>183</v>
      </c>
      <c r="D3508" s="2420">
        <v>57730.494768527802</v>
      </c>
      <c r="E3508" s="2421">
        <v>17409.827526551901</v>
      </c>
      <c r="F3508" s="2422">
        <v>0.23149874374893101</v>
      </c>
      <c r="G3508" s="2423">
        <v>6.9824087601726897E-2</v>
      </c>
    </row>
    <row r="3509" spans="1:7" x14ac:dyDescent="0.25">
      <c r="A3509" s="6" t="s">
        <v>1195</v>
      </c>
      <c r="B3509" s="6"/>
      <c r="C3509" s="2416">
        <v>179</v>
      </c>
      <c r="D3509" s="2416">
        <v>56311.527814433903</v>
      </c>
      <c r="E3509" s="2417">
        <v>13160.424157489801</v>
      </c>
      <c r="F3509" s="2418">
        <v>0.22580869954246699</v>
      </c>
      <c r="G3509" s="2419">
        <v>5.2406317774898903E-2</v>
      </c>
    </row>
    <row r="3510" spans="1:7" x14ac:dyDescent="0.25">
      <c r="A3510" s="11" t="s">
        <v>3178</v>
      </c>
      <c r="B3510" s="11"/>
      <c r="C3510" s="2420">
        <v>222</v>
      </c>
      <c r="D3510" s="2420">
        <v>54038.799483063704</v>
      </c>
      <c r="E3510" s="2421">
        <v>7814.1368389847803</v>
      </c>
      <c r="F3510" s="2422">
        <v>0.21669508020308001</v>
      </c>
      <c r="G3510" s="2423">
        <v>3.1123147013493498E-2</v>
      </c>
    </row>
    <row r="3511" spans="1:7" x14ac:dyDescent="0.25">
      <c r="A3511" s="6" t="s">
        <v>1197</v>
      </c>
      <c r="B3511" s="6"/>
      <c r="C3511" s="2416">
        <v>165</v>
      </c>
      <c r="D3511" s="2416">
        <v>52538.789382439099</v>
      </c>
      <c r="E3511" s="2417">
        <v>9778.1709891943101</v>
      </c>
      <c r="F3511" s="2418">
        <v>0.21068005373747301</v>
      </c>
      <c r="G3511" s="2419">
        <v>3.9040979861344201E-2</v>
      </c>
    </row>
    <row r="3512" spans="1:7" x14ac:dyDescent="0.25">
      <c r="A3512" s="11" t="s">
        <v>3205</v>
      </c>
      <c r="B3512" s="11"/>
      <c r="C3512" s="2420">
        <v>87</v>
      </c>
      <c r="D3512" s="2420">
        <v>41674.617728333003</v>
      </c>
      <c r="E3512" s="2421">
        <v>7077.06995032945</v>
      </c>
      <c r="F3512" s="2422">
        <v>0.16711482707724001</v>
      </c>
      <c r="G3512" s="2423">
        <v>2.83745919460669E-2</v>
      </c>
    </row>
    <row r="3513" spans="1:7" x14ac:dyDescent="0.25">
      <c r="A3513" s="6" t="s">
        <v>3207</v>
      </c>
      <c r="B3513" s="6"/>
      <c r="C3513" s="2416">
        <v>99</v>
      </c>
      <c r="D3513" s="2416">
        <v>37341.099926978997</v>
      </c>
      <c r="E3513" s="2417">
        <v>8988.8837191049006</v>
      </c>
      <c r="F3513" s="2418">
        <v>0.14973746124918899</v>
      </c>
      <c r="G3513" s="2419">
        <v>3.5993929141680502E-2</v>
      </c>
    </row>
    <row r="3514" spans="1:7" x14ac:dyDescent="0.25">
      <c r="A3514" s="11" t="s">
        <v>1199</v>
      </c>
      <c r="B3514" s="11"/>
      <c r="C3514" s="2420">
        <v>117</v>
      </c>
      <c r="D3514" s="2420">
        <v>36534.357268657397</v>
      </c>
      <c r="E3514" s="2421">
        <v>6825.5615384930297</v>
      </c>
      <c r="F3514" s="2422">
        <v>0.14650243073924901</v>
      </c>
      <c r="G3514" s="2423">
        <v>2.7411771543113202E-2</v>
      </c>
    </row>
    <row r="3515" spans="1:7" x14ac:dyDescent="0.25">
      <c r="A3515" s="6" t="s">
        <v>1213</v>
      </c>
      <c r="B3515" s="6"/>
      <c r="C3515" s="2416">
        <v>107</v>
      </c>
      <c r="D3515" s="2416">
        <v>31574.621207134402</v>
      </c>
      <c r="E3515" s="2417">
        <v>8538.05239156688</v>
      </c>
      <c r="F3515" s="2418">
        <v>0.126613935548406</v>
      </c>
      <c r="G3515" s="2419">
        <v>3.4408073334224902E-2</v>
      </c>
    </row>
    <row r="3516" spans="1:7" x14ac:dyDescent="0.25">
      <c r="A3516" s="11" t="s">
        <v>3201</v>
      </c>
      <c r="B3516" s="11"/>
      <c r="C3516" s="2420">
        <v>80</v>
      </c>
      <c r="D3516" s="2420">
        <v>28461.797551846899</v>
      </c>
      <c r="E3516" s="2421">
        <v>6020.3628366626299</v>
      </c>
      <c r="F3516" s="2422">
        <v>0.114131541822173</v>
      </c>
      <c r="G3516" s="2423">
        <v>2.41872592114451E-2</v>
      </c>
    </row>
    <row r="3517" spans="1:7" x14ac:dyDescent="0.25">
      <c r="A3517" s="6" t="s">
        <v>1201</v>
      </c>
      <c r="B3517" s="6"/>
      <c r="C3517" s="2416">
        <v>86</v>
      </c>
      <c r="D3517" s="2416">
        <v>28073.578746814899</v>
      </c>
      <c r="E3517" s="2417">
        <v>8846.49011181065</v>
      </c>
      <c r="F3517" s="2418">
        <v>0.112574788047154</v>
      </c>
      <c r="G3517" s="2419">
        <v>3.5423101185544398E-2</v>
      </c>
    </row>
    <row r="3518" spans="1:7" x14ac:dyDescent="0.25">
      <c r="A3518" s="11" t="s">
        <v>3209</v>
      </c>
      <c r="B3518" s="11"/>
      <c r="C3518" s="2420">
        <v>83</v>
      </c>
      <c r="D3518" s="2420">
        <v>26644.606496706001</v>
      </c>
      <c r="E3518" s="2421">
        <v>4957.8838699922599</v>
      </c>
      <c r="F3518" s="2422">
        <v>0.10684462269730401</v>
      </c>
      <c r="G3518" s="2423">
        <v>1.98298170004193E-2</v>
      </c>
    </row>
    <row r="3519" spans="1:7" x14ac:dyDescent="0.25">
      <c r="A3519" s="6" t="s">
        <v>3193</v>
      </c>
      <c r="B3519" s="6"/>
      <c r="C3519" s="2416">
        <v>66</v>
      </c>
      <c r="D3519" s="2416">
        <v>25980.864973496598</v>
      </c>
      <c r="E3519" s="2417">
        <v>7144.7481545297896</v>
      </c>
      <c r="F3519" s="2418">
        <v>0.10418302540088301</v>
      </c>
      <c r="G3519" s="2419">
        <v>2.8923981289228299E-2</v>
      </c>
    </row>
    <row r="3520" spans="1:7" x14ac:dyDescent="0.25">
      <c r="A3520" s="11" t="s">
        <v>3203</v>
      </c>
      <c r="B3520" s="11"/>
      <c r="C3520" s="2420">
        <v>89</v>
      </c>
      <c r="D3520" s="2420">
        <v>25343.8680473526</v>
      </c>
      <c r="E3520" s="2421">
        <v>5991.5789274775998</v>
      </c>
      <c r="F3520" s="2422">
        <v>0.101628673688404</v>
      </c>
      <c r="G3520" s="2423">
        <v>2.3851403328448699E-2</v>
      </c>
    </row>
    <row r="3521" spans="1:7" x14ac:dyDescent="0.25">
      <c r="A3521" s="6" t="s">
        <v>1215</v>
      </c>
      <c r="B3521" s="6"/>
      <c r="C3521" s="2416">
        <v>53</v>
      </c>
      <c r="D3521" s="2416">
        <v>23936.8383623019</v>
      </c>
      <c r="E3521" s="2417">
        <v>4177.7175662551199</v>
      </c>
      <c r="F3521" s="2418">
        <v>9.5986497819087302E-2</v>
      </c>
      <c r="G3521" s="2419">
        <v>1.66293631733061E-2</v>
      </c>
    </row>
    <row r="3522" spans="1:7" x14ac:dyDescent="0.25">
      <c r="A3522" s="11" t="s">
        <v>1211</v>
      </c>
      <c r="B3522" s="11"/>
      <c r="C3522" s="2420">
        <v>74</v>
      </c>
      <c r="D3522" s="2420">
        <v>23694.645181961499</v>
      </c>
      <c r="E3522" s="2421">
        <v>4242.6180359534201</v>
      </c>
      <c r="F3522" s="2422">
        <v>9.5015305432495603E-2</v>
      </c>
      <c r="G3522" s="2423">
        <v>1.6865672546643101E-2</v>
      </c>
    </row>
    <row r="3523" spans="1:7" x14ac:dyDescent="0.25">
      <c r="A3523" s="6" t="s">
        <v>1207</v>
      </c>
      <c r="B3523" s="6"/>
      <c r="C3523" s="2416">
        <v>70</v>
      </c>
      <c r="D3523" s="2416">
        <v>23406.308803970802</v>
      </c>
      <c r="E3523" s="2417">
        <v>5724.9018325744501</v>
      </c>
      <c r="F3523" s="2418">
        <v>9.3859079255158906E-2</v>
      </c>
      <c r="G3523" s="2419">
        <v>2.29270390273737E-2</v>
      </c>
    </row>
    <row r="3524" spans="1:7" x14ac:dyDescent="0.25">
      <c r="A3524" s="11" t="s">
        <v>1299</v>
      </c>
      <c r="B3524" s="11"/>
      <c r="C3524" s="2420">
        <v>42</v>
      </c>
      <c r="D3524" s="2420">
        <v>23085.3701019004</v>
      </c>
      <c r="E3524" s="2421">
        <v>7619.0285441378501</v>
      </c>
      <c r="F3524" s="2422">
        <v>9.2572118063372594E-2</v>
      </c>
      <c r="G3524" s="2423">
        <v>3.0619299808671101E-2</v>
      </c>
    </row>
    <row r="3525" spans="1:7" x14ac:dyDescent="0.25">
      <c r="A3525" s="6" t="s">
        <v>3215</v>
      </c>
      <c r="B3525" s="6"/>
      <c r="C3525" s="2416">
        <v>38</v>
      </c>
      <c r="D3525" s="2416">
        <v>21580.0777586804</v>
      </c>
      <c r="E3525" s="2417">
        <v>6737.43169246456</v>
      </c>
      <c r="F3525" s="2418">
        <v>8.6535909854391899E-2</v>
      </c>
      <c r="G3525" s="2419">
        <v>2.7044569509387498E-2</v>
      </c>
    </row>
    <row r="3526" spans="1:7" x14ac:dyDescent="0.25">
      <c r="A3526" s="11" t="s">
        <v>3187</v>
      </c>
      <c r="B3526" s="11"/>
      <c r="C3526" s="2420">
        <v>75</v>
      </c>
      <c r="D3526" s="2420">
        <v>21272.023128705099</v>
      </c>
      <c r="E3526" s="2421">
        <v>3350.1979937511001</v>
      </c>
      <c r="F3526" s="2422">
        <v>8.5300613671131204E-2</v>
      </c>
      <c r="G3526" s="2423">
        <v>1.3568850133319901E-2</v>
      </c>
    </row>
    <row r="3527" spans="1:7" x14ac:dyDescent="0.25">
      <c r="A3527" s="6" t="s">
        <v>1301</v>
      </c>
      <c r="B3527" s="6"/>
      <c r="C3527" s="2416">
        <v>81</v>
      </c>
      <c r="D3527" s="2416">
        <v>20450.924271969099</v>
      </c>
      <c r="E3527" s="2417">
        <v>5993.5990390740599</v>
      </c>
      <c r="F3527" s="2418">
        <v>8.2008014939902299E-2</v>
      </c>
      <c r="G3527" s="2419">
        <v>2.4229511654115202E-2</v>
      </c>
    </row>
    <row r="3528" spans="1:7" x14ac:dyDescent="0.25">
      <c r="A3528" s="11" t="s">
        <v>3195</v>
      </c>
      <c r="B3528" s="11"/>
      <c r="C3528" s="2420">
        <v>70</v>
      </c>
      <c r="D3528" s="2420">
        <v>17978.080328272601</v>
      </c>
      <c r="E3528" s="2421">
        <v>5841.9273524789996</v>
      </c>
      <c r="F3528" s="2422">
        <v>7.2091933867876296E-2</v>
      </c>
      <c r="G3528" s="2423">
        <v>2.3309920939044201E-2</v>
      </c>
    </row>
    <row r="3529" spans="1:7" x14ac:dyDescent="0.25">
      <c r="A3529" s="6" t="s">
        <v>1203</v>
      </c>
      <c r="B3529" s="6"/>
      <c r="C3529" s="2416">
        <v>56</v>
      </c>
      <c r="D3529" s="2416">
        <v>16484.3558446838</v>
      </c>
      <c r="E3529" s="2417">
        <v>4074.9914259121101</v>
      </c>
      <c r="F3529" s="2418">
        <v>6.61021126677582E-2</v>
      </c>
      <c r="G3529" s="2419">
        <v>1.62396962657992E-2</v>
      </c>
    </row>
    <row r="3530" spans="1:7" x14ac:dyDescent="0.25">
      <c r="A3530" s="11" t="s">
        <v>1205</v>
      </c>
      <c r="B3530" s="11"/>
      <c r="C3530" s="2420">
        <v>58</v>
      </c>
      <c r="D3530" s="2420">
        <v>15954.3379012436</v>
      </c>
      <c r="E3530" s="2421">
        <v>3640.4255992317999</v>
      </c>
      <c r="F3530" s="2422">
        <v>6.3976745674754407E-2</v>
      </c>
      <c r="G3530" s="2423">
        <v>1.4492990261036001E-2</v>
      </c>
    </row>
    <row r="3531" spans="1:7" x14ac:dyDescent="0.25">
      <c r="A3531" s="6" t="s">
        <v>1209</v>
      </c>
      <c r="B3531" s="6"/>
      <c r="C3531" s="2416">
        <v>75</v>
      </c>
      <c r="D3531" s="2416">
        <v>15865.328498771099</v>
      </c>
      <c r="E3531" s="2417">
        <v>3567.94822265532</v>
      </c>
      <c r="F3531" s="2418">
        <v>6.3619818803837394E-2</v>
      </c>
      <c r="G3531" s="2419">
        <v>1.42547041281541E-2</v>
      </c>
    </row>
    <row r="3532" spans="1:7" x14ac:dyDescent="0.25">
      <c r="A3532" s="11" t="s">
        <v>3191</v>
      </c>
      <c r="B3532" s="11"/>
      <c r="C3532" s="2420">
        <v>59</v>
      </c>
      <c r="D3532" s="2420">
        <v>15444.264718841399</v>
      </c>
      <c r="E3532" s="2421">
        <v>4437.4380434736004</v>
      </c>
      <c r="F3532" s="2422">
        <v>6.1931356986859601E-2</v>
      </c>
      <c r="G3532" s="2423">
        <v>1.7633092638153498E-2</v>
      </c>
    </row>
    <row r="3533" spans="1:7" x14ac:dyDescent="0.25">
      <c r="A3533" s="6" t="s">
        <v>3189</v>
      </c>
      <c r="B3533" s="6"/>
      <c r="C3533" s="2416">
        <v>46</v>
      </c>
      <c r="D3533" s="2416">
        <v>13210.831468194499</v>
      </c>
      <c r="E3533" s="2417">
        <v>4933.8897547110901</v>
      </c>
      <c r="F3533" s="2418">
        <v>5.2975310553429099E-2</v>
      </c>
      <c r="G3533" s="2419">
        <v>1.98380580101849E-2</v>
      </c>
    </row>
    <row r="3534" spans="1:7" x14ac:dyDescent="0.25">
      <c r="A3534" s="11" t="s">
        <v>1221</v>
      </c>
      <c r="B3534" s="11"/>
      <c r="C3534" s="2420">
        <v>27</v>
      </c>
      <c r="D3534" s="2420">
        <v>11995.255299979301</v>
      </c>
      <c r="E3534" s="2421">
        <v>3417.6822593253801</v>
      </c>
      <c r="F3534" s="2422">
        <v>4.8100861494898298E-2</v>
      </c>
      <c r="G3534" s="2423">
        <v>1.37217369756618E-2</v>
      </c>
    </row>
    <row r="3535" spans="1:7" x14ac:dyDescent="0.25">
      <c r="A3535" s="6" t="s">
        <v>1217</v>
      </c>
      <c r="B3535" s="6"/>
      <c r="C3535" s="2416">
        <v>39</v>
      </c>
      <c r="D3535" s="2416">
        <v>10806.107151958</v>
      </c>
      <c r="E3535" s="2417">
        <v>4465.4991428861204</v>
      </c>
      <c r="F3535" s="2418">
        <v>4.3332388550017899E-2</v>
      </c>
      <c r="G3535" s="2419">
        <v>1.7885150740512501E-2</v>
      </c>
    </row>
    <row r="3536" spans="1:7" x14ac:dyDescent="0.25">
      <c r="A3536" s="11" t="s">
        <v>1219</v>
      </c>
      <c r="B3536" s="11"/>
      <c r="C3536" s="2420">
        <v>30</v>
      </c>
      <c r="D3536" s="2420">
        <v>9951.8508478579697</v>
      </c>
      <c r="E3536" s="2421">
        <v>3478.3754894869699</v>
      </c>
      <c r="F3536" s="2422">
        <v>3.9906828765164298E-2</v>
      </c>
      <c r="G3536" s="2423">
        <v>1.39498804393514E-2</v>
      </c>
    </row>
    <row r="3537" spans="1:7" x14ac:dyDescent="0.25">
      <c r="A3537" s="6" t="s">
        <v>3323</v>
      </c>
      <c r="B3537" s="6"/>
      <c r="C3537" s="2416">
        <v>17</v>
      </c>
      <c r="D3537" s="2416">
        <v>9477.8243612280094</v>
      </c>
      <c r="E3537" s="2417">
        <v>4325.15182466037</v>
      </c>
      <c r="F3537" s="2418">
        <v>3.8005986989971798E-2</v>
      </c>
      <c r="G3537" s="2419">
        <v>1.7370258378073201E-2</v>
      </c>
    </row>
    <row r="3538" spans="1:7" x14ac:dyDescent="0.25">
      <c r="A3538" s="11" t="s">
        <v>1303</v>
      </c>
      <c r="B3538" s="11"/>
      <c r="C3538" s="2420">
        <v>35</v>
      </c>
      <c r="D3538" s="2420">
        <v>7036.03384492841</v>
      </c>
      <c r="E3538" s="2421">
        <v>1788.6595508054399</v>
      </c>
      <c r="F3538" s="2422">
        <v>2.8214429871192801E-2</v>
      </c>
      <c r="G3538" s="2423">
        <v>7.1732614593465801E-3</v>
      </c>
    </row>
    <row r="3539" spans="1:7" x14ac:dyDescent="0.25">
      <c r="A3539" s="6" t="s">
        <v>3312</v>
      </c>
      <c r="B3539" s="6"/>
      <c r="C3539" s="2416">
        <v>10</v>
      </c>
      <c r="D3539" s="2416">
        <v>5452.153567458</v>
      </c>
      <c r="E3539" s="2417">
        <v>2562.6619691905798</v>
      </c>
      <c r="F3539" s="2418">
        <v>2.1863084781335699E-2</v>
      </c>
      <c r="G3539" s="2419">
        <v>1.02336569224813E-2</v>
      </c>
    </row>
    <row r="3540" spans="1:7" x14ac:dyDescent="0.25">
      <c r="A3540" s="11" t="s">
        <v>3325</v>
      </c>
      <c r="B3540" s="11"/>
      <c r="C3540" s="2420">
        <v>16</v>
      </c>
      <c r="D3540" s="2420">
        <v>5022.1752367333202</v>
      </c>
      <c r="E3540" s="2421">
        <v>1781.09420198409</v>
      </c>
      <c r="F3540" s="2422">
        <v>2.0138875699097E-2</v>
      </c>
      <c r="G3540" s="2423">
        <v>7.1086861750231899E-3</v>
      </c>
    </row>
    <row r="3541" spans="1:7" x14ac:dyDescent="0.25">
      <c r="A3541" s="6" t="s">
        <v>1305</v>
      </c>
      <c r="B3541" s="6"/>
      <c r="C3541" s="2416">
        <v>17</v>
      </c>
      <c r="D3541" s="2416">
        <v>4885.7104476887198</v>
      </c>
      <c r="E3541" s="2417">
        <v>2583.44159077104</v>
      </c>
      <c r="F3541" s="2418">
        <v>1.95916531721387E-2</v>
      </c>
      <c r="G3541" s="2419">
        <v>1.0401865106386901E-2</v>
      </c>
    </row>
    <row r="3542" spans="1:7" x14ac:dyDescent="0.25">
      <c r="A3542" s="11" t="s">
        <v>3346</v>
      </c>
      <c r="B3542" s="11"/>
      <c r="C3542" s="2420">
        <v>12</v>
      </c>
      <c r="D3542" s="2420">
        <v>4410.5959936931704</v>
      </c>
      <c r="E3542" s="2421">
        <v>1934.7198391627701</v>
      </c>
      <c r="F3542" s="2422">
        <v>1.7686448657991901E-2</v>
      </c>
      <c r="G3542" s="2423">
        <v>7.7979079482151797E-3</v>
      </c>
    </row>
    <row r="3543" spans="1:7" x14ac:dyDescent="0.25">
      <c r="A3543" s="6" t="s">
        <v>6521</v>
      </c>
      <c r="B3543" s="6"/>
      <c r="C3543" s="2416">
        <v>14</v>
      </c>
      <c r="D3543" s="2416">
        <v>4400.3007564241898</v>
      </c>
      <c r="E3543" s="2417">
        <v>2418.6089568236398</v>
      </c>
      <c r="F3543" s="2418">
        <v>1.7645164852891599E-2</v>
      </c>
      <c r="G3543" s="2419">
        <v>9.6664057159338308E-3</v>
      </c>
    </row>
    <row r="3544" spans="1:7" x14ac:dyDescent="0.25">
      <c r="A3544" s="11" t="s">
        <v>1223</v>
      </c>
      <c r="B3544" s="11"/>
      <c r="C3544" s="2420">
        <v>7</v>
      </c>
      <c r="D3544" s="2420">
        <v>3230.6135957423699</v>
      </c>
      <c r="E3544" s="2421">
        <v>2429.6193451804502</v>
      </c>
      <c r="F3544" s="2422">
        <v>1.2954730285116E-2</v>
      </c>
      <c r="G3544" s="2423">
        <v>9.7618068768299295E-3</v>
      </c>
    </row>
    <row r="3545" spans="1:7" x14ac:dyDescent="0.25">
      <c r="A3545" s="6" t="s">
        <v>6717</v>
      </c>
      <c r="B3545" s="6"/>
      <c r="C3545" s="2416">
        <v>9</v>
      </c>
      <c r="D3545" s="2416">
        <v>3124.9188129408699</v>
      </c>
      <c r="E3545" s="2417">
        <v>1960.57103496749</v>
      </c>
      <c r="F3545" s="2418">
        <v>1.2530895195230299E-2</v>
      </c>
      <c r="G3545" s="2419">
        <v>7.8522378677866808E-3</v>
      </c>
    </row>
    <row r="3546" spans="1:7" x14ac:dyDescent="0.25">
      <c r="A3546" s="11" t="s">
        <v>3316</v>
      </c>
      <c r="B3546" s="11"/>
      <c r="C3546" s="2420">
        <v>13</v>
      </c>
      <c r="D3546" s="2420">
        <v>2607.4627550027899</v>
      </c>
      <c r="E3546" s="2421">
        <v>1665.87133099938</v>
      </c>
      <c r="F3546" s="2422">
        <v>1.04559012455293E-2</v>
      </c>
      <c r="G3546" s="2423">
        <v>6.6760214321481097E-3</v>
      </c>
    </row>
    <row r="3547" spans="1:7" x14ac:dyDescent="0.25">
      <c r="A3547" s="6" t="s">
        <v>3335</v>
      </c>
      <c r="B3547" s="6"/>
      <c r="C3547" s="2416">
        <v>6</v>
      </c>
      <c r="D3547" s="2416">
        <v>2374.5462473447801</v>
      </c>
      <c r="E3547" s="2417">
        <v>2193.6988575303399</v>
      </c>
      <c r="F3547" s="2418">
        <v>9.5219082295779998E-3</v>
      </c>
      <c r="G3547" s="2419">
        <v>8.7932789476248604E-3</v>
      </c>
    </row>
    <row r="3548" spans="1:7" x14ac:dyDescent="0.25">
      <c r="A3548" s="11" t="s">
        <v>3217</v>
      </c>
      <c r="B3548" s="11"/>
      <c r="C3548" s="2420">
        <v>14</v>
      </c>
      <c r="D3548" s="2420">
        <v>2320.45746088431</v>
      </c>
      <c r="E3548" s="2421">
        <v>1078.74696866973</v>
      </c>
      <c r="F3548" s="2422">
        <v>9.3050127020633498E-3</v>
      </c>
      <c r="G3548" s="2423">
        <v>4.31433343918538E-3</v>
      </c>
    </row>
    <row r="3549" spans="1:7" x14ac:dyDescent="0.25">
      <c r="A3549" s="6" t="s">
        <v>6529</v>
      </c>
      <c r="B3549" s="6"/>
      <c r="C3549" s="2416">
        <v>10</v>
      </c>
      <c r="D3549" s="2416">
        <v>2198.4440383834899</v>
      </c>
      <c r="E3549" s="2417">
        <v>893.27709852848795</v>
      </c>
      <c r="F3549" s="2418">
        <v>8.8157400197019491E-3</v>
      </c>
      <c r="G3549" s="2419">
        <v>3.5959206031538501E-3</v>
      </c>
    </row>
    <row r="3550" spans="1:7" x14ac:dyDescent="0.25">
      <c r="A3550" s="11" t="s">
        <v>3327</v>
      </c>
      <c r="B3550" s="11"/>
      <c r="C3550" s="2420">
        <v>12</v>
      </c>
      <c r="D3550" s="2420">
        <v>2100.98012983841</v>
      </c>
      <c r="E3550" s="2421">
        <v>835.17924351693</v>
      </c>
      <c r="F3550" s="2422">
        <v>8.4249106585556205E-3</v>
      </c>
      <c r="G3550" s="2423">
        <v>3.36574603754427E-3</v>
      </c>
    </row>
    <row r="3551" spans="1:7" x14ac:dyDescent="0.25">
      <c r="A3551" s="6" t="s">
        <v>3314</v>
      </c>
      <c r="B3551" s="6"/>
      <c r="C3551" s="2416">
        <v>21</v>
      </c>
      <c r="D3551" s="2416">
        <v>2080.30632192438</v>
      </c>
      <c r="E3551" s="2417">
        <v>765.81891967102001</v>
      </c>
      <c r="F3551" s="2418">
        <v>8.3420088822969002E-3</v>
      </c>
      <c r="G3551" s="2419">
        <v>3.0628098643119901E-3</v>
      </c>
    </row>
    <row r="3552" spans="1:7" x14ac:dyDescent="0.25">
      <c r="A3552" s="11" t="s">
        <v>1225</v>
      </c>
      <c r="B3552" s="11"/>
      <c r="C3552" s="2420">
        <v>11</v>
      </c>
      <c r="D3552" s="2420">
        <v>1889.57118424238</v>
      </c>
      <c r="E3552" s="2421">
        <v>909.05633237906102</v>
      </c>
      <c r="F3552" s="2422">
        <v>7.5771627651935501E-3</v>
      </c>
      <c r="G3552" s="2423">
        <v>3.6475900900071099E-3</v>
      </c>
    </row>
    <row r="3553" spans="1:7" x14ac:dyDescent="0.25">
      <c r="A3553" s="6" t="s">
        <v>1239</v>
      </c>
      <c r="B3553" s="6"/>
      <c r="C3553" s="2416">
        <v>10</v>
      </c>
      <c r="D3553" s="2416">
        <v>1622.92204288892</v>
      </c>
      <c r="E3553" s="2417">
        <v>572.57262031216305</v>
      </c>
      <c r="F3553" s="2418">
        <v>6.5079022038115504E-3</v>
      </c>
      <c r="G3553" s="2419">
        <v>2.3040736594908099E-3</v>
      </c>
    </row>
    <row r="3554" spans="1:7" x14ac:dyDescent="0.25">
      <c r="A3554" s="11" t="s">
        <v>1233</v>
      </c>
      <c r="B3554" s="11"/>
      <c r="C3554" s="2420">
        <v>2</v>
      </c>
      <c r="D3554" s="2420">
        <v>1471.0404591336101</v>
      </c>
      <c r="E3554" s="2421">
        <v>1421.69685440291</v>
      </c>
      <c r="F3554" s="2422">
        <v>5.8988584743418903E-3</v>
      </c>
      <c r="G3554" s="2423">
        <v>5.7007333418253401E-3</v>
      </c>
    </row>
    <row r="3555" spans="1:7" x14ac:dyDescent="0.25">
      <c r="A3555" s="6" t="s">
        <v>3348</v>
      </c>
      <c r="B3555" s="6"/>
      <c r="C3555" s="2416">
        <v>5</v>
      </c>
      <c r="D3555" s="2416">
        <v>1364.0091821823301</v>
      </c>
      <c r="E3555" s="2417">
        <v>1075.8134767148099</v>
      </c>
      <c r="F3555" s="2418">
        <v>5.4696640554232302E-3</v>
      </c>
      <c r="G3555" s="2419">
        <v>4.3206031076468802E-3</v>
      </c>
    </row>
    <row r="3556" spans="1:7" x14ac:dyDescent="0.25">
      <c r="A3556" s="11" t="s">
        <v>3337</v>
      </c>
      <c r="B3556" s="11"/>
      <c r="C3556" s="2420">
        <v>8</v>
      </c>
      <c r="D3556" s="2420">
        <v>1162.7790052998701</v>
      </c>
      <c r="E3556" s="2421">
        <v>587.85908296026901</v>
      </c>
      <c r="F3556" s="2422">
        <v>4.6627329293442502E-3</v>
      </c>
      <c r="G3556" s="2423">
        <v>2.36251788742484E-3</v>
      </c>
    </row>
    <row r="3557" spans="1:7" x14ac:dyDescent="0.25">
      <c r="A3557" s="6" t="s">
        <v>6523</v>
      </c>
      <c r="B3557" s="6"/>
      <c r="C3557" s="2416">
        <v>4</v>
      </c>
      <c r="D3557" s="2416">
        <v>1091.1158867325601</v>
      </c>
      <c r="E3557" s="2417">
        <v>890.209338720657</v>
      </c>
      <c r="F3557" s="2418">
        <v>4.3753644945511601E-3</v>
      </c>
      <c r="G3557" s="2419">
        <v>3.57004943804057E-3</v>
      </c>
    </row>
    <row r="3558" spans="1:7" x14ac:dyDescent="0.25">
      <c r="A3558" s="11" t="s">
        <v>3352</v>
      </c>
      <c r="B3558" s="11"/>
      <c r="C3558" s="2420">
        <v>6</v>
      </c>
      <c r="D3558" s="2420">
        <v>947.41183401724902</v>
      </c>
      <c r="E3558" s="2421">
        <v>637.57761744287598</v>
      </c>
      <c r="F3558" s="2422">
        <v>3.7991125880222098E-3</v>
      </c>
      <c r="G3558" s="2423">
        <v>2.5570310998847198E-3</v>
      </c>
    </row>
    <row r="3559" spans="1:7" x14ac:dyDescent="0.25">
      <c r="A3559" s="6" t="s">
        <v>1227</v>
      </c>
      <c r="B3559" s="6"/>
      <c r="C3559" s="2416">
        <v>9</v>
      </c>
      <c r="D3559" s="2416">
        <v>857.44594875186101</v>
      </c>
      <c r="E3559" s="2417">
        <v>411.72970332204301</v>
      </c>
      <c r="F3559" s="2418">
        <v>3.4383502300568999E-3</v>
      </c>
      <c r="G3559" s="2419">
        <v>1.6557501022698301E-3</v>
      </c>
    </row>
    <row r="3560" spans="1:7" x14ac:dyDescent="0.25">
      <c r="A3560" s="11" t="s">
        <v>3350</v>
      </c>
      <c r="B3560" s="11"/>
      <c r="C3560" s="2420">
        <v>10</v>
      </c>
      <c r="D3560" s="2420">
        <v>690.70221386311903</v>
      </c>
      <c r="E3560" s="2421">
        <v>358.64417265968598</v>
      </c>
      <c r="F3560" s="2422">
        <v>2.7697094136301501E-3</v>
      </c>
      <c r="G3560" s="2423">
        <v>1.44183937249047E-3</v>
      </c>
    </row>
    <row r="3561" spans="1:7" x14ac:dyDescent="0.25">
      <c r="A3561" s="6" t="s">
        <v>1249</v>
      </c>
      <c r="B3561" s="6"/>
      <c r="C3561" s="2416">
        <v>2</v>
      </c>
      <c r="D3561" s="2416">
        <v>667.57302976456401</v>
      </c>
      <c r="E3561" s="2417">
        <v>670.95450206883197</v>
      </c>
      <c r="F3561" s="2418">
        <v>2.6769616018502301E-3</v>
      </c>
      <c r="G3561" s="2419">
        <v>2.69143429702981E-3</v>
      </c>
    </row>
    <row r="3562" spans="1:7" x14ac:dyDescent="0.25">
      <c r="A3562" s="11" t="s">
        <v>1235</v>
      </c>
      <c r="B3562" s="11"/>
      <c r="C3562" s="2420">
        <v>4</v>
      </c>
      <c r="D3562" s="2420">
        <v>626.46632272356999</v>
      </c>
      <c r="E3562" s="2421">
        <v>417.91737609035999</v>
      </c>
      <c r="F3562" s="2422">
        <v>2.5121240913144102E-3</v>
      </c>
      <c r="G3562" s="2423">
        <v>1.6724586069819501E-3</v>
      </c>
    </row>
    <row r="3563" spans="1:7" x14ac:dyDescent="0.25">
      <c r="A3563" s="6" t="s">
        <v>3344</v>
      </c>
      <c r="B3563" s="6"/>
      <c r="C3563" s="2416">
        <v>5</v>
      </c>
      <c r="D3563" s="2416">
        <v>592.65101397344199</v>
      </c>
      <c r="E3563" s="2417">
        <v>438.999817022076</v>
      </c>
      <c r="F3563" s="2418">
        <v>2.37652501968815E-3</v>
      </c>
      <c r="G3563" s="2419">
        <v>1.75989610234303E-3</v>
      </c>
    </row>
    <row r="3564" spans="1:7" x14ac:dyDescent="0.25">
      <c r="A3564" s="11" t="s">
        <v>1243</v>
      </c>
      <c r="B3564" s="11"/>
      <c r="C3564" s="2420">
        <v>2</v>
      </c>
      <c r="D3564" s="2420">
        <v>532.768350855378</v>
      </c>
      <c r="E3564" s="2421">
        <v>532.107635311683</v>
      </c>
      <c r="F3564" s="2422">
        <v>2.1363961009987198E-3</v>
      </c>
      <c r="G3564" s="2423">
        <v>2.1333751711711301E-3</v>
      </c>
    </row>
    <row r="3565" spans="1:7" x14ac:dyDescent="0.25">
      <c r="A3565" s="6" t="s">
        <v>6718</v>
      </c>
      <c r="B3565" s="6"/>
      <c r="C3565" s="2416">
        <v>2</v>
      </c>
      <c r="D3565" s="2416">
        <v>458.68984573472699</v>
      </c>
      <c r="E3565" s="2417">
        <v>416.877288406969</v>
      </c>
      <c r="F3565" s="2418">
        <v>1.8393419887312099E-3</v>
      </c>
      <c r="G3565" s="2419">
        <v>1.6705296703422899E-3</v>
      </c>
    </row>
    <row r="3566" spans="1:7" x14ac:dyDescent="0.25">
      <c r="A3566" s="11" t="s">
        <v>6719</v>
      </c>
      <c r="B3566" s="11"/>
      <c r="C3566" s="2420">
        <v>1</v>
      </c>
      <c r="D3566" s="2420">
        <v>408.60499689655398</v>
      </c>
      <c r="E3566" s="2421">
        <v>409.735101951047</v>
      </c>
      <c r="F3566" s="2422">
        <v>1.6385022136109499E-3</v>
      </c>
      <c r="G3566" s="2423">
        <v>1.6433508800303E-3</v>
      </c>
    </row>
    <row r="3567" spans="1:7" x14ac:dyDescent="0.25">
      <c r="A3567" s="6" t="s">
        <v>3359</v>
      </c>
      <c r="B3567" s="6"/>
      <c r="C3567" s="2416">
        <v>1</v>
      </c>
      <c r="D3567" s="2416">
        <v>377.36536937474801</v>
      </c>
      <c r="E3567" s="2417">
        <v>385.84738191327398</v>
      </c>
      <c r="F3567" s="2418">
        <v>1.5132315996056599E-3</v>
      </c>
      <c r="G3567" s="2419">
        <v>1.5468466686290501E-3</v>
      </c>
    </row>
    <row r="3568" spans="1:7" x14ac:dyDescent="0.25">
      <c r="A3568" s="11" t="s">
        <v>3234</v>
      </c>
      <c r="B3568" s="11"/>
      <c r="C3568" s="2420">
        <v>3</v>
      </c>
      <c r="D3568" s="2420">
        <v>333.51994673683402</v>
      </c>
      <c r="E3568" s="2421">
        <v>183.27534939560101</v>
      </c>
      <c r="F3568" s="2422">
        <v>1.33741186515656E-3</v>
      </c>
      <c r="G3568" s="2423">
        <v>7.3515590653328901E-4</v>
      </c>
    </row>
    <row r="3569" spans="1:7" x14ac:dyDescent="0.25">
      <c r="A3569" s="6" t="s">
        <v>1307</v>
      </c>
      <c r="B3569" s="6"/>
      <c r="C3569" s="2416">
        <v>3</v>
      </c>
      <c r="D3569" s="2416">
        <v>311.91140136078701</v>
      </c>
      <c r="E3569" s="2417">
        <v>264.000386047353</v>
      </c>
      <c r="F3569" s="2418">
        <v>1.2507618004229399E-3</v>
      </c>
      <c r="G3569" s="2419">
        <v>1.0585768485325199E-3</v>
      </c>
    </row>
    <row r="3570" spans="1:7" x14ac:dyDescent="0.25">
      <c r="A3570" s="11" t="s">
        <v>6720</v>
      </c>
      <c r="B3570" s="11"/>
      <c r="C3570" s="2420">
        <v>2</v>
      </c>
      <c r="D3570" s="2420">
        <v>207.054951971354</v>
      </c>
      <c r="E3570" s="2421">
        <v>158.30409291120901</v>
      </c>
      <c r="F3570" s="2422">
        <v>8.3028841967408096E-4</v>
      </c>
      <c r="G3570" s="2423">
        <v>6.3567725230507903E-4</v>
      </c>
    </row>
    <row r="3571" spans="1:7" x14ac:dyDescent="0.25">
      <c r="A3571" s="6" t="s">
        <v>1309</v>
      </c>
      <c r="B3571" s="6"/>
      <c r="C3571" s="2416">
        <v>2</v>
      </c>
      <c r="D3571" s="2416">
        <v>148.064323621032</v>
      </c>
      <c r="E3571" s="2417">
        <v>107.90585802225</v>
      </c>
      <c r="F3571" s="2418">
        <v>5.9373655205516003E-4</v>
      </c>
      <c r="G3571" s="2419">
        <v>4.3356773034536198E-4</v>
      </c>
    </row>
    <row r="3572" spans="1:7" x14ac:dyDescent="0.25">
      <c r="A3572" s="11" t="s">
        <v>1237</v>
      </c>
      <c r="B3572" s="11"/>
      <c r="C3572" s="2420">
        <v>2</v>
      </c>
      <c r="D3572" s="2420">
        <v>99.285180068027103</v>
      </c>
      <c r="E3572" s="2421">
        <v>98.922039162123696</v>
      </c>
      <c r="F3572" s="2422">
        <v>3.9813264290894E-4</v>
      </c>
      <c r="G3572" s="2423">
        <v>3.9670673511330902E-4</v>
      </c>
    </row>
    <row r="3573" spans="1:7" x14ac:dyDescent="0.25">
      <c r="A3573" s="6" t="s">
        <v>6721</v>
      </c>
      <c r="B3573" s="6"/>
      <c r="C3573" s="2416">
        <v>1</v>
      </c>
      <c r="D3573" s="2416">
        <v>94.139934526664206</v>
      </c>
      <c r="E3573" s="2417">
        <v>94.575395516277894</v>
      </c>
      <c r="F3573" s="2418">
        <v>3.77500256440036E-4</v>
      </c>
      <c r="G3573" s="2419">
        <v>3.7933158715771102E-4</v>
      </c>
    </row>
    <row r="3574" spans="1:7" x14ac:dyDescent="0.25">
      <c r="A3574" s="11" t="s">
        <v>1231</v>
      </c>
      <c r="B3574" s="11"/>
      <c r="C3574" s="2420">
        <v>2</v>
      </c>
      <c r="D3574" s="2420">
        <v>58.325231691826403</v>
      </c>
      <c r="E3574" s="2421">
        <v>58.2321533433608</v>
      </c>
      <c r="F3574" s="2422">
        <v>2.3388363324549201E-4</v>
      </c>
      <c r="G3574" s="2423">
        <v>2.33535597539838E-4</v>
      </c>
    </row>
    <row r="3575" spans="1:7" x14ac:dyDescent="0.25">
      <c r="A3575" s="6" t="s">
        <v>1241</v>
      </c>
      <c r="B3575" s="6"/>
      <c r="C3575" s="2416">
        <v>1</v>
      </c>
      <c r="D3575" s="2416">
        <v>52.611981943365002</v>
      </c>
      <c r="E3575" s="2417">
        <v>52.576858885276899</v>
      </c>
      <c r="F3575" s="2418">
        <v>2.1097355522181101E-4</v>
      </c>
      <c r="G3575" s="2419">
        <v>2.1076539189435599E-4</v>
      </c>
    </row>
    <row r="3576" spans="1:7" x14ac:dyDescent="0.25">
      <c r="A3576" s="11" t="s">
        <v>6522</v>
      </c>
      <c r="B3576" s="11"/>
      <c r="C3576" s="2420">
        <v>2</v>
      </c>
      <c r="D3576" s="2420">
        <v>40.600078534594303</v>
      </c>
      <c r="E3576" s="2421">
        <v>40.786640146319002</v>
      </c>
      <c r="F3576" s="2422">
        <v>1.6280593496646099E-4</v>
      </c>
      <c r="G3576" s="2423">
        <v>1.6358450545405799E-4</v>
      </c>
    </row>
    <row r="3577" spans="1:7" x14ac:dyDescent="0.25">
      <c r="A3577" s="6" t="s">
        <v>1084</v>
      </c>
      <c r="B3577" s="6" t="s">
        <v>1085</v>
      </c>
      <c r="C3577" s="2416">
        <v>234</v>
      </c>
      <c r="D3577" s="2416">
        <v>126435.46999337801</v>
      </c>
      <c r="E3577" s="2417">
        <v>20401.934914502901</v>
      </c>
      <c r="F3577" s="2418">
        <v>71.167064821070994</v>
      </c>
      <c r="G3577" s="2419">
        <v>6.0666209913115496</v>
      </c>
    </row>
    <row r="3578" spans="1:7" x14ac:dyDescent="0.25">
      <c r="A3578" s="11" t="s">
        <v>1086</v>
      </c>
      <c r="B3578" s="11" t="s">
        <v>1087</v>
      </c>
      <c r="C3578" s="2420">
        <v>101</v>
      </c>
      <c r="D3578" s="2420">
        <v>51224.618013993997</v>
      </c>
      <c r="E3578" s="2421">
        <v>10071.552804433901</v>
      </c>
      <c r="F3578" s="2422">
        <v>28.832935178928999</v>
      </c>
      <c r="G3578" s="2423">
        <v>6.0666209913115399</v>
      </c>
    </row>
    <row r="3579" spans="1:7" x14ac:dyDescent="0.25">
      <c r="A3579" s="6" t="s">
        <v>6417</v>
      </c>
      <c r="B3579" s="6" t="s">
        <v>6418</v>
      </c>
      <c r="C3579" s="2416">
        <v>51890</v>
      </c>
      <c r="D3579" s="2416">
        <v>24937714.059968598</v>
      </c>
      <c r="E3579" s="2417">
        <v>101181.251752963</v>
      </c>
      <c r="F3579" s="2418">
        <v>99.292624163348606</v>
      </c>
      <c r="G3579" s="2419">
        <v>7.8378974146799396E-2</v>
      </c>
    </row>
    <row r="3580" spans="1:7" x14ac:dyDescent="0.25">
      <c r="A3580" s="11" t="s">
        <v>6417</v>
      </c>
      <c r="B3580" s="11" t="s">
        <v>6419</v>
      </c>
      <c r="C3580" s="2420">
        <v>52225</v>
      </c>
      <c r="D3580" s="2420">
        <v>25115374.147975899</v>
      </c>
      <c r="E3580" s="2421">
        <v>0</v>
      </c>
      <c r="F3580" s="2422">
        <v>100</v>
      </c>
      <c r="G3580" s="2423">
        <v>0</v>
      </c>
    </row>
    <row r="3581" spans="1:7" x14ac:dyDescent="0.25">
      <c r="A3581" s="3729" t="s">
        <v>407</v>
      </c>
      <c r="B3581" s="3730"/>
      <c r="C3581" s="3730"/>
      <c r="D3581" s="3730"/>
      <c r="E3581" s="3730"/>
      <c r="F3581" s="3730"/>
      <c r="G3581" s="3730"/>
    </row>
    <row r="3582" spans="1:7" x14ac:dyDescent="0.25">
      <c r="A3582" s="11" t="s">
        <v>3209</v>
      </c>
      <c r="B3582" s="11" t="s">
        <v>3304</v>
      </c>
      <c r="C3582" s="2428">
        <v>9648</v>
      </c>
      <c r="D3582" s="2428">
        <v>4873114.6130293896</v>
      </c>
      <c r="E3582" s="2429">
        <v>108112.096990441</v>
      </c>
      <c r="F3582" s="2430">
        <v>19.5529076355438</v>
      </c>
      <c r="G3582" s="2431">
        <v>0.40927825721128902</v>
      </c>
    </row>
    <row r="3583" spans="1:7" x14ac:dyDescent="0.25">
      <c r="A3583" s="6" t="s">
        <v>3191</v>
      </c>
      <c r="B3583" s="6" t="s">
        <v>3292</v>
      </c>
      <c r="C3583" s="2424">
        <v>6030</v>
      </c>
      <c r="D3583" s="2424">
        <v>3108774.7061471799</v>
      </c>
      <c r="E3583" s="2425">
        <v>77192.4166166418</v>
      </c>
      <c r="F3583" s="2426">
        <v>12.473662024383</v>
      </c>
      <c r="G3583" s="2427">
        <v>0.331638635571532</v>
      </c>
    </row>
    <row r="3584" spans="1:7" x14ac:dyDescent="0.25">
      <c r="A3584" s="11" t="s">
        <v>1127</v>
      </c>
      <c r="B3584" s="11" t="s">
        <v>3272</v>
      </c>
      <c r="C3584" s="2428">
        <v>6463</v>
      </c>
      <c r="D3584" s="2428">
        <v>2736697.8722278201</v>
      </c>
      <c r="E3584" s="2429">
        <v>55005.018180192499</v>
      </c>
      <c r="F3584" s="2430">
        <v>10.9807392132718</v>
      </c>
      <c r="G3584" s="2431">
        <v>0.21456577644503599</v>
      </c>
    </row>
    <row r="3585" spans="1:7" x14ac:dyDescent="0.25">
      <c r="A3585" s="6" t="s">
        <v>1295</v>
      </c>
      <c r="B3585" s="6" t="s">
        <v>3277</v>
      </c>
      <c r="C3585" s="2424">
        <v>4435</v>
      </c>
      <c r="D3585" s="2424">
        <v>2089746.71845095</v>
      </c>
      <c r="E3585" s="2425">
        <v>60605.336448600297</v>
      </c>
      <c r="F3585" s="2426">
        <v>8.3849094085129394</v>
      </c>
      <c r="G3585" s="2427">
        <v>0.21999791279880601</v>
      </c>
    </row>
    <row r="3586" spans="1:7" x14ac:dyDescent="0.25">
      <c r="A3586" s="11" t="s">
        <v>3187</v>
      </c>
      <c r="B3586" s="11" t="s">
        <v>3290</v>
      </c>
      <c r="C3586" s="2428">
        <v>2321</v>
      </c>
      <c r="D3586" s="2428">
        <v>1472194.2481104301</v>
      </c>
      <c r="E3586" s="2429">
        <v>36124.829354881404</v>
      </c>
      <c r="F3586" s="2430">
        <v>5.9070390172882101</v>
      </c>
      <c r="G3586" s="2431">
        <v>0.141438540505018</v>
      </c>
    </row>
    <row r="3587" spans="1:7" x14ac:dyDescent="0.25">
      <c r="A3587" s="6" t="s">
        <v>1109</v>
      </c>
      <c r="B3587" s="6" t="s">
        <v>3268</v>
      </c>
      <c r="C3587" s="2424">
        <v>2057</v>
      </c>
      <c r="D3587" s="2424">
        <v>926767.15283828403</v>
      </c>
      <c r="E3587" s="2425">
        <v>28163.251996993899</v>
      </c>
      <c r="F3587" s="2426">
        <v>3.7185648149239499</v>
      </c>
      <c r="G3587" s="2427">
        <v>0.10966422238982899</v>
      </c>
    </row>
    <row r="3588" spans="1:7" x14ac:dyDescent="0.25">
      <c r="A3588" s="11" t="s">
        <v>3316</v>
      </c>
      <c r="B3588" s="11" t="s">
        <v>3317</v>
      </c>
      <c r="C3588" s="2428">
        <v>1575</v>
      </c>
      <c r="D3588" s="2428">
        <v>836629.65762020496</v>
      </c>
      <c r="E3588" s="2429">
        <v>34516.7724474961</v>
      </c>
      <c r="F3588" s="2430">
        <v>3.3568967117797999</v>
      </c>
      <c r="G3588" s="2431">
        <v>0.13082990172818099</v>
      </c>
    </row>
    <row r="3589" spans="1:7" x14ac:dyDescent="0.25">
      <c r="A3589" s="6" t="s">
        <v>1201</v>
      </c>
      <c r="B3589" s="6" t="s">
        <v>3289</v>
      </c>
      <c r="C3589" s="2424">
        <v>1591</v>
      </c>
      <c r="D3589" s="2424">
        <v>817845.84149046196</v>
      </c>
      <c r="E3589" s="2425">
        <v>37753.792527938902</v>
      </c>
      <c r="F3589" s="2426">
        <v>3.28152844097289</v>
      </c>
      <c r="G3589" s="2427">
        <v>0.15477505337272299</v>
      </c>
    </row>
    <row r="3590" spans="1:7" x14ac:dyDescent="0.25">
      <c r="A3590" s="11" t="s">
        <v>3215</v>
      </c>
      <c r="B3590" s="11" t="s">
        <v>3310</v>
      </c>
      <c r="C3590" s="2428">
        <v>1138</v>
      </c>
      <c r="D3590" s="2428">
        <v>608083.00129701302</v>
      </c>
      <c r="E3590" s="2429">
        <v>33673.276005658801</v>
      </c>
      <c r="F3590" s="2430">
        <v>2.4398750497914898</v>
      </c>
      <c r="G3590" s="2431">
        <v>0.140131159382065</v>
      </c>
    </row>
    <row r="3591" spans="1:7" x14ac:dyDescent="0.25">
      <c r="A3591" s="6" t="s">
        <v>1297</v>
      </c>
      <c r="B3591" s="6" t="s">
        <v>3285</v>
      </c>
      <c r="C3591" s="2424">
        <v>1259</v>
      </c>
      <c r="D3591" s="2424">
        <v>605135.45917130203</v>
      </c>
      <c r="E3591" s="2425">
        <v>18923.6006230231</v>
      </c>
      <c r="F3591" s="2426">
        <v>2.42804831811935</v>
      </c>
      <c r="G3591" s="2427">
        <v>8.2466623891557303E-2</v>
      </c>
    </row>
    <row r="3592" spans="1:7" x14ac:dyDescent="0.25">
      <c r="A3592" s="11" t="s">
        <v>1205</v>
      </c>
      <c r="B3592" s="11" t="s">
        <v>3297</v>
      </c>
      <c r="C3592" s="2428">
        <v>1218</v>
      </c>
      <c r="D3592" s="2428">
        <v>586222.47989204898</v>
      </c>
      <c r="E3592" s="2429">
        <v>19719.140039451799</v>
      </c>
      <c r="F3592" s="2430">
        <v>2.3521617924933298</v>
      </c>
      <c r="G3592" s="2431">
        <v>8.1974999464316398E-2</v>
      </c>
    </row>
    <row r="3593" spans="1:7" x14ac:dyDescent="0.25">
      <c r="A3593" s="6" t="s">
        <v>1203</v>
      </c>
      <c r="B3593" s="6" t="s">
        <v>3296</v>
      </c>
      <c r="C3593" s="2424">
        <v>1068</v>
      </c>
      <c r="D3593" s="2424">
        <v>575900.08213253901</v>
      </c>
      <c r="E3593" s="2425">
        <v>27281.544453489299</v>
      </c>
      <c r="F3593" s="2426">
        <v>2.31074415593099</v>
      </c>
      <c r="G3593" s="2427">
        <v>0.10570027309378401</v>
      </c>
    </row>
    <row r="3594" spans="1:7" x14ac:dyDescent="0.25">
      <c r="A3594" s="11" t="s">
        <v>1092</v>
      </c>
      <c r="B3594" s="11" t="s">
        <v>3265</v>
      </c>
      <c r="C3594" s="2428">
        <v>1210</v>
      </c>
      <c r="D3594" s="2428">
        <v>539025.57592609199</v>
      </c>
      <c r="E3594" s="2429">
        <v>59769.827372531203</v>
      </c>
      <c r="F3594" s="2430">
        <v>2.1627887165015198</v>
      </c>
      <c r="G3594" s="2431">
        <v>0.23388895100907101</v>
      </c>
    </row>
    <row r="3595" spans="1:7" x14ac:dyDescent="0.25">
      <c r="A3595" s="6" t="s">
        <v>3207</v>
      </c>
      <c r="B3595" s="6" t="s">
        <v>3303</v>
      </c>
      <c r="C3595" s="2424">
        <v>1629</v>
      </c>
      <c r="D3595" s="2424">
        <v>497866.33856116602</v>
      </c>
      <c r="E3595" s="2425">
        <v>24756.043132217201</v>
      </c>
      <c r="F3595" s="2426">
        <v>1.99764120193372</v>
      </c>
      <c r="G3595" s="2427">
        <v>9.3761410285315303E-2</v>
      </c>
    </row>
    <row r="3596" spans="1:7" x14ac:dyDescent="0.25">
      <c r="A3596" s="11" t="s">
        <v>1223</v>
      </c>
      <c r="B3596" s="11" t="s">
        <v>3321</v>
      </c>
      <c r="C3596" s="2428">
        <v>686</v>
      </c>
      <c r="D3596" s="2428">
        <v>442065.69817087601</v>
      </c>
      <c r="E3596" s="2429">
        <v>28877.562417266199</v>
      </c>
      <c r="F3596" s="2430">
        <v>1.77374645407815</v>
      </c>
      <c r="G3596" s="2431">
        <v>0.11805260089212199</v>
      </c>
    </row>
    <row r="3597" spans="1:7" x14ac:dyDescent="0.25">
      <c r="A3597" s="6" t="s">
        <v>1191</v>
      </c>
      <c r="B3597" s="6" t="s">
        <v>3280</v>
      </c>
      <c r="C3597" s="2424">
        <v>1148</v>
      </c>
      <c r="D3597" s="2424">
        <v>420477.85327494203</v>
      </c>
      <c r="E3597" s="2425">
        <v>18242.935047724601</v>
      </c>
      <c r="F3597" s="2426">
        <v>1.6871272852673</v>
      </c>
      <c r="G3597" s="2427">
        <v>7.3826144360076798E-2</v>
      </c>
    </row>
    <row r="3598" spans="1:7" x14ac:dyDescent="0.25">
      <c r="A3598" s="11" t="s">
        <v>1217</v>
      </c>
      <c r="B3598" s="11" t="s">
        <v>3309</v>
      </c>
      <c r="C3598" s="2428">
        <v>731</v>
      </c>
      <c r="D3598" s="2428">
        <v>403676.10487806099</v>
      </c>
      <c r="E3598" s="2429">
        <v>18587.500338522201</v>
      </c>
      <c r="F3598" s="2430">
        <v>1.6197118722085699</v>
      </c>
      <c r="G3598" s="2431">
        <v>7.7083616906858707E-2</v>
      </c>
    </row>
    <row r="3599" spans="1:7" x14ac:dyDescent="0.25">
      <c r="A3599" s="6" t="s">
        <v>1100</v>
      </c>
      <c r="B3599" s="6" t="s">
        <v>3267</v>
      </c>
      <c r="C3599" s="2424">
        <v>669</v>
      </c>
      <c r="D3599" s="2424">
        <v>341287.30170673499</v>
      </c>
      <c r="E3599" s="2425">
        <v>27029.545087291001</v>
      </c>
      <c r="F3599" s="2426">
        <v>1.3693827495075801</v>
      </c>
      <c r="G3599" s="2427">
        <v>0.107957229780616</v>
      </c>
    </row>
    <row r="3600" spans="1:7" x14ac:dyDescent="0.25">
      <c r="A3600" s="11" t="s">
        <v>1139</v>
      </c>
      <c r="B3600" s="11" t="s">
        <v>3275</v>
      </c>
      <c r="C3600" s="2428">
        <v>541</v>
      </c>
      <c r="D3600" s="2428">
        <v>231758.43327082199</v>
      </c>
      <c r="E3600" s="2429">
        <v>25696.066580318198</v>
      </c>
      <c r="F3600" s="2430">
        <v>0.92990861068331299</v>
      </c>
      <c r="G3600" s="2431">
        <v>0.10263615897594799</v>
      </c>
    </row>
    <row r="3601" spans="1:7" x14ac:dyDescent="0.25">
      <c r="A3601" s="6" t="s">
        <v>1197</v>
      </c>
      <c r="B3601" s="6" t="s">
        <v>3287</v>
      </c>
      <c r="C3601" s="2424">
        <v>433</v>
      </c>
      <c r="D3601" s="2424">
        <v>220086.58129760099</v>
      </c>
      <c r="E3601" s="2425">
        <v>14127.0230712797</v>
      </c>
      <c r="F3601" s="2426">
        <v>0.88307641778599399</v>
      </c>
      <c r="G3601" s="2427">
        <v>5.6845128751725697E-2</v>
      </c>
    </row>
    <row r="3602" spans="1:7" x14ac:dyDescent="0.25">
      <c r="A3602" s="11" t="s">
        <v>3314</v>
      </c>
      <c r="B3602" s="11" t="s">
        <v>3315</v>
      </c>
      <c r="C3602" s="2428">
        <v>368</v>
      </c>
      <c r="D3602" s="2428">
        <v>208112.90077115301</v>
      </c>
      <c r="E3602" s="2429">
        <v>15875.4212495346</v>
      </c>
      <c r="F3602" s="2430">
        <v>0.83503316660426097</v>
      </c>
      <c r="G3602" s="2431">
        <v>6.3449551170574298E-2</v>
      </c>
    </row>
    <row r="3603" spans="1:7" x14ac:dyDescent="0.25">
      <c r="A3603" s="6" t="s">
        <v>1211</v>
      </c>
      <c r="B3603" s="6" t="s">
        <v>3306</v>
      </c>
      <c r="C3603" s="2424">
        <v>496</v>
      </c>
      <c r="D3603" s="2424">
        <v>195262.34680571401</v>
      </c>
      <c r="E3603" s="2425">
        <v>20562.777660408301</v>
      </c>
      <c r="F3603" s="2426">
        <v>0.78347154437605004</v>
      </c>
      <c r="G3603" s="2427">
        <v>8.1005636836062697E-2</v>
      </c>
    </row>
    <row r="3604" spans="1:7" x14ac:dyDescent="0.25">
      <c r="A3604" s="11" t="s">
        <v>1213</v>
      </c>
      <c r="B3604" s="11" t="s">
        <v>3307</v>
      </c>
      <c r="C3604" s="2428">
        <v>271</v>
      </c>
      <c r="D3604" s="2428">
        <v>177498.218632203</v>
      </c>
      <c r="E3604" s="2429">
        <v>16316.2989118884</v>
      </c>
      <c r="F3604" s="2430">
        <v>0.71219467424582095</v>
      </c>
      <c r="G3604" s="2431">
        <v>6.5168188859288503E-2</v>
      </c>
    </row>
    <row r="3605" spans="1:7" x14ac:dyDescent="0.25">
      <c r="A3605" s="6" t="s">
        <v>1141</v>
      </c>
      <c r="B3605" s="6" t="s">
        <v>3276</v>
      </c>
      <c r="C3605" s="2424">
        <v>389</v>
      </c>
      <c r="D3605" s="2424">
        <v>164101.61375360601</v>
      </c>
      <c r="E3605" s="2425">
        <v>13593.458485916</v>
      </c>
      <c r="F3605" s="2426">
        <v>0.65844207480547001</v>
      </c>
      <c r="G3605" s="2427">
        <v>5.6652321680236602E-2</v>
      </c>
    </row>
    <row r="3606" spans="1:7" x14ac:dyDescent="0.25">
      <c r="A3606" s="11" t="s">
        <v>1229</v>
      </c>
      <c r="B3606" s="11" t="s">
        <v>3331</v>
      </c>
      <c r="C3606" s="2428">
        <v>471</v>
      </c>
      <c r="D3606" s="2428">
        <v>151706.61681026701</v>
      </c>
      <c r="E3606" s="2429">
        <v>17857.1694759126</v>
      </c>
      <c r="F3606" s="2430">
        <v>0.60870833168193605</v>
      </c>
      <c r="G3606" s="2431">
        <v>7.2190696116352301E-2</v>
      </c>
    </row>
    <row r="3607" spans="1:7" x14ac:dyDescent="0.25">
      <c r="A3607" s="6" t="s">
        <v>3359</v>
      </c>
      <c r="B3607" s="6" t="s">
        <v>3360</v>
      </c>
      <c r="C3607" s="2424">
        <v>526</v>
      </c>
      <c r="D3607" s="2424">
        <v>149599.600537352</v>
      </c>
      <c r="E3607" s="2425">
        <v>9033.6452097450492</v>
      </c>
      <c r="F3607" s="2426">
        <v>0.60025412983313298</v>
      </c>
      <c r="G3607" s="2427">
        <v>3.6892362268395901E-2</v>
      </c>
    </row>
    <row r="3608" spans="1:7" x14ac:dyDescent="0.25">
      <c r="A3608" s="11" t="s">
        <v>1193</v>
      </c>
      <c r="B3608" s="11" t="s">
        <v>3281</v>
      </c>
      <c r="C3608" s="2428">
        <v>308</v>
      </c>
      <c r="D3608" s="2428">
        <v>146616.67574913299</v>
      </c>
      <c r="E3608" s="2429">
        <v>16712.505353256602</v>
      </c>
      <c r="F3608" s="2430">
        <v>0.58828542860212296</v>
      </c>
      <c r="G3608" s="2431">
        <v>6.7546491057746003E-2</v>
      </c>
    </row>
    <row r="3609" spans="1:7" x14ac:dyDescent="0.25">
      <c r="A3609" s="6" t="s">
        <v>3325</v>
      </c>
      <c r="B3609" s="6" t="s">
        <v>3326</v>
      </c>
      <c r="C3609" s="2424">
        <v>163</v>
      </c>
      <c r="D3609" s="2424">
        <v>139485.23839599101</v>
      </c>
      <c r="E3609" s="2425">
        <v>17385.285407088599</v>
      </c>
      <c r="F3609" s="2426">
        <v>0.55967121634825601</v>
      </c>
      <c r="G3609" s="2427">
        <v>7.1369395064327407E-2</v>
      </c>
    </row>
    <row r="3610" spans="1:7" x14ac:dyDescent="0.25">
      <c r="A3610" s="11" t="s">
        <v>1129</v>
      </c>
      <c r="B3610" s="11" t="s">
        <v>3273</v>
      </c>
      <c r="C3610" s="2428">
        <v>266</v>
      </c>
      <c r="D3610" s="2428">
        <v>135449.49201532599</v>
      </c>
      <c r="E3610" s="2429">
        <v>15976.823194974701</v>
      </c>
      <c r="F3610" s="2430">
        <v>0.54347816888521405</v>
      </c>
      <c r="G3610" s="2431">
        <v>6.3826191848479805E-2</v>
      </c>
    </row>
    <row r="3611" spans="1:7" x14ac:dyDescent="0.25">
      <c r="A3611" s="6" t="s">
        <v>1189</v>
      </c>
      <c r="B3611" s="6" t="s">
        <v>3279</v>
      </c>
      <c r="C3611" s="2424">
        <v>289</v>
      </c>
      <c r="D3611" s="2424">
        <v>113882.82643354801</v>
      </c>
      <c r="E3611" s="2425">
        <v>12772.447382799801</v>
      </c>
      <c r="F3611" s="2426">
        <v>0.456943980052537</v>
      </c>
      <c r="G3611" s="2427">
        <v>5.1074073895574397E-2</v>
      </c>
    </row>
    <row r="3612" spans="1:7" x14ac:dyDescent="0.25">
      <c r="A3612" s="11" t="s">
        <v>1215</v>
      </c>
      <c r="B3612" s="11" t="s">
        <v>3308</v>
      </c>
      <c r="C3612" s="2428">
        <v>256</v>
      </c>
      <c r="D3612" s="2428">
        <v>113237.68780922701</v>
      </c>
      <c r="E3612" s="2429">
        <v>13071.215662922301</v>
      </c>
      <c r="F3612" s="2430">
        <v>0.45435542284935898</v>
      </c>
      <c r="G3612" s="2431">
        <v>5.1894310298574997E-2</v>
      </c>
    </row>
    <row r="3613" spans="1:7" x14ac:dyDescent="0.25">
      <c r="A3613" s="6" t="s">
        <v>3201</v>
      </c>
      <c r="B3613" s="6" t="s">
        <v>3300</v>
      </c>
      <c r="C3613" s="2424">
        <v>279</v>
      </c>
      <c r="D3613" s="2424">
        <v>94068.758719275094</v>
      </c>
      <c r="E3613" s="2425">
        <v>10604.831541305601</v>
      </c>
      <c r="F3613" s="2426">
        <v>0.37744192301785801</v>
      </c>
      <c r="G3613" s="2427">
        <v>4.3250520073600203E-2</v>
      </c>
    </row>
    <row r="3614" spans="1:7" x14ac:dyDescent="0.25">
      <c r="A3614" s="11" t="s">
        <v>1131</v>
      </c>
      <c r="B3614" s="11" t="s">
        <v>3274</v>
      </c>
      <c r="C3614" s="2428">
        <v>220</v>
      </c>
      <c r="D3614" s="2428">
        <v>89037.993235155605</v>
      </c>
      <c r="E3614" s="2429">
        <v>17306.1343365996</v>
      </c>
      <c r="F3614" s="2430">
        <v>0.35725645629723801</v>
      </c>
      <c r="G3614" s="2431">
        <v>6.8295893538286398E-2</v>
      </c>
    </row>
    <row r="3615" spans="1:7" x14ac:dyDescent="0.25">
      <c r="A3615" s="6" t="s">
        <v>3335</v>
      </c>
      <c r="B3615" s="6" t="s">
        <v>3336</v>
      </c>
      <c r="C3615" s="2424">
        <v>229</v>
      </c>
      <c r="D3615" s="2424">
        <v>85747.234639148301</v>
      </c>
      <c r="E3615" s="2425">
        <v>13776.4940303563</v>
      </c>
      <c r="F3615" s="2426">
        <v>0.344052601270606</v>
      </c>
      <c r="G3615" s="2427">
        <v>5.5892080664794001E-2</v>
      </c>
    </row>
    <row r="3616" spans="1:7" x14ac:dyDescent="0.25">
      <c r="A3616" s="11" t="s">
        <v>3327</v>
      </c>
      <c r="B3616" s="11" t="s">
        <v>3328</v>
      </c>
      <c r="C3616" s="2428">
        <v>171</v>
      </c>
      <c r="D3616" s="2428">
        <v>79864.164170599804</v>
      </c>
      <c r="E3616" s="2429">
        <v>14472.663689998901</v>
      </c>
      <c r="F3616" s="2430">
        <v>0.320447342084343</v>
      </c>
      <c r="G3616" s="2431">
        <v>5.7342925260037099E-2</v>
      </c>
    </row>
    <row r="3617" spans="1:7" x14ac:dyDescent="0.25">
      <c r="A3617" s="6" t="s">
        <v>1221</v>
      </c>
      <c r="B3617" s="6" t="s">
        <v>3320</v>
      </c>
      <c r="C3617" s="2424">
        <v>121</v>
      </c>
      <c r="D3617" s="2424">
        <v>66075.597185974999</v>
      </c>
      <c r="E3617" s="2425">
        <v>17227.77422055</v>
      </c>
      <c r="F3617" s="2426">
        <v>0.26512203207500701</v>
      </c>
      <c r="G3617" s="2427">
        <v>6.9516853683823696E-2</v>
      </c>
    </row>
    <row r="3618" spans="1:7" x14ac:dyDescent="0.25">
      <c r="A3618" s="11" t="s">
        <v>1231</v>
      </c>
      <c r="B3618" s="11" t="s">
        <v>3332</v>
      </c>
      <c r="C3618" s="2428">
        <v>179</v>
      </c>
      <c r="D3618" s="2428">
        <v>58502.270758561899</v>
      </c>
      <c r="E3618" s="2429">
        <v>7573.7955200359802</v>
      </c>
      <c r="F3618" s="2430">
        <v>0.23473478205361301</v>
      </c>
      <c r="G3618" s="2431">
        <v>3.0114592212055199E-2</v>
      </c>
    </row>
    <row r="3619" spans="1:7" x14ac:dyDescent="0.25">
      <c r="A3619" s="6" t="s">
        <v>3195</v>
      </c>
      <c r="B3619" s="6" t="s">
        <v>3294</v>
      </c>
      <c r="C3619" s="2424">
        <v>147</v>
      </c>
      <c r="D3619" s="2424">
        <v>51032.635331736703</v>
      </c>
      <c r="E3619" s="2425">
        <v>11201.844650213099</v>
      </c>
      <c r="F3619" s="2426">
        <v>0.20476358228306199</v>
      </c>
      <c r="G3619" s="2427">
        <v>4.5003034141363703E-2</v>
      </c>
    </row>
    <row r="3620" spans="1:7" x14ac:dyDescent="0.25">
      <c r="A3620" s="11" t="s">
        <v>3189</v>
      </c>
      <c r="B3620" s="11" t="s">
        <v>3291</v>
      </c>
      <c r="C3620" s="2428">
        <v>95</v>
      </c>
      <c r="D3620" s="2428">
        <v>49768.224611011297</v>
      </c>
      <c r="E3620" s="2429">
        <v>11473.1695687755</v>
      </c>
      <c r="F3620" s="2430">
        <v>0.19969025485307801</v>
      </c>
      <c r="G3620" s="2431">
        <v>4.5669290554436401E-2</v>
      </c>
    </row>
    <row r="3621" spans="1:7" x14ac:dyDescent="0.25">
      <c r="A3621" s="6" t="s">
        <v>3193</v>
      </c>
      <c r="B3621" s="6" t="s">
        <v>3293</v>
      </c>
      <c r="C3621" s="2424">
        <v>72</v>
      </c>
      <c r="D3621" s="2424">
        <v>44923.118041371898</v>
      </c>
      <c r="E3621" s="2425">
        <v>17292.934989555601</v>
      </c>
      <c r="F3621" s="2426">
        <v>0.18024972682050799</v>
      </c>
      <c r="G3621" s="2427">
        <v>6.9704867374490095E-2</v>
      </c>
    </row>
    <row r="3622" spans="1:7" x14ac:dyDescent="0.25">
      <c r="A3622" s="11" t="s">
        <v>1187</v>
      </c>
      <c r="B3622" s="11" t="s">
        <v>3278</v>
      </c>
      <c r="C3622" s="2428">
        <v>88</v>
      </c>
      <c r="D3622" s="2428">
        <v>43514.2864276416</v>
      </c>
      <c r="E3622" s="2429">
        <v>9941.9679398790904</v>
      </c>
      <c r="F3622" s="2430">
        <v>0.17459692433077201</v>
      </c>
      <c r="G3622" s="2431">
        <v>4.0188208876290897E-2</v>
      </c>
    </row>
    <row r="3623" spans="1:7" x14ac:dyDescent="0.25">
      <c r="A3623" s="6" t="s">
        <v>3180</v>
      </c>
      <c r="B3623" s="6" t="s">
        <v>3284</v>
      </c>
      <c r="C3623" s="2424">
        <v>91</v>
      </c>
      <c r="D3623" s="2424">
        <v>33674.886895838397</v>
      </c>
      <c r="E3623" s="2425">
        <v>6406.9715855520299</v>
      </c>
      <c r="F3623" s="2426">
        <v>0.13511727209354299</v>
      </c>
      <c r="G3623" s="2427">
        <v>2.58257515636553E-2</v>
      </c>
    </row>
    <row r="3624" spans="1:7" x14ac:dyDescent="0.25">
      <c r="A3624" s="11" t="s">
        <v>1121</v>
      </c>
      <c r="B3624" s="11" t="s">
        <v>3270</v>
      </c>
      <c r="C3624" s="2428">
        <v>58</v>
      </c>
      <c r="D3624" s="2428">
        <v>28326.8521160706</v>
      </c>
      <c r="E3624" s="2429">
        <v>6480.7012486042504</v>
      </c>
      <c r="F3624" s="2430">
        <v>0.11365879258212599</v>
      </c>
      <c r="G3624" s="2431">
        <v>2.6390850757823599E-2</v>
      </c>
    </row>
    <row r="3625" spans="1:7" x14ac:dyDescent="0.25">
      <c r="A3625" s="6" t="s">
        <v>3205</v>
      </c>
      <c r="B3625" s="6" t="s">
        <v>3302</v>
      </c>
      <c r="C3625" s="2424">
        <v>56</v>
      </c>
      <c r="D3625" s="2424">
        <v>27876.230030746301</v>
      </c>
      <c r="E3625" s="2425">
        <v>6158.0265460621204</v>
      </c>
      <c r="F3625" s="2426">
        <v>0.111850714440618</v>
      </c>
      <c r="G3625" s="2427">
        <v>2.4762962901756301E-2</v>
      </c>
    </row>
    <row r="3626" spans="1:7" x14ac:dyDescent="0.25">
      <c r="A3626" s="11" t="s">
        <v>1301</v>
      </c>
      <c r="B3626" s="11" t="s">
        <v>3305</v>
      </c>
      <c r="C3626" s="2428">
        <v>71</v>
      </c>
      <c r="D3626" s="2428">
        <v>24287.881612085701</v>
      </c>
      <c r="E3626" s="2429">
        <v>5566.2135365823297</v>
      </c>
      <c r="F3626" s="2430">
        <v>9.7452808631749002E-2</v>
      </c>
      <c r="G3626" s="2431">
        <v>2.26215778866968E-2</v>
      </c>
    </row>
    <row r="3627" spans="1:7" x14ac:dyDescent="0.25">
      <c r="A3627" s="6" t="s">
        <v>1094</v>
      </c>
      <c r="B3627" s="6" t="s">
        <v>3266</v>
      </c>
      <c r="C3627" s="2424">
        <v>27</v>
      </c>
      <c r="D3627" s="2424">
        <v>22647.9748438924</v>
      </c>
      <c r="E3627" s="2425">
        <v>7482.29239290844</v>
      </c>
      <c r="F3627" s="2426">
        <v>9.0872839122381699E-2</v>
      </c>
      <c r="G3627" s="2427">
        <v>2.9914221181039001E-2</v>
      </c>
    </row>
    <row r="3628" spans="1:7" x14ac:dyDescent="0.25">
      <c r="A3628" s="11" t="s">
        <v>3323</v>
      </c>
      <c r="B3628" s="11" t="s">
        <v>3324</v>
      </c>
      <c r="C3628" s="2428">
        <v>45</v>
      </c>
      <c r="D3628" s="2428">
        <v>22298.6614776143</v>
      </c>
      <c r="E3628" s="2429">
        <v>5783.7286549910896</v>
      </c>
      <c r="F3628" s="2430">
        <v>8.9471252554227595E-2</v>
      </c>
      <c r="G3628" s="2431">
        <v>2.3432310274374001E-2</v>
      </c>
    </row>
    <row r="3629" spans="1:7" x14ac:dyDescent="0.25">
      <c r="A3629" s="6" t="s">
        <v>3361</v>
      </c>
      <c r="B3629" s="6" t="s">
        <v>3362</v>
      </c>
      <c r="C3629" s="2424">
        <v>47</v>
      </c>
      <c r="D3629" s="2424">
        <v>15612.4189216264</v>
      </c>
      <c r="E3629" s="2425">
        <v>4119.6499206357703</v>
      </c>
      <c r="F3629" s="2426">
        <v>6.2643341965685106E-2</v>
      </c>
      <c r="G3629" s="2427">
        <v>1.6423382512860799E-2</v>
      </c>
    </row>
    <row r="3630" spans="1:7" x14ac:dyDescent="0.25">
      <c r="A3630" s="11" t="s">
        <v>1227</v>
      </c>
      <c r="B3630" s="11" t="s">
        <v>3330</v>
      </c>
      <c r="C3630" s="2428">
        <v>50</v>
      </c>
      <c r="D3630" s="2428">
        <v>10606.8180037887</v>
      </c>
      <c r="E3630" s="2429">
        <v>3829.9583118640899</v>
      </c>
      <c r="F3630" s="2430">
        <v>4.2558845667324603E-2</v>
      </c>
      <c r="G3630" s="2431">
        <v>1.52456050624824E-2</v>
      </c>
    </row>
    <row r="3631" spans="1:7" x14ac:dyDescent="0.25">
      <c r="A3631" s="6" t="s">
        <v>1195</v>
      </c>
      <c r="B3631" s="6" t="s">
        <v>3286</v>
      </c>
      <c r="C3631" s="2424">
        <v>15</v>
      </c>
      <c r="D3631" s="2424">
        <v>9826.1554121126192</v>
      </c>
      <c r="E3631" s="2425">
        <v>4089.5936882282899</v>
      </c>
      <c r="F3631" s="2426">
        <v>3.9426511470063298E-2</v>
      </c>
      <c r="G3631" s="2427">
        <v>1.6407597176112801E-2</v>
      </c>
    </row>
    <row r="3632" spans="1:7" x14ac:dyDescent="0.25">
      <c r="A3632" s="11" t="s">
        <v>1199</v>
      </c>
      <c r="B3632" s="11" t="s">
        <v>3288</v>
      </c>
      <c r="C3632" s="2428">
        <v>15</v>
      </c>
      <c r="D3632" s="2428">
        <v>8332.3076167310101</v>
      </c>
      <c r="E3632" s="2429">
        <v>4079.1959709054199</v>
      </c>
      <c r="F3632" s="2430">
        <v>3.3432589659449598E-2</v>
      </c>
      <c r="G3632" s="2431">
        <v>1.6363954392298301E-2</v>
      </c>
    </row>
    <row r="3633" spans="1:7" x14ac:dyDescent="0.25">
      <c r="A3633" s="6" t="s">
        <v>1090</v>
      </c>
      <c r="B3633" s="6" t="s">
        <v>3264</v>
      </c>
      <c r="C3633" s="2424">
        <v>14</v>
      </c>
      <c r="D3633" s="2424">
        <v>6902.67525904575</v>
      </c>
      <c r="E3633" s="2425">
        <v>3813.0515453123899</v>
      </c>
      <c r="F3633" s="2426">
        <v>2.76963261683623E-2</v>
      </c>
      <c r="G3633" s="2427">
        <v>1.53210466463047E-2</v>
      </c>
    </row>
    <row r="3634" spans="1:7" x14ac:dyDescent="0.25">
      <c r="A3634" s="11" t="s">
        <v>1241</v>
      </c>
      <c r="B3634" s="11" t="s">
        <v>3343</v>
      </c>
      <c r="C3634" s="2428">
        <v>20</v>
      </c>
      <c r="D3634" s="2428">
        <v>6691.0118025837701</v>
      </c>
      <c r="E3634" s="2429">
        <v>3218.6171125310898</v>
      </c>
      <c r="F3634" s="2430">
        <v>2.6847046735665299E-2</v>
      </c>
      <c r="G3634" s="2431">
        <v>1.29183326279544E-2</v>
      </c>
    </row>
    <row r="3635" spans="1:7" x14ac:dyDescent="0.25">
      <c r="A3635" s="6" t="s">
        <v>1207</v>
      </c>
      <c r="B3635" s="6" t="s">
        <v>3298</v>
      </c>
      <c r="C3635" s="2424">
        <v>27</v>
      </c>
      <c r="D3635" s="2424">
        <v>5410.5666618431196</v>
      </c>
      <c r="E3635" s="2425">
        <v>1348.5245409251399</v>
      </c>
      <c r="F3635" s="2426">
        <v>2.1709382724574299E-2</v>
      </c>
      <c r="G3635" s="2427">
        <v>5.4247200015461999E-3</v>
      </c>
    </row>
    <row r="3636" spans="1:7" x14ac:dyDescent="0.25">
      <c r="A3636" s="11" t="s">
        <v>1233</v>
      </c>
      <c r="B3636" s="11" t="s">
        <v>3333</v>
      </c>
      <c r="C3636" s="2428">
        <v>9</v>
      </c>
      <c r="D3636" s="2428">
        <v>4195.82138162912</v>
      </c>
      <c r="E3636" s="2429">
        <v>3959.9068629127501</v>
      </c>
      <c r="F3636" s="2430">
        <v>1.6835333138046801E-2</v>
      </c>
      <c r="G3636" s="2431">
        <v>1.58837760396696E-2</v>
      </c>
    </row>
    <row r="3637" spans="1:7" x14ac:dyDescent="0.25">
      <c r="A3637" s="6" t="s">
        <v>3337</v>
      </c>
      <c r="B3637" s="6" t="s">
        <v>3338</v>
      </c>
      <c r="C3637" s="2424">
        <v>10</v>
      </c>
      <c r="D3637" s="2424">
        <v>967.85193193462703</v>
      </c>
      <c r="E3637" s="2425">
        <v>559.40370799146604</v>
      </c>
      <c r="F3637" s="2426">
        <v>3.88341357279015E-3</v>
      </c>
      <c r="G3637" s="2427">
        <v>2.2486484770888899E-3</v>
      </c>
    </row>
    <row r="3638" spans="1:7" x14ac:dyDescent="0.25">
      <c r="A3638" s="11" t="s">
        <v>1309</v>
      </c>
      <c r="B3638" s="11" t="s">
        <v>3354</v>
      </c>
      <c r="C3638" s="2428">
        <v>2</v>
      </c>
      <c r="D3638" s="2428">
        <v>700.95026073234396</v>
      </c>
      <c r="E3638" s="2429">
        <v>705.359487162557</v>
      </c>
      <c r="F3638" s="2430">
        <v>2.81249607151958E-3</v>
      </c>
      <c r="G3638" s="2431">
        <v>2.8310165152358401E-3</v>
      </c>
    </row>
    <row r="3639" spans="1:7" x14ac:dyDescent="0.25">
      <c r="A3639" s="6" t="s">
        <v>1237</v>
      </c>
      <c r="B3639" s="6" t="s">
        <v>3341</v>
      </c>
      <c r="C3639" s="2424">
        <v>6</v>
      </c>
      <c r="D3639" s="2424">
        <v>499.303249943293</v>
      </c>
      <c r="E3639" s="2425">
        <v>417.84081708435298</v>
      </c>
      <c r="F3639" s="2426">
        <v>2.0034066718161801E-3</v>
      </c>
      <c r="G3639" s="2427">
        <v>1.6752670557996299E-3</v>
      </c>
    </row>
    <row r="3640" spans="1:7" x14ac:dyDescent="0.25">
      <c r="A3640" s="11" t="s">
        <v>1303</v>
      </c>
      <c r="B3640" s="11" t="s">
        <v>3318</v>
      </c>
      <c r="C3640" s="2428">
        <v>2</v>
      </c>
      <c r="D3640" s="2428">
        <v>476.76552261376298</v>
      </c>
      <c r="E3640" s="2429">
        <v>479.94020784317502</v>
      </c>
      <c r="F3640" s="2430">
        <v>1.91297619033087E-3</v>
      </c>
      <c r="G3640" s="2431">
        <v>1.9254188742779E-3</v>
      </c>
    </row>
    <row r="3641" spans="1:7" x14ac:dyDescent="0.25">
      <c r="A3641" s="6" t="s">
        <v>1225</v>
      </c>
      <c r="B3641" s="6" t="s">
        <v>3322</v>
      </c>
      <c r="C3641" s="2424">
        <v>2</v>
      </c>
      <c r="D3641" s="2424">
        <v>442.51662603562602</v>
      </c>
      <c r="E3641" s="2425">
        <v>444.06872683752101</v>
      </c>
      <c r="F3641" s="2426">
        <v>1.77555575913044E-3</v>
      </c>
      <c r="G3641" s="2427">
        <v>1.78230780337306E-3</v>
      </c>
    </row>
    <row r="3642" spans="1:7" x14ac:dyDescent="0.25">
      <c r="A3642" s="11" t="s">
        <v>1123</v>
      </c>
      <c r="B3642" s="11" t="s">
        <v>3271</v>
      </c>
      <c r="C3642" s="2428">
        <v>4</v>
      </c>
      <c r="D3642" s="2428">
        <v>424.92731330355798</v>
      </c>
      <c r="E3642" s="2429">
        <v>296.14999299416297</v>
      </c>
      <c r="F3642" s="2430">
        <v>1.7049803192868401E-3</v>
      </c>
      <c r="G3642" s="2431">
        <v>1.1841254458543999E-3</v>
      </c>
    </row>
    <row r="3643" spans="1:7" x14ac:dyDescent="0.25">
      <c r="A3643" s="6" t="s">
        <v>1209</v>
      </c>
      <c r="B3643" s="6" t="s">
        <v>3299</v>
      </c>
      <c r="C3643" s="2424">
        <v>4</v>
      </c>
      <c r="D3643" s="2424">
        <v>399.866912122955</v>
      </c>
      <c r="E3643" s="2425">
        <v>269.90124043298903</v>
      </c>
      <c r="F3643" s="2426">
        <v>1.60442784956166E-3</v>
      </c>
      <c r="G3643" s="2427">
        <v>1.0839085417804701E-3</v>
      </c>
    </row>
    <row r="3644" spans="1:7" x14ac:dyDescent="0.25">
      <c r="A3644" s="11" t="s">
        <v>1299</v>
      </c>
      <c r="B3644" s="11" t="s">
        <v>3295</v>
      </c>
      <c r="C3644" s="2428">
        <v>1</v>
      </c>
      <c r="D3644" s="2428">
        <v>377.46387556530402</v>
      </c>
      <c r="E3644" s="2429">
        <v>378.78525006807899</v>
      </c>
      <c r="F3644" s="2430">
        <v>1.51453780195304E-3</v>
      </c>
      <c r="G3644" s="2431">
        <v>1.5191419553786799E-3</v>
      </c>
    </row>
    <row r="3645" spans="1:7" x14ac:dyDescent="0.25">
      <c r="A3645" s="6" t="s">
        <v>3348</v>
      </c>
      <c r="B3645" s="6" t="s">
        <v>3349</v>
      </c>
      <c r="C3645" s="2424">
        <v>4</v>
      </c>
      <c r="D3645" s="2424">
        <v>233.746898982277</v>
      </c>
      <c r="E3645" s="2425">
        <v>112.528087285919</v>
      </c>
      <c r="F3645" s="2426">
        <v>9.3788713971042995E-4</v>
      </c>
      <c r="G3645" s="2427">
        <v>4.5065657453450999E-4</v>
      </c>
    </row>
    <row r="3646" spans="1:7" x14ac:dyDescent="0.25">
      <c r="A3646" s="11" t="s">
        <v>3344</v>
      </c>
      <c r="B3646" s="11" t="s">
        <v>3345</v>
      </c>
      <c r="C3646" s="2428">
        <v>2</v>
      </c>
      <c r="D3646" s="2428">
        <v>227.16966956386199</v>
      </c>
      <c r="E3646" s="2429">
        <v>187.84003515767401</v>
      </c>
      <c r="F3646" s="2430">
        <v>9.1149663393981105E-4</v>
      </c>
      <c r="G3646" s="2431">
        <v>7.5340703024458602E-4</v>
      </c>
    </row>
    <row r="3647" spans="1:7" x14ac:dyDescent="0.25">
      <c r="A3647" s="6" t="s">
        <v>1249</v>
      </c>
      <c r="B3647" s="6" t="s">
        <v>3358</v>
      </c>
      <c r="C3647" s="2424">
        <v>1</v>
      </c>
      <c r="D3647" s="2424">
        <v>154.313076115526</v>
      </c>
      <c r="E3647" s="2425">
        <v>154.6094041801</v>
      </c>
      <c r="F3647" s="2426">
        <v>6.1916650106610504E-4</v>
      </c>
      <c r="G3647" s="2427">
        <v>6.2028152781744598E-4</v>
      </c>
    </row>
    <row r="3648" spans="1:7" x14ac:dyDescent="0.25">
      <c r="A3648" s="11" t="s">
        <v>3203</v>
      </c>
      <c r="B3648" s="11" t="s">
        <v>3301</v>
      </c>
      <c r="C3648" s="2428">
        <v>1</v>
      </c>
      <c r="D3648" s="2428">
        <v>136.41320967844101</v>
      </c>
      <c r="E3648" s="2429">
        <v>136.62512383674999</v>
      </c>
      <c r="F3648" s="2430">
        <v>5.4734499409865101E-4</v>
      </c>
      <c r="G3648" s="2431">
        <v>5.4813805901167802E-4</v>
      </c>
    </row>
    <row r="3649" spans="1:7" x14ac:dyDescent="0.25">
      <c r="A3649" s="6" t="s">
        <v>1239</v>
      </c>
      <c r="B3649" s="6" t="s">
        <v>3342</v>
      </c>
      <c r="C3649" s="2424">
        <v>2</v>
      </c>
      <c r="D3649" s="2424">
        <v>95.383917118781397</v>
      </c>
      <c r="E3649" s="2425">
        <v>95.645086742346507</v>
      </c>
      <c r="F3649" s="2426">
        <v>3.8271887066914002E-4</v>
      </c>
      <c r="G3649" s="2427">
        <v>3.8385572032462498E-4</v>
      </c>
    </row>
    <row r="3650" spans="1:7" x14ac:dyDescent="0.25">
      <c r="A3650" s="11" t="s">
        <v>1235</v>
      </c>
      <c r="B3650" s="11" t="s">
        <v>3340</v>
      </c>
      <c r="C3650" s="2428">
        <v>1</v>
      </c>
      <c r="D3650" s="2428">
        <v>40.594191622079101</v>
      </c>
      <c r="E3650" s="2429">
        <v>40.876844244234</v>
      </c>
      <c r="F3650" s="2430">
        <v>1.62880322413071E-4</v>
      </c>
      <c r="G3650" s="2431">
        <v>1.6407941340060899E-4</v>
      </c>
    </row>
    <row r="3651" spans="1:7" x14ac:dyDescent="0.25">
      <c r="A3651" s="6" t="s">
        <v>1084</v>
      </c>
      <c r="B3651" s="6" t="s">
        <v>1085</v>
      </c>
      <c r="C3651" s="2424">
        <v>282</v>
      </c>
      <c r="D3651" s="2424">
        <v>146142.09109914699</v>
      </c>
      <c r="E3651" s="2425">
        <v>20069.774173890401</v>
      </c>
      <c r="F3651" s="2426">
        <v>75.853582927651402</v>
      </c>
      <c r="G3651" s="2427">
        <v>5.6152225252437198</v>
      </c>
    </row>
    <row r="3652" spans="1:7" x14ac:dyDescent="0.25">
      <c r="A3652" s="11" t="s">
        <v>1286</v>
      </c>
      <c r="B3652" s="11" t="s">
        <v>1085</v>
      </c>
      <c r="C3652" s="2428">
        <v>102</v>
      </c>
      <c r="D3652" s="2428">
        <v>46521.307857941603</v>
      </c>
      <c r="E3652" s="2429">
        <v>11710.6281262309</v>
      </c>
      <c r="F3652" s="2430">
        <v>24.146417072348601</v>
      </c>
      <c r="G3652" s="2431">
        <v>5.6152225252437296</v>
      </c>
    </row>
    <row r="3653" spans="1:7" x14ac:dyDescent="0.25">
      <c r="A3653" s="6" t="s">
        <v>6417</v>
      </c>
      <c r="B3653" s="6" t="s">
        <v>6418</v>
      </c>
      <c r="C3653" s="2424">
        <v>51841</v>
      </c>
      <c r="D3653" s="2424">
        <v>24922710.7490189</v>
      </c>
      <c r="E3653" s="2425">
        <v>117887.13077340899</v>
      </c>
      <c r="F3653" s="2426">
        <v>99.232886606339406</v>
      </c>
      <c r="G3653" s="2427">
        <v>8.6144109699760704E-2</v>
      </c>
    </row>
    <row r="3654" spans="1:7" x14ac:dyDescent="0.25">
      <c r="A3654" s="11" t="s">
        <v>6417</v>
      </c>
      <c r="B3654" s="11" t="s">
        <v>6419</v>
      </c>
      <c r="C3654" s="2428">
        <v>52225</v>
      </c>
      <c r="D3654" s="2428">
        <v>25115374.147975899</v>
      </c>
      <c r="E3654" s="2429">
        <v>0</v>
      </c>
      <c r="F3654" s="2430">
        <v>100</v>
      </c>
      <c r="G3654" s="2431">
        <v>0</v>
      </c>
    </row>
    <row r="3655" spans="1:7" x14ac:dyDescent="0.25">
      <c r="A3655" s="3729" t="s">
        <v>410</v>
      </c>
      <c r="B3655" s="3730"/>
      <c r="C3655" s="3730"/>
      <c r="D3655" s="3730"/>
      <c r="E3655" s="3730"/>
      <c r="F3655" s="3730"/>
      <c r="G3655" s="3730"/>
    </row>
    <row r="3656" spans="1:7" x14ac:dyDescent="0.25">
      <c r="A3656" s="11" t="s">
        <v>1088</v>
      </c>
      <c r="B3656" s="11" t="s">
        <v>1089</v>
      </c>
      <c r="C3656" s="2436">
        <v>52228</v>
      </c>
      <c r="D3656" s="2436">
        <v>25115374.147975899</v>
      </c>
      <c r="E3656" s="2437">
        <v>111182.957623804</v>
      </c>
      <c r="F3656" s="2438">
        <v>100</v>
      </c>
      <c r="G3656" s="2439">
        <v>0</v>
      </c>
    </row>
    <row r="3657" spans="1:7" x14ac:dyDescent="0.25">
      <c r="A3657" s="6" t="s">
        <v>6417</v>
      </c>
      <c r="B3657" s="6" t="s">
        <v>6418</v>
      </c>
      <c r="C3657" s="2432">
        <v>0</v>
      </c>
      <c r="D3657" s="2432">
        <v>0</v>
      </c>
      <c r="E3657" s="2433">
        <v>0</v>
      </c>
      <c r="F3657" s="2434">
        <v>0</v>
      </c>
      <c r="G3657" s="2435">
        <v>0</v>
      </c>
    </row>
    <row r="3658" spans="1:7" x14ac:dyDescent="0.25">
      <c r="A3658" s="11" t="s">
        <v>6417</v>
      </c>
      <c r="B3658" s="11" t="s">
        <v>6419</v>
      </c>
      <c r="C3658" s="2436">
        <v>52228</v>
      </c>
      <c r="D3658" s="2436">
        <v>25115374.147975899</v>
      </c>
      <c r="E3658" s="2437">
        <v>0</v>
      </c>
      <c r="F3658" s="2438">
        <v>100</v>
      </c>
      <c r="G3658" s="2439">
        <v>0</v>
      </c>
    </row>
    <row r="3659" spans="1:7" x14ac:dyDescent="0.25">
      <c r="A3659" s="3729" t="s">
        <v>428</v>
      </c>
      <c r="B3659" s="3730"/>
      <c r="C3659" s="3730"/>
      <c r="D3659" s="3730"/>
      <c r="E3659" s="3730"/>
      <c r="F3659" s="3730"/>
      <c r="G3659" s="3730"/>
    </row>
    <row r="3660" spans="1:7" x14ac:dyDescent="0.25">
      <c r="A3660" s="11" t="s">
        <v>1286</v>
      </c>
      <c r="B3660" s="11" t="s">
        <v>1085</v>
      </c>
      <c r="C3660" s="2444">
        <v>829</v>
      </c>
      <c r="D3660" s="2444">
        <v>469854.74569585</v>
      </c>
      <c r="E3660" s="2445">
        <v>20672.1569809516</v>
      </c>
      <c r="F3660" s="2446">
        <v>74.627450197427507</v>
      </c>
      <c r="G3660" s="2447">
        <v>3.4374506900353299</v>
      </c>
    </row>
    <row r="3661" spans="1:7" x14ac:dyDescent="0.25">
      <c r="A3661" s="6" t="s">
        <v>1084</v>
      </c>
      <c r="B3661" s="6" t="s">
        <v>1085</v>
      </c>
      <c r="C3661" s="2440">
        <v>334</v>
      </c>
      <c r="D3661" s="2440">
        <v>159745.68209961301</v>
      </c>
      <c r="E3661" s="2441">
        <v>27501.220012257701</v>
      </c>
      <c r="F3661" s="2442">
        <v>25.3725498025725</v>
      </c>
      <c r="G3661" s="2443">
        <v>3.4374506900353401</v>
      </c>
    </row>
    <row r="3662" spans="1:7" x14ac:dyDescent="0.25">
      <c r="A3662" s="11" t="s">
        <v>6417</v>
      </c>
      <c r="B3662" s="11" t="s">
        <v>6418</v>
      </c>
      <c r="C3662" s="2444">
        <v>50997</v>
      </c>
      <c r="D3662" s="2444">
        <v>24485773.7201805</v>
      </c>
      <c r="E3662" s="2445">
        <v>127740.627487734</v>
      </c>
      <c r="F3662" s="2446">
        <v>97.493167236586004</v>
      </c>
      <c r="G3662" s="2447">
        <v>0.135563259212934</v>
      </c>
    </row>
    <row r="3663" spans="1:7" x14ac:dyDescent="0.25">
      <c r="A3663" s="6" t="s">
        <v>6417</v>
      </c>
      <c r="B3663" s="6" t="s">
        <v>6419</v>
      </c>
      <c r="C3663" s="2440">
        <v>52160</v>
      </c>
      <c r="D3663" s="2440">
        <v>25115374.147975899</v>
      </c>
      <c r="E3663" s="2441">
        <v>0</v>
      </c>
      <c r="F3663" s="2442">
        <v>100</v>
      </c>
      <c r="G3663" s="2443">
        <v>0</v>
      </c>
    </row>
    <row r="3664" spans="1:7" x14ac:dyDescent="0.25">
      <c r="A3664" s="3729" t="s">
        <v>431</v>
      </c>
      <c r="B3664" s="3730"/>
      <c r="C3664" s="3730"/>
      <c r="D3664" s="3730"/>
      <c r="E3664" s="3730"/>
      <c r="F3664" s="3730"/>
      <c r="G3664" s="3730"/>
    </row>
    <row r="3665" spans="1:7" x14ac:dyDescent="0.25">
      <c r="A3665" s="11" t="s">
        <v>6722</v>
      </c>
      <c r="B3665" s="11"/>
      <c r="C3665" s="2452">
        <v>2</v>
      </c>
      <c r="D3665" s="2452">
        <v>147.956357988864</v>
      </c>
      <c r="E3665" s="2453">
        <v>104.17615969789399</v>
      </c>
      <c r="F3665" s="2454">
        <v>100</v>
      </c>
      <c r="G3665" s="2455">
        <v>0</v>
      </c>
    </row>
    <row r="3666" spans="1:7" x14ac:dyDescent="0.25">
      <c r="A3666" s="6" t="s">
        <v>1088</v>
      </c>
      <c r="B3666" s="6" t="s">
        <v>1089</v>
      </c>
      <c r="C3666" s="2448">
        <v>52226</v>
      </c>
      <c r="D3666" s="2448">
        <v>25115226.191617899</v>
      </c>
      <c r="E3666" s="2449">
        <v>111102.311601849</v>
      </c>
      <c r="F3666" s="2450">
        <v>100</v>
      </c>
      <c r="G3666" s="2451">
        <v>0</v>
      </c>
    </row>
    <row r="3667" spans="1:7" x14ac:dyDescent="0.25">
      <c r="A3667" s="11" t="s">
        <v>6417</v>
      </c>
      <c r="B3667" s="11" t="s">
        <v>6418</v>
      </c>
      <c r="C3667" s="2452">
        <v>2</v>
      </c>
      <c r="D3667" s="2452">
        <v>147.956357988864</v>
      </c>
      <c r="E3667" s="2453">
        <v>104.17615969789399</v>
      </c>
      <c r="F3667" s="2454">
        <v>5.8910672449921599E-4</v>
      </c>
      <c r="G3667" s="2455">
        <v>4.1353865700206199E-4</v>
      </c>
    </row>
    <row r="3668" spans="1:7" x14ac:dyDescent="0.25">
      <c r="A3668" s="6" t="s">
        <v>6417</v>
      </c>
      <c r="B3668" s="6" t="s">
        <v>6419</v>
      </c>
      <c r="C3668" s="2448">
        <v>52228</v>
      </c>
      <c r="D3668" s="2448">
        <v>25115374.147975899</v>
      </c>
      <c r="E3668" s="2449">
        <v>0</v>
      </c>
      <c r="F3668" s="2450">
        <v>100</v>
      </c>
      <c r="G3668" s="2451">
        <v>0</v>
      </c>
    </row>
    <row r="3669" spans="1:7" x14ac:dyDescent="0.25">
      <c r="A3669" s="3729" t="s">
        <v>232</v>
      </c>
      <c r="B3669" s="3730"/>
      <c r="C3669" s="3730"/>
      <c r="D3669" s="3730"/>
      <c r="E3669" s="3730"/>
      <c r="F3669" s="3730"/>
      <c r="G3669" s="3730"/>
    </row>
    <row r="3670" spans="1:7" x14ac:dyDescent="0.25">
      <c r="A3670" s="11" t="s">
        <v>1090</v>
      </c>
      <c r="B3670" s="11" t="s">
        <v>1288</v>
      </c>
      <c r="C3670" s="2460">
        <v>47686</v>
      </c>
      <c r="D3670" s="2460">
        <v>23376499.304632001</v>
      </c>
      <c r="E3670" s="2461">
        <v>93666.280594137803</v>
      </c>
      <c r="F3670" s="2462">
        <v>93.153578828295593</v>
      </c>
      <c r="G3670" s="2463">
        <v>0.13272733094432801</v>
      </c>
    </row>
    <row r="3671" spans="1:7" x14ac:dyDescent="0.25">
      <c r="A3671" s="6" t="s">
        <v>1094</v>
      </c>
      <c r="B3671" s="6" t="s">
        <v>1290</v>
      </c>
      <c r="C3671" s="2456">
        <v>2526</v>
      </c>
      <c r="D3671" s="2456">
        <v>1187507.47556365</v>
      </c>
      <c r="E3671" s="2457">
        <v>45151.834879985297</v>
      </c>
      <c r="F3671" s="2458">
        <v>4.7321273297832596</v>
      </c>
      <c r="G3671" s="2459">
        <v>0.174522536578927</v>
      </c>
    </row>
    <row r="3672" spans="1:7" x14ac:dyDescent="0.25">
      <c r="A3672" s="11" t="s">
        <v>1092</v>
      </c>
      <c r="B3672" s="11" t="s">
        <v>1289</v>
      </c>
      <c r="C3672" s="2460">
        <v>1919</v>
      </c>
      <c r="D3672" s="2460">
        <v>517733.48105004098</v>
      </c>
      <c r="E3672" s="2461">
        <v>25118.099633215599</v>
      </c>
      <c r="F3672" s="2462">
        <v>2.0631287007754202</v>
      </c>
      <c r="G3672" s="2463">
        <v>9.9316404291795696E-2</v>
      </c>
    </row>
    <row r="3673" spans="1:7" x14ac:dyDescent="0.25">
      <c r="A3673" s="6" t="s">
        <v>1111</v>
      </c>
      <c r="B3673" s="6" t="s">
        <v>1291</v>
      </c>
      <c r="C3673" s="2456">
        <v>35</v>
      </c>
      <c r="D3673" s="2456">
        <v>12839.6772454531</v>
      </c>
      <c r="E3673" s="2457">
        <v>5862.4117250029103</v>
      </c>
      <c r="F3673" s="2458">
        <v>5.1165141145714403E-2</v>
      </c>
      <c r="G3673" s="2459">
        <v>2.3240399397814401E-2</v>
      </c>
    </row>
    <row r="3674" spans="1:7" x14ac:dyDescent="0.25">
      <c r="A3674" s="11" t="s">
        <v>1086</v>
      </c>
      <c r="B3674" s="11" t="s">
        <v>1087</v>
      </c>
      <c r="C3674" s="2460">
        <v>35</v>
      </c>
      <c r="D3674" s="2460">
        <v>13874.075810221701</v>
      </c>
      <c r="E3674" s="2461">
        <v>4916.0985035751701</v>
      </c>
      <c r="F3674" s="2462">
        <v>66.720861980450707</v>
      </c>
      <c r="G3674" s="2463">
        <v>10.4085124565405</v>
      </c>
    </row>
    <row r="3675" spans="1:7" x14ac:dyDescent="0.25">
      <c r="A3675" s="6" t="s">
        <v>1084</v>
      </c>
      <c r="B3675" s="6" t="s">
        <v>1153</v>
      </c>
      <c r="C3675" s="2456">
        <v>27</v>
      </c>
      <c r="D3675" s="2456">
        <v>6920.1336744921</v>
      </c>
      <c r="E3675" s="2457">
        <v>1592.53401313789</v>
      </c>
      <c r="F3675" s="2458">
        <v>33.279138019549301</v>
      </c>
      <c r="G3675" s="2459">
        <v>10.4085124565404</v>
      </c>
    </row>
    <row r="3676" spans="1:7" x14ac:dyDescent="0.25">
      <c r="A3676" s="11" t="s">
        <v>6417</v>
      </c>
      <c r="B3676" s="11" t="s">
        <v>6418</v>
      </c>
      <c r="C3676" s="2460">
        <v>52166</v>
      </c>
      <c r="D3676" s="2460">
        <v>25094579.938491099</v>
      </c>
      <c r="E3676" s="2461">
        <v>109981.912894993</v>
      </c>
      <c r="F3676" s="2462">
        <v>99.917205256978505</v>
      </c>
      <c r="G3676" s="2463">
        <v>1.98483330837066E-2</v>
      </c>
    </row>
    <row r="3677" spans="1:7" x14ac:dyDescent="0.25">
      <c r="A3677" s="6" t="s">
        <v>6417</v>
      </c>
      <c r="B3677" s="6" t="s">
        <v>6419</v>
      </c>
      <c r="C3677" s="2456">
        <v>52228</v>
      </c>
      <c r="D3677" s="2456">
        <v>25115374.147975899</v>
      </c>
      <c r="E3677" s="2457">
        <v>0</v>
      </c>
      <c r="F3677" s="2458">
        <v>100</v>
      </c>
      <c r="G3677" s="2459">
        <v>0</v>
      </c>
    </row>
    <row r="3678" spans="1:7" x14ac:dyDescent="0.25">
      <c r="A3678" s="3729" t="s">
        <v>235</v>
      </c>
      <c r="B3678" s="3730"/>
      <c r="C3678" s="3730"/>
      <c r="D3678" s="3730"/>
      <c r="E3678" s="3730"/>
      <c r="F3678" s="3730"/>
      <c r="G3678" s="3730"/>
    </row>
    <row r="3679" spans="1:7" x14ac:dyDescent="0.25">
      <c r="A3679" s="11" t="s">
        <v>6723</v>
      </c>
      <c r="B3679" s="11"/>
      <c r="C3679" s="2468">
        <v>2</v>
      </c>
      <c r="D3679" s="2468">
        <v>3574.3965503785598</v>
      </c>
      <c r="E3679" s="2469">
        <v>3600.52749899836</v>
      </c>
      <c r="F3679" s="2470">
        <v>27.8386791353681</v>
      </c>
      <c r="G3679" s="2471">
        <v>27.795965295541599</v>
      </c>
    </row>
    <row r="3680" spans="1:7" x14ac:dyDescent="0.25">
      <c r="A3680" s="6" t="s">
        <v>6724</v>
      </c>
      <c r="B3680" s="6"/>
      <c r="C3680" s="2464">
        <v>1</v>
      </c>
      <c r="D3680" s="2464">
        <v>2576.2520559137702</v>
      </c>
      <c r="E3680" s="2465">
        <v>2576.5346670386898</v>
      </c>
      <c r="F3680" s="2466">
        <v>20.064772709345899</v>
      </c>
      <c r="G3680" s="2467">
        <v>24.482294335305099</v>
      </c>
    </row>
    <row r="3681" spans="1:7" x14ac:dyDescent="0.25">
      <c r="A3681" s="11" t="s">
        <v>6725</v>
      </c>
      <c r="B3681" s="11"/>
      <c r="C3681" s="2468">
        <v>1</v>
      </c>
      <c r="D3681" s="2468">
        <v>1787.1982751892799</v>
      </c>
      <c r="E3681" s="2469">
        <v>1800.26374949918</v>
      </c>
      <c r="F3681" s="2470">
        <v>13.919339567684</v>
      </c>
      <c r="G3681" s="2471">
        <v>13.8979826477708</v>
      </c>
    </row>
    <row r="3682" spans="1:7" x14ac:dyDescent="0.25">
      <c r="A3682" s="6" t="s">
        <v>6726</v>
      </c>
      <c r="B3682" s="6"/>
      <c r="C3682" s="2464">
        <v>1</v>
      </c>
      <c r="D3682" s="2464">
        <v>1337.1546718371301</v>
      </c>
      <c r="E3682" s="2465">
        <v>1351.0042427436599</v>
      </c>
      <c r="F3682" s="2466">
        <v>10.4142389740416</v>
      </c>
      <c r="G3682" s="2467">
        <v>13.0579657283969</v>
      </c>
    </row>
    <row r="3683" spans="1:7" x14ac:dyDescent="0.25">
      <c r="A3683" s="11" t="s">
        <v>6727</v>
      </c>
      <c r="B3683" s="11"/>
      <c r="C3683" s="2468">
        <v>1</v>
      </c>
      <c r="D3683" s="2468">
        <v>807.99780309951302</v>
      </c>
      <c r="E3683" s="2469">
        <v>820.630245802849</v>
      </c>
      <c r="F3683" s="2470">
        <v>6.2929759654639899</v>
      </c>
      <c r="G3683" s="2471">
        <v>8.0573209551586107</v>
      </c>
    </row>
    <row r="3684" spans="1:7" x14ac:dyDescent="0.25">
      <c r="A3684" s="6" t="s">
        <v>6728</v>
      </c>
      <c r="B3684" s="6"/>
      <c r="C3684" s="2464">
        <v>2</v>
      </c>
      <c r="D3684" s="2464">
        <v>643.63020918668997</v>
      </c>
      <c r="E3684" s="2465">
        <v>443.49264519054901</v>
      </c>
      <c r="F3684" s="2466">
        <v>5.0128223387750497</v>
      </c>
      <c r="G3684" s="2467">
        <v>3.0702197865937899</v>
      </c>
    </row>
    <row r="3685" spans="1:7" x14ac:dyDescent="0.25">
      <c r="A3685" s="11" t="s">
        <v>6729</v>
      </c>
      <c r="B3685" s="11"/>
      <c r="C3685" s="2468">
        <v>1</v>
      </c>
      <c r="D3685" s="2468">
        <v>389.65249700767799</v>
      </c>
      <c r="E3685" s="2469">
        <v>390.80325834004401</v>
      </c>
      <c r="F3685" s="2470">
        <v>3.0347530514886198</v>
      </c>
      <c r="G3685" s="2471">
        <v>4.0312451250142001</v>
      </c>
    </row>
    <row r="3686" spans="1:7" x14ac:dyDescent="0.25">
      <c r="A3686" s="6" t="s">
        <v>6730</v>
      </c>
      <c r="B3686" s="6"/>
      <c r="C3686" s="2464">
        <v>1</v>
      </c>
      <c r="D3686" s="2464">
        <v>299.31408199633103</v>
      </c>
      <c r="E3686" s="2465">
        <v>301.11057124283599</v>
      </c>
      <c r="F3686" s="2466">
        <v>2.33116515527932</v>
      </c>
      <c r="G3686" s="2467">
        <v>2.9678430588025102</v>
      </c>
    </row>
    <row r="3687" spans="1:7" x14ac:dyDescent="0.25">
      <c r="A3687" s="11" t="s">
        <v>6731</v>
      </c>
      <c r="B3687" s="11"/>
      <c r="C3687" s="2468">
        <v>2</v>
      </c>
      <c r="D3687" s="2468">
        <v>245.079659427552</v>
      </c>
      <c r="E3687" s="2469">
        <v>192.07384349424399</v>
      </c>
      <c r="F3687" s="2470">
        <v>1.9087680690287001</v>
      </c>
      <c r="G3687" s="2471">
        <v>2.09630957738118</v>
      </c>
    </row>
    <row r="3688" spans="1:7" x14ac:dyDescent="0.25">
      <c r="A3688" s="6" t="s">
        <v>6732</v>
      </c>
      <c r="B3688" s="6"/>
      <c r="C3688" s="2464">
        <v>1</v>
      </c>
      <c r="D3688" s="2464">
        <v>236.54525302597901</v>
      </c>
      <c r="E3688" s="2465">
        <v>238.352411182585</v>
      </c>
      <c r="F3688" s="2466">
        <v>1.84229905864453</v>
      </c>
      <c r="G3688" s="2467">
        <v>2.3820773642353399</v>
      </c>
    </row>
    <row r="3689" spans="1:7" x14ac:dyDescent="0.25">
      <c r="A3689" s="11" t="s">
        <v>6733</v>
      </c>
      <c r="B3689" s="11"/>
      <c r="C3689" s="2468">
        <v>1</v>
      </c>
      <c r="D3689" s="2468">
        <v>166.95141715243</v>
      </c>
      <c r="E3689" s="2469">
        <v>169.59771819670601</v>
      </c>
      <c r="F3689" s="2470">
        <v>1.30027736648561</v>
      </c>
      <c r="G3689" s="2471">
        <v>1.2967744501401799</v>
      </c>
    </row>
    <row r="3690" spans="1:7" x14ac:dyDescent="0.25">
      <c r="A3690" s="6" t="s">
        <v>6734</v>
      </c>
      <c r="B3690" s="6"/>
      <c r="C3690" s="2464">
        <v>2</v>
      </c>
      <c r="D3690" s="2464">
        <v>160.267660571844</v>
      </c>
      <c r="E3690" s="2465">
        <v>161.224579896086</v>
      </c>
      <c r="F3690" s="2466">
        <v>1.2482218790086701</v>
      </c>
      <c r="G3690" s="2467">
        <v>1.60550528819534</v>
      </c>
    </row>
    <row r="3691" spans="1:7" x14ac:dyDescent="0.25">
      <c r="A3691" s="11" t="s">
        <v>6735</v>
      </c>
      <c r="B3691" s="11"/>
      <c r="C3691" s="2468">
        <v>3</v>
      </c>
      <c r="D3691" s="2468">
        <v>131.038160213656</v>
      </c>
      <c r="E3691" s="2469">
        <v>131.028024201677</v>
      </c>
      <c r="F3691" s="2470">
        <v>1.0205720728693599</v>
      </c>
      <c r="G3691" s="2471">
        <v>1.3111604116099</v>
      </c>
    </row>
    <row r="3692" spans="1:7" x14ac:dyDescent="0.25">
      <c r="A3692" s="6" t="s">
        <v>6736</v>
      </c>
      <c r="B3692" s="6"/>
      <c r="C3692" s="2464">
        <v>2</v>
      </c>
      <c r="D3692" s="2464">
        <v>96.842941955704902</v>
      </c>
      <c r="E3692" s="2465">
        <v>62.796748402801803</v>
      </c>
      <c r="F3692" s="2466">
        <v>0.75424747915684298</v>
      </c>
      <c r="G3692" s="2467">
        <v>0.75165902572399301</v>
      </c>
    </row>
    <row r="3693" spans="1:7" x14ac:dyDescent="0.25">
      <c r="A3693" s="11" t="s">
        <v>6737</v>
      </c>
      <c r="B3693" s="11"/>
      <c r="C3693" s="2468">
        <v>1</v>
      </c>
      <c r="D3693" s="2468">
        <v>76.187553398466605</v>
      </c>
      <c r="E3693" s="2469">
        <v>76.357691703736904</v>
      </c>
      <c r="F3693" s="2470">
        <v>0.59337592325731403</v>
      </c>
      <c r="G3693" s="2471">
        <v>0.59608510389033298</v>
      </c>
    </row>
    <row r="3694" spans="1:7" x14ac:dyDescent="0.25">
      <c r="A3694" s="6" t="s">
        <v>6738</v>
      </c>
      <c r="B3694" s="6"/>
      <c r="C3694" s="2464">
        <v>1</v>
      </c>
      <c r="D3694" s="2464">
        <v>67.005620356670093</v>
      </c>
      <c r="E3694" s="2465">
        <v>66.929843145357594</v>
      </c>
      <c r="F3694" s="2466">
        <v>0.52186374373544797</v>
      </c>
      <c r="G3694" s="2467">
        <v>0.67189204626705401</v>
      </c>
    </row>
    <row r="3695" spans="1:7" x14ac:dyDescent="0.25">
      <c r="A3695" s="11" t="s">
        <v>6739</v>
      </c>
      <c r="B3695" s="11"/>
      <c r="C3695" s="2468">
        <v>1</v>
      </c>
      <c r="D3695" s="2468">
        <v>65.810363626570705</v>
      </c>
      <c r="E3695" s="2469">
        <v>65.586880785706697</v>
      </c>
      <c r="F3695" s="2470">
        <v>0.512554656698057</v>
      </c>
      <c r="G3695" s="2471">
        <v>0.65014322613480702</v>
      </c>
    </row>
    <row r="3696" spans="1:7" x14ac:dyDescent="0.25">
      <c r="A3696" s="6" t="s">
        <v>6740</v>
      </c>
      <c r="B3696" s="6"/>
      <c r="C3696" s="2464">
        <v>1</v>
      </c>
      <c r="D3696" s="2464">
        <v>65.810363626570705</v>
      </c>
      <c r="E3696" s="2465">
        <v>65.586880785706697</v>
      </c>
      <c r="F3696" s="2466">
        <v>0.512554656698057</v>
      </c>
      <c r="G3696" s="2467">
        <v>0.65014322613480702</v>
      </c>
    </row>
    <row r="3697" spans="1:7" x14ac:dyDescent="0.25">
      <c r="A3697" s="11" t="s">
        <v>6741</v>
      </c>
      <c r="B3697" s="11"/>
      <c r="C3697" s="2468">
        <v>1</v>
      </c>
      <c r="D3697" s="2468">
        <v>63.273854116084799</v>
      </c>
      <c r="E3697" s="2469">
        <v>63.808517443642401</v>
      </c>
      <c r="F3697" s="2470">
        <v>0.49279941315107301</v>
      </c>
      <c r="G3697" s="2471">
        <v>0.65174994744900805</v>
      </c>
    </row>
    <row r="3698" spans="1:7" x14ac:dyDescent="0.25">
      <c r="A3698" s="6" t="s">
        <v>6742</v>
      </c>
      <c r="B3698" s="6"/>
      <c r="C3698" s="2464">
        <v>1</v>
      </c>
      <c r="D3698" s="2464">
        <v>49.268253372629502</v>
      </c>
      <c r="E3698" s="2465">
        <v>49.278566392374302</v>
      </c>
      <c r="F3698" s="2466">
        <v>0.38371878381971603</v>
      </c>
      <c r="G3698" s="2467">
        <v>0.38563379651284102</v>
      </c>
    </row>
    <row r="3699" spans="1:7" x14ac:dyDescent="0.25">
      <c r="A3699" s="11" t="s">
        <v>1088</v>
      </c>
      <c r="B3699" s="11" t="s">
        <v>1089</v>
      </c>
      <c r="C3699" s="2468">
        <v>52193</v>
      </c>
      <c r="D3699" s="2468">
        <v>25102534.470730402</v>
      </c>
      <c r="E3699" s="2469">
        <v>107185.354945699</v>
      </c>
      <c r="F3699" s="2470">
        <v>100</v>
      </c>
      <c r="G3699" s="2471">
        <v>0</v>
      </c>
    </row>
    <row r="3700" spans="1:7" x14ac:dyDescent="0.25">
      <c r="A3700" s="6" t="s">
        <v>6417</v>
      </c>
      <c r="B3700" s="6" t="s">
        <v>6418</v>
      </c>
      <c r="C3700" s="2464">
        <v>27</v>
      </c>
      <c r="D3700" s="2464">
        <v>12839.6772454531</v>
      </c>
      <c r="E3700" s="2465">
        <v>5862.4117250029103</v>
      </c>
      <c r="F3700" s="2466">
        <v>5.1122779098586098E-2</v>
      </c>
      <c r="G3700" s="2467">
        <v>2.3217024089499098E-2</v>
      </c>
    </row>
    <row r="3701" spans="1:7" x14ac:dyDescent="0.25">
      <c r="A3701" s="11" t="s">
        <v>6417</v>
      </c>
      <c r="B3701" s="11" t="s">
        <v>6419</v>
      </c>
      <c r="C3701" s="2468">
        <v>52220</v>
      </c>
      <c r="D3701" s="2468">
        <v>25115374.147975899</v>
      </c>
      <c r="E3701" s="2469">
        <v>0</v>
      </c>
      <c r="F3701" s="2470">
        <v>100</v>
      </c>
      <c r="G3701" s="2471">
        <v>0</v>
      </c>
    </row>
    <row r="3702" spans="1:7" x14ac:dyDescent="0.25">
      <c r="A3702" s="3729" t="s">
        <v>903</v>
      </c>
      <c r="B3702" s="3730"/>
      <c r="C3702" s="3730"/>
      <c r="D3702" s="3730"/>
      <c r="E3702" s="3730"/>
      <c r="F3702" s="3730"/>
      <c r="G3702" s="3730"/>
    </row>
    <row r="3703" spans="1:7" x14ac:dyDescent="0.25">
      <c r="A3703" s="11" t="s">
        <v>1090</v>
      </c>
      <c r="B3703" s="11" t="s">
        <v>6260</v>
      </c>
      <c r="C3703" s="2476">
        <v>27530</v>
      </c>
      <c r="D3703" s="2476">
        <v>14587524.9431169</v>
      </c>
      <c r="E3703" s="2477">
        <v>138642.17701446699</v>
      </c>
      <c r="F3703" s="2478">
        <v>58.155636308167999</v>
      </c>
      <c r="G3703" s="2479">
        <v>0.52983594321268501</v>
      </c>
    </row>
    <row r="3704" spans="1:7" x14ac:dyDescent="0.25">
      <c r="A3704" s="6" t="s">
        <v>1094</v>
      </c>
      <c r="B3704" s="6" t="s">
        <v>6262</v>
      </c>
      <c r="C3704" s="2472">
        <v>10603</v>
      </c>
      <c r="D3704" s="2472">
        <v>5111116.1121151904</v>
      </c>
      <c r="E3704" s="2473">
        <v>75254.058183385205</v>
      </c>
      <c r="F3704" s="2474">
        <v>20.376329151384901</v>
      </c>
      <c r="G3704" s="2475">
        <v>0.25917810746799402</v>
      </c>
    </row>
    <row r="3705" spans="1:7" x14ac:dyDescent="0.25">
      <c r="A3705" s="11" t="s">
        <v>1096</v>
      </c>
      <c r="B3705" s="11" t="s">
        <v>6263</v>
      </c>
      <c r="C3705" s="2476">
        <v>8674</v>
      </c>
      <c r="D3705" s="2476">
        <v>2995157.6342744399</v>
      </c>
      <c r="E3705" s="2477">
        <v>79774.324320428306</v>
      </c>
      <c r="F3705" s="2478">
        <v>11.940702671887101</v>
      </c>
      <c r="G3705" s="2479">
        <v>0.296458739352987</v>
      </c>
    </row>
    <row r="3706" spans="1:7" x14ac:dyDescent="0.25">
      <c r="A3706" s="6" t="s">
        <v>1092</v>
      </c>
      <c r="B3706" s="6" t="s">
        <v>6261</v>
      </c>
      <c r="C3706" s="2472">
        <v>2357</v>
      </c>
      <c r="D3706" s="2472">
        <v>1383070.2757737599</v>
      </c>
      <c r="E3706" s="2473">
        <v>66365.533060981703</v>
      </c>
      <c r="F3706" s="2474">
        <v>5.5138436616342101</v>
      </c>
      <c r="G3706" s="2475">
        <v>0.27219798357401298</v>
      </c>
    </row>
    <row r="3707" spans="1:7" x14ac:dyDescent="0.25">
      <c r="A3707" s="11" t="s">
        <v>1109</v>
      </c>
      <c r="B3707" s="11" t="s">
        <v>6266</v>
      </c>
      <c r="C3707" s="2476">
        <v>1961</v>
      </c>
      <c r="D3707" s="2476">
        <v>684323.68029601895</v>
      </c>
      <c r="E3707" s="2477">
        <v>43232.551697488903</v>
      </c>
      <c r="F3707" s="2478">
        <v>2.72817213499542</v>
      </c>
      <c r="G3707" s="2479">
        <v>0.17155735887508999</v>
      </c>
    </row>
    <row r="3708" spans="1:7" x14ac:dyDescent="0.25">
      <c r="A3708" s="6" t="s">
        <v>1100</v>
      </c>
      <c r="B3708" s="6" t="s">
        <v>6265</v>
      </c>
      <c r="C3708" s="2472">
        <v>640</v>
      </c>
      <c r="D3708" s="2472">
        <v>182363.05667608499</v>
      </c>
      <c r="E3708" s="2473">
        <v>18307.831821126401</v>
      </c>
      <c r="F3708" s="2474">
        <v>0.72702118018343798</v>
      </c>
      <c r="G3708" s="2475">
        <v>7.3707166567233903E-2</v>
      </c>
    </row>
    <row r="3709" spans="1:7" x14ac:dyDescent="0.25">
      <c r="A3709" s="11" t="s">
        <v>1098</v>
      </c>
      <c r="B3709" s="11" t="s">
        <v>6264</v>
      </c>
      <c r="C3709" s="2476">
        <v>252</v>
      </c>
      <c r="D3709" s="2476">
        <v>109752.50386131</v>
      </c>
      <c r="E3709" s="2477">
        <v>17187.070136954699</v>
      </c>
      <c r="F3709" s="2478">
        <v>0.43754692611379697</v>
      </c>
      <c r="G3709" s="2479">
        <v>6.8620256342826397E-2</v>
      </c>
    </row>
    <row r="3710" spans="1:7" x14ac:dyDescent="0.25">
      <c r="A3710" s="6" t="s">
        <v>1111</v>
      </c>
      <c r="B3710" s="6" t="s">
        <v>6211</v>
      </c>
      <c r="C3710" s="2472">
        <v>149</v>
      </c>
      <c r="D3710" s="2472">
        <v>30287.932044446799</v>
      </c>
      <c r="E3710" s="2473">
        <v>6323.1865378990697</v>
      </c>
      <c r="F3710" s="2474">
        <v>0.12074796563309199</v>
      </c>
      <c r="G3710" s="2475">
        <v>2.4976716346318401E-2</v>
      </c>
    </row>
    <row r="3711" spans="1:7" x14ac:dyDescent="0.25">
      <c r="A3711" s="11" t="s">
        <v>1086</v>
      </c>
      <c r="B3711" s="11" t="s">
        <v>1147</v>
      </c>
      <c r="C3711" s="2476">
        <v>39</v>
      </c>
      <c r="D3711" s="2476">
        <v>26038.748892484899</v>
      </c>
      <c r="E3711" s="2477">
        <v>13028.476839011701</v>
      </c>
      <c r="F3711" s="2478">
        <v>81.9395205736311</v>
      </c>
      <c r="G3711" s="2479">
        <v>14.401509678259499</v>
      </c>
    </row>
    <row r="3712" spans="1:7" x14ac:dyDescent="0.25">
      <c r="A3712" s="6" t="s">
        <v>1084</v>
      </c>
      <c r="B3712" s="6" t="s">
        <v>1153</v>
      </c>
      <c r="C3712" s="2472">
        <v>23</v>
      </c>
      <c r="D3712" s="2472">
        <v>5739.2609252396196</v>
      </c>
      <c r="E3712" s="2473">
        <v>1873.69963886557</v>
      </c>
      <c r="F3712" s="2474">
        <v>18.0604794263689</v>
      </c>
      <c r="G3712" s="2475">
        <v>14.401509678259499</v>
      </c>
    </row>
    <row r="3713" spans="1:7" x14ac:dyDescent="0.25">
      <c r="A3713" s="11" t="s">
        <v>6417</v>
      </c>
      <c r="B3713" s="11" t="s">
        <v>6418</v>
      </c>
      <c r="C3713" s="2476">
        <v>52166</v>
      </c>
      <c r="D3713" s="2476">
        <v>25083596.138158198</v>
      </c>
      <c r="E3713" s="2477">
        <v>111984.342257499</v>
      </c>
      <c r="F3713" s="2478">
        <v>99.873471883673702</v>
      </c>
      <c r="G3713" s="2479">
        <v>5.0297778432062699E-2</v>
      </c>
    </row>
    <row r="3714" spans="1:7" x14ac:dyDescent="0.25">
      <c r="A3714" s="6" t="s">
        <v>6417</v>
      </c>
      <c r="B3714" s="6" t="s">
        <v>6419</v>
      </c>
      <c r="C3714" s="2472">
        <v>52228</v>
      </c>
      <c r="D3714" s="2472">
        <v>25115374.147975899</v>
      </c>
      <c r="E3714" s="2473">
        <v>0</v>
      </c>
      <c r="F3714" s="2474">
        <v>100</v>
      </c>
      <c r="G3714" s="2475">
        <v>0</v>
      </c>
    </row>
    <row r="3715" spans="1:7" x14ac:dyDescent="0.25">
      <c r="A3715" s="3729" t="s">
        <v>900</v>
      </c>
      <c r="B3715" s="3730"/>
      <c r="C3715" s="3730"/>
      <c r="D3715" s="3730"/>
      <c r="E3715" s="3730"/>
      <c r="F3715" s="3730"/>
      <c r="G3715" s="3730"/>
    </row>
    <row r="3716" spans="1:7" x14ac:dyDescent="0.25">
      <c r="A3716" s="11" t="s">
        <v>6743</v>
      </c>
      <c r="B3716" s="11"/>
      <c r="C3716" s="2484">
        <v>92</v>
      </c>
      <c r="D3716" s="2484">
        <v>15342.584793341</v>
      </c>
      <c r="E3716" s="2485">
        <v>5683.3637533331903</v>
      </c>
      <c r="F3716" s="2486">
        <v>58.849379180485101</v>
      </c>
      <c r="G3716" s="2487">
        <v>11.903652689675599</v>
      </c>
    </row>
    <row r="3717" spans="1:7" x14ac:dyDescent="0.25">
      <c r="A3717" s="6" t="s">
        <v>6744</v>
      </c>
      <c r="B3717" s="6"/>
      <c r="C3717" s="2480">
        <v>17</v>
      </c>
      <c r="D3717" s="2480">
        <v>5363.7244412009804</v>
      </c>
      <c r="E3717" s="2481">
        <v>1491.8279241917401</v>
      </c>
      <c r="F3717" s="2482">
        <v>20.5735772499606</v>
      </c>
      <c r="G3717" s="2483">
        <v>6.2869758608065904</v>
      </c>
    </row>
    <row r="3718" spans="1:7" x14ac:dyDescent="0.25">
      <c r="A3718" s="11" t="s">
        <v>6745</v>
      </c>
      <c r="B3718" s="11"/>
      <c r="C3718" s="2484">
        <v>10</v>
      </c>
      <c r="D3718" s="2484">
        <v>2347.3312122962402</v>
      </c>
      <c r="E3718" s="2485">
        <v>1639.6659941831499</v>
      </c>
      <c r="F3718" s="2486">
        <v>9.0036318153225707</v>
      </c>
      <c r="G3718" s="2487">
        <v>6.8435831834542</v>
      </c>
    </row>
    <row r="3719" spans="1:7" x14ac:dyDescent="0.25">
      <c r="A3719" s="6" t="s">
        <v>6746</v>
      </c>
      <c r="B3719" s="6"/>
      <c r="C3719" s="2480">
        <v>12</v>
      </c>
      <c r="D3719" s="2480">
        <v>1367.3225416369601</v>
      </c>
      <c r="E3719" s="2481">
        <v>583.93992074589005</v>
      </c>
      <c r="F3719" s="2482">
        <v>5.2446236275482301</v>
      </c>
      <c r="G3719" s="2483">
        <v>2.28822129747785</v>
      </c>
    </row>
    <row r="3720" spans="1:7" x14ac:dyDescent="0.25">
      <c r="A3720" s="11" t="s">
        <v>6747</v>
      </c>
      <c r="B3720" s="11"/>
      <c r="C3720" s="2484">
        <v>5</v>
      </c>
      <c r="D3720" s="2484">
        <v>1285.2382411158001</v>
      </c>
      <c r="E3720" s="2485">
        <v>1015.95916907546</v>
      </c>
      <c r="F3720" s="2486">
        <v>4.9297738032714697</v>
      </c>
      <c r="G3720" s="2487">
        <v>3.8552758755949901</v>
      </c>
    </row>
    <row r="3721" spans="1:7" x14ac:dyDescent="0.25">
      <c r="A3721" s="6" t="s">
        <v>6748</v>
      </c>
      <c r="B3721" s="6"/>
      <c r="C3721" s="2480">
        <v>1</v>
      </c>
      <c r="D3721" s="2480">
        <v>190.844289902589</v>
      </c>
      <c r="E3721" s="2481">
        <v>191.68306305290801</v>
      </c>
      <c r="F3721" s="2482">
        <v>0.73201928698366503</v>
      </c>
      <c r="G3721" s="2483">
        <v>0.77157023519753998</v>
      </c>
    </row>
    <row r="3722" spans="1:7" x14ac:dyDescent="0.25">
      <c r="A3722" s="11" t="s">
        <v>6749</v>
      </c>
      <c r="B3722" s="11"/>
      <c r="C3722" s="2484">
        <v>2</v>
      </c>
      <c r="D3722" s="2484">
        <v>173.89185825994801</v>
      </c>
      <c r="E3722" s="2485">
        <v>174.70050357107701</v>
      </c>
      <c r="F3722" s="2486">
        <v>0.66699503642830704</v>
      </c>
      <c r="G3722" s="2487">
        <v>0.71289032337218405</v>
      </c>
    </row>
    <row r="3723" spans="1:7" x14ac:dyDescent="0.25">
      <c r="A3723" s="6" t="s">
        <v>1088</v>
      </c>
      <c r="B3723" s="6" t="s">
        <v>1089</v>
      </c>
      <c r="C3723" s="2480">
        <v>52079</v>
      </c>
      <c r="D3723" s="2480">
        <v>25085086.215931401</v>
      </c>
      <c r="E3723" s="2481">
        <v>107975.319238675</v>
      </c>
      <c r="F3723" s="2482">
        <v>99.983192061448307</v>
      </c>
      <c r="G3723" s="2483">
        <v>8.6911669741798307E-3</v>
      </c>
    </row>
    <row r="3724" spans="1:7" x14ac:dyDescent="0.25">
      <c r="A3724" s="11" t="s">
        <v>1102</v>
      </c>
      <c r="B3724" s="11"/>
      <c r="C3724" s="2484">
        <v>8</v>
      </c>
      <c r="D3724" s="2484">
        <v>4216.9946666932801</v>
      </c>
      <c r="E3724" s="2485">
        <v>2183.5600446572398</v>
      </c>
      <c r="F3724" s="2486">
        <v>1.68079385517249E-2</v>
      </c>
      <c r="G3724" s="2487">
        <v>8.6911669741878E-3</v>
      </c>
    </row>
    <row r="3725" spans="1:7" x14ac:dyDescent="0.25">
      <c r="A3725" s="6" t="s">
        <v>6417</v>
      </c>
      <c r="B3725" s="6" t="s">
        <v>6418</v>
      </c>
      <c r="C3725" s="2480">
        <v>139</v>
      </c>
      <c r="D3725" s="2480">
        <v>26070.9373777535</v>
      </c>
      <c r="E3725" s="2481">
        <v>6229.7718986837599</v>
      </c>
      <c r="F3725" s="2482">
        <v>0.103804694384195</v>
      </c>
      <c r="G3725" s="2483">
        <v>2.4664085837850399E-2</v>
      </c>
    </row>
    <row r="3726" spans="1:7" x14ac:dyDescent="0.25">
      <c r="A3726" s="11" t="s">
        <v>6417</v>
      </c>
      <c r="B3726" s="11" t="s">
        <v>6419</v>
      </c>
      <c r="C3726" s="2484">
        <v>52226</v>
      </c>
      <c r="D3726" s="2484">
        <v>25115374.147975899</v>
      </c>
      <c r="E3726" s="2485">
        <v>0</v>
      </c>
      <c r="F3726" s="2486">
        <v>100</v>
      </c>
      <c r="G3726" s="2487">
        <v>0</v>
      </c>
    </row>
    <row r="3727" spans="1:7" x14ac:dyDescent="0.25">
      <c r="A3727" s="3729" t="s">
        <v>966</v>
      </c>
      <c r="B3727" s="3730"/>
      <c r="C3727" s="3730"/>
      <c r="D3727" s="3730"/>
      <c r="E3727" s="3730"/>
      <c r="F3727" s="3730"/>
      <c r="G3727" s="3730"/>
    </row>
    <row r="3728" spans="1:7" x14ac:dyDescent="0.25">
      <c r="A3728" s="11" t="s">
        <v>1090</v>
      </c>
      <c r="B3728" s="11" t="s">
        <v>3136</v>
      </c>
      <c r="C3728" s="2492">
        <v>31070</v>
      </c>
      <c r="D3728" s="2492">
        <v>13377753.395263299</v>
      </c>
      <c r="E3728" s="2493">
        <v>109630.93349353901</v>
      </c>
      <c r="F3728" s="2494">
        <v>53.358384423514302</v>
      </c>
      <c r="G3728" s="2495">
        <v>0.36679317926488397</v>
      </c>
    </row>
    <row r="3729" spans="1:7" x14ac:dyDescent="0.25">
      <c r="A3729" s="6" t="s">
        <v>1092</v>
      </c>
      <c r="B3729" s="6" t="s">
        <v>3137</v>
      </c>
      <c r="C3729" s="2488">
        <v>16911</v>
      </c>
      <c r="D3729" s="2488">
        <v>8252915.6719358899</v>
      </c>
      <c r="E3729" s="2489">
        <v>125930.33088461999</v>
      </c>
      <c r="F3729" s="2490">
        <v>32.917503711342199</v>
      </c>
      <c r="G3729" s="2491">
        <v>0.51922182512918402</v>
      </c>
    </row>
    <row r="3730" spans="1:7" x14ac:dyDescent="0.25">
      <c r="A3730" s="11" t="s">
        <v>1094</v>
      </c>
      <c r="B3730" s="11" t="s">
        <v>3138</v>
      </c>
      <c r="C3730" s="2492">
        <v>2305</v>
      </c>
      <c r="D3730" s="2492">
        <v>1956111.8404264399</v>
      </c>
      <c r="E3730" s="2493">
        <v>40935.762727273999</v>
      </c>
      <c r="F3730" s="2494">
        <v>7.8021297353125201</v>
      </c>
      <c r="G3730" s="2495">
        <v>0.155459898231354</v>
      </c>
    </row>
    <row r="3731" spans="1:7" x14ac:dyDescent="0.25">
      <c r="A3731" s="6" t="s">
        <v>1096</v>
      </c>
      <c r="B3731" s="6" t="s">
        <v>3139</v>
      </c>
      <c r="C3731" s="2488">
        <v>586</v>
      </c>
      <c r="D3731" s="2488">
        <v>760475.49202067498</v>
      </c>
      <c r="E3731" s="2489">
        <v>49845.4345695706</v>
      </c>
      <c r="F3731" s="2490">
        <v>3.0332255685224201</v>
      </c>
      <c r="G3731" s="2491">
        <v>0.18953317492584601</v>
      </c>
    </row>
    <row r="3732" spans="1:7" x14ac:dyDescent="0.25">
      <c r="A3732" s="11" t="s">
        <v>1111</v>
      </c>
      <c r="B3732" s="11" t="s">
        <v>6271</v>
      </c>
      <c r="C3732" s="2492">
        <v>1079</v>
      </c>
      <c r="D3732" s="2492">
        <v>508730.46641663997</v>
      </c>
      <c r="E3732" s="2493">
        <v>37528.119859305902</v>
      </c>
      <c r="F3732" s="2494">
        <v>2.02911766968466</v>
      </c>
      <c r="G3732" s="2495">
        <v>0.154654598387508</v>
      </c>
    </row>
    <row r="3733" spans="1:7" x14ac:dyDescent="0.25">
      <c r="A3733" s="6" t="s">
        <v>1098</v>
      </c>
      <c r="B3733" s="6" t="s">
        <v>3140</v>
      </c>
      <c r="C3733" s="2488">
        <v>134</v>
      </c>
      <c r="D3733" s="2488">
        <v>149228.007508432</v>
      </c>
      <c r="E3733" s="2489">
        <v>33818.830992060903</v>
      </c>
      <c r="F3733" s="2490">
        <v>0.59520946126943097</v>
      </c>
      <c r="G3733" s="2491">
        <v>0.133826733026297</v>
      </c>
    </row>
    <row r="3734" spans="1:7" x14ac:dyDescent="0.25">
      <c r="A3734" s="11" t="s">
        <v>1100</v>
      </c>
      <c r="B3734" s="11" t="s">
        <v>3141</v>
      </c>
      <c r="C3734" s="2492">
        <v>36</v>
      </c>
      <c r="D3734" s="2492">
        <v>52686.124395810701</v>
      </c>
      <c r="E3734" s="2493">
        <v>13371.298710736801</v>
      </c>
      <c r="F3734" s="2494">
        <v>0.21014339225987999</v>
      </c>
      <c r="G3734" s="2495">
        <v>5.2997072488219499E-2</v>
      </c>
    </row>
    <row r="3735" spans="1:7" x14ac:dyDescent="0.25">
      <c r="A3735" s="6" t="s">
        <v>1109</v>
      </c>
      <c r="B3735" s="6" t="s">
        <v>3142</v>
      </c>
      <c r="C3735" s="2488">
        <v>11</v>
      </c>
      <c r="D3735" s="2488">
        <v>6682.0784393550102</v>
      </c>
      <c r="E3735" s="2489">
        <v>4542.6788822601902</v>
      </c>
      <c r="F3735" s="2490">
        <v>2.6652076741183101E-2</v>
      </c>
      <c r="G3735" s="2491">
        <v>1.8149236938447201E-2</v>
      </c>
    </row>
    <row r="3736" spans="1:7" x14ac:dyDescent="0.25">
      <c r="A3736" s="11" t="s">
        <v>1121</v>
      </c>
      <c r="B3736" s="11" t="s">
        <v>3144</v>
      </c>
      <c r="C3736" s="2492">
        <v>1</v>
      </c>
      <c r="D3736" s="2492">
        <v>4301.31499145204</v>
      </c>
      <c r="E3736" s="2493">
        <v>4359.0723399224798</v>
      </c>
      <c r="F3736" s="2494">
        <v>1.7156185501355298E-2</v>
      </c>
      <c r="G3736" s="2495">
        <v>1.7380696370037599E-2</v>
      </c>
    </row>
    <row r="3737" spans="1:7" x14ac:dyDescent="0.25">
      <c r="A3737" s="6" t="s">
        <v>1119</v>
      </c>
      <c r="B3737" s="6" t="s">
        <v>3143</v>
      </c>
      <c r="C3737" s="2488">
        <v>3</v>
      </c>
      <c r="D3737" s="2488">
        <v>2626.9367596931402</v>
      </c>
      <c r="E3737" s="2489">
        <v>2644.61729675692</v>
      </c>
      <c r="F3737" s="2490">
        <v>1.04777758520797E-2</v>
      </c>
      <c r="G3737" s="2491">
        <v>1.05516487236308E-2</v>
      </c>
    </row>
    <row r="3738" spans="1:7" x14ac:dyDescent="0.25">
      <c r="A3738" s="11" t="s">
        <v>1086</v>
      </c>
      <c r="B3738" s="11" t="s">
        <v>1087</v>
      </c>
      <c r="C3738" s="2492">
        <v>49</v>
      </c>
      <c r="D3738" s="2492">
        <v>26130.054176850001</v>
      </c>
      <c r="E3738" s="2493">
        <v>6268.5279420367797</v>
      </c>
      <c r="F3738" s="2494">
        <v>59.572216937090403</v>
      </c>
      <c r="G3738" s="2495">
        <v>9.9492754065861106</v>
      </c>
    </row>
    <row r="3739" spans="1:7" x14ac:dyDescent="0.25">
      <c r="A3739" s="6" t="s">
        <v>1084</v>
      </c>
      <c r="B3739" s="6" t="s">
        <v>1085</v>
      </c>
      <c r="C3739" s="2488">
        <v>43</v>
      </c>
      <c r="D3739" s="2488">
        <v>17732.765641394999</v>
      </c>
      <c r="E3739" s="2489">
        <v>5784.5739413068204</v>
      </c>
      <c r="F3739" s="2490">
        <v>40.427783062909597</v>
      </c>
      <c r="G3739" s="2491">
        <v>9.9492754065861195</v>
      </c>
    </row>
    <row r="3740" spans="1:7" x14ac:dyDescent="0.25">
      <c r="A3740" s="11" t="s">
        <v>6417</v>
      </c>
      <c r="B3740" s="11" t="s">
        <v>6418</v>
      </c>
      <c r="C3740" s="2492">
        <v>52136</v>
      </c>
      <c r="D3740" s="2492">
        <v>25071511.328157701</v>
      </c>
      <c r="E3740" s="2493">
        <v>111913.224811584</v>
      </c>
      <c r="F3740" s="2494">
        <v>99.8253547028214</v>
      </c>
      <c r="G3740" s="2495">
        <v>3.4546942545568803E-2</v>
      </c>
    </row>
    <row r="3741" spans="1:7" x14ac:dyDescent="0.25">
      <c r="A3741" s="6" t="s">
        <v>6417</v>
      </c>
      <c r="B3741" s="6" t="s">
        <v>6419</v>
      </c>
      <c r="C3741" s="2488">
        <v>52228</v>
      </c>
      <c r="D3741" s="2488">
        <v>25115374.147975899</v>
      </c>
      <c r="E3741" s="2489">
        <v>0</v>
      </c>
      <c r="F3741" s="2490">
        <v>100</v>
      </c>
      <c r="G3741" s="2491">
        <v>0</v>
      </c>
    </row>
    <row r="3742" spans="1:7" x14ac:dyDescent="0.25">
      <c r="A3742" s="3729" t="s">
        <v>471</v>
      </c>
      <c r="B3742" s="3730"/>
      <c r="C3742" s="3730"/>
      <c r="D3742" s="3730"/>
      <c r="E3742" s="3730"/>
      <c r="F3742" s="3730"/>
      <c r="G3742" s="3730"/>
    </row>
    <row r="3743" spans="1:7" x14ac:dyDescent="0.25">
      <c r="A3743" s="11" t="s">
        <v>1286</v>
      </c>
      <c r="B3743" s="11" t="s">
        <v>1153</v>
      </c>
      <c r="C3743" s="2500">
        <v>7009</v>
      </c>
      <c r="D3743" s="2500">
        <v>4060782.9985097898</v>
      </c>
      <c r="E3743" s="2501">
        <v>136199.06371243499</v>
      </c>
      <c r="F3743" s="2502">
        <v>75.566138151430494</v>
      </c>
      <c r="G3743" s="2503">
        <v>1.2815882948746999</v>
      </c>
    </row>
    <row r="3744" spans="1:7" x14ac:dyDescent="0.25">
      <c r="A3744" s="6" t="s">
        <v>1287</v>
      </c>
      <c r="B3744" s="6" t="s">
        <v>1087</v>
      </c>
      <c r="C3744" s="2496">
        <v>1862</v>
      </c>
      <c r="D3744" s="2496">
        <v>1300846.4662345899</v>
      </c>
      <c r="E3744" s="2497">
        <v>71038.691989241299</v>
      </c>
      <c r="F3744" s="2498">
        <v>24.207140302093698</v>
      </c>
      <c r="G3744" s="2499">
        <v>1.2857430975821</v>
      </c>
    </row>
    <row r="3745" spans="1:7" x14ac:dyDescent="0.25">
      <c r="A3745" s="11" t="s">
        <v>1084</v>
      </c>
      <c r="B3745" s="11" t="s">
        <v>1153</v>
      </c>
      <c r="C3745" s="2500">
        <v>14</v>
      </c>
      <c r="D3745" s="2500">
        <v>7113.7048257998804</v>
      </c>
      <c r="E3745" s="2501">
        <v>4142.7875775060202</v>
      </c>
      <c r="F3745" s="2502">
        <v>0.13237722917776201</v>
      </c>
      <c r="G3745" s="2503">
        <v>7.7678630437463606E-2</v>
      </c>
    </row>
    <row r="3746" spans="1:7" x14ac:dyDescent="0.25">
      <c r="A3746" s="6" t="s">
        <v>1086</v>
      </c>
      <c r="B3746" s="6" t="s">
        <v>1087</v>
      </c>
      <c r="C3746" s="2496">
        <v>15</v>
      </c>
      <c r="D3746" s="2496">
        <v>3469.2248912073801</v>
      </c>
      <c r="E3746" s="2497">
        <v>1349.03758574418</v>
      </c>
      <c r="F3746" s="2498">
        <v>6.4557975026876199E-2</v>
      </c>
      <c r="G3746" s="2499">
        <v>2.56300550080471E-2</v>
      </c>
    </row>
    <row r="3747" spans="1:7" x14ac:dyDescent="0.25">
      <c r="A3747" s="11" t="s">
        <v>1102</v>
      </c>
      <c r="B3747" s="11" t="s">
        <v>1103</v>
      </c>
      <c r="C3747" s="2500">
        <v>3</v>
      </c>
      <c r="D3747" s="2500">
        <v>1600.66235011561</v>
      </c>
      <c r="E3747" s="2501">
        <v>1614.64106489285</v>
      </c>
      <c r="F3747" s="2502">
        <v>2.9786342271187E-2</v>
      </c>
      <c r="G3747" s="2503">
        <v>3.0133220088374501E-2</v>
      </c>
    </row>
    <row r="3748" spans="1:7" x14ac:dyDescent="0.25">
      <c r="A3748" s="6" t="s">
        <v>6417</v>
      </c>
      <c r="B3748" s="6" t="s">
        <v>6418</v>
      </c>
      <c r="C3748" s="2496">
        <v>36714</v>
      </c>
      <c r="D3748" s="2496">
        <v>19741561.091164399</v>
      </c>
      <c r="E3748" s="2497">
        <v>122545.397327971</v>
      </c>
      <c r="F3748" s="2498">
        <v>78.603491928291305</v>
      </c>
      <c r="G3748" s="2499">
        <v>0.50326636547612802</v>
      </c>
    </row>
    <row r="3749" spans="1:7" x14ac:dyDescent="0.25">
      <c r="A3749" s="11" t="s">
        <v>6417</v>
      </c>
      <c r="B3749" s="11" t="s">
        <v>6419</v>
      </c>
      <c r="C3749" s="2500">
        <v>45617</v>
      </c>
      <c r="D3749" s="2500">
        <v>25115374.147975899</v>
      </c>
      <c r="E3749" s="2501">
        <v>0</v>
      </c>
      <c r="F3749" s="2502">
        <v>100</v>
      </c>
      <c r="G3749" s="2503">
        <v>0</v>
      </c>
    </row>
    <row r="3750" spans="1:7" x14ac:dyDescent="0.25">
      <c r="A3750" s="3729" t="s">
        <v>459</v>
      </c>
      <c r="B3750" s="3730"/>
      <c r="C3750" s="3730"/>
      <c r="D3750" s="3730"/>
      <c r="E3750" s="3730"/>
      <c r="F3750" s="3730"/>
      <c r="G3750" s="3730"/>
    </row>
    <row r="3751" spans="1:7" x14ac:dyDescent="0.25">
      <c r="A3751" s="11" t="s">
        <v>1088</v>
      </c>
      <c r="B3751" s="11" t="s">
        <v>1089</v>
      </c>
      <c r="C3751" s="2508">
        <v>8903</v>
      </c>
      <c r="D3751" s="2508">
        <v>5373813.0568115301</v>
      </c>
      <c r="E3751" s="2509">
        <v>137346.496531891</v>
      </c>
      <c r="F3751" s="2510">
        <v>73.741023490363901</v>
      </c>
      <c r="G3751" s="2511">
        <v>0.93746733025181594</v>
      </c>
    </row>
    <row r="3752" spans="1:7" x14ac:dyDescent="0.25">
      <c r="A3752" s="6" t="s">
        <v>1286</v>
      </c>
      <c r="B3752" s="6" t="s">
        <v>1085</v>
      </c>
      <c r="C3752" s="2504">
        <v>3600</v>
      </c>
      <c r="D3752" s="2504">
        <v>1687808.63304204</v>
      </c>
      <c r="E3752" s="2505">
        <v>73528.402222368197</v>
      </c>
      <c r="F3752" s="2506">
        <v>23.160600255461599</v>
      </c>
      <c r="G3752" s="2507">
        <v>0.84263366037866705</v>
      </c>
    </row>
    <row r="3753" spans="1:7" x14ac:dyDescent="0.25">
      <c r="A3753" s="11" t="s">
        <v>1287</v>
      </c>
      <c r="B3753" s="11" t="s">
        <v>1087</v>
      </c>
      <c r="C3753" s="2508">
        <v>334</v>
      </c>
      <c r="D3753" s="2508">
        <v>186193.08011823599</v>
      </c>
      <c r="E3753" s="2509">
        <v>26806.3987242822</v>
      </c>
      <c r="F3753" s="2510">
        <v>2.5549955217252398</v>
      </c>
      <c r="G3753" s="2511">
        <v>0.362225348679038</v>
      </c>
    </row>
    <row r="3754" spans="1:7" x14ac:dyDescent="0.25">
      <c r="A3754" s="6" t="s">
        <v>1102</v>
      </c>
      <c r="B3754" s="6" t="s">
        <v>1103</v>
      </c>
      <c r="C3754" s="2504">
        <v>50</v>
      </c>
      <c r="D3754" s="2504">
        <v>30838.935739543998</v>
      </c>
      <c r="E3754" s="2505">
        <v>7153.9376419127202</v>
      </c>
      <c r="F3754" s="2506">
        <v>0.423180832817589</v>
      </c>
      <c r="G3754" s="2507">
        <v>0.10265681459329901</v>
      </c>
    </row>
    <row r="3755" spans="1:7" x14ac:dyDescent="0.25">
      <c r="A3755" s="11" t="s">
        <v>1084</v>
      </c>
      <c r="B3755" s="11" t="s">
        <v>1085</v>
      </c>
      <c r="C3755" s="2508">
        <v>20</v>
      </c>
      <c r="D3755" s="2508">
        <v>8759.4633149114397</v>
      </c>
      <c r="E3755" s="2509">
        <v>4461.4977141306899</v>
      </c>
      <c r="F3755" s="2510">
        <v>0.120199899631626</v>
      </c>
      <c r="G3755" s="2511">
        <v>6.0629534113013202E-2</v>
      </c>
    </row>
    <row r="3756" spans="1:7" x14ac:dyDescent="0.25">
      <c r="A3756" s="6" t="s">
        <v>6417</v>
      </c>
      <c r="B3756" s="6" t="s">
        <v>6418</v>
      </c>
      <c r="C3756" s="2504">
        <v>39305</v>
      </c>
      <c r="D3756" s="2504">
        <v>17827960.9789497</v>
      </c>
      <c r="E3756" s="2505">
        <v>138790.128180456</v>
      </c>
      <c r="F3756" s="2506">
        <v>70.984254002787594</v>
      </c>
      <c r="G3756" s="2507">
        <v>0.59016251056496605</v>
      </c>
    </row>
    <row r="3757" spans="1:7" x14ac:dyDescent="0.25">
      <c r="A3757" s="11" t="s">
        <v>6417</v>
      </c>
      <c r="B3757" s="11" t="s">
        <v>6419</v>
      </c>
      <c r="C3757" s="2508">
        <v>52212</v>
      </c>
      <c r="D3757" s="2508">
        <v>25115374.147976</v>
      </c>
      <c r="E3757" s="2509">
        <v>0</v>
      </c>
      <c r="F3757" s="2510">
        <v>100</v>
      </c>
      <c r="G3757" s="2511">
        <v>0</v>
      </c>
    </row>
    <row r="3758" spans="1:7" x14ac:dyDescent="0.25">
      <c r="A3758" s="3729" t="s">
        <v>474</v>
      </c>
      <c r="B3758" s="3730"/>
      <c r="C3758" s="3730"/>
      <c r="D3758" s="3730"/>
      <c r="E3758" s="3730"/>
      <c r="F3758" s="3730"/>
      <c r="G3758" s="3730"/>
    </row>
    <row r="3759" spans="1:7" x14ac:dyDescent="0.25">
      <c r="A3759" s="11" t="s">
        <v>6548</v>
      </c>
      <c r="B3759" s="11"/>
      <c r="C3759" s="2516">
        <v>26153</v>
      </c>
      <c r="D3759" s="2516">
        <v>12091057.4461604</v>
      </c>
      <c r="E3759" s="2517">
        <v>146191.10407984699</v>
      </c>
      <c r="F3759" s="2518">
        <v>67.820753368469397</v>
      </c>
      <c r="G3759" s="2519">
        <v>0.58056733906289704</v>
      </c>
    </row>
    <row r="3760" spans="1:7" x14ac:dyDescent="0.25">
      <c r="A3760" s="6" t="s">
        <v>6606</v>
      </c>
      <c r="B3760" s="6"/>
      <c r="C3760" s="2512">
        <v>13156</v>
      </c>
      <c r="D3760" s="2512">
        <v>5725848.1246833196</v>
      </c>
      <c r="E3760" s="2513">
        <v>103243.835544569</v>
      </c>
      <c r="F3760" s="2514">
        <v>32.117235007660703</v>
      </c>
      <c r="G3760" s="2515">
        <v>0.54579110373932505</v>
      </c>
    </row>
    <row r="3761" spans="1:7" x14ac:dyDescent="0.25">
      <c r="A3761" s="11" t="s">
        <v>6544</v>
      </c>
      <c r="B3761" s="11"/>
      <c r="C3761" s="2516">
        <v>12</v>
      </c>
      <c r="D3761" s="2516">
        <v>11055.408105935399</v>
      </c>
      <c r="E3761" s="2517">
        <v>7628.0625841458796</v>
      </c>
      <c r="F3761" s="2518">
        <v>6.20116238698806E-2</v>
      </c>
      <c r="G3761" s="2519">
        <v>4.2830697209956699E-2</v>
      </c>
    </row>
    <row r="3762" spans="1:7" x14ac:dyDescent="0.25">
      <c r="A3762" s="6" t="s">
        <v>1088</v>
      </c>
      <c r="B3762" s="6" t="s">
        <v>1089</v>
      </c>
      <c r="C3762" s="2512">
        <v>8903</v>
      </c>
      <c r="D3762" s="2512">
        <v>5373813.0568115301</v>
      </c>
      <c r="E3762" s="2513">
        <v>137346.496531891</v>
      </c>
      <c r="F3762" s="2514">
        <v>73.741023490363901</v>
      </c>
      <c r="G3762" s="2515">
        <v>0.93746733025181594</v>
      </c>
    </row>
    <row r="3763" spans="1:7" x14ac:dyDescent="0.25">
      <c r="A3763" s="11" t="s">
        <v>1286</v>
      </c>
      <c r="B3763" s="11"/>
      <c r="C3763" s="2516">
        <v>3600</v>
      </c>
      <c r="D3763" s="2516">
        <v>1687808.63304204</v>
      </c>
      <c r="E3763" s="2517">
        <v>73528.402222368197</v>
      </c>
      <c r="F3763" s="2518">
        <v>23.160600255461599</v>
      </c>
      <c r="G3763" s="2519">
        <v>0.84263366037866705</v>
      </c>
    </row>
    <row r="3764" spans="1:7" x14ac:dyDescent="0.25">
      <c r="A3764" s="6" t="s">
        <v>1287</v>
      </c>
      <c r="B3764" s="6"/>
      <c r="C3764" s="2512">
        <v>334</v>
      </c>
      <c r="D3764" s="2512">
        <v>186193.08011823599</v>
      </c>
      <c r="E3764" s="2513">
        <v>26806.3987242822</v>
      </c>
      <c r="F3764" s="2514">
        <v>2.5549955217252398</v>
      </c>
      <c r="G3764" s="2515">
        <v>0.362225348679038</v>
      </c>
    </row>
    <row r="3765" spans="1:7" x14ac:dyDescent="0.25">
      <c r="A3765" s="11" t="s">
        <v>1102</v>
      </c>
      <c r="B3765" s="11" t="s">
        <v>1103</v>
      </c>
      <c r="C3765" s="2516">
        <v>50</v>
      </c>
      <c r="D3765" s="2516">
        <v>30838.935739543998</v>
      </c>
      <c r="E3765" s="2517">
        <v>7153.9376419127202</v>
      </c>
      <c r="F3765" s="2518">
        <v>0.423180832817589</v>
      </c>
      <c r="G3765" s="2519">
        <v>0.10265681459329901</v>
      </c>
    </row>
    <row r="3766" spans="1:7" x14ac:dyDescent="0.25">
      <c r="A3766" s="6" t="s">
        <v>1084</v>
      </c>
      <c r="B3766" s="6" t="s">
        <v>1085</v>
      </c>
      <c r="C3766" s="2512">
        <v>20</v>
      </c>
      <c r="D3766" s="2512">
        <v>8759.4633149114397</v>
      </c>
      <c r="E3766" s="2513">
        <v>4461.4977141306899</v>
      </c>
      <c r="F3766" s="2514">
        <v>0.120199899631626</v>
      </c>
      <c r="G3766" s="2515">
        <v>6.0629534113013202E-2</v>
      </c>
    </row>
    <row r="3767" spans="1:7" x14ac:dyDescent="0.25">
      <c r="A3767" s="11" t="s">
        <v>6417</v>
      </c>
      <c r="B3767" s="11" t="s">
        <v>6418</v>
      </c>
      <c r="C3767" s="2516">
        <v>39321</v>
      </c>
      <c r="D3767" s="2516">
        <v>17827960.9789497</v>
      </c>
      <c r="E3767" s="2517">
        <v>138790.12818046301</v>
      </c>
      <c r="F3767" s="2518">
        <v>70.984254002787495</v>
      </c>
      <c r="G3767" s="2519">
        <v>0.59016251056497304</v>
      </c>
    </row>
    <row r="3768" spans="1:7" x14ac:dyDescent="0.25">
      <c r="A3768" s="6" t="s">
        <v>6417</v>
      </c>
      <c r="B3768" s="6" t="s">
        <v>6419</v>
      </c>
      <c r="C3768" s="2512">
        <v>52228</v>
      </c>
      <c r="D3768" s="2512">
        <v>25115374.147975899</v>
      </c>
      <c r="E3768" s="2513">
        <v>0</v>
      </c>
      <c r="F3768" s="2514">
        <v>100</v>
      </c>
      <c r="G3768" s="2515">
        <v>0</v>
      </c>
    </row>
    <row r="3769" spans="1:7" x14ac:dyDescent="0.25">
      <c r="A3769" s="3729" t="s">
        <v>469</v>
      </c>
      <c r="B3769" s="3730"/>
      <c r="C3769" s="3730"/>
      <c r="D3769" s="3730"/>
      <c r="E3769" s="3730"/>
      <c r="F3769" s="3730"/>
      <c r="G3769" s="3730"/>
    </row>
    <row r="3770" spans="1:7" x14ac:dyDescent="0.25">
      <c r="A3770" s="11" t="s">
        <v>1123</v>
      </c>
      <c r="B3770" s="11"/>
      <c r="C3770" s="2524">
        <v>3009</v>
      </c>
      <c r="D3770" s="2524">
        <v>1611747.1346523501</v>
      </c>
      <c r="E3770" s="2525">
        <v>71061.233328112896</v>
      </c>
      <c r="F3770" s="2526">
        <v>9.0405578997812395</v>
      </c>
      <c r="G3770" s="2527">
        <v>0.35875253727717699</v>
      </c>
    </row>
    <row r="3771" spans="1:7" x14ac:dyDescent="0.25">
      <c r="A3771" s="6" t="s">
        <v>1098</v>
      </c>
      <c r="B3771" s="6"/>
      <c r="C3771" s="2520">
        <v>1884</v>
      </c>
      <c r="D3771" s="2520">
        <v>1558983.0754951399</v>
      </c>
      <c r="E3771" s="2521">
        <v>66770.506182996294</v>
      </c>
      <c r="F3771" s="2522">
        <v>8.7445955111518394</v>
      </c>
      <c r="G3771" s="2523">
        <v>0.36886189300975603</v>
      </c>
    </row>
    <row r="3772" spans="1:7" x14ac:dyDescent="0.25">
      <c r="A3772" s="11" t="s">
        <v>1127</v>
      </c>
      <c r="B3772" s="11"/>
      <c r="C3772" s="2524">
        <v>3247</v>
      </c>
      <c r="D3772" s="2524">
        <v>1524963.4034221401</v>
      </c>
      <c r="E3772" s="2525">
        <v>61423.918997748297</v>
      </c>
      <c r="F3772" s="2526">
        <v>8.5537735090554392</v>
      </c>
      <c r="G3772" s="2527">
        <v>0.30892506746231002</v>
      </c>
    </row>
    <row r="3773" spans="1:7" x14ac:dyDescent="0.25">
      <c r="A3773" s="6" t="s">
        <v>1109</v>
      </c>
      <c r="B3773" s="6"/>
      <c r="C3773" s="2520">
        <v>3894</v>
      </c>
      <c r="D3773" s="2520">
        <v>1524422.3407322101</v>
      </c>
      <c r="E3773" s="2521">
        <v>44348.749326099598</v>
      </c>
      <c r="F3773" s="2522">
        <v>8.5507385983857809</v>
      </c>
      <c r="G3773" s="2523">
        <v>0.22867532161974</v>
      </c>
    </row>
    <row r="3774" spans="1:7" x14ac:dyDescent="0.25">
      <c r="A3774" s="11" t="s">
        <v>1119</v>
      </c>
      <c r="B3774" s="11"/>
      <c r="C3774" s="2524">
        <v>4501</v>
      </c>
      <c r="D3774" s="2524">
        <v>1493836.18489445</v>
      </c>
      <c r="E3774" s="2525">
        <v>36423.178171631902</v>
      </c>
      <c r="F3774" s="2526">
        <v>8.3791757602470405</v>
      </c>
      <c r="G3774" s="2527">
        <v>0.20034417794586701</v>
      </c>
    </row>
    <row r="3775" spans="1:7" x14ac:dyDescent="0.25">
      <c r="A3775" s="6" t="s">
        <v>1092</v>
      </c>
      <c r="B3775" s="6"/>
      <c r="C3775" s="2520">
        <v>3584</v>
      </c>
      <c r="D3775" s="2520">
        <v>1492764.68084789</v>
      </c>
      <c r="E3775" s="2521">
        <v>41858.021750684296</v>
      </c>
      <c r="F3775" s="2522">
        <v>8.3731655157337492</v>
      </c>
      <c r="G3775" s="2523">
        <v>0.26942935825856301</v>
      </c>
    </row>
    <row r="3776" spans="1:7" x14ac:dyDescent="0.25">
      <c r="A3776" s="11" t="s">
        <v>1090</v>
      </c>
      <c r="B3776" s="11"/>
      <c r="C3776" s="2524">
        <v>3699</v>
      </c>
      <c r="D3776" s="2524">
        <v>1478758.3846579399</v>
      </c>
      <c r="E3776" s="2525">
        <v>49329.307348484399</v>
      </c>
      <c r="F3776" s="2526">
        <v>8.2946018695238308</v>
      </c>
      <c r="G3776" s="2527">
        <v>0.256426841280461</v>
      </c>
    </row>
    <row r="3777" spans="1:7" x14ac:dyDescent="0.25">
      <c r="A3777" s="6" t="s">
        <v>1094</v>
      </c>
      <c r="B3777" s="6"/>
      <c r="C3777" s="2520">
        <v>4014</v>
      </c>
      <c r="D3777" s="2520">
        <v>1477685.5001697401</v>
      </c>
      <c r="E3777" s="2521">
        <v>40608.526189413802</v>
      </c>
      <c r="F3777" s="2522">
        <v>8.2885838818836799</v>
      </c>
      <c r="G3777" s="2523">
        <v>0.23824208894478899</v>
      </c>
    </row>
    <row r="3778" spans="1:7" x14ac:dyDescent="0.25">
      <c r="A3778" s="11" t="s">
        <v>1100</v>
      </c>
      <c r="B3778" s="11"/>
      <c r="C3778" s="2524">
        <v>1928</v>
      </c>
      <c r="D3778" s="2524">
        <v>1460191.7924267601</v>
      </c>
      <c r="E3778" s="2525">
        <v>59940.866117122801</v>
      </c>
      <c r="F3778" s="2526">
        <v>8.1904587639095396</v>
      </c>
      <c r="G3778" s="2527">
        <v>0.37159771039788903</v>
      </c>
    </row>
    <row r="3779" spans="1:7" x14ac:dyDescent="0.25">
      <c r="A3779" s="6" t="s">
        <v>1096</v>
      </c>
      <c r="B3779" s="6"/>
      <c r="C3779" s="2520">
        <v>2180</v>
      </c>
      <c r="D3779" s="2520">
        <v>1433855.74321278</v>
      </c>
      <c r="E3779" s="2521">
        <v>82188.368053044906</v>
      </c>
      <c r="F3779" s="2522">
        <v>8.0427354811119205</v>
      </c>
      <c r="G3779" s="2523">
        <v>0.43804796900055998</v>
      </c>
    </row>
    <row r="3780" spans="1:7" x14ac:dyDescent="0.25">
      <c r="A3780" s="11" t="s">
        <v>1121</v>
      </c>
      <c r="B3780" s="11"/>
      <c r="C3780" s="2524">
        <v>4091</v>
      </c>
      <c r="D3780" s="2524">
        <v>1399837.21046859</v>
      </c>
      <c r="E3780" s="2525">
        <v>55168.540320743901</v>
      </c>
      <c r="F3780" s="2526">
        <v>7.8519198697004304</v>
      </c>
      <c r="G3780" s="2527">
        <v>0.29331561465761702</v>
      </c>
    </row>
    <row r="3781" spans="1:7" x14ac:dyDescent="0.25">
      <c r="A3781" s="6" t="s">
        <v>1125</v>
      </c>
      <c r="B3781" s="6"/>
      <c r="C3781" s="2520">
        <v>3290</v>
      </c>
      <c r="D3781" s="2520">
        <v>1370915.5279697201</v>
      </c>
      <c r="E3781" s="2521">
        <v>41005.852003380001</v>
      </c>
      <c r="F3781" s="2522">
        <v>7.68969333951551</v>
      </c>
      <c r="G3781" s="2523">
        <v>0.247492149092081</v>
      </c>
    </row>
    <row r="3782" spans="1:7" x14ac:dyDescent="0.25">
      <c r="A3782" s="11" t="s">
        <v>1088</v>
      </c>
      <c r="B3782" s="11" t="s">
        <v>1089</v>
      </c>
      <c r="C3782" s="2524">
        <v>8903</v>
      </c>
      <c r="D3782" s="2524">
        <v>5373813.0568115301</v>
      </c>
      <c r="E3782" s="2525">
        <v>137346.496531891</v>
      </c>
      <c r="F3782" s="2526">
        <v>73.741023490363901</v>
      </c>
      <c r="G3782" s="2527">
        <v>0.93746733025181594</v>
      </c>
    </row>
    <row r="3783" spans="1:7" x14ac:dyDescent="0.25">
      <c r="A3783" s="6" t="s">
        <v>1286</v>
      </c>
      <c r="B3783" s="6"/>
      <c r="C3783" s="2520">
        <v>3600</v>
      </c>
      <c r="D3783" s="2520">
        <v>1687808.63304204</v>
      </c>
      <c r="E3783" s="2521">
        <v>73528.402222368197</v>
      </c>
      <c r="F3783" s="2522">
        <v>23.160600255461599</v>
      </c>
      <c r="G3783" s="2523">
        <v>0.84263366037866705</v>
      </c>
    </row>
    <row r="3784" spans="1:7" x14ac:dyDescent="0.25">
      <c r="A3784" s="11" t="s">
        <v>1287</v>
      </c>
      <c r="B3784" s="11"/>
      <c r="C3784" s="2524">
        <v>334</v>
      </c>
      <c r="D3784" s="2524">
        <v>186193.08011823599</v>
      </c>
      <c r="E3784" s="2525">
        <v>26806.3987242822</v>
      </c>
      <c r="F3784" s="2526">
        <v>2.5549955217252398</v>
      </c>
      <c r="G3784" s="2527">
        <v>0.362225348679038</v>
      </c>
    </row>
    <row r="3785" spans="1:7" x14ac:dyDescent="0.25">
      <c r="A3785" s="6" t="s">
        <v>1102</v>
      </c>
      <c r="B3785" s="6" t="s">
        <v>1103</v>
      </c>
      <c r="C3785" s="2520">
        <v>50</v>
      </c>
      <c r="D3785" s="2520">
        <v>30838.935739543998</v>
      </c>
      <c r="E3785" s="2521">
        <v>7153.9376419127202</v>
      </c>
      <c r="F3785" s="2522">
        <v>0.423180832817589</v>
      </c>
      <c r="G3785" s="2523">
        <v>0.10265681459329901</v>
      </c>
    </row>
    <row r="3786" spans="1:7" x14ac:dyDescent="0.25">
      <c r="A3786" s="11" t="s">
        <v>1084</v>
      </c>
      <c r="B3786" s="11" t="s">
        <v>1085</v>
      </c>
      <c r="C3786" s="2524">
        <v>20</v>
      </c>
      <c r="D3786" s="2524">
        <v>8759.4633149114397</v>
      </c>
      <c r="E3786" s="2525">
        <v>4461.4977141306899</v>
      </c>
      <c r="F3786" s="2526">
        <v>0.120199899631626</v>
      </c>
      <c r="G3786" s="2527">
        <v>6.0629534113013202E-2</v>
      </c>
    </row>
    <row r="3787" spans="1:7" x14ac:dyDescent="0.25">
      <c r="A3787" s="6" t="s">
        <v>6417</v>
      </c>
      <c r="B3787" s="6" t="s">
        <v>6418</v>
      </c>
      <c r="C3787" s="2520">
        <v>39321</v>
      </c>
      <c r="D3787" s="2520">
        <v>17827960.9789497</v>
      </c>
      <c r="E3787" s="2521">
        <v>138790.12818046199</v>
      </c>
      <c r="F3787" s="2522">
        <v>70.984254002787594</v>
      </c>
      <c r="G3787" s="2523">
        <v>0.59016251056496105</v>
      </c>
    </row>
    <row r="3788" spans="1:7" x14ac:dyDescent="0.25">
      <c r="A3788" s="11" t="s">
        <v>6417</v>
      </c>
      <c r="B3788" s="11" t="s">
        <v>6419</v>
      </c>
      <c r="C3788" s="2524">
        <v>52228</v>
      </c>
      <c r="D3788" s="2524">
        <v>25115374.147976</v>
      </c>
      <c r="E3788" s="2525">
        <v>0</v>
      </c>
      <c r="F3788" s="2526">
        <v>100</v>
      </c>
      <c r="G3788" s="2527">
        <v>0</v>
      </c>
    </row>
    <row r="3789" spans="1:7" x14ac:dyDescent="0.25">
      <c r="A3789" s="3729" t="s">
        <v>462</v>
      </c>
      <c r="B3789" s="3730"/>
      <c r="C3789" s="3730"/>
      <c r="D3789" s="3730"/>
      <c r="E3789" s="3730"/>
      <c r="F3789" s="3730"/>
      <c r="G3789" s="3730"/>
    </row>
    <row r="3790" spans="1:7" x14ac:dyDescent="0.25">
      <c r="A3790" s="11" t="s">
        <v>1090</v>
      </c>
      <c r="B3790" s="11"/>
      <c r="C3790" s="2532">
        <v>2233</v>
      </c>
      <c r="D3790" s="2532">
        <v>1017679.7469384</v>
      </c>
      <c r="E3790" s="2533">
        <v>76264.649530400799</v>
      </c>
      <c r="F3790" s="2534">
        <v>5.7083350594048596</v>
      </c>
      <c r="G3790" s="2535">
        <v>0.41674556600562002</v>
      </c>
    </row>
    <row r="3791" spans="1:7" x14ac:dyDescent="0.25">
      <c r="A3791" s="6" t="s">
        <v>1109</v>
      </c>
      <c r="B3791" s="6"/>
      <c r="C3791" s="2528">
        <v>1271</v>
      </c>
      <c r="D3791" s="2528">
        <v>697030.09868237399</v>
      </c>
      <c r="E3791" s="2529">
        <v>56393.858699512799</v>
      </c>
      <c r="F3791" s="2530">
        <v>3.9097578209049799</v>
      </c>
      <c r="G3791" s="2531">
        <v>0.30673845500577301</v>
      </c>
    </row>
    <row r="3792" spans="1:7" x14ac:dyDescent="0.25">
      <c r="A3792" s="11" t="s">
        <v>1094</v>
      </c>
      <c r="B3792" s="11"/>
      <c r="C3792" s="2532">
        <v>1382</v>
      </c>
      <c r="D3792" s="2532">
        <v>683750.74785647902</v>
      </c>
      <c r="E3792" s="2533">
        <v>74482.512818239004</v>
      </c>
      <c r="F3792" s="2534">
        <v>3.83527173221781</v>
      </c>
      <c r="G3792" s="2535">
        <v>0.40529105233326801</v>
      </c>
    </row>
    <row r="3793" spans="1:7" x14ac:dyDescent="0.25">
      <c r="A3793" s="6" t="s">
        <v>1098</v>
      </c>
      <c r="B3793" s="6"/>
      <c r="C3793" s="2528">
        <v>1317</v>
      </c>
      <c r="D3793" s="2528">
        <v>634585.05621293897</v>
      </c>
      <c r="E3793" s="2529">
        <v>45892.440713447402</v>
      </c>
      <c r="F3793" s="2530">
        <v>3.5594931858007901</v>
      </c>
      <c r="G3793" s="2531">
        <v>0.275712954390194</v>
      </c>
    </row>
    <row r="3794" spans="1:7" x14ac:dyDescent="0.25">
      <c r="A3794" s="11" t="s">
        <v>1295</v>
      </c>
      <c r="B3794" s="11"/>
      <c r="C3794" s="2532">
        <v>1356</v>
      </c>
      <c r="D3794" s="2532">
        <v>627139.538702955</v>
      </c>
      <c r="E3794" s="2533">
        <v>44469.779689536299</v>
      </c>
      <c r="F3794" s="2534">
        <v>3.5177300390294102</v>
      </c>
      <c r="G3794" s="2535">
        <v>0.24273465354809401</v>
      </c>
    </row>
    <row r="3795" spans="1:7" x14ac:dyDescent="0.25">
      <c r="A3795" s="6" t="s">
        <v>3178</v>
      </c>
      <c r="B3795" s="6"/>
      <c r="C3795" s="2528">
        <v>1241</v>
      </c>
      <c r="D3795" s="2528">
        <v>620414.70353359799</v>
      </c>
      <c r="E3795" s="2529">
        <v>41614.299770251499</v>
      </c>
      <c r="F3795" s="2530">
        <v>3.48000931944012</v>
      </c>
      <c r="G3795" s="2531">
        <v>0.24207151747274799</v>
      </c>
    </row>
    <row r="3796" spans="1:7" x14ac:dyDescent="0.25">
      <c r="A3796" s="11" t="s">
        <v>1100</v>
      </c>
      <c r="B3796" s="11"/>
      <c r="C3796" s="2532">
        <v>1248</v>
      </c>
      <c r="D3796" s="2532">
        <v>619519.59581337206</v>
      </c>
      <c r="E3796" s="2533">
        <v>29781.727985315702</v>
      </c>
      <c r="F3796" s="2534">
        <v>3.4749885112765702</v>
      </c>
      <c r="G3796" s="2535">
        <v>0.17708782557282701</v>
      </c>
    </row>
    <row r="3797" spans="1:7" x14ac:dyDescent="0.25">
      <c r="A3797" s="6" t="s">
        <v>1137</v>
      </c>
      <c r="B3797" s="6"/>
      <c r="C3797" s="2528">
        <v>1233</v>
      </c>
      <c r="D3797" s="2528">
        <v>619032.54337829701</v>
      </c>
      <c r="E3797" s="2529">
        <v>61188.190748986002</v>
      </c>
      <c r="F3797" s="2530">
        <v>3.4722565531146099</v>
      </c>
      <c r="G3797" s="2531">
        <v>0.33471719277232798</v>
      </c>
    </row>
    <row r="3798" spans="1:7" x14ac:dyDescent="0.25">
      <c r="A3798" s="11" t="s">
        <v>1123</v>
      </c>
      <c r="B3798" s="11"/>
      <c r="C3798" s="2532">
        <v>1357</v>
      </c>
      <c r="D3798" s="2532">
        <v>610115.90922181099</v>
      </c>
      <c r="E3798" s="2533">
        <v>36526.883593843297</v>
      </c>
      <c r="F3798" s="2534">
        <v>3.4222416682547401</v>
      </c>
      <c r="G3798" s="2535">
        <v>0.20101584839918901</v>
      </c>
    </row>
    <row r="3799" spans="1:7" x14ac:dyDescent="0.25">
      <c r="A3799" s="6" t="s">
        <v>1133</v>
      </c>
      <c r="B3799" s="6"/>
      <c r="C3799" s="2528">
        <v>1301</v>
      </c>
      <c r="D3799" s="2528">
        <v>606255.47734584205</v>
      </c>
      <c r="E3799" s="2529">
        <v>78887.314205238101</v>
      </c>
      <c r="F3799" s="2530">
        <v>3.4005878634223801</v>
      </c>
      <c r="G3799" s="2531">
        <v>0.44386778994168402</v>
      </c>
    </row>
    <row r="3800" spans="1:7" x14ac:dyDescent="0.25">
      <c r="A3800" s="11" t="s">
        <v>1127</v>
      </c>
      <c r="B3800" s="11"/>
      <c r="C3800" s="2532">
        <v>1252</v>
      </c>
      <c r="D3800" s="2532">
        <v>602837.34127195599</v>
      </c>
      <c r="E3800" s="2533">
        <v>61961.390104067599</v>
      </c>
      <c r="F3800" s="2534">
        <v>3.3814149693492901</v>
      </c>
      <c r="G3800" s="2535">
        <v>0.33599346618790699</v>
      </c>
    </row>
    <row r="3801" spans="1:7" x14ac:dyDescent="0.25">
      <c r="A3801" s="6" t="s">
        <v>1092</v>
      </c>
      <c r="B3801" s="6"/>
      <c r="C3801" s="2528">
        <v>1428</v>
      </c>
      <c r="D3801" s="2528">
        <v>595852.47119749896</v>
      </c>
      <c r="E3801" s="2529">
        <v>46645.9990676382</v>
      </c>
      <c r="F3801" s="2530">
        <v>3.34223567070317</v>
      </c>
      <c r="G3801" s="2531">
        <v>0.25734628153389799</v>
      </c>
    </row>
    <row r="3802" spans="1:7" x14ac:dyDescent="0.25">
      <c r="A3802" s="11" t="s">
        <v>1121</v>
      </c>
      <c r="B3802" s="11"/>
      <c r="C3802" s="2532">
        <v>1174</v>
      </c>
      <c r="D3802" s="2532">
        <v>594442.65513054805</v>
      </c>
      <c r="E3802" s="2533">
        <v>65761.445215783999</v>
      </c>
      <c r="F3802" s="2534">
        <v>3.3343277777668101</v>
      </c>
      <c r="G3802" s="2535">
        <v>0.37321595709090699</v>
      </c>
    </row>
    <row r="3803" spans="1:7" x14ac:dyDescent="0.25">
      <c r="A3803" s="6" t="s">
        <v>1119</v>
      </c>
      <c r="B3803" s="6"/>
      <c r="C3803" s="2528">
        <v>1368</v>
      </c>
      <c r="D3803" s="2528">
        <v>588161.475358136</v>
      </c>
      <c r="E3803" s="2529">
        <v>29457.6401797816</v>
      </c>
      <c r="F3803" s="2530">
        <v>3.2990955951306198</v>
      </c>
      <c r="G3803" s="2531">
        <v>0.15409880140896801</v>
      </c>
    </row>
    <row r="3804" spans="1:7" x14ac:dyDescent="0.25">
      <c r="A3804" s="11" t="s">
        <v>1131</v>
      </c>
      <c r="B3804" s="11"/>
      <c r="C3804" s="2532">
        <v>1228</v>
      </c>
      <c r="D3804" s="2532">
        <v>576126.358111982</v>
      </c>
      <c r="E3804" s="2533">
        <v>58669.888896024902</v>
      </c>
      <c r="F3804" s="2534">
        <v>3.2315886196533699</v>
      </c>
      <c r="G3804" s="2535">
        <v>0.33819683563749198</v>
      </c>
    </row>
    <row r="3805" spans="1:7" x14ac:dyDescent="0.25">
      <c r="A3805" s="6" t="s">
        <v>1129</v>
      </c>
      <c r="B3805" s="6"/>
      <c r="C3805" s="2528">
        <v>1280</v>
      </c>
      <c r="D3805" s="2528">
        <v>574486.83460322302</v>
      </c>
      <c r="E3805" s="2529">
        <v>56509.131082007203</v>
      </c>
      <c r="F3805" s="2530">
        <v>3.2223922594487799</v>
      </c>
      <c r="G3805" s="2531">
        <v>0.30475577308409002</v>
      </c>
    </row>
    <row r="3806" spans="1:7" x14ac:dyDescent="0.25">
      <c r="A3806" s="11" t="s">
        <v>1125</v>
      </c>
      <c r="B3806" s="11"/>
      <c r="C3806" s="2532">
        <v>1268</v>
      </c>
      <c r="D3806" s="2532">
        <v>559774.43063198798</v>
      </c>
      <c r="E3806" s="2533">
        <v>45331.155595387398</v>
      </c>
      <c r="F3806" s="2534">
        <v>3.13986793718552</v>
      </c>
      <c r="G3806" s="2535">
        <v>0.26195566242375701</v>
      </c>
    </row>
    <row r="3807" spans="1:7" x14ac:dyDescent="0.25">
      <c r="A3807" s="6" t="s">
        <v>1189</v>
      </c>
      <c r="B3807" s="6"/>
      <c r="C3807" s="2528">
        <v>1193</v>
      </c>
      <c r="D3807" s="2528">
        <v>555773.00901435001</v>
      </c>
      <c r="E3807" s="2529">
        <v>54693.490519657702</v>
      </c>
      <c r="F3807" s="2530">
        <v>3.1174232974291201</v>
      </c>
      <c r="G3807" s="2531">
        <v>0.29867286054315301</v>
      </c>
    </row>
    <row r="3808" spans="1:7" x14ac:dyDescent="0.25">
      <c r="A3808" s="11" t="s">
        <v>1141</v>
      </c>
      <c r="B3808" s="11"/>
      <c r="C3808" s="2532">
        <v>1188</v>
      </c>
      <c r="D3808" s="2532">
        <v>551963.93478645699</v>
      </c>
      <c r="E3808" s="2533">
        <v>43319.593110261601</v>
      </c>
      <c r="F3808" s="2534">
        <v>3.0960575661915901</v>
      </c>
      <c r="G3808" s="2535">
        <v>0.22622381157299901</v>
      </c>
    </row>
    <row r="3809" spans="1:7" x14ac:dyDescent="0.25">
      <c r="A3809" s="6" t="s">
        <v>3172</v>
      </c>
      <c r="B3809" s="6"/>
      <c r="C3809" s="2528">
        <v>1213</v>
      </c>
      <c r="D3809" s="2528">
        <v>541487.16939249402</v>
      </c>
      <c r="E3809" s="2529">
        <v>29209.1541783711</v>
      </c>
      <c r="F3809" s="2530">
        <v>3.0372916455889301</v>
      </c>
      <c r="G3809" s="2531">
        <v>0.17122836680168901</v>
      </c>
    </row>
    <row r="3810" spans="1:7" x14ac:dyDescent="0.25">
      <c r="A3810" s="11" t="s">
        <v>1135</v>
      </c>
      <c r="B3810" s="11"/>
      <c r="C3810" s="2532">
        <v>1240</v>
      </c>
      <c r="D3810" s="2532">
        <v>539023.19952997495</v>
      </c>
      <c r="E3810" s="2533">
        <v>57415.774066135702</v>
      </c>
      <c r="F3810" s="2534">
        <v>3.0234708285845202</v>
      </c>
      <c r="G3810" s="2535">
        <v>0.30748520796494</v>
      </c>
    </row>
    <row r="3811" spans="1:7" x14ac:dyDescent="0.25">
      <c r="A3811" s="6" t="s">
        <v>1191</v>
      </c>
      <c r="B3811" s="6"/>
      <c r="C3811" s="2528">
        <v>1212</v>
      </c>
      <c r="D3811" s="2528">
        <v>532275.70404791704</v>
      </c>
      <c r="E3811" s="2529">
        <v>48331.030758617599</v>
      </c>
      <c r="F3811" s="2530">
        <v>2.98562300353024</v>
      </c>
      <c r="G3811" s="2531">
        <v>0.26449181474097599</v>
      </c>
    </row>
    <row r="3812" spans="1:7" x14ac:dyDescent="0.25">
      <c r="A3812" s="11" t="s">
        <v>1187</v>
      </c>
      <c r="B3812" s="11"/>
      <c r="C3812" s="2532">
        <v>1137</v>
      </c>
      <c r="D3812" s="2532">
        <v>531150.50798864197</v>
      </c>
      <c r="E3812" s="2533">
        <v>61196.639337426001</v>
      </c>
      <c r="F3812" s="2534">
        <v>2.9793115915824302</v>
      </c>
      <c r="G3812" s="2535">
        <v>0.35508168587446598</v>
      </c>
    </row>
    <row r="3813" spans="1:7" x14ac:dyDescent="0.25">
      <c r="A3813" s="6" t="s">
        <v>3174</v>
      </c>
      <c r="B3813" s="6"/>
      <c r="C3813" s="2528">
        <v>1236</v>
      </c>
      <c r="D3813" s="2528">
        <v>523877.983477398</v>
      </c>
      <c r="E3813" s="2529">
        <v>32126.168933858298</v>
      </c>
      <c r="F3813" s="2530">
        <v>2.9385187913299</v>
      </c>
      <c r="G3813" s="2531">
        <v>0.19130890119708499</v>
      </c>
    </row>
    <row r="3814" spans="1:7" x14ac:dyDescent="0.25">
      <c r="A3814" s="11" t="s">
        <v>3176</v>
      </c>
      <c r="B3814" s="11"/>
      <c r="C3814" s="2532">
        <v>1336</v>
      </c>
      <c r="D3814" s="2532">
        <v>517321.64462063898</v>
      </c>
      <c r="E3814" s="2533">
        <v>25419.1565469253</v>
      </c>
      <c r="F3814" s="2534">
        <v>2.9017431955985602</v>
      </c>
      <c r="G3814" s="2535">
        <v>0.15196173403551799</v>
      </c>
    </row>
    <row r="3815" spans="1:7" x14ac:dyDescent="0.25">
      <c r="A3815" s="6" t="s">
        <v>1139</v>
      </c>
      <c r="B3815" s="6"/>
      <c r="C3815" s="2528">
        <v>1263</v>
      </c>
      <c r="D3815" s="2528">
        <v>505621.81358325703</v>
      </c>
      <c r="E3815" s="2529">
        <v>37237.0802954635</v>
      </c>
      <c r="F3815" s="2530">
        <v>2.8361168962635102</v>
      </c>
      <c r="G3815" s="2531">
        <v>0.216729997957228</v>
      </c>
    </row>
    <row r="3816" spans="1:7" x14ac:dyDescent="0.25">
      <c r="A3816" s="11" t="s">
        <v>3180</v>
      </c>
      <c r="B3816" s="11"/>
      <c r="C3816" s="2532">
        <v>1242</v>
      </c>
      <c r="D3816" s="2532">
        <v>504528.18516722397</v>
      </c>
      <c r="E3816" s="2533">
        <v>44445.873408877203</v>
      </c>
      <c r="F3816" s="2534">
        <v>2.8299825524800299</v>
      </c>
      <c r="G3816" s="2535">
        <v>0.25804351814019499</v>
      </c>
    </row>
    <row r="3817" spans="1:7" x14ac:dyDescent="0.25">
      <c r="A3817" s="6" t="s">
        <v>1193</v>
      </c>
      <c r="B3817" s="6"/>
      <c r="C3817" s="2528">
        <v>1147</v>
      </c>
      <c r="D3817" s="2528">
        <v>483656.67042234802</v>
      </c>
      <c r="E3817" s="2529">
        <v>30280.605415283801</v>
      </c>
      <c r="F3817" s="2530">
        <v>2.712910752909</v>
      </c>
      <c r="G3817" s="2531">
        <v>0.16011043193660299</v>
      </c>
    </row>
    <row r="3818" spans="1:7" x14ac:dyDescent="0.25">
      <c r="A3818" s="11" t="s">
        <v>1297</v>
      </c>
      <c r="B3818" s="11"/>
      <c r="C3818" s="2532">
        <v>1143</v>
      </c>
      <c r="D3818" s="2532">
        <v>477872.983093763</v>
      </c>
      <c r="E3818" s="2533">
        <v>28311.495622997099</v>
      </c>
      <c r="F3818" s="2534">
        <v>2.6804690881812601</v>
      </c>
      <c r="G3818" s="2535">
        <v>0.16103402460199701</v>
      </c>
    </row>
    <row r="3819" spans="1:7" x14ac:dyDescent="0.25">
      <c r="A3819" s="6" t="s">
        <v>1096</v>
      </c>
      <c r="B3819" s="6"/>
      <c r="C3819" s="2528">
        <v>1129</v>
      </c>
      <c r="D3819" s="2528">
        <v>464696.57454051502</v>
      </c>
      <c r="E3819" s="2529">
        <v>34844.681064285098</v>
      </c>
      <c r="F3819" s="2530">
        <v>2.60656041983267</v>
      </c>
      <c r="G3819" s="2531">
        <v>0.19113564679019601</v>
      </c>
    </row>
    <row r="3820" spans="1:7" x14ac:dyDescent="0.25">
      <c r="A3820" s="11" t="s">
        <v>1195</v>
      </c>
      <c r="B3820" s="11"/>
      <c r="C3820" s="2532">
        <v>705</v>
      </c>
      <c r="D3820" s="2532">
        <v>271506.61529331602</v>
      </c>
      <c r="E3820" s="2533">
        <v>32781.595311541903</v>
      </c>
      <c r="F3820" s="2534">
        <v>1.5229257883944001</v>
      </c>
      <c r="G3820" s="2535">
        <v>0.18492195696074401</v>
      </c>
    </row>
    <row r="3821" spans="1:7" x14ac:dyDescent="0.25">
      <c r="A3821" s="6" t="s">
        <v>1088</v>
      </c>
      <c r="B3821" s="6" t="s">
        <v>1089</v>
      </c>
      <c r="C3821" s="2528">
        <v>8903</v>
      </c>
      <c r="D3821" s="2528">
        <v>5373813.0568115301</v>
      </c>
      <c r="E3821" s="2529">
        <v>137346.496531891</v>
      </c>
      <c r="F3821" s="2530">
        <v>73.741023490363901</v>
      </c>
      <c r="G3821" s="2531">
        <v>0.93746733025181594</v>
      </c>
    </row>
    <row r="3822" spans="1:7" x14ac:dyDescent="0.25">
      <c r="A3822" s="11" t="s">
        <v>1286</v>
      </c>
      <c r="B3822" s="11"/>
      <c r="C3822" s="2532">
        <v>3600</v>
      </c>
      <c r="D3822" s="2532">
        <v>1687808.63304204</v>
      </c>
      <c r="E3822" s="2533">
        <v>73528.402222368197</v>
      </c>
      <c r="F3822" s="2534">
        <v>23.160600255461599</v>
      </c>
      <c r="G3822" s="2535">
        <v>0.84263366037866705</v>
      </c>
    </row>
    <row r="3823" spans="1:7" x14ac:dyDescent="0.25">
      <c r="A3823" s="6" t="s">
        <v>1287</v>
      </c>
      <c r="B3823" s="6"/>
      <c r="C3823" s="2528">
        <v>334</v>
      </c>
      <c r="D3823" s="2528">
        <v>186193.08011823599</v>
      </c>
      <c r="E3823" s="2529">
        <v>26806.3987242822</v>
      </c>
      <c r="F3823" s="2530">
        <v>2.5549955217252398</v>
      </c>
      <c r="G3823" s="2531">
        <v>0.362225348679038</v>
      </c>
    </row>
    <row r="3824" spans="1:7" x14ac:dyDescent="0.25">
      <c r="A3824" s="11" t="s">
        <v>1102</v>
      </c>
      <c r="B3824" s="11" t="s">
        <v>1103</v>
      </c>
      <c r="C3824" s="2532">
        <v>50</v>
      </c>
      <c r="D3824" s="2532">
        <v>30838.935739543998</v>
      </c>
      <c r="E3824" s="2533">
        <v>7153.9376419127202</v>
      </c>
      <c r="F3824" s="2534">
        <v>0.423180832817589</v>
      </c>
      <c r="G3824" s="2535">
        <v>0.10265681459329901</v>
      </c>
    </row>
    <row r="3825" spans="1:7" x14ac:dyDescent="0.25">
      <c r="A3825" s="6" t="s">
        <v>1084</v>
      </c>
      <c r="B3825" s="6" t="s">
        <v>1085</v>
      </c>
      <c r="C3825" s="2528">
        <v>20</v>
      </c>
      <c r="D3825" s="2528">
        <v>8759.4633149114397</v>
      </c>
      <c r="E3825" s="2529">
        <v>4461.4977141306899</v>
      </c>
      <c r="F3825" s="2530">
        <v>0.120199899631626</v>
      </c>
      <c r="G3825" s="2531">
        <v>6.0629534113013202E-2</v>
      </c>
    </row>
    <row r="3826" spans="1:7" x14ac:dyDescent="0.25">
      <c r="A3826" s="11" t="s">
        <v>6417</v>
      </c>
      <c r="B3826" s="11" t="s">
        <v>6418</v>
      </c>
      <c r="C3826" s="2532">
        <v>39321</v>
      </c>
      <c r="D3826" s="2532">
        <v>17827960.9789497</v>
      </c>
      <c r="E3826" s="2533">
        <v>138790.12818045801</v>
      </c>
      <c r="F3826" s="2534">
        <v>70.984254002787594</v>
      </c>
      <c r="G3826" s="2535">
        <v>0.59016251056496205</v>
      </c>
    </row>
    <row r="3827" spans="1:7" x14ac:dyDescent="0.25">
      <c r="A3827" s="6" t="s">
        <v>6417</v>
      </c>
      <c r="B3827" s="6" t="s">
        <v>6419</v>
      </c>
      <c r="C3827" s="2528">
        <v>52228</v>
      </c>
      <c r="D3827" s="2528">
        <v>25115374.147976</v>
      </c>
      <c r="E3827" s="2529">
        <v>0</v>
      </c>
      <c r="F3827" s="2530">
        <v>100</v>
      </c>
      <c r="G3827" s="2531">
        <v>0</v>
      </c>
    </row>
    <row r="3828" spans="1:7" x14ac:dyDescent="0.25">
      <c r="A3828" s="3729" t="s">
        <v>264</v>
      </c>
      <c r="B3828" s="3730"/>
      <c r="C3828" s="3730"/>
      <c r="D3828" s="3730"/>
      <c r="E3828" s="3730"/>
      <c r="F3828" s="3730"/>
      <c r="G3828" s="3730"/>
    </row>
    <row r="3829" spans="1:7" x14ac:dyDescent="0.25">
      <c r="A3829" s="11" t="s">
        <v>1096</v>
      </c>
      <c r="B3829" s="11" t="s">
        <v>1336</v>
      </c>
      <c r="C3829" s="2540">
        <v>1866</v>
      </c>
      <c r="D3829" s="2540">
        <v>864369.14533727395</v>
      </c>
      <c r="E3829" s="2541">
        <v>35973.669311354999</v>
      </c>
      <c r="F3829" s="2542">
        <v>73.643274724083</v>
      </c>
      <c r="G3829" s="2543">
        <v>1.00086760185285</v>
      </c>
    </row>
    <row r="3830" spans="1:7" x14ac:dyDescent="0.25">
      <c r="A3830" s="6" t="s">
        <v>1094</v>
      </c>
      <c r="B3830" s="6" t="s">
        <v>1335</v>
      </c>
      <c r="C3830" s="2536">
        <v>326</v>
      </c>
      <c r="D3830" s="2536">
        <v>163479.088806477</v>
      </c>
      <c r="E3830" s="2537">
        <v>16258.112156774599</v>
      </c>
      <c r="F3830" s="2538">
        <v>13.928233687611</v>
      </c>
      <c r="G3830" s="2539">
        <v>1.3455914668377</v>
      </c>
    </row>
    <row r="3831" spans="1:7" x14ac:dyDescent="0.25">
      <c r="A3831" s="11" t="s">
        <v>1092</v>
      </c>
      <c r="B3831" s="11" t="s">
        <v>1334</v>
      </c>
      <c r="C3831" s="2540">
        <v>258</v>
      </c>
      <c r="D3831" s="2540">
        <v>124427.566828946</v>
      </c>
      <c r="E3831" s="2541">
        <v>12587.3444528863</v>
      </c>
      <c r="F3831" s="2542">
        <v>10.6010881307636</v>
      </c>
      <c r="G3831" s="2543">
        <v>0.88923883661404901</v>
      </c>
    </row>
    <row r="3832" spans="1:7" x14ac:dyDescent="0.25">
      <c r="A3832" s="6" t="s">
        <v>1111</v>
      </c>
      <c r="B3832" s="6" t="s">
        <v>1291</v>
      </c>
      <c r="C3832" s="2536">
        <v>33</v>
      </c>
      <c r="D3832" s="2536">
        <v>16162.6010277282</v>
      </c>
      <c r="E3832" s="2537">
        <v>5576.4389598079397</v>
      </c>
      <c r="F3832" s="2538">
        <v>1.37703534903053</v>
      </c>
      <c r="G3832" s="2539">
        <v>0.48673942342267301</v>
      </c>
    </row>
    <row r="3833" spans="1:7" x14ac:dyDescent="0.25">
      <c r="A3833" s="11" t="s">
        <v>1090</v>
      </c>
      <c r="B3833" s="11" t="s">
        <v>1333</v>
      </c>
      <c r="C3833" s="2540">
        <v>10</v>
      </c>
      <c r="D3833" s="2540">
        <v>5286.0807521134502</v>
      </c>
      <c r="E3833" s="2541">
        <v>3050.83817831838</v>
      </c>
      <c r="F3833" s="2542">
        <v>0.45036810851187897</v>
      </c>
      <c r="G3833" s="2543">
        <v>0.256658344719356</v>
      </c>
    </row>
    <row r="3834" spans="1:7" x14ac:dyDescent="0.25">
      <c r="A3834" s="6" t="s">
        <v>1088</v>
      </c>
      <c r="B3834" s="6" t="s">
        <v>1089</v>
      </c>
      <c r="C3834" s="2536">
        <v>49702</v>
      </c>
      <c r="D3834" s="2536">
        <v>23927866.672412202</v>
      </c>
      <c r="E3834" s="2537">
        <v>106078.202373521</v>
      </c>
      <c r="F3834" s="2538">
        <v>99.942430897603799</v>
      </c>
      <c r="G3834" s="2539">
        <v>1.5934326240891802E-2</v>
      </c>
    </row>
    <row r="3835" spans="1:7" x14ac:dyDescent="0.25">
      <c r="A3835" s="11" t="s">
        <v>1102</v>
      </c>
      <c r="B3835" s="11" t="s">
        <v>1103</v>
      </c>
      <c r="C3835" s="2540">
        <v>33</v>
      </c>
      <c r="D3835" s="2540">
        <v>13782.9928111094</v>
      </c>
      <c r="E3835" s="2541">
        <v>3825.0013833148801</v>
      </c>
      <c r="F3835" s="2542">
        <v>5.7569102396189703E-2</v>
      </c>
      <c r="G3835" s="2543">
        <v>1.5934326240890799E-2</v>
      </c>
    </row>
    <row r="3836" spans="1:7" x14ac:dyDescent="0.25">
      <c r="A3836" s="6" t="s">
        <v>6417</v>
      </c>
      <c r="B3836" s="6" t="s">
        <v>6418</v>
      </c>
      <c r="C3836" s="2536">
        <v>2493</v>
      </c>
      <c r="D3836" s="2536">
        <v>1173724.4827525399</v>
      </c>
      <c r="E3836" s="2537">
        <v>46001.905434438202</v>
      </c>
      <c r="F3836" s="2538">
        <v>4.6733306692432199</v>
      </c>
      <c r="G3836" s="2539">
        <v>0.178077116909509</v>
      </c>
    </row>
    <row r="3837" spans="1:7" x14ac:dyDescent="0.25">
      <c r="A3837" s="11" t="s">
        <v>6417</v>
      </c>
      <c r="B3837" s="11" t="s">
        <v>6419</v>
      </c>
      <c r="C3837" s="2540">
        <v>52228</v>
      </c>
      <c r="D3837" s="2540">
        <v>25115374.147975799</v>
      </c>
      <c r="E3837" s="2541">
        <v>0</v>
      </c>
      <c r="F3837" s="2542">
        <v>100</v>
      </c>
      <c r="G3837" s="2543">
        <v>0</v>
      </c>
    </row>
    <row r="3838" spans="1:7" x14ac:dyDescent="0.25">
      <c r="A3838" s="3729" t="s">
        <v>267</v>
      </c>
      <c r="B3838" s="3730"/>
      <c r="C3838" s="3730"/>
      <c r="D3838" s="3730"/>
      <c r="E3838" s="3730"/>
      <c r="F3838" s="3730"/>
      <c r="G3838" s="3730"/>
    </row>
    <row r="3839" spans="1:7" x14ac:dyDescent="0.25">
      <c r="A3839" s="11" t="s">
        <v>6734</v>
      </c>
      <c r="B3839" s="11"/>
      <c r="C3839" s="2548">
        <v>6</v>
      </c>
      <c r="D3839" s="2548">
        <v>5184.2260157114297</v>
      </c>
      <c r="E3839" s="2549">
        <v>4318.6771107899003</v>
      </c>
      <c r="F3839" s="2550">
        <v>32.075443839871298</v>
      </c>
      <c r="G3839" s="2551">
        <v>24.9157207353465</v>
      </c>
    </row>
    <row r="3840" spans="1:7" x14ac:dyDescent="0.25">
      <c r="A3840" s="6" t="s">
        <v>6750</v>
      </c>
      <c r="B3840" s="6"/>
      <c r="C3840" s="2544">
        <v>1</v>
      </c>
      <c r="D3840" s="2544">
        <v>3359.2856537028201</v>
      </c>
      <c r="E3840" s="2545">
        <v>3457.6055710129099</v>
      </c>
      <c r="F3840" s="2546">
        <v>20.784313415518302</v>
      </c>
      <c r="G3840" s="2547">
        <v>21.826706092001601</v>
      </c>
    </row>
    <row r="3841" spans="1:7" x14ac:dyDescent="0.25">
      <c r="A3841" s="11" t="s">
        <v>6751</v>
      </c>
      <c r="B3841" s="11"/>
      <c r="C3841" s="2548">
        <v>2</v>
      </c>
      <c r="D3841" s="2548">
        <v>1949.15103755372</v>
      </c>
      <c r="E3841" s="2549">
        <v>1872.7383335602799</v>
      </c>
      <c r="F3841" s="2550">
        <v>12.059637147571699</v>
      </c>
      <c r="G3841" s="2551">
        <v>12.8786705523914</v>
      </c>
    </row>
    <row r="3842" spans="1:7" x14ac:dyDescent="0.25">
      <c r="A3842" s="6" t="s">
        <v>6752</v>
      </c>
      <c r="B3842" s="6"/>
      <c r="C3842" s="2544">
        <v>1</v>
      </c>
      <c r="D3842" s="2544">
        <v>1317.34853027809</v>
      </c>
      <c r="E3842" s="2545">
        <v>1325.1927962975799</v>
      </c>
      <c r="F3842" s="2546">
        <v>8.1505973451802394</v>
      </c>
      <c r="G3842" s="2547">
        <v>8.9927432435497003</v>
      </c>
    </row>
    <row r="3843" spans="1:7" x14ac:dyDescent="0.25">
      <c r="A3843" s="11" t="s">
        <v>6753</v>
      </c>
      <c r="B3843" s="11"/>
      <c r="C3843" s="2548">
        <v>1</v>
      </c>
      <c r="D3843" s="2548">
        <v>603.93169932616604</v>
      </c>
      <c r="E3843" s="2549">
        <v>614.48470231375097</v>
      </c>
      <c r="F3843" s="2550">
        <v>3.7365996864618101</v>
      </c>
      <c r="G3843" s="2551">
        <v>4.2729082096023001</v>
      </c>
    </row>
    <row r="3844" spans="1:7" x14ac:dyDescent="0.25">
      <c r="A3844" s="6" t="s">
        <v>6754</v>
      </c>
      <c r="B3844" s="6"/>
      <c r="C3844" s="2544">
        <v>1</v>
      </c>
      <c r="D3844" s="2544">
        <v>495.59220116916799</v>
      </c>
      <c r="E3844" s="2545">
        <v>499.16480307255398</v>
      </c>
      <c r="F3844" s="2546">
        <v>3.0662898893497399</v>
      </c>
      <c r="G3844" s="2547">
        <v>3.34157380524158</v>
      </c>
    </row>
    <row r="3845" spans="1:7" x14ac:dyDescent="0.25">
      <c r="A3845" s="11" t="s">
        <v>6755</v>
      </c>
      <c r="B3845" s="11"/>
      <c r="C3845" s="2548">
        <v>1</v>
      </c>
      <c r="D3845" s="2548">
        <v>484.43623835103199</v>
      </c>
      <c r="E3845" s="2549">
        <v>488.38702392275502</v>
      </c>
      <c r="F3845" s="2550">
        <v>2.9972665755959902</v>
      </c>
      <c r="G3845" s="2551">
        <v>3.3002526669911298</v>
      </c>
    </row>
    <row r="3846" spans="1:7" x14ac:dyDescent="0.25">
      <c r="A3846" s="6" t="s">
        <v>6756</v>
      </c>
      <c r="B3846" s="6"/>
      <c r="C3846" s="2544">
        <v>1</v>
      </c>
      <c r="D3846" s="2544">
        <v>450.90130581508203</v>
      </c>
      <c r="E3846" s="2545">
        <v>455.61991897243303</v>
      </c>
      <c r="F3846" s="2546">
        <v>2.7897818243581298</v>
      </c>
      <c r="G3846" s="2547">
        <v>3.0958662832549901</v>
      </c>
    </row>
    <row r="3847" spans="1:7" x14ac:dyDescent="0.25">
      <c r="A3847" s="11" t="s">
        <v>6757</v>
      </c>
      <c r="B3847" s="11"/>
      <c r="C3847" s="2548">
        <v>1</v>
      </c>
      <c r="D3847" s="2548">
        <v>436.76080308855802</v>
      </c>
      <c r="E3847" s="2549">
        <v>440.68948748866097</v>
      </c>
      <c r="F3847" s="2550">
        <v>2.7022927951959002</v>
      </c>
      <c r="G3847" s="2551">
        <v>2.8068531480546701</v>
      </c>
    </row>
    <row r="3848" spans="1:7" x14ac:dyDescent="0.25">
      <c r="A3848" s="6" t="s">
        <v>6758</v>
      </c>
      <c r="B3848" s="6"/>
      <c r="C3848" s="2544">
        <v>1</v>
      </c>
      <c r="D3848" s="2544">
        <v>419.68456523783499</v>
      </c>
      <c r="E3848" s="2545">
        <v>423.95518516960902</v>
      </c>
      <c r="F3848" s="2546">
        <v>2.59664001182627</v>
      </c>
      <c r="G3848" s="2547">
        <v>2.8616302712925199</v>
      </c>
    </row>
    <row r="3849" spans="1:7" x14ac:dyDescent="0.25">
      <c r="A3849" s="11" t="s">
        <v>6759</v>
      </c>
      <c r="B3849" s="11"/>
      <c r="C3849" s="2548">
        <v>1</v>
      </c>
      <c r="D3849" s="2548">
        <v>268.44861789408202</v>
      </c>
      <c r="E3849" s="2549">
        <v>268.12310800056503</v>
      </c>
      <c r="F3849" s="2550">
        <v>1.66092460881474</v>
      </c>
      <c r="G3849" s="2551">
        <v>1.81164916872805</v>
      </c>
    </row>
    <row r="3850" spans="1:7" x14ac:dyDescent="0.25">
      <c r="A3850" s="6" t="s">
        <v>6760</v>
      </c>
      <c r="B3850" s="6"/>
      <c r="C3850" s="2544">
        <v>1</v>
      </c>
      <c r="D3850" s="2544">
        <v>232.02337698242701</v>
      </c>
      <c r="E3850" s="2545">
        <v>232.970011908402</v>
      </c>
      <c r="F3850" s="2546">
        <v>1.43555716424833</v>
      </c>
      <c r="G3850" s="2547">
        <v>1.61832744956296</v>
      </c>
    </row>
    <row r="3851" spans="1:7" x14ac:dyDescent="0.25">
      <c r="A3851" s="11" t="s">
        <v>6761</v>
      </c>
      <c r="B3851" s="11"/>
      <c r="C3851" s="2548">
        <v>2</v>
      </c>
      <c r="D3851" s="2548">
        <v>228.48683931252199</v>
      </c>
      <c r="E3851" s="2549">
        <v>228.565820314619</v>
      </c>
      <c r="F3851" s="2550">
        <v>1.4136761708126999</v>
      </c>
      <c r="G3851" s="2551">
        <v>1.54373408135281</v>
      </c>
    </row>
    <row r="3852" spans="1:7" x14ac:dyDescent="0.25">
      <c r="A3852" s="6" t="s">
        <v>6762</v>
      </c>
      <c r="B3852" s="6"/>
      <c r="C3852" s="2544">
        <v>1</v>
      </c>
      <c r="D3852" s="2544">
        <v>199.57317828748401</v>
      </c>
      <c r="E3852" s="2545">
        <v>199.046279776034</v>
      </c>
      <c r="F3852" s="2546">
        <v>1.2347837946695599</v>
      </c>
      <c r="G3852" s="2547">
        <v>1.39017189887612</v>
      </c>
    </row>
    <row r="3853" spans="1:7" x14ac:dyDescent="0.25">
      <c r="A3853" s="11" t="s">
        <v>6763</v>
      </c>
      <c r="B3853" s="11"/>
      <c r="C3853" s="2548">
        <v>1</v>
      </c>
      <c r="D3853" s="2548">
        <v>139.47372024599801</v>
      </c>
      <c r="E3853" s="2549">
        <v>140.02368503992099</v>
      </c>
      <c r="F3853" s="2550">
        <v>0.862941057610219</v>
      </c>
      <c r="G3853" s="2551">
        <v>0.96253163482102599</v>
      </c>
    </row>
    <row r="3854" spans="1:7" x14ac:dyDescent="0.25">
      <c r="A3854" s="6" t="s">
        <v>6764</v>
      </c>
      <c r="B3854" s="6"/>
      <c r="C3854" s="2544">
        <v>1</v>
      </c>
      <c r="D3854" s="2544">
        <v>108.058256437553</v>
      </c>
      <c r="E3854" s="2545">
        <v>108.440388537717</v>
      </c>
      <c r="F3854" s="2546">
        <v>0.66856972001084802</v>
      </c>
      <c r="G3854" s="2547">
        <v>0.735391141402294</v>
      </c>
    </row>
    <row r="3855" spans="1:7" x14ac:dyDescent="0.25">
      <c r="A3855" s="11" t="s">
        <v>6765</v>
      </c>
      <c r="B3855" s="11"/>
      <c r="C3855" s="2548">
        <v>1</v>
      </c>
      <c r="D3855" s="2548">
        <v>104.21547648145</v>
      </c>
      <c r="E3855" s="2549">
        <v>104.05837522703401</v>
      </c>
      <c r="F3855" s="2550">
        <v>0.64479396789328702</v>
      </c>
      <c r="G3855" s="2551">
        <v>0.66941974165462204</v>
      </c>
    </row>
    <row r="3856" spans="1:7" x14ac:dyDescent="0.25">
      <c r="A3856" s="6" t="s">
        <v>6766</v>
      </c>
      <c r="B3856" s="6"/>
      <c r="C3856" s="2544">
        <v>1</v>
      </c>
      <c r="D3856" s="2544">
        <v>78.943514915878396</v>
      </c>
      <c r="E3856" s="2545">
        <v>78.556077979017601</v>
      </c>
      <c r="F3856" s="2546">
        <v>0.48843323410906803</v>
      </c>
      <c r="G3856" s="2547">
        <v>0.50707754358736901</v>
      </c>
    </row>
    <row r="3857" spans="1:7" x14ac:dyDescent="0.25">
      <c r="A3857" s="11" t="s">
        <v>6767</v>
      </c>
      <c r="B3857" s="11"/>
      <c r="C3857" s="2548">
        <v>1</v>
      </c>
      <c r="D3857" s="2548">
        <v>61.459268058228901</v>
      </c>
      <c r="E3857" s="2549">
        <v>61.425002254397498</v>
      </c>
      <c r="F3857" s="2550">
        <v>0.38025604884257602</v>
      </c>
      <c r="G3857" s="2551">
        <v>0.41396437070207198</v>
      </c>
    </row>
    <row r="3858" spans="1:7" x14ac:dyDescent="0.25">
      <c r="A3858" s="6" t="s">
        <v>6768</v>
      </c>
      <c r="B3858" s="6"/>
      <c r="C3858" s="2544">
        <v>1</v>
      </c>
      <c r="D3858" s="2544">
        <v>40.6007288786939</v>
      </c>
      <c r="E3858" s="2545">
        <v>40.897954298720599</v>
      </c>
      <c r="F3858" s="2546">
        <v>0.25120170205921799</v>
      </c>
      <c r="G3858" s="2547">
        <v>0.26156724119962899</v>
      </c>
    </row>
    <row r="3859" spans="1:7" x14ac:dyDescent="0.25">
      <c r="A3859" s="11" t="s">
        <v>1088</v>
      </c>
      <c r="B3859" s="11" t="s">
        <v>1089</v>
      </c>
      <c r="C3859" s="2548">
        <v>52195</v>
      </c>
      <c r="D3859" s="2548">
        <v>25099211.546948198</v>
      </c>
      <c r="E3859" s="2549">
        <v>113246.647627453</v>
      </c>
      <c r="F3859" s="2550">
        <v>100</v>
      </c>
      <c r="G3859" s="2551">
        <v>0</v>
      </c>
    </row>
    <row r="3860" spans="1:7" x14ac:dyDescent="0.25">
      <c r="A3860" s="6" t="s">
        <v>6417</v>
      </c>
      <c r="B3860" s="6" t="s">
        <v>6418</v>
      </c>
      <c r="C3860" s="2544">
        <v>27</v>
      </c>
      <c r="D3860" s="2544">
        <v>16162.6010277282</v>
      </c>
      <c r="E3860" s="2545">
        <v>5576.4389598079397</v>
      </c>
      <c r="F3860" s="2546">
        <v>6.4353415292564095E-2</v>
      </c>
      <c r="G3860" s="2547">
        <v>2.2297573738593101E-2</v>
      </c>
    </row>
    <row r="3861" spans="1:7" x14ac:dyDescent="0.25">
      <c r="A3861" s="11" t="s">
        <v>6417</v>
      </c>
      <c r="B3861" s="11" t="s">
        <v>6419</v>
      </c>
      <c r="C3861" s="2548">
        <v>52222</v>
      </c>
      <c r="D3861" s="2548">
        <v>25115374.147975899</v>
      </c>
      <c r="E3861" s="2549">
        <v>0</v>
      </c>
      <c r="F3861" s="2550">
        <v>100</v>
      </c>
      <c r="G3861" s="2551">
        <v>0</v>
      </c>
    </row>
    <row r="3862" spans="1:7" x14ac:dyDescent="0.25">
      <c r="A3862" s="3729" t="s">
        <v>894</v>
      </c>
      <c r="B3862" s="3730"/>
      <c r="C3862" s="3730"/>
      <c r="D3862" s="3730"/>
      <c r="E3862" s="3730"/>
      <c r="F3862" s="3730"/>
      <c r="G3862" s="3730"/>
    </row>
    <row r="3863" spans="1:7" x14ac:dyDescent="0.25">
      <c r="A3863" s="11" t="s">
        <v>1090</v>
      </c>
      <c r="B3863" s="11" t="s">
        <v>1179</v>
      </c>
      <c r="C3863" s="2556">
        <v>45727</v>
      </c>
      <c r="D3863" s="2556">
        <v>21573879.776585001</v>
      </c>
      <c r="E3863" s="2557">
        <v>98051.421780206001</v>
      </c>
      <c r="F3863" s="2558">
        <v>86.228670042531803</v>
      </c>
      <c r="G3863" s="2559">
        <v>0.311391665631989</v>
      </c>
    </row>
    <row r="3864" spans="1:7" x14ac:dyDescent="0.25">
      <c r="A3864" s="6" t="s">
        <v>1092</v>
      </c>
      <c r="B3864" s="6" t="s">
        <v>1180</v>
      </c>
      <c r="C3864" s="2552">
        <v>6306</v>
      </c>
      <c r="D3864" s="2552">
        <v>3445501.5567276999</v>
      </c>
      <c r="E3864" s="2553">
        <v>86109.626374119907</v>
      </c>
      <c r="F3864" s="2554">
        <v>13.7713299574682</v>
      </c>
      <c r="G3864" s="2555">
        <v>0.311391665631991</v>
      </c>
    </row>
    <row r="3865" spans="1:7" x14ac:dyDescent="0.25">
      <c r="A3865" s="11" t="s">
        <v>1102</v>
      </c>
      <c r="B3865" s="11" t="s">
        <v>1103</v>
      </c>
      <c r="C3865" s="2556">
        <v>153</v>
      </c>
      <c r="D3865" s="2556">
        <v>82263.139008028898</v>
      </c>
      <c r="E3865" s="2557">
        <v>12702.5343762597</v>
      </c>
      <c r="F3865" s="2558">
        <v>85.697183999346507</v>
      </c>
      <c r="G3865" s="2559">
        <v>6.8400741401583502</v>
      </c>
    </row>
    <row r="3866" spans="1:7" x14ac:dyDescent="0.25">
      <c r="A3866" s="6" t="s">
        <v>1086</v>
      </c>
      <c r="B3866" s="6" t="s">
        <v>1147</v>
      </c>
      <c r="C3866" s="2552">
        <v>23</v>
      </c>
      <c r="D3866" s="2552">
        <v>8516.4631559648897</v>
      </c>
      <c r="E3866" s="2553">
        <v>5548.7773783990597</v>
      </c>
      <c r="F3866" s="2554">
        <v>8.8719798308346398</v>
      </c>
      <c r="G3866" s="2555">
        <v>5.9064808344264099</v>
      </c>
    </row>
    <row r="3867" spans="1:7" x14ac:dyDescent="0.25">
      <c r="A3867" s="11" t="s">
        <v>1084</v>
      </c>
      <c r="B3867" s="11" t="s">
        <v>1153</v>
      </c>
      <c r="C3867" s="2556">
        <v>19</v>
      </c>
      <c r="D3867" s="2556">
        <v>5213.2124991533701</v>
      </c>
      <c r="E3867" s="2557">
        <v>1884.6197175350101</v>
      </c>
      <c r="F3867" s="2558">
        <v>5.4308361698188499</v>
      </c>
      <c r="G3867" s="2559">
        <v>2.1460348502002402</v>
      </c>
    </row>
    <row r="3868" spans="1:7" x14ac:dyDescent="0.25">
      <c r="A3868" s="6" t="s">
        <v>6417</v>
      </c>
      <c r="B3868" s="6" t="s">
        <v>6418</v>
      </c>
      <c r="C3868" s="2552">
        <v>52033</v>
      </c>
      <c r="D3868" s="2552">
        <v>25019381.333312701</v>
      </c>
      <c r="E3868" s="2553">
        <v>117843.87257729701</v>
      </c>
      <c r="F3868" s="2554">
        <v>99.617792615401299</v>
      </c>
      <c r="G3868" s="2555">
        <v>4.7964895245590798E-2</v>
      </c>
    </row>
    <row r="3869" spans="1:7" x14ac:dyDescent="0.25">
      <c r="A3869" s="11" t="s">
        <v>6417</v>
      </c>
      <c r="B3869" s="11" t="s">
        <v>6419</v>
      </c>
      <c r="C3869" s="2556">
        <v>52228</v>
      </c>
      <c r="D3869" s="2556">
        <v>25115374.147975899</v>
      </c>
      <c r="E3869" s="2557">
        <v>0</v>
      </c>
      <c r="F3869" s="2558">
        <v>100</v>
      </c>
      <c r="G3869" s="2559">
        <v>0</v>
      </c>
    </row>
    <row r="3870" spans="1:7" x14ac:dyDescent="0.25">
      <c r="A3870" s="3729" t="s">
        <v>891</v>
      </c>
      <c r="B3870" s="3730"/>
      <c r="C3870" s="3730"/>
      <c r="D3870" s="3730"/>
      <c r="E3870" s="3730"/>
      <c r="F3870" s="3730"/>
      <c r="G3870" s="3730"/>
    </row>
    <row r="3871" spans="1:7" x14ac:dyDescent="0.25">
      <c r="A3871" s="11" t="s">
        <v>1286</v>
      </c>
      <c r="B3871" s="11" t="s">
        <v>1153</v>
      </c>
      <c r="C3871" s="2564">
        <v>10892</v>
      </c>
      <c r="D3871" s="2564">
        <v>6483894.54540799</v>
      </c>
      <c r="E3871" s="2565">
        <v>84027.6330483294</v>
      </c>
      <c r="F3871" s="2566">
        <v>60.714874288942497</v>
      </c>
      <c r="G3871" s="2567">
        <v>0.58904413569688896</v>
      </c>
    </row>
    <row r="3872" spans="1:7" x14ac:dyDescent="0.25">
      <c r="A3872" s="6" t="s">
        <v>1088</v>
      </c>
      <c r="B3872" s="6" t="s">
        <v>1089</v>
      </c>
      <c r="C3872" s="2560">
        <v>6501</v>
      </c>
      <c r="D3872" s="2560">
        <v>3541494.3713908498</v>
      </c>
      <c r="E3872" s="2561">
        <v>82986.000367013301</v>
      </c>
      <c r="F3872" s="2562">
        <v>33.162381659380202</v>
      </c>
      <c r="G3872" s="2563">
        <v>0.62057718573737597</v>
      </c>
    </row>
    <row r="3873" spans="1:7" x14ac:dyDescent="0.25">
      <c r="A3873" s="11" t="s">
        <v>1287</v>
      </c>
      <c r="B3873" s="11" t="s">
        <v>1087</v>
      </c>
      <c r="C3873" s="2564">
        <v>959</v>
      </c>
      <c r="D3873" s="2564">
        <v>643447.66939781501</v>
      </c>
      <c r="E3873" s="2565">
        <v>51362.550330907499</v>
      </c>
      <c r="F3873" s="2566">
        <v>6.0252127923131003</v>
      </c>
      <c r="G3873" s="2567">
        <v>0.47207683090293401</v>
      </c>
    </row>
    <row r="3874" spans="1:7" x14ac:dyDescent="0.25">
      <c r="A3874" s="6" t="s">
        <v>1084</v>
      </c>
      <c r="B3874" s="6" t="s">
        <v>1153</v>
      </c>
      <c r="C3874" s="2560">
        <v>16</v>
      </c>
      <c r="D3874" s="2560">
        <v>9781.8983415976709</v>
      </c>
      <c r="E3874" s="2561">
        <v>4587.52511179049</v>
      </c>
      <c r="F3874" s="2562">
        <v>9.1597222002620701E-2</v>
      </c>
      <c r="G3874" s="2563">
        <v>4.3201385893689201E-2</v>
      </c>
    </row>
    <row r="3875" spans="1:7" x14ac:dyDescent="0.25">
      <c r="A3875" s="11" t="s">
        <v>1086</v>
      </c>
      <c r="B3875" s="11" t="s">
        <v>1087</v>
      </c>
      <c r="C3875" s="2564">
        <v>5</v>
      </c>
      <c r="D3875" s="2564">
        <v>633.71081521866904</v>
      </c>
      <c r="E3875" s="2565">
        <v>299.16597639746698</v>
      </c>
      <c r="F3875" s="2566">
        <v>5.9340373616646701E-3</v>
      </c>
      <c r="G3875" s="2567">
        <v>2.8054566202514301E-3</v>
      </c>
    </row>
    <row r="3876" spans="1:7" x14ac:dyDescent="0.25">
      <c r="A3876" s="6" t="s">
        <v>6417</v>
      </c>
      <c r="B3876" s="6" t="s">
        <v>6418</v>
      </c>
      <c r="C3876" s="2560">
        <v>33582</v>
      </c>
      <c r="D3876" s="2560">
        <v>14436121.952622499</v>
      </c>
      <c r="E3876" s="2561">
        <v>101110.08526172501</v>
      </c>
      <c r="F3876" s="2562">
        <v>57.479223154578797</v>
      </c>
      <c r="G3876" s="2563">
        <v>0.387866690867335</v>
      </c>
    </row>
    <row r="3877" spans="1:7" x14ac:dyDescent="0.25">
      <c r="A3877" s="11" t="s">
        <v>6417</v>
      </c>
      <c r="B3877" s="11" t="s">
        <v>6419</v>
      </c>
      <c r="C3877" s="2564">
        <v>51955</v>
      </c>
      <c r="D3877" s="2564">
        <v>25115374.147975899</v>
      </c>
      <c r="E3877" s="2565">
        <v>0</v>
      </c>
      <c r="F3877" s="2566">
        <v>100</v>
      </c>
      <c r="G3877" s="2567">
        <v>0</v>
      </c>
    </row>
    <row r="3878" spans="1:7" x14ac:dyDescent="0.25">
      <c r="A3878" s="3729" t="s">
        <v>912</v>
      </c>
      <c r="B3878" s="3730"/>
      <c r="C3878" s="3730"/>
      <c r="D3878" s="3730"/>
      <c r="E3878" s="3730"/>
      <c r="F3878" s="3730"/>
      <c r="G3878" s="3730"/>
    </row>
    <row r="3879" spans="1:7" x14ac:dyDescent="0.25">
      <c r="A3879" s="11" t="s">
        <v>1090</v>
      </c>
      <c r="B3879" s="11" t="s">
        <v>1179</v>
      </c>
      <c r="C3879" s="2572">
        <v>7514</v>
      </c>
      <c r="D3879" s="2572">
        <v>2728698.2222236302</v>
      </c>
      <c r="E3879" s="2573">
        <v>56113.011211582299</v>
      </c>
      <c r="F3879" s="2574">
        <v>100</v>
      </c>
      <c r="G3879" s="2575">
        <v>0</v>
      </c>
    </row>
    <row r="3880" spans="1:7" x14ac:dyDescent="0.25">
      <c r="A3880" s="6" t="s">
        <v>1088</v>
      </c>
      <c r="B3880" s="6" t="s">
        <v>1089</v>
      </c>
      <c r="C3880" s="2568">
        <v>44713</v>
      </c>
      <c r="D3880" s="2568">
        <v>22386675.9257522</v>
      </c>
      <c r="E3880" s="2569">
        <v>137435.48866151899</v>
      </c>
      <c r="F3880" s="2570">
        <v>100</v>
      </c>
      <c r="G3880" s="2571">
        <v>0</v>
      </c>
    </row>
    <row r="3881" spans="1:7" x14ac:dyDescent="0.25">
      <c r="A3881" s="11" t="s">
        <v>6417</v>
      </c>
      <c r="B3881" s="11" t="s">
        <v>6418</v>
      </c>
      <c r="C3881" s="2572">
        <v>7514</v>
      </c>
      <c r="D3881" s="2572">
        <v>2728698.2222236302</v>
      </c>
      <c r="E3881" s="2573">
        <v>56113.011211582299</v>
      </c>
      <c r="F3881" s="2574">
        <v>10.864652886103</v>
      </c>
      <c r="G3881" s="2575">
        <v>0.24109377747257699</v>
      </c>
    </row>
    <row r="3882" spans="1:7" x14ac:dyDescent="0.25">
      <c r="A3882" s="6" t="s">
        <v>6417</v>
      </c>
      <c r="B3882" s="6" t="s">
        <v>6419</v>
      </c>
      <c r="C3882" s="2568">
        <v>52227</v>
      </c>
      <c r="D3882" s="2568">
        <v>25115374.147975799</v>
      </c>
      <c r="E3882" s="2569">
        <v>0</v>
      </c>
      <c r="F3882" s="2570">
        <v>100</v>
      </c>
      <c r="G3882" s="2571">
        <v>0</v>
      </c>
    </row>
    <row r="3883" spans="1:7" x14ac:dyDescent="0.25">
      <c r="A3883" s="3729" t="s">
        <v>889</v>
      </c>
      <c r="B3883" s="3730"/>
      <c r="C3883" s="3730"/>
      <c r="D3883" s="3730"/>
      <c r="E3883" s="3730"/>
      <c r="F3883" s="3730"/>
      <c r="G3883" s="3730"/>
    </row>
    <row r="3884" spans="1:7" x14ac:dyDescent="0.25">
      <c r="A3884" s="11" t="s">
        <v>1090</v>
      </c>
      <c r="B3884" s="11" t="s">
        <v>1281</v>
      </c>
      <c r="C3884" s="2580">
        <v>5696</v>
      </c>
      <c r="D3884" s="2580">
        <v>3094724.7378642699</v>
      </c>
      <c r="E3884" s="2581">
        <v>133087.29416221901</v>
      </c>
      <c r="F3884" s="2582">
        <v>44.799417827938498</v>
      </c>
      <c r="G3884" s="2583">
        <v>1.6804567223676199</v>
      </c>
    </row>
    <row r="3885" spans="1:7" x14ac:dyDescent="0.25">
      <c r="A3885" s="6" t="s">
        <v>1092</v>
      </c>
      <c r="B3885" s="6" t="s">
        <v>1282</v>
      </c>
      <c r="C3885" s="2576">
        <v>3098</v>
      </c>
      <c r="D3885" s="2576">
        <v>1925642.1979056399</v>
      </c>
      <c r="E3885" s="2577">
        <v>50402.750068121699</v>
      </c>
      <c r="F3885" s="2578">
        <v>27.875710028614598</v>
      </c>
      <c r="G3885" s="2579">
        <v>0.76601676286773801</v>
      </c>
    </row>
    <row r="3886" spans="1:7" x14ac:dyDescent="0.25">
      <c r="A3886" s="11" t="s">
        <v>1094</v>
      </c>
      <c r="B3886" s="11" t="s">
        <v>1283</v>
      </c>
      <c r="C3886" s="2580">
        <v>1727</v>
      </c>
      <c r="D3886" s="2580">
        <v>1138509.35479254</v>
      </c>
      <c r="E3886" s="2581">
        <v>59628.643391968297</v>
      </c>
      <c r="F3886" s="2582">
        <v>16.481128567695102</v>
      </c>
      <c r="G3886" s="2583">
        <v>0.90141211545546396</v>
      </c>
    </row>
    <row r="3887" spans="1:7" x14ac:dyDescent="0.25">
      <c r="A3887" s="6" t="s">
        <v>1096</v>
      </c>
      <c r="B3887" s="6" t="s">
        <v>1284</v>
      </c>
      <c r="C3887" s="2576">
        <v>607</v>
      </c>
      <c r="D3887" s="2576">
        <v>448699.45564994798</v>
      </c>
      <c r="E3887" s="2577">
        <v>32046.726478178301</v>
      </c>
      <c r="F3887" s="2578">
        <v>6.4953997836663904</v>
      </c>
      <c r="G3887" s="2579">
        <v>0.46533785429949798</v>
      </c>
    </row>
    <row r="3888" spans="1:7" x14ac:dyDescent="0.25">
      <c r="A3888" s="11" t="s">
        <v>1098</v>
      </c>
      <c r="B3888" s="11" t="s">
        <v>6259</v>
      </c>
      <c r="C3888" s="2580">
        <v>378</v>
      </c>
      <c r="D3888" s="2580">
        <v>300381.74053487898</v>
      </c>
      <c r="E3888" s="2581">
        <v>31420.166285543</v>
      </c>
      <c r="F3888" s="2582">
        <v>4.3483437920854797</v>
      </c>
      <c r="G3888" s="2583">
        <v>0.43209381303345101</v>
      </c>
    </row>
    <row r="3889" spans="1:7" x14ac:dyDescent="0.25">
      <c r="A3889" s="6" t="s">
        <v>1088</v>
      </c>
      <c r="B3889" s="6" t="s">
        <v>1089</v>
      </c>
      <c r="C3889" s="2576">
        <v>40350</v>
      </c>
      <c r="D3889" s="2576">
        <v>17971264.203689098</v>
      </c>
      <c r="E3889" s="2577">
        <v>121297.203792835</v>
      </c>
      <c r="F3889" s="2578">
        <v>98.702987568564595</v>
      </c>
      <c r="G3889" s="2579">
        <v>0.19490812573298799</v>
      </c>
    </row>
    <row r="3890" spans="1:7" x14ac:dyDescent="0.25">
      <c r="A3890" s="11" t="s">
        <v>1084</v>
      </c>
      <c r="B3890" s="11" t="s">
        <v>1085</v>
      </c>
      <c r="C3890" s="2580">
        <v>222</v>
      </c>
      <c r="D3890" s="2580">
        <v>158708.08172676401</v>
      </c>
      <c r="E3890" s="2581">
        <v>31251.837041332201</v>
      </c>
      <c r="F3890" s="2582">
        <v>0.87166721495819</v>
      </c>
      <c r="G3890" s="2583">
        <v>0.172006667020457</v>
      </c>
    </row>
    <row r="3891" spans="1:7" x14ac:dyDescent="0.25">
      <c r="A3891" s="6" t="s">
        <v>1086</v>
      </c>
      <c r="B3891" s="6" t="s">
        <v>1087</v>
      </c>
      <c r="C3891" s="2576">
        <v>149</v>
      </c>
      <c r="D3891" s="2576">
        <v>77012.701546116805</v>
      </c>
      <c r="E3891" s="2577">
        <v>20582.986822541701</v>
      </c>
      <c r="F3891" s="2578">
        <v>0.42297434599884898</v>
      </c>
      <c r="G3891" s="2579">
        <v>0.113671404515737</v>
      </c>
    </row>
    <row r="3892" spans="1:7" x14ac:dyDescent="0.25">
      <c r="A3892" s="11" t="s">
        <v>1102</v>
      </c>
      <c r="B3892" s="11" t="s">
        <v>1103</v>
      </c>
      <c r="C3892" s="2580">
        <v>1</v>
      </c>
      <c r="D3892" s="2580">
        <v>431.674266495442</v>
      </c>
      <c r="E3892" s="2581">
        <v>431.64722830898103</v>
      </c>
      <c r="F3892" s="2582">
        <v>2.3708704783730501E-3</v>
      </c>
      <c r="G3892" s="2583">
        <v>2.3714239343675301E-3</v>
      </c>
    </row>
    <row r="3893" spans="1:7" x14ac:dyDescent="0.25">
      <c r="A3893" s="6" t="s">
        <v>6417</v>
      </c>
      <c r="B3893" s="6" t="s">
        <v>6418</v>
      </c>
      <c r="C3893" s="2576">
        <v>11506</v>
      </c>
      <c r="D3893" s="2576">
        <v>6907957.4867472704</v>
      </c>
      <c r="E3893" s="2577">
        <v>95153.808625148493</v>
      </c>
      <c r="F3893" s="2578">
        <v>27.5048957903103</v>
      </c>
      <c r="G3893" s="2579">
        <v>0.34055136792718399</v>
      </c>
    </row>
    <row r="3894" spans="1:7" x14ac:dyDescent="0.25">
      <c r="A3894" s="11" t="s">
        <v>6417</v>
      </c>
      <c r="B3894" s="11" t="s">
        <v>6419</v>
      </c>
      <c r="C3894" s="2580">
        <v>52228</v>
      </c>
      <c r="D3894" s="2580">
        <v>25115374.147975799</v>
      </c>
      <c r="E3894" s="2581">
        <v>0</v>
      </c>
      <c r="F3894" s="2582">
        <v>100</v>
      </c>
      <c r="G3894" s="2583">
        <v>0</v>
      </c>
    </row>
    <row r="3895" spans="1:7" x14ac:dyDescent="0.25">
      <c r="A3895" s="3729" t="s">
        <v>897</v>
      </c>
      <c r="B3895" s="3730"/>
      <c r="C3895" s="3730"/>
      <c r="D3895" s="3730"/>
      <c r="E3895" s="3730"/>
      <c r="F3895" s="3730"/>
      <c r="G3895" s="3730"/>
    </row>
    <row r="3896" spans="1:7" x14ac:dyDescent="0.25">
      <c r="A3896" s="11" t="s">
        <v>1100</v>
      </c>
      <c r="B3896" s="11"/>
      <c r="C3896" s="2588">
        <v>715</v>
      </c>
      <c r="D3896" s="2588">
        <v>369959.67234194098</v>
      </c>
      <c r="E3896" s="2589">
        <v>27040.422011925399</v>
      </c>
      <c r="F3896" s="2590">
        <v>10.9937605893253</v>
      </c>
      <c r="G3896" s="2591">
        <v>0.68252516389685602</v>
      </c>
    </row>
    <row r="3897" spans="1:7" x14ac:dyDescent="0.25">
      <c r="A3897" s="6" t="s">
        <v>1094</v>
      </c>
      <c r="B3897" s="6"/>
      <c r="C3897" s="2584">
        <v>605</v>
      </c>
      <c r="D3897" s="2584">
        <v>355433.87454289099</v>
      </c>
      <c r="E3897" s="2585">
        <v>35038.095666697802</v>
      </c>
      <c r="F3897" s="2586">
        <v>10.5621104519987</v>
      </c>
      <c r="G3897" s="2587">
        <v>0.94744646233957097</v>
      </c>
    </row>
    <row r="3898" spans="1:7" x14ac:dyDescent="0.25">
      <c r="A3898" s="11" t="s">
        <v>1090</v>
      </c>
      <c r="B3898" s="11"/>
      <c r="C3898" s="2588">
        <v>668</v>
      </c>
      <c r="D3898" s="2588">
        <v>330206.48210263898</v>
      </c>
      <c r="E3898" s="2589">
        <v>20491.856528055701</v>
      </c>
      <c r="F3898" s="2590">
        <v>9.8124506011684005</v>
      </c>
      <c r="G3898" s="2591">
        <v>0.49819725567766898</v>
      </c>
    </row>
    <row r="3899" spans="1:7" x14ac:dyDescent="0.25">
      <c r="A3899" s="6" t="s">
        <v>1123</v>
      </c>
      <c r="B3899" s="6"/>
      <c r="C3899" s="2584">
        <v>493</v>
      </c>
      <c r="D3899" s="2584">
        <v>309153.71973080299</v>
      </c>
      <c r="E3899" s="2585">
        <v>27238.7702669137</v>
      </c>
      <c r="F3899" s="2586">
        <v>9.1868444971441701</v>
      </c>
      <c r="G3899" s="2587">
        <v>0.73945021156039203</v>
      </c>
    </row>
    <row r="3900" spans="1:7" x14ac:dyDescent="0.25">
      <c r="A3900" s="11" t="s">
        <v>1098</v>
      </c>
      <c r="B3900" s="11"/>
      <c r="C3900" s="2588">
        <v>511</v>
      </c>
      <c r="D3900" s="2588">
        <v>305983.423870617</v>
      </c>
      <c r="E3900" s="2589">
        <v>36443.419133961303</v>
      </c>
      <c r="F3900" s="2590">
        <v>9.0926356514514008</v>
      </c>
      <c r="G3900" s="2591">
        <v>0.98622468130308105</v>
      </c>
    </row>
    <row r="3901" spans="1:7" x14ac:dyDescent="0.25">
      <c r="A3901" s="6" t="s">
        <v>1092</v>
      </c>
      <c r="B3901" s="6"/>
      <c r="C3901" s="2584">
        <v>608</v>
      </c>
      <c r="D3901" s="2584">
        <v>292704.03176319401</v>
      </c>
      <c r="E3901" s="2585">
        <v>26959.533847983701</v>
      </c>
      <c r="F3901" s="2586">
        <v>8.6980238369348903</v>
      </c>
      <c r="G3901" s="2587">
        <v>0.77203947264494599</v>
      </c>
    </row>
    <row r="3902" spans="1:7" x14ac:dyDescent="0.25">
      <c r="A3902" s="11" t="s">
        <v>1119</v>
      </c>
      <c r="B3902" s="11"/>
      <c r="C3902" s="2588">
        <v>505</v>
      </c>
      <c r="D3902" s="2588">
        <v>292312.17974572798</v>
      </c>
      <c r="E3902" s="2589">
        <v>23357.3164108417</v>
      </c>
      <c r="F3902" s="2590">
        <v>8.6863795211120696</v>
      </c>
      <c r="G3902" s="2591">
        <v>0.79929345132539897</v>
      </c>
    </row>
    <row r="3903" spans="1:7" x14ac:dyDescent="0.25">
      <c r="A3903" s="6" t="s">
        <v>1096</v>
      </c>
      <c r="B3903" s="6"/>
      <c r="C3903" s="2584">
        <v>541</v>
      </c>
      <c r="D3903" s="2584">
        <v>286472.67899731599</v>
      </c>
      <c r="E3903" s="2585">
        <v>26506.997405513099</v>
      </c>
      <c r="F3903" s="2586">
        <v>8.5128523018266709</v>
      </c>
      <c r="G3903" s="2587">
        <v>0.76779876281992299</v>
      </c>
    </row>
    <row r="3904" spans="1:7" x14ac:dyDescent="0.25">
      <c r="A3904" s="11" t="s">
        <v>1109</v>
      </c>
      <c r="B3904" s="11"/>
      <c r="C3904" s="2588">
        <v>407</v>
      </c>
      <c r="D3904" s="2588">
        <v>218451.05923396701</v>
      </c>
      <c r="E3904" s="2589">
        <v>25374.059209814899</v>
      </c>
      <c r="F3904" s="2590">
        <v>6.4915146845601202</v>
      </c>
      <c r="G3904" s="2591">
        <v>0.83112970280960996</v>
      </c>
    </row>
    <row r="3905" spans="1:7" x14ac:dyDescent="0.25">
      <c r="A3905" s="6" t="s">
        <v>1125</v>
      </c>
      <c r="B3905" s="6"/>
      <c r="C3905" s="2584">
        <v>395</v>
      </c>
      <c r="D3905" s="2584">
        <v>217805.653843231</v>
      </c>
      <c r="E3905" s="2585">
        <v>23142.5888447418</v>
      </c>
      <c r="F3905" s="2586">
        <v>6.4723357499916698</v>
      </c>
      <c r="G3905" s="2587">
        <v>0.66528863091532997</v>
      </c>
    </row>
    <row r="3906" spans="1:7" x14ac:dyDescent="0.25">
      <c r="A3906" s="11" t="s">
        <v>1121</v>
      </c>
      <c r="B3906" s="11"/>
      <c r="C3906" s="2588">
        <v>399</v>
      </c>
      <c r="D3906" s="2588">
        <v>216884.63249754399</v>
      </c>
      <c r="E3906" s="2589">
        <v>11852.5400693919</v>
      </c>
      <c r="F3906" s="2590">
        <v>6.4449665826766198</v>
      </c>
      <c r="G3906" s="2591">
        <v>0.34415686932546702</v>
      </c>
    </row>
    <row r="3907" spans="1:7" x14ac:dyDescent="0.25">
      <c r="A3907" s="6" t="s">
        <v>1292</v>
      </c>
      <c r="B3907" s="6"/>
      <c r="C3907" s="2584">
        <v>338</v>
      </c>
      <c r="D3907" s="2584">
        <v>169811.13361313401</v>
      </c>
      <c r="E3907" s="2585">
        <v>12618.8549743432</v>
      </c>
      <c r="F3907" s="2586">
        <v>5.04612553180998</v>
      </c>
      <c r="G3907" s="2587">
        <v>0.39361713195303699</v>
      </c>
    </row>
    <row r="3908" spans="1:7" x14ac:dyDescent="0.25">
      <c r="A3908" s="11" t="s">
        <v>1088</v>
      </c>
      <c r="B3908" s="11" t="s">
        <v>1089</v>
      </c>
      <c r="C3908" s="2588">
        <v>45922</v>
      </c>
      <c r="D3908" s="2588">
        <v>21669872.591248199</v>
      </c>
      <c r="E3908" s="2589">
        <v>93574.981264786402</v>
      </c>
      <c r="F3908" s="2590">
        <v>99.630702105393098</v>
      </c>
      <c r="G3908" s="2591">
        <v>7.6120989101829503E-2</v>
      </c>
    </row>
    <row r="3909" spans="1:7" x14ac:dyDescent="0.25">
      <c r="A3909" s="6" t="s">
        <v>1086</v>
      </c>
      <c r="B3909" s="6" t="s">
        <v>1087</v>
      </c>
      <c r="C3909" s="2584">
        <v>68</v>
      </c>
      <c r="D3909" s="2584">
        <v>51604.880034823203</v>
      </c>
      <c r="E3909" s="2585">
        <v>15211.0234693402</v>
      </c>
      <c r="F3909" s="2586">
        <v>0.23726168247110499</v>
      </c>
      <c r="G3909" s="2587">
        <v>6.9407897257543996E-2</v>
      </c>
    </row>
    <row r="3910" spans="1:7" x14ac:dyDescent="0.25">
      <c r="A3910" s="11" t="s">
        <v>1084</v>
      </c>
      <c r="B3910" s="11" t="s">
        <v>1085</v>
      </c>
      <c r="C3910" s="2588">
        <v>52</v>
      </c>
      <c r="D3910" s="2588">
        <v>28635.930453616598</v>
      </c>
      <c r="E3910" s="2589">
        <v>11354.593488066899</v>
      </c>
      <c r="F3910" s="2590">
        <v>0.131658266310586</v>
      </c>
      <c r="G3910" s="2591">
        <v>5.2286596839094597E-2</v>
      </c>
    </row>
    <row r="3911" spans="1:7" x14ac:dyDescent="0.25">
      <c r="A3911" s="6" t="s">
        <v>1102</v>
      </c>
      <c r="B3911" s="6" t="s">
        <v>1103</v>
      </c>
      <c r="C3911" s="2584">
        <v>1</v>
      </c>
      <c r="D3911" s="2584">
        <v>82.203956264228694</v>
      </c>
      <c r="E3911" s="2585">
        <v>82.415729625297502</v>
      </c>
      <c r="F3911" s="2586">
        <v>3.7794582519852201E-4</v>
      </c>
      <c r="G3911" s="2587">
        <v>3.7893150051891201E-4</v>
      </c>
    </row>
    <row r="3912" spans="1:7" x14ac:dyDescent="0.25">
      <c r="A3912" s="11" t="s">
        <v>6417</v>
      </c>
      <c r="B3912" s="11" t="s">
        <v>6418</v>
      </c>
      <c r="C3912" s="2588">
        <v>6185</v>
      </c>
      <c r="D3912" s="2588">
        <v>3365178.5422830102</v>
      </c>
      <c r="E3912" s="2589">
        <v>79108.376003947298</v>
      </c>
      <c r="F3912" s="2590">
        <v>13.398878800116201</v>
      </c>
      <c r="G3912" s="2591">
        <v>0.29063006029055299</v>
      </c>
    </row>
    <row r="3913" spans="1:7" x14ac:dyDescent="0.25">
      <c r="A3913" s="6" t="s">
        <v>6417</v>
      </c>
      <c r="B3913" s="6" t="s">
        <v>6419</v>
      </c>
      <c r="C3913" s="2584">
        <v>52228</v>
      </c>
      <c r="D3913" s="2584">
        <v>25115374.147975899</v>
      </c>
      <c r="E3913" s="2585">
        <v>0</v>
      </c>
      <c r="F3913" s="2586">
        <v>100</v>
      </c>
      <c r="G3913" s="2587">
        <v>0</v>
      </c>
    </row>
    <row r="3914" spans="1:7" x14ac:dyDescent="0.25">
      <c r="A3914" s="3729" t="s">
        <v>220</v>
      </c>
      <c r="B3914" s="3730"/>
      <c r="C3914" s="3730"/>
      <c r="D3914" s="3730"/>
      <c r="E3914" s="3730"/>
      <c r="F3914" s="3730"/>
      <c r="G3914" s="3730"/>
    </row>
    <row r="3915" spans="1:7" x14ac:dyDescent="0.25">
      <c r="A3915" s="11" t="s">
        <v>1088</v>
      </c>
      <c r="B3915" s="11" t="s">
        <v>1089</v>
      </c>
      <c r="C3915" s="2596">
        <v>45922</v>
      </c>
      <c r="D3915" s="2596">
        <v>21669872.591248199</v>
      </c>
      <c r="E3915" s="2597">
        <v>93574.981264786402</v>
      </c>
      <c r="F3915" s="2598">
        <v>95.569129160492096</v>
      </c>
      <c r="G3915" s="2599">
        <v>0.27605624410131802</v>
      </c>
    </row>
    <row r="3916" spans="1:7" x14ac:dyDescent="0.25">
      <c r="A3916" s="6" t="s">
        <v>1286</v>
      </c>
      <c r="B3916" s="6" t="s">
        <v>1153</v>
      </c>
      <c r="C3916" s="2592">
        <v>1190</v>
      </c>
      <c r="D3916" s="2592">
        <v>859523.31626103795</v>
      </c>
      <c r="E3916" s="2593">
        <v>56180.178144027203</v>
      </c>
      <c r="F3916" s="2594">
        <v>3.7906957912332699</v>
      </c>
      <c r="G3916" s="2595">
        <v>0.238892675019864</v>
      </c>
    </row>
    <row r="3917" spans="1:7" x14ac:dyDescent="0.25">
      <c r="A3917" s="11" t="s">
        <v>1287</v>
      </c>
      <c r="B3917" s="11" t="s">
        <v>1087</v>
      </c>
      <c r="C3917" s="2596">
        <v>212</v>
      </c>
      <c r="D3917" s="2596">
        <v>141855.59319029501</v>
      </c>
      <c r="E3917" s="2597">
        <v>20662.863188208001</v>
      </c>
      <c r="F3917" s="2598">
        <v>0.62561583833293299</v>
      </c>
      <c r="G3917" s="2599">
        <v>8.9968784660592896E-2</v>
      </c>
    </row>
    <row r="3918" spans="1:7" x14ac:dyDescent="0.25">
      <c r="A3918" s="6" t="s">
        <v>1084</v>
      </c>
      <c r="B3918" s="6" t="s">
        <v>1153</v>
      </c>
      <c r="C3918" s="2592">
        <v>3</v>
      </c>
      <c r="D3918" s="2592">
        <v>1976.8372940797001</v>
      </c>
      <c r="E3918" s="2593">
        <v>981.33712629596505</v>
      </c>
      <c r="F3918" s="2594">
        <v>8.7183077746143204E-3</v>
      </c>
      <c r="G3918" s="2595">
        <v>4.3533687616171997E-3</v>
      </c>
    </row>
    <row r="3919" spans="1:7" x14ac:dyDescent="0.25">
      <c r="A3919" s="11" t="s">
        <v>1086</v>
      </c>
      <c r="B3919" s="11" t="s">
        <v>1147</v>
      </c>
      <c r="C3919" s="2596">
        <v>2</v>
      </c>
      <c r="D3919" s="2596">
        <v>1242.19448588814</v>
      </c>
      <c r="E3919" s="2597">
        <v>1252.8199064524399</v>
      </c>
      <c r="F3919" s="2598">
        <v>5.4783637866076098E-3</v>
      </c>
      <c r="G3919" s="2599">
        <v>5.5271435511976804E-3</v>
      </c>
    </row>
    <row r="3920" spans="1:7" x14ac:dyDescent="0.25">
      <c r="A3920" s="6" t="s">
        <v>1102</v>
      </c>
      <c r="B3920" s="6" t="s">
        <v>1103</v>
      </c>
      <c r="C3920" s="2592">
        <v>1</v>
      </c>
      <c r="D3920" s="2592">
        <v>82.203956264228694</v>
      </c>
      <c r="E3920" s="2593">
        <v>82.415729625297502</v>
      </c>
      <c r="F3920" s="2594">
        <v>3.6253838044679601E-4</v>
      </c>
      <c r="G3920" s="2595">
        <v>3.63458838493448E-4</v>
      </c>
    </row>
    <row r="3921" spans="1:7" x14ac:dyDescent="0.25">
      <c r="A3921" s="11" t="s">
        <v>6417</v>
      </c>
      <c r="B3921" s="11" t="s">
        <v>6418</v>
      </c>
      <c r="C3921" s="2596">
        <v>4638</v>
      </c>
      <c r="D3921" s="2596">
        <v>2440821.4115401399</v>
      </c>
      <c r="E3921" s="2597">
        <v>48938.333108664003</v>
      </c>
      <c r="F3921" s="2598">
        <v>9.7184353980123994</v>
      </c>
      <c r="G3921" s="2599">
        <v>0.192241566693445</v>
      </c>
    </row>
    <row r="3922" spans="1:7" x14ac:dyDescent="0.25">
      <c r="A3922" s="6" t="s">
        <v>6417</v>
      </c>
      <c r="B3922" s="6" t="s">
        <v>6419</v>
      </c>
      <c r="C3922" s="2592">
        <v>51968</v>
      </c>
      <c r="D3922" s="2592">
        <v>25115374.147975899</v>
      </c>
      <c r="E3922" s="2593">
        <v>0</v>
      </c>
      <c r="F3922" s="2594">
        <v>100</v>
      </c>
      <c r="G3922" s="2595">
        <v>0</v>
      </c>
    </row>
    <row r="3923" spans="1:7" x14ac:dyDescent="0.25">
      <c r="A3923" s="3729" t="s">
        <v>909</v>
      </c>
      <c r="B3923" s="3730"/>
      <c r="C3923" s="3730"/>
      <c r="D3923" s="3730"/>
      <c r="E3923" s="3730"/>
      <c r="F3923" s="3730"/>
      <c r="G3923" s="3730"/>
    </row>
    <row r="3924" spans="1:7" x14ac:dyDescent="0.25">
      <c r="A3924" s="11" t="s">
        <v>1090</v>
      </c>
      <c r="B3924" s="11" t="s">
        <v>1179</v>
      </c>
      <c r="C3924" s="2604">
        <v>1735</v>
      </c>
      <c r="D3924" s="2604">
        <v>810737.90436858404</v>
      </c>
      <c r="E3924" s="2605">
        <v>41478.278812463301</v>
      </c>
      <c r="F3924" s="2606">
        <v>100</v>
      </c>
      <c r="G3924" s="2607">
        <v>0</v>
      </c>
    </row>
    <row r="3925" spans="1:7" x14ac:dyDescent="0.25">
      <c r="A3925" s="6" t="s">
        <v>1088</v>
      </c>
      <c r="B3925" s="6" t="s">
        <v>1089</v>
      </c>
      <c r="C3925" s="2600">
        <v>50493</v>
      </c>
      <c r="D3925" s="2600">
        <v>24304636.243607301</v>
      </c>
      <c r="E3925" s="2601">
        <v>99331.86138627</v>
      </c>
      <c r="F3925" s="2602">
        <v>100</v>
      </c>
      <c r="G3925" s="2603">
        <v>0</v>
      </c>
    </row>
    <row r="3926" spans="1:7" x14ac:dyDescent="0.25">
      <c r="A3926" s="11" t="s">
        <v>6417</v>
      </c>
      <c r="B3926" s="11" t="s">
        <v>6418</v>
      </c>
      <c r="C3926" s="2604">
        <v>1735</v>
      </c>
      <c r="D3926" s="2604">
        <v>810737.90436858404</v>
      </c>
      <c r="E3926" s="2605">
        <v>41478.278812463301</v>
      </c>
      <c r="F3926" s="2606">
        <v>3.2280542570930599</v>
      </c>
      <c r="G3926" s="2607">
        <v>0.15907177455381399</v>
      </c>
    </row>
    <row r="3927" spans="1:7" x14ac:dyDescent="0.25">
      <c r="A3927" s="6" t="s">
        <v>6417</v>
      </c>
      <c r="B3927" s="6" t="s">
        <v>6419</v>
      </c>
      <c r="C3927" s="2600">
        <v>52228</v>
      </c>
      <c r="D3927" s="2600">
        <v>25115374.147975899</v>
      </c>
      <c r="E3927" s="2601">
        <v>0</v>
      </c>
      <c r="F3927" s="2602">
        <v>100</v>
      </c>
      <c r="G3927" s="2603">
        <v>0</v>
      </c>
    </row>
    <row r="3928" spans="1:7" x14ac:dyDescent="0.25">
      <c r="A3928" s="3729" t="s">
        <v>217</v>
      </c>
      <c r="B3928" s="3730"/>
      <c r="C3928" s="3730"/>
      <c r="D3928" s="3730"/>
      <c r="E3928" s="3730"/>
      <c r="F3928" s="3730"/>
      <c r="G3928" s="3730"/>
    </row>
    <row r="3929" spans="1:7" x14ac:dyDescent="0.25">
      <c r="A3929" s="11" t="s">
        <v>1090</v>
      </c>
      <c r="B3929" s="11" t="s">
        <v>1281</v>
      </c>
      <c r="C3929" s="2612">
        <v>876</v>
      </c>
      <c r="D3929" s="2612">
        <v>606775.60253844201</v>
      </c>
      <c r="E3929" s="2613">
        <v>51693.376475773097</v>
      </c>
      <c r="F3929" s="2614">
        <v>62.658819975135501</v>
      </c>
      <c r="G3929" s="2615">
        <v>3.03971414266094</v>
      </c>
    </row>
    <row r="3930" spans="1:7" x14ac:dyDescent="0.25">
      <c r="A3930" s="6" t="s">
        <v>1092</v>
      </c>
      <c r="B3930" s="6" t="s">
        <v>1282</v>
      </c>
      <c r="C3930" s="2608">
        <v>263</v>
      </c>
      <c r="D3930" s="2608">
        <v>192360.48328695499</v>
      </c>
      <c r="E3930" s="2609">
        <v>18966.162181587599</v>
      </c>
      <c r="F3930" s="2610">
        <v>19.864148858628099</v>
      </c>
      <c r="G3930" s="2611">
        <v>1.36920267558299</v>
      </c>
    </row>
    <row r="3931" spans="1:7" x14ac:dyDescent="0.25">
      <c r="A3931" s="11" t="s">
        <v>1094</v>
      </c>
      <c r="B3931" s="11" t="s">
        <v>1283</v>
      </c>
      <c r="C3931" s="2612">
        <v>93</v>
      </c>
      <c r="D3931" s="2612">
        <v>71161.8353749331</v>
      </c>
      <c r="E3931" s="2613">
        <v>17341.236744336999</v>
      </c>
      <c r="F3931" s="2614">
        <v>7.3485430416191901</v>
      </c>
      <c r="G3931" s="2615">
        <v>1.91084320057562</v>
      </c>
    </row>
    <row r="3932" spans="1:7" x14ac:dyDescent="0.25">
      <c r="A3932" s="6" t="s">
        <v>1098</v>
      </c>
      <c r="B3932" s="6" t="s">
        <v>1285</v>
      </c>
      <c r="C3932" s="2608">
        <v>67</v>
      </c>
      <c r="D3932" s="2608">
        <v>55713.591082760402</v>
      </c>
      <c r="E3932" s="2609">
        <v>12073.761471981399</v>
      </c>
      <c r="F3932" s="2610">
        <v>5.753276597178</v>
      </c>
      <c r="G3932" s="2611">
        <v>1.3083871684379</v>
      </c>
    </row>
    <row r="3933" spans="1:7" x14ac:dyDescent="0.25">
      <c r="A3933" s="11" t="s">
        <v>1096</v>
      </c>
      <c r="B3933" s="11" t="s">
        <v>1284</v>
      </c>
      <c r="C3933" s="2612">
        <v>47</v>
      </c>
      <c r="D3933" s="2612">
        <v>42368.681884665901</v>
      </c>
      <c r="E3933" s="2613">
        <v>13605.7837923683</v>
      </c>
      <c r="F3933" s="2614">
        <v>4.3752115274392098</v>
      </c>
      <c r="G3933" s="2615">
        <v>1.3319376358816699</v>
      </c>
    </row>
    <row r="3934" spans="1:7" x14ac:dyDescent="0.25">
      <c r="A3934" s="6" t="s">
        <v>1088</v>
      </c>
      <c r="B3934" s="6" t="s">
        <v>1089</v>
      </c>
      <c r="C3934" s="2608">
        <v>50820</v>
      </c>
      <c r="D3934" s="2608">
        <v>24110776.2067446</v>
      </c>
      <c r="E3934" s="2609">
        <v>86218.6087496377</v>
      </c>
      <c r="F3934" s="2610">
        <v>99.850011363183199</v>
      </c>
      <c r="G3934" s="2611">
        <v>3.6991531638181398E-2</v>
      </c>
    </row>
    <row r="3935" spans="1:7" x14ac:dyDescent="0.25">
      <c r="A3935" s="11" t="s">
        <v>1084</v>
      </c>
      <c r="B3935" s="11" t="s">
        <v>1085</v>
      </c>
      <c r="C3935" s="2612">
        <v>29</v>
      </c>
      <c r="D3935" s="2612">
        <v>19001.696964455601</v>
      </c>
      <c r="E3935" s="2613">
        <v>5747.0454336396097</v>
      </c>
      <c r="F3935" s="2614">
        <v>7.8691770084528295E-2</v>
      </c>
      <c r="G3935" s="2615">
        <v>2.37667992376044E-2</v>
      </c>
    </row>
    <row r="3936" spans="1:7" x14ac:dyDescent="0.25">
      <c r="A3936" s="6" t="s">
        <v>1086</v>
      </c>
      <c r="B3936" s="6" t="s">
        <v>1087</v>
      </c>
      <c r="C3936" s="2608">
        <v>33</v>
      </c>
      <c r="D3936" s="2608">
        <v>17216.050099087501</v>
      </c>
      <c r="E3936" s="2609">
        <v>5359.4087765971899</v>
      </c>
      <c r="F3936" s="2610">
        <v>7.1296866732235398E-2</v>
      </c>
      <c r="G3936" s="2611">
        <v>2.2221234475134001E-2</v>
      </c>
    </row>
    <row r="3937" spans="1:7" x14ac:dyDescent="0.25">
      <c r="A3937" s="11" t="s">
        <v>6417</v>
      </c>
      <c r="B3937" s="11" t="s">
        <v>6418</v>
      </c>
      <c r="C3937" s="2612">
        <v>1346</v>
      </c>
      <c r="D3937" s="2612">
        <v>968380.19416775706</v>
      </c>
      <c r="E3937" s="2613">
        <v>60219.913767938997</v>
      </c>
      <c r="F3937" s="2614">
        <v>3.8557267292225599</v>
      </c>
      <c r="G3937" s="2615">
        <v>0.22945528048044</v>
      </c>
    </row>
    <row r="3938" spans="1:7" x14ac:dyDescent="0.25">
      <c r="A3938" s="6" t="s">
        <v>6417</v>
      </c>
      <c r="B3938" s="6" t="s">
        <v>6419</v>
      </c>
      <c r="C3938" s="2608">
        <v>52228</v>
      </c>
      <c r="D3938" s="2608">
        <v>25115374.147975899</v>
      </c>
      <c r="E3938" s="2609">
        <v>0</v>
      </c>
      <c r="F3938" s="2610">
        <v>100</v>
      </c>
      <c r="G3938" s="2611">
        <v>0</v>
      </c>
    </row>
    <row r="3939" spans="1:7" x14ac:dyDescent="0.25">
      <c r="A3939" s="3729" t="s">
        <v>39</v>
      </c>
      <c r="B3939" s="3730"/>
      <c r="C3939" s="3730"/>
      <c r="D3939" s="3730"/>
      <c r="E3939" s="3730"/>
      <c r="F3939" s="3730"/>
      <c r="G3939" s="3730"/>
    </row>
    <row r="3940" spans="1:7" x14ac:dyDescent="0.25">
      <c r="A3940" s="11" t="s">
        <v>1088</v>
      </c>
      <c r="B3940" s="11" t="s">
        <v>1089</v>
      </c>
      <c r="C3940" s="2620">
        <v>13334</v>
      </c>
      <c r="D3940" s="2620">
        <v>8165005.0468252404</v>
      </c>
      <c r="E3940" s="2621">
        <v>125528.642587214</v>
      </c>
      <c r="F3940" s="2622">
        <v>99.001553964940797</v>
      </c>
      <c r="G3940" s="2623">
        <v>0.157381269297906</v>
      </c>
    </row>
    <row r="3941" spans="1:7" x14ac:dyDescent="0.25">
      <c r="A3941" s="6" t="s">
        <v>1102</v>
      </c>
      <c r="B3941" s="6" t="s">
        <v>1103</v>
      </c>
      <c r="C3941" s="2616">
        <v>154</v>
      </c>
      <c r="D3941" s="2616">
        <v>82345.342964293101</v>
      </c>
      <c r="E3941" s="2617">
        <v>12706.898648672301</v>
      </c>
      <c r="F3941" s="2618">
        <v>0.99844603505920004</v>
      </c>
      <c r="G3941" s="2619">
        <v>0.1573812692979</v>
      </c>
    </row>
    <row r="3942" spans="1:7" x14ac:dyDescent="0.25">
      <c r="A3942" s="11" t="s">
        <v>6417</v>
      </c>
      <c r="B3942" s="11" t="s">
        <v>6418</v>
      </c>
      <c r="C3942" s="2620">
        <v>38223</v>
      </c>
      <c r="D3942" s="2620">
        <v>16868023.7581864</v>
      </c>
      <c r="E3942" s="2621">
        <v>113251.277519175</v>
      </c>
      <c r="F3942" s="2622">
        <v>67.162144027011493</v>
      </c>
      <c r="G3942" s="2623">
        <v>0.42944540294821398</v>
      </c>
    </row>
    <row r="3943" spans="1:7" x14ac:dyDescent="0.25">
      <c r="A3943" s="6" t="s">
        <v>6417</v>
      </c>
      <c r="B3943" s="6" t="s">
        <v>6419</v>
      </c>
      <c r="C3943" s="2616">
        <v>51711</v>
      </c>
      <c r="D3943" s="2616">
        <v>25115374.147976</v>
      </c>
      <c r="E3943" s="2617">
        <v>0</v>
      </c>
      <c r="F3943" s="2618">
        <v>100</v>
      </c>
      <c r="G3943" s="2619">
        <v>0</v>
      </c>
    </row>
    <row r="3944" spans="1:7" x14ac:dyDescent="0.25">
      <c r="A3944" s="3729" t="s">
        <v>373</v>
      </c>
      <c r="B3944" s="3730"/>
      <c r="C3944" s="3730"/>
      <c r="D3944" s="3730"/>
      <c r="E3944" s="3730"/>
      <c r="F3944" s="3730"/>
      <c r="G3944" s="3730"/>
    </row>
    <row r="3945" spans="1:7" x14ac:dyDescent="0.25">
      <c r="A3945" s="11" t="s">
        <v>1092</v>
      </c>
      <c r="B3945" s="11" t="s">
        <v>1180</v>
      </c>
      <c r="C3945" s="2628">
        <v>49702</v>
      </c>
      <c r="D3945" s="2628">
        <v>23927866.672412202</v>
      </c>
      <c r="E3945" s="2629">
        <v>106078.202373521</v>
      </c>
      <c r="F3945" s="2630">
        <v>95.271790622878896</v>
      </c>
      <c r="G3945" s="2631">
        <v>0.174302682081176</v>
      </c>
    </row>
    <row r="3946" spans="1:7" x14ac:dyDescent="0.25">
      <c r="A3946" s="6" t="s">
        <v>1090</v>
      </c>
      <c r="B3946" s="6" t="s">
        <v>1179</v>
      </c>
      <c r="C3946" s="2624">
        <v>2526</v>
      </c>
      <c r="D3946" s="2624">
        <v>1187507.47556365</v>
      </c>
      <c r="E3946" s="2625">
        <v>45151.834879985297</v>
      </c>
      <c r="F3946" s="2626">
        <v>4.7282093771211198</v>
      </c>
      <c r="G3946" s="2627">
        <v>0.174302682081176</v>
      </c>
    </row>
    <row r="3947" spans="1:7" x14ac:dyDescent="0.25">
      <c r="A3947" s="11" t="s">
        <v>6417</v>
      </c>
      <c r="B3947" s="11" t="s">
        <v>6418</v>
      </c>
      <c r="C3947" s="2628">
        <v>52228</v>
      </c>
      <c r="D3947" s="2628">
        <v>25115374.147975799</v>
      </c>
      <c r="E3947" s="2629">
        <v>111182.95762373701</v>
      </c>
      <c r="F3947" s="2630">
        <v>100</v>
      </c>
      <c r="G3947" s="2631">
        <v>1.45362315675074E-14</v>
      </c>
    </row>
    <row r="3948" spans="1:7" x14ac:dyDescent="0.25">
      <c r="A3948" s="6" t="s">
        <v>6417</v>
      </c>
      <c r="B3948" s="6" t="s">
        <v>6419</v>
      </c>
      <c r="C3948" s="2624">
        <v>52228</v>
      </c>
      <c r="D3948" s="2624">
        <v>25115374.147975799</v>
      </c>
      <c r="E3948" s="2625">
        <v>0</v>
      </c>
      <c r="F3948" s="2626">
        <v>100</v>
      </c>
      <c r="G3948" s="2627">
        <v>0</v>
      </c>
    </row>
    <row r="3949" spans="1:7" x14ac:dyDescent="0.25">
      <c r="A3949" s="3731" t="s">
        <v>1272</v>
      </c>
      <c r="B3949" s="3730"/>
      <c r="C3949" s="3730"/>
      <c r="D3949" s="3730"/>
      <c r="E3949" s="3730"/>
      <c r="F3949" s="3730"/>
      <c r="G3949" s="3730"/>
    </row>
    <row r="3950" spans="1:7" x14ac:dyDescent="0.25">
      <c r="A3950" s="3729" t="s">
        <v>349</v>
      </c>
      <c r="B3950" s="3730"/>
      <c r="C3950" s="3730"/>
      <c r="D3950" s="3730"/>
      <c r="E3950" s="3730"/>
      <c r="F3950" s="3730"/>
      <c r="G3950" s="3730"/>
    </row>
    <row r="3951" spans="1:7" x14ac:dyDescent="0.25">
      <c r="A3951" s="11" t="s">
        <v>6417</v>
      </c>
      <c r="B3951" s="11" t="s">
        <v>6418</v>
      </c>
      <c r="C3951" s="2636">
        <v>134424</v>
      </c>
      <c r="D3951" s="2636">
        <v>31834089337.094101</v>
      </c>
      <c r="E3951" s="2637">
        <v>298177412.67022401</v>
      </c>
      <c r="F3951" s="2638">
        <v>100</v>
      </c>
      <c r="G3951" s="2639">
        <v>1.45362315675074E-14</v>
      </c>
    </row>
    <row r="3952" spans="1:7" x14ac:dyDescent="0.25">
      <c r="A3952" s="6" t="s">
        <v>6417</v>
      </c>
      <c r="B3952" s="6" t="s">
        <v>6419</v>
      </c>
      <c r="C3952" s="2632">
        <v>134424</v>
      </c>
      <c r="D3952" s="2632">
        <v>31834089337.094101</v>
      </c>
      <c r="E3952" s="2633">
        <v>0</v>
      </c>
      <c r="F3952" s="2634">
        <v>100</v>
      </c>
      <c r="G3952" s="2635">
        <v>0</v>
      </c>
    </row>
    <row r="3953" spans="1:7" x14ac:dyDescent="0.25">
      <c r="A3953" s="3729" t="s">
        <v>523</v>
      </c>
      <c r="B3953" s="3730"/>
      <c r="C3953" s="3730"/>
      <c r="D3953" s="3730"/>
      <c r="E3953" s="3730"/>
      <c r="F3953" s="3730"/>
      <c r="G3953" s="3730"/>
    </row>
    <row r="3954" spans="1:7" x14ac:dyDescent="0.25">
      <c r="A3954" s="11" t="s">
        <v>1090</v>
      </c>
      <c r="B3954" s="11"/>
      <c r="C3954" s="2644">
        <v>103118</v>
      </c>
      <c r="D3954" s="2644">
        <v>14945493551.034401</v>
      </c>
      <c r="E3954" s="2645">
        <v>115290111.690375</v>
      </c>
      <c r="F3954" s="2646">
        <v>46.948079440172499</v>
      </c>
      <c r="G3954" s="2647">
        <v>0.221408034928642</v>
      </c>
    </row>
    <row r="3955" spans="1:7" x14ac:dyDescent="0.25">
      <c r="A3955" s="6" t="s">
        <v>1092</v>
      </c>
      <c r="B3955" s="6"/>
      <c r="C3955" s="2640">
        <v>55595</v>
      </c>
      <c r="D3955" s="2640">
        <v>9002780312.6071796</v>
      </c>
      <c r="E3955" s="2641">
        <v>134586444.14047101</v>
      </c>
      <c r="F3955" s="2642">
        <v>28.280313651431701</v>
      </c>
      <c r="G3955" s="2643">
        <v>0.28534436692313803</v>
      </c>
    </row>
    <row r="3956" spans="1:7" x14ac:dyDescent="0.25">
      <c r="A3956" s="11" t="s">
        <v>1094</v>
      </c>
      <c r="B3956" s="11"/>
      <c r="C3956" s="2644">
        <v>16140</v>
      </c>
      <c r="D3956" s="2644">
        <v>4365250207.5473804</v>
      </c>
      <c r="E3956" s="2645">
        <v>72892747.550297797</v>
      </c>
      <c r="F3956" s="2646">
        <v>13.7125022215128</v>
      </c>
      <c r="G3956" s="2647">
        <v>0.14093325206094401</v>
      </c>
    </row>
    <row r="3957" spans="1:7" x14ac:dyDescent="0.25">
      <c r="A3957" s="6" t="s">
        <v>1096</v>
      </c>
      <c r="B3957" s="6"/>
      <c r="C3957" s="2640">
        <v>7560</v>
      </c>
      <c r="D3957" s="2640">
        <v>2330637038.2358699</v>
      </c>
      <c r="E3957" s="2641">
        <v>69573832.8651326</v>
      </c>
      <c r="F3957" s="2642">
        <v>7.3211990252227501</v>
      </c>
      <c r="G3957" s="2643">
        <v>0.19499317039142799</v>
      </c>
    </row>
    <row r="3958" spans="1:7" x14ac:dyDescent="0.25">
      <c r="A3958" s="11" t="s">
        <v>1098</v>
      </c>
      <c r="B3958" s="11"/>
      <c r="C3958" s="2644">
        <v>2261</v>
      </c>
      <c r="D3958" s="2644">
        <v>749836221.67844903</v>
      </c>
      <c r="E3958" s="2645">
        <v>60138661.4004291</v>
      </c>
      <c r="F3958" s="2646">
        <v>2.3554505163894102</v>
      </c>
      <c r="G3958" s="2647">
        <v>0.18475804379822999</v>
      </c>
    </row>
    <row r="3959" spans="1:7" x14ac:dyDescent="0.25">
      <c r="A3959" s="6" t="s">
        <v>1100</v>
      </c>
      <c r="B3959" s="6"/>
      <c r="C3959" s="2640">
        <v>654</v>
      </c>
      <c r="D3959" s="2640">
        <v>253490232.689493</v>
      </c>
      <c r="E3959" s="2641">
        <v>27097859.7523726</v>
      </c>
      <c r="F3959" s="2642">
        <v>0.79628548505114205</v>
      </c>
      <c r="G3959" s="2643">
        <v>8.2446529737957394E-2</v>
      </c>
    </row>
    <row r="3960" spans="1:7" x14ac:dyDescent="0.25">
      <c r="A3960" s="11" t="s">
        <v>1109</v>
      </c>
      <c r="B3960" s="11"/>
      <c r="C3960" s="2644">
        <v>269</v>
      </c>
      <c r="D3960" s="2644">
        <v>109714014.664637</v>
      </c>
      <c r="E3960" s="2645">
        <v>22890244.346543301</v>
      </c>
      <c r="F3960" s="2646">
        <v>0.34464317010254603</v>
      </c>
      <c r="G3960" s="2647">
        <v>7.3276107564562903E-2</v>
      </c>
    </row>
    <row r="3961" spans="1:7" x14ac:dyDescent="0.25">
      <c r="A3961" s="6" t="s">
        <v>1119</v>
      </c>
      <c r="B3961" s="6"/>
      <c r="C3961" s="2640">
        <v>73</v>
      </c>
      <c r="D3961" s="2640">
        <v>43781265.344852403</v>
      </c>
      <c r="E3961" s="2641">
        <v>12567724.430264</v>
      </c>
      <c r="F3961" s="2642">
        <v>0.137529504554846</v>
      </c>
      <c r="G3961" s="2643">
        <v>4.0026835067857598E-2</v>
      </c>
    </row>
    <row r="3962" spans="1:7" x14ac:dyDescent="0.25">
      <c r="A3962" s="11" t="s">
        <v>1121</v>
      </c>
      <c r="B3962" s="11"/>
      <c r="C3962" s="2644">
        <v>39</v>
      </c>
      <c r="D3962" s="2644">
        <v>31703356.8747725</v>
      </c>
      <c r="E3962" s="2645">
        <v>13589437.392002599</v>
      </c>
      <c r="F3962" s="2646">
        <v>9.9589331860769806E-2</v>
      </c>
      <c r="G3962" s="2647">
        <v>4.29274892611064E-2</v>
      </c>
    </row>
    <row r="3963" spans="1:7" x14ac:dyDescent="0.25">
      <c r="A3963" s="6" t="s">
        <v>1123</v>
      </c>
      <c r="B3963" s="6"/>
      <c r="C3963" s="2640">
        <v>2</v>
      </c>
      <c r="D3963" s="2640">
        <v>1403136.41702595</v>
      </c>
      <c r="E3963" s="2641">
        <v>1429287.1681717201</v>
      </c>
      <c r="F3963" s="2642">
        <v>4.4076537015650596E-3</v>
      </c>
      <c r="G3963" s="2643">
        <v>4.4884924875482502E-3</v>
      </c>
    </row>
    <row r="3964" spans="1:7" x14ac:dyDescent="0.25">
      <c r="A3964" s="11" t="s">
        <v>6417</v>
      </c>
      <c r="B3964" s="11" t="s">
        <v>6418</v>
      </c>
      <c r="C3964" s="2644">
        <v>185711</v>
      </c>
      <c r="D3964" s="2644">
        <v>31834089337.094002</v>
      </c>
      <c r="E3964" s="2645">
        <v>298177412.67032701</v>
      </c>
      <c r="F3964" s="2646">
        <v>100</v>
      </c>
      <c r="G3964" s="2647">
        <v>0</v>
      </c>
    </row>
    <row r="3965" spans="1:7" x14ac:dyDescent="0.25">
      <c r="A3965" s="6" t="s">
        <v>6417</v>
      </c>
      <c r="B3965" s="6" t="s">
        <v>6419</v>
      </c>
      <c r="C3965" s="2640">
        <v>185711</v>
      </c>
      <c r="D3965" s="2640">
        <v>31834089337.094002</v>
      </c>
      <c r="E3965" s="2641">
        <v>0</v>
      </c>
      <c r="F3965" s="2642">
        <v>100</v>
      </c>
      <c r="G3965" s="2643">
        <v>0</v>
      </c>
    </row>
    <row r="3966" spans="1:7" x14ac:dyDescent="0.25">
      <c r="A3966" s="3729" t="s">
        <v>727</v>
      </c>
      <c r="B3966" s="3730"/>
      <c r="C3966" s="3730"/>
      <c r="D3966" s="3730"/>
      <c r="E3966" s="3730"/>
      <c r="F3966" s="3730"/>
      <c r="G3966" s="3730"/>
    </row>
    <row r="3967" spans="1:7" x14ac:dyDescent="0.25">
      <c r="A3967" s="11" t="s">
        <v>1090</v>
      </c>
      <c r="B3967" s="11"/>
      <c r="C3967" s="2652">
        <v>43871</v>
      </c>
      <c r="D3967" s="2652">
        <v>7890839832.2704</v>
      </c>
      <c r="E3967" s="2653">
        <v>47231302.462289102</v>
      </c>
      <c r="F3967" s="2654">
        <v>24.7873898596992</v>
      </c>
      <c r="G3967" s="2655">
        <v>0.17173369228316199</v>
      </c>
    </row>
    <row r="3968" spans="1:7" x14ac:dyDescent="0.25">
      <c r="A3968" s="6" t="s">
        <v>1092</v>
      </c>
      <c r="B3968" s="6"/>
      <c r="C3968" s="2648">
        <v>42547</v>
      </c>
      <c r="D3968" s="2648">
        <v>7688952844.6565504</v>
      </c>
      <c r="E3968" s="2649">
        <v>46229053.482815102</v>
      </c>
      <c r="F3968" s="2650">
        <v>24.153204959744698</v>
      </c>
      <c r="G3968" s="2651">
        <v>0.12965331059271401</v>
      </c>
    </row>
    <row r="3969" spans="1:7" x14ac:dyDescent="0.25">
      <c r="A3969" s="11" t="s">
        <v>1094</v>
      </c>
      <c r="B3969" s="11"/>
      <c r="C3969" s="2652">
        <v>30415</v>
      </c>
      <c r="D3969" s="2652">
        <v>5131653714.0694304</v>
      </c>
      <c r="E3969" s="2653">
        <v>66930165.064705297</v>
      </c>
      <c r="F3969" s="2654">
        <v>16.1199953286865</v>
      </c>
      <c r="G3969" s="2655">
        <v>8.9868513512857795E-2</v>
      </c>
    </row>
    <row r="3970" spans="1:7" x14ac:dyDescent="0.25">
      <c r="A3970" s="6" t="s">
        <v>1096</v>
      </c>
      <c r="B3970" s="6"/>
      <c r="C3970" s="2648">
        <v>24077</v>
      </c>
      <c r="D3970" s="2648">
        <v>4033149175.6890202</v>
      </c>
      <c r="E3970" s="2649">
        <v>69869572.024783805</v>
      </c>
      <c r="F3970" s="2650">
        <v>12.6692776821151</v>
      </c>
      <c r="G3970" s="2651">
        <v>0.112752025454306</v>
      </c>
    </row>
    <row r="3971" spans="1:7" x14ac:dyDescent="0.25">
      <c r="A3971" s="11" t="s">
        <v>1098</v>
      </c>
      <c r="B3971" s="11"/>
      <c r="C3971" s="2652">
        <v>16031</v>
      </c>
      <c r="D3971" s="2652">
        <v>2532988245.9952202</v>
      </c>
      <c r="E3971" s="2653">
        <v>55544678.2143896</v>
      </c>
      <c r="F3971" s="2654">
        <v>7.9568421737251001</v>
      </c>
      <c r="G3971" s="2655">
        <v>0.114197202242083</v>
      </c>
    </row>
    <row r="3972" spans="1:7" x14ac:dyDescent="0.25">
      <c r="A3972" s="6" t="s">
        <v>1100</v>
      </c>
      <c r="B3972" s="6"/>
      <c r="C3972" s="2648">
        <v>11120</v>
      </c>
      <c r="D3972" s="2648">
        <v>1735604583.9699099</v>
      </c>
      <c r="E3972" s="2649">
        <v>37548665.646794297</v>
      </c>
      <c r="F3972" s="2650">
        <v>5.4520315175076801</v>
      </c>
      <c r="G3972" s="2651">
        <v>7.7579924786485593E-2</v>
      </c>
    </row>
    <row r="3973" spans="1:7" x14ac:dyDescent="0.25">
      <c r="A3973" s="11" t="s">
        <v>1109</v>
      </c>
      <c r="B3973" s="11"/>
      <c r="C3973" s="2652">
        <v>6975</v>
      </c>
      <c r="D3973" s="2652">
        <v>1076384816.5536799</v>
      </c>
      <c r="E3973" s="2653">
        <v>29791480.3361951</v>
      </c>
      <c r="F3973" s="2654">
        <v>3.3812332595908399</v>
      </c>
      <c r="G3973" s="2655">
        <v>7.1041121555464104E-2</v>
      </c>
    </row>
    <row r="3974" spans="1:7" x14ac:dyDescent="0.25">
      <c r="A3974" s="6" t="s">
        <v>1119</v>
      </c>
      <c r="B3974" s="6"/>
      <c r="C3974" s="2648">
        <v>4372</v>
      </c>
      <c r="D3974" s="2648">
        <v>683846636.65808201</v>
      </c>
      <c r="E3974" s="2649">
        <v>15914964.686369101</v>
      </c>
      <c r="F3974" s="2650">
        <v>2.1481583136139699</v>
      </c>
      <c r="G3974" s="2651">
        <v>4.204163112862E-2</v>
      </c>
    </row>
    <row r="3975" spans="1:7" x14ac:dyDescent="0.25">
      <c r="A3975" s="11" t="s">
        <v>1121</v>
      </c>
      <c r="B3975" s="11"/>
      <c r="C3975" s="2652">
        <v>2583</v>
      </c>
      <c r="D3975" s="2652">
        <v>420446318.375009</v>
      </c>
      <c r="E3975" s="2653">
        <v>11516657.9627843</v>
      </c>
      <c r="F3975" s="2654">
        <v>1.32074240894051</v>
      </c>
      <c r="G3975" s="2655">
        <v>3.43288915978004E-2</v>
      </c>
    </row>
    <row r="3976" spans="1:7" x14ac:dyDescent="0.25">
      <c r="A3976" s="6" t="s">
        <v>1123</v>
      </c>
      <c r="B3976" s="6"/>
      <c r="C3976" s="2648">
        <v>1478</v>
      </c>
      <c r="D3976" s="2648">
        <v>239156790.65821701</v>
      </c>
      <c r="E3976" s="2649">
        <v>6704758.8371239798</v>
      </c>
      <c r="F3976" s="2650">
        <v>0.751260034881992</v>
      </c>
      <c r="G3976" s="2651">
        <v>2.2915392740971E-2</v>
      </c>
    </row>
    <row r="3977" spans="1:7" x14ac:dyDescent="0.25">
      <c r="A3977" s="11" t="s">
        <v>1125</v>
      </c>
      <c r="B3977" s="11"/>
      <c r="C3977" s="2652">
        <v>846</v>
      </c>
      <c r="D3977" s="2652">
        <v>142911919.19492099</v>
      </c>
      <c r="E3977" s="2653">
        <v>7681955.9390628701</v>
      </c>
      <c r="F3977" s="2654">
        <v>0.448927304568426</v>
      </c>
      <c r="G3977" s="2655">
        <v>2.64998105433886E-2</v>
      </c>
    </row>
    <row r="3978" spans="1:7" x14ac:dyDescent="0.25">
      <c r="A3978" s="6" t="s">
        <v>1127</v>
      </c>
      <c r="B3978" s="6"/>
      <c r="C3978" s="2648">
        <v>523</v>
      </c>
      <c r="D3978" s="2648">
        <v>93755949.824852303</v>
      </c>
      <c r="E3978" s="2649">
        <v>7369815.2896873802</v>
      </c>
      <c r="F3978" s="2650">
        <v>0.29451431398606198</v>
      </c>
      <c r="G3978" s="2651">
        <v>2.4500857054889701E-2</v>
      </c>
    </row>
    <row r="3979" spans="1:7" x14ac:dyDescent="0.25">
      <c r="A3979" s="11" t="s">
        <v>1129</v>
      </c>
      <c r="B3979" s="11"/>
      <c r="C3979" s="2652">
        <v>306</v>
      </c>
      <c r="D3979" s="2652">
        <v>54198486.704625197</v>
      </c>
      <c r="E3979" s="2653">
        <v>5652714.454926</v>
      </c>
      <c r="F3979" s="2654">
        <v>0.17025298299163699</v>
      </c>
      <c r="G3979" s="2655">
        <v>1.8276079006254799E-2</v>
      </c>
    </row>
    <row r="3980" spans="1:7" x14ac:dyDescent="0.25">
      <c r="A3980" s="6" t="s">
        <v>1131</v>
      </c>
      <c r="B3980" s="6"/>
      <c r="C3980" s="2648">
        <v>197</v>
      </c>
      <c r="D3980" s="2648">
        <v>37349869.722093001</v>
      </c>
      <c r="E3980" s="2649">
        <v>4736870.0118963998</v>
      </c>
      <c r="F3980" s="2650">
        <v>0.117326647313802</v>
      </c>
      <c r="G3980" s="2651">
        <v>1.54501805077174E-2</v>
      </c>
    </row>
    <row r="3981" spans="1:7" x14ac:dyDescent="0.25">
      <c r="A3981" s="11" t="s">
        <v>1133</v>
      </c>
      <c r="B3981" s="11"/>
      <c r="C3981" s="2652">
        <v>120</v>
      </c>
      <c r="D3981" s="2652">
        <v>24327514.6843885</v>
      </c>
      <c r="E3981" s="2653">
        <v>5393784.3302804297</v>
      </c>
      <c r="F3981" s="2654">
        <v>7.6419697220744501E-2</v>
      </c>
      <c r="G3981" s="2655">
        <v>1.7148869914976699E-2</v>
      </c>
    </row>
    <row r="3982" spans="1:7" x14ac:dyDescent="0.25">
      <c r="A3982" s="6" t="s">
        <v>1135</v>
      </c>
      <c r="B3982" s="6"/>
      <c r="C3982" s="2648">
        <v>81</v>
      </c>
      <c r="D3982" s="2648">
        <v>17233105.8208877</v>
      </c>
      <c r="E3982" s="2649">
        <v>4693299.6318122903</v>
      </c>
      <c r="F3982" s="2650">
        <v>5.4134125334652498E-2</v>
      </c>
      <c r="G3982" s="2651">
        <v>1.48147313563173E-2</v>
      </c>
    </row>
    <row r="3983" spans="1:7" x14ac:dyDescent="0.25">
      <c r="A3983" s="11" t="s">
        <v>1137</v>
      </c>
      <c r="B3983" s="11"/>
      <c r="C3983" s="2652">
        <v>39</v>
      </c>
      <c r="D3983" s="2652">
        <v>9812734.0256181695</v>
      </c>
      <c r="E3983" s="2653">
        <v>3651973.3181105</v>
      </c>
      <c r="F3983" s="2654">
        <v>3.0824610441059799E-2</v>
      </c>
      <c r="G3983" s="2655">
        <v>1.1559332303631899E-2</v>
      </c>
    </row>
    <row r="3984" spans="1:7" x14ac:dyDescent="0.25">
      <c r="A3984" s="6" t="s">
        <v>1139</v>
      </c>
      <c r="B3984" s="6"/>
      <c r="C3984" s="2648">
        <v>31</v>
      </c>
      <c r="D3984" s="2648">
        <v>6620963.4403723404</v>
      </c>
      <c r="E3984" s="2649">
        <v>2275457.7628444601</v>
      </c>
      <c r="F3984" s="2650">
        <v>2.0798344096676899E-2</v>
      </c>
      <c r="G3984" s="2651">
        <v>7.23558336222786E-3</v>
      </c>
    </row>
    <row r="3985" spans="1:7" x14ac:dyDescent="0.25">
      <c r="A3985" s="11" t="s">
        <v>1141</v>
      </c>
      <c r="B3985" s="11"/>
      <c r="C3985" s="2652">
        <v>22</v>
      </c>
      <c r="D3985" s="2652">
        <v>4244734.79566277</v>
      </c>
      <c r="E3985" s="2653">
        <v>1789523.0349590599</v>
      </c>
      <c r="F3985" s="2654">
        <v>1.33339287664708E-2</v>
      </c>
      <c r="G3985" s="2655">
        <v>5.6534769568914603E-3</v>
      </c>
    </row>
    <row r="3986" spans="1:7" x14ac:dyDescent="0.25">
      <c r="A3986" s="6" t="s">
        <v>1295</v>
      </c>
      <c r="B3986" s="6"/>
      <c r="C3986" s="2648">
        <v>15</v>
      </c>
      <c r="D3986" s="2648">
        <v>1383683.0742995001</v>
      </c>
      <c r="E3986" s="2649">
        <v>340351.18644418498</v>
      </c>
      <c r="F3986" s="2650">
        <v>4.3465451756686301E-3</v>
      </c>
      <c r="G3986" s="2651">
        <v>1.09622637092326E-3</v>
      </c>
    </row>
    <row r="3987" spans="1:7" x14ac:dyDescent="0.25">
      <c r="A3987" s="11" t="s">
        <v>1187</v>
      </c>
      <c r="B3987" s="11"/>
      <c r="C3987" s="2652">
        <v>12</v>
      </c>
      <c r="D3987" s="2652">
        <v>1195937.1422725001</v>
      </c>
      <c r="E3987" s="2653">
        <v>299115.89299669699</v>
      </c>
      <c r="F3987" s="2654">
        <v>3.7567813849129399E-3</v>
      </c>
      <c r="G3987" s="2655">
        <v>9.6188849308672297E-4</v>
      </c>
    </row>
    <row r="3988" spans="1:7" x14ac:dyDescent="0.25">
      <c r="A3988" s="6" t="s">
        <v>1189</v>
      </c>
      <c r="B3988" s="6"/>
      <c r="C3988" s="2648">
        <v>9</v>
      </c>
      <c r="D3988" s="2648">
        <v>1118955.50758241</v>
      </c>
      <c r="E3988" s="2649">
        <v>320465.07846900698</v>
      </c>
      <c r="F3988" s="2650">
        <v>3.5149600032018799E-3</v>
      </c>
      <c r="G3988" s="2651">
        <v>1.0298089149733301E-3</v>
      </c>
    </row>
    <row r="3989" spans="1:7" x14ac:dyDescent="0.25">
      <c r="A3989" s="11" t="s">
        <v>1191</v>
      </c>
      <c r="B3989" s="11"/>
      <c r="C3989" s="2652">
        <v>8</v>
      </c>
      <c r="D3989" s="2652">
        <v>1079332.0992874301</v>
      </c>
      <c r="E3989" s="2653">
        <v>329551.52720729099</v>
      </c>
      <c r="F3989" s="2654">
        <v>3.3904915195100702E-3</v>
      </c>
      <c r="G3989" s="2655">
        <v>1.05563938213441E-3</v>
      </c>
    </row>
    <row r="3990" spans="1:7" x14ac:dyDescent="0.25">
      <c r="A3990" s="6" t="s">
        <v>1193</v>
      </c>
      <c r="B3990" s="6"/>
      <c r="C3990" s="2648">
        <v>6</v>
      </c>
      <c r="D3990" s="2648">
        <v>833989.56816400797</v>
      </c>
      <c r="E3990" s="2649">
        <v>361197.12508466397</v>
      </c>
      <c r="F3990" s="2650">
        <v>2.61980030065512E-3</v>
      </c>
      <c r="G3990" s="2651">
        <v>1.1442663253360601E-3</v>
      </c>
    </row>
    <row r="3991" spans="1:7" x14ac:dyDescent="0.25">
      <c r="A3991" s="11" t="s">
        <v>3172</v>
      </c>
      <c r="B3991" s="11"/>
      <c r="C3991" s="2652">
        <v>6</v>
      </c>
      <c r="D3991" s="2652">
        <v>833989.56816400797</v>
      </c>
      <c r="E3991" s="2653">
        <v>361197.12508466397</v>
      </c>
      <c r="F3991" s="2654">
        <v>2.61980030065512E-3</v>
      </c>
      <c r="G3991" s="2655">
        <v>1.1442663253360601E-3</v>
      </c>
    </row>
    <row r="3992" spans="1:7" x14ac:dyDescent="0.25">
      <c r="A3992" s="6" t="s">
        <v>3174</v>
      </c>
      <c r="B3992" s="6"/>
      <c r="C3992" s="2648">
        <v>5</v>
      </c>
      <c r="D3992" s="2648">
        <v>676919.66350982501</v>
      </c>
      <c r="E3992" s="2649">
        <v>375596.39360957302</v>
      </c>
      <c r="F3992" s="2650">
        <v>2.1263987053057E-3</v>
      </c>
      <c r="G3992" s="2651">
        <v>1.18525580875991E-3</v>
      </c>
    </row>
    <row r="3993" spans="1:7" x14ac:dyDescent="0.25">
      <c r="A3993" s="11" t="s">
        <v>3176</v>
      </c>
      <c r="B3993" s="11"/>
      <c r="C3993" s="2652">
        <v>4</v>
      </c>
      <c r="D3993" s="2652">
        <v>572714.12278405903</v>
      </c>
      <c r="E3993" s="2653">
        <v>299396.36688152998</v>
      </c>
      <c r="F3993" s="2654">
        <v>1.7990592308752399E-3</v>
      </c>
      <c r="G3993" s="2655">
        <v>9.4584614678917302E-4</v>
      </c>
    </row>
    <row r="3994" spans="1:7" x14ac:dyDescent="0.25">
      <c r="A3994" s="6" t="s">
        <v>3178</v>
      </c>
      <c r="B3994" s="6"/>
      <c r="C3994" s="2648">
        <v>1</v>
      </c>
      <c r="D3994" s="2648">
        <v>242964.93657921901</v>
      </c>
      <c r="E3994" s="2649">
        <v>242560.86049467701</v>
      </c>
      <c r="F3994" s="2650">
        <v>7.6322251284289004E-4</v>
      </c>
      <c r="G3994" s="2651">
        <v>7.6147182631471999E-4</v>
      </c>
    </row>
    <row r="3995" spans="1:7" x14ac:dyDescent="0.25">
      <c r="A3995" s="11" t="s">
        <v>3180</v>
      </c>
      <c r="B3995" s="11"/>
      <c r="C3995" s="2652">
        <v>1</v>
      </c>
      <c r="D3995" s="2652">
        <v>242964.93657921901</v>
      </c>
      <c r="E3995" s="2653">
        <v>242560.86049467701</v>
      </c>
      <c r="F3995" s="2654">
        <v>7.6322251284289004E-4</v>
      </c>
      <c r="G3995" s="2655">
        <v>7.6147182631471999E-4</v>
      </c>
    </row>
    <row r="3996" spans="1:7" x14ac:dyDescent="0.25">
      <c r="A3996" s="6" t="s">
        <v>1297</v>
      </c>
      <c r="B3996" s="6"/>
      <c r="C3996" s="2648">
        <v>1</v>
      </c>
      <c r="D3996" s="2648">
        <v>242964.93657921901</v>
      </c>
      <c r="E3996" s="2649">
        <v>242560.86049467701</v>
      </c>
      <c r="F3996" s="2650">
        <v>7.6322251284289004E-4</v>
      </c>
      <c r="G3996" s="2651">
        <v>7.6147182631471999E-4</v>
      </c>
    </row>
    <row r="3997" spans="1:7" x14ac:dyDescent="0.25">
      <c r="A3997" s="11" t="s">
        <v>1195</v>
      </c>
      <c r="B3997" s="11"/>
      <c r="C3997" s="2652">
        <v>1</v>
      </c>
      <c r="D3997" s="2652">
        <v>242964.93657921901</v>
      </c>
      <c r="E3997" s="2653">
        <v>242560.86049467701</v>
      </c>
      <c r="F3997" s="2654">
        <v>7.6322251284289004E-4</v>
      </c>
      <c r="G3997" s="2655">
        <v>7.6147182631471999E-4</v>
      </c>
    </row>
    <row r="3998" spans="1:7" x14ac:dyDescent="0.25">
      <c r="A3998" s="6" t="s">
        <v>1197</v>
      </c>
      <c r="B3998" s="6"/>
      <c r="C3998" s="2648">
        <v>1</v>
      </c>
      <c r="D3998" s="2648">
        <v>242964.93657921901</v>
      </c>
      <c r="E3998" s="2649">
        <v>242560.86049467701</v>
      </c>
      <c r="F3998" s="2650">
        <v>7.6322251284289004E-4</v>
      </c>
      <c r="G3998" s="2651">
        <v>7.6147182631471999E-4</v>
      </c>
    </row>
    <row r="3999" spans="1:7" x14ac:dyDescent="0.25">
      <c r="A3999" s="11" t="s">
        <v>1199</v>
      </c>
      <c r="B3999" s="11"/>
      <c r="C3999" s="2652">
        <v>1</v>
      </c>
      <c r="D3999" s="2652">
        <v>242964.93657921901</v>
      </c>
      <c r="E3999" s="2653">
        <v>242560.86049467701</v>
      </c>
      <c r="F3999" s="2654">
        <v>7.6322251284289004E-4</v>
      </c>
      <c r="G3999" s="2655">
        <v>7.6147182631471999E-4</v>
      </c>
    </row>
    <row r="4000" spans="1:7" x14ac:dyDescent="0.25">
      <c r="A4000" s="6" t="s">
        <v>1201</v>
      </c>
      <c r="B4000" s="6"/>
      <c r="C4000" s="2648">
        <v>1</v>
      </c>
      <c r="D4000" s="2648">
        <v>242964.93657921901</v>
      </c>
      <c r="E4000" s="2649">
        <v>242560.86049467701</v>
      </c>
      <c r="F4000" s="2650">
        <v>7.6322251284289004E-4</v>
      </c>
      <c r="G4000" s="2651">
        <v>7.6147182631471999E-4</v>
      </c>
    </row>
    <row r="4001" spans="1:7" x14ac:dyDescent="0.25">
      <c r="A4001" s="11" t="s">
        <v>3187</v>
      </c>
      <c r="B4001" s="11"/>
      <c r="C4001" s="2652">
        <v>1</v>
      </c>
      <c r="D4001" s="2652">
        <v>242964.93657921901</v>
      </c>
      <c r="E4001" s="2653">
        <v>242560.86049467701</v>
      </c>
      <c r="F4001" s="2654">
        <v>7.6322251284289004E-4</v>
      </c>
      <c r="G4001" s="2655">
        <v>7.6147182631471999E-4</v>
      </c>
    </row>
    <row r="4002" spans="1:7" x14ac:dyDescent="0.25">
      <c r="A4002" s="6" t="s">
        <v>3189</v>
      </c>
      <c r="B4002" s="6"/>
      <c r="C4002" s="2648">
        <v>1</v>
      </c>
      <c r="D4002" s="2648">
        <v>242964.93657921901</v>
      </c>
      <c r="E4002" s="2649">
        <v>242560.86049467701</v>
      </c>
      <c r="F4002" s="2650">
        <v>7.6322251284289004E-4</v>
      </c>
      <c r="G4002" s="2651">
        <v>7.6147182631471999E-4</v>
      </c>
    </row>
    <row r="4003" spans="1:7" x14ac:dyDescent="0.25">
      <c r="A4003" s="11" t="s">
        <v>3191</v>
      </c>
      <c r="B4003" s="11"/>
      <c r="C4003" s="2652">
        <v>1</v>
      </c>
      <c r="D4003" s="2652">
        <v>242964.93657921901</v>
      </c>
      <c r="E4003" s="2653">
        <v>242560.86049467701</v>
      </c>
      <c r="F4003" s="2654">
        <v>7.6322251284289004E-4</v>
      </c>
      <c r="G4003" s="2655">
        <v>7.6147182631471999E-4</v>
      </c>
    </row>
    <row r="4004" spans="1:7" x14ac:dyDescent="0.25">
      <c r="A4004" s="6" t="s">
        <v>3193</v>
      </c>
      <c r="B4004" s="6"/>
      <c r="C4004" s="2648">
        <v>1</v>
      </c>
      <c r="D4004" s="2648">
        <v>242964.93657921901</v>
      </c>
      <c r="E4004" s="2649">
        <v>242560.86049467701</v>
      </c>
      <c r="F4004" s="2650">
        <v>7.6322251284289004E-4</v>
      </c>
      <c r="G4004" s="2651">
        <v>7.6147182631471999E-4</v>
      </c>
    </row>
    <row r="4005" spans="1:7" x14ac:dyDescent="0.25">
      <c r="A4005" s="11" t="s">
        <v>3195</v>
      </c>
      <c r="B4005" s="11"/>
      <c r="C4005" s="2652">
        <v>1</v>
      </c>
      <c r="D4005" s="2652">
        <v>242964.93657921901</v>
      </c>
      <c r="E4005" s="2653">
        <v>242560.86049467701</v>
      </c>
      <c r="F4005" s="2654">
        <v>7.6322251284289004E-4</v>
      </c>
      <c r="G4005" s="2655">
        <v>7.6147182631471999E-4</v>
      </c>
    </row>
    <row r="4006" spans="1:7" x14ac:dyDescent="0.25">
      <c r="A4006" s="6" t="s">
        <v>6417</v>
      </c>
      <c r="B4006" s="6" t="s">
        <v>6418</v>
      </c>
      <c r="C4006" s="2648">
        <v>185711</v>
      </c>
      <c r="D4006" s="2648">
        <v>31834089337.094002</v>
      </c>
      <c r="E4006" s="2649">
        <v>298177412.67027003</v>
      </c>
      <c r="F4006" s="2650">
        <v>100</v>
      </c>
      <c r="G4006" s="2651">
        <v>1.45362315675074E-14</v>
      </c>
    </row>
    <row r="4007" spans="1:7" x14ac:dyDescent="0.25">
      <c r="A4007" s="11" t="s">
        <v>6417</v>
      </c>
      <c r="B4007" s="11" t="s">
        <v>6419</v>
      </c>
      <c r="C4007" s="2652">
        <v>185711</v>
      </c>
      <c r="D4007" s="2652">
        <v>31834089337.094002</v>
      </c>
      <c r="E4007" s="2653">
        <v>0</v>
      </c>
      <c r="F4007" s="2654">
        <v>100</v>
      </c>
      <c r="G4007" s="2655">
        <v>0</v>
      </c>
    </row>
    <row r="4008" spans="1:7" x14ac:dyDescent="0.25">
      <c r="A4008" s="3729" t="s">
        <v>476</v>
      </c>
      <c r="B4008" s="3730"/>
      <c r="C4008" s="3730"/>
      <c r="D4008" s="3730"/>
      <c r="E4008" s="3730"/>
      <c r="F4008" s="3730"/>
      <c r="G4008" s="3730"/>
    </row>
    <row r="4009" spans="1:7" x14ac:dyDescent="0.25">
      <c r="A4009" s="11" t="s">
        <v>4437</v>
      </c>
      <c r="B4009" s="11"/>
      <c r="C4009" s="2660">
        <v>64315</v>
      </c>
      <c r="D4009" s="2660">
        <v>11508372325.6702</v>
      </c>
      <c r="E4009" s="2661">
        <v>119258620.826685</v>
      </c>
      <c r="F4009" s="2662">
        <v>36.151096404257203</v>
      </c>
      <c r="G4009" s="2663">
        <v>0.177294028864454</v>
      </c>
    </row>
    <row r="4010" spans="1:7" x14ac:dyDescent="0.25">
      <c r="A4010" s="6" t="s">
        <v>6769</v>
      </c>
      <c r="B4010" s="6"/>
      <c r="C4010" s="2656">
        <v>30348</v>
      </c>
      <c r="D4010" s="2656">
        <v>4223540626.1979699</v>
      </c>
      <c r="E4010" s="2657">
        <v>65743023.022084102</v>
      </c>
      <c r="F4010" s="2658">
        <v>13.267351804773</v>
      </c>
      <c r="G4010" s="2659">
        <v>0.199891494770843</v>
      </c>
    </row>
    <row r="4011" spans="1:7" x14ac:dyDescent="0.25">
      <c r="A4011" s="11" t="s">
        <v>6770</v>
      </c>
      <c r="B4011" s="11"/>
      <c r="C4011" s="2660">
        <v>22736</v>
      </c>
      <c r="D4011" s="2660">
        <v>3115763326.2820501</v>
      </c>
      <c r="E4011" s="2661">
        <v>38403745.405863501</v>
      </c>
      <c r="F4011" s="2662">
        <v>9.7875057561376106</v>
      </c>
      <c r="G4011" s="2663">
        <v>9.1765864520063106E-2</v>
      </c>
    </row>
    <row r="4012" spans="1:7" x14ac:dyDescent="0.25">
      <c r="A4012" s="6" t="s">
        <v>6771</v>
      </c>
      <c r="B4012" s="6"/>
      <c r="C4012" s="2656">
        <v>16487</v>
      </c>
      <c r="D4012" s="2656">
        <v>2296002445.2562399</v>
      </c>
      <c r="E4012" s="2657">
        <v>65868957.142988697</v>
      </c>
      <c r="F4012" s="2658">
        <v>7.2124018405039703</v>
      </c>
      <c r="G4012" s="2659">
        <v>0.16122061698187901</v>
      </c>
    </row>
    <row r="4013" spans="1:7" x14ac:dyDescent="0.25">
      <c r="A4013" s="11" t="s">
        <v>6720</v>
      </c>
      <c r="B4013" s="11"/>
      <c r="C4013" s="2660">
        <v>8711</v>
      </c>
      <c r="D4013" s="2660">
        <v>1909229949.65012</v>
      </c>
      <c r="E4013" s="2661">
        <v>16918453.760922201</v>
      </c>
      <c r="F4013" s="2662">
        <v>5.9974385616410197</v>
      </c>
      <c r="G4013" s="2663">
        <v>8.4665633228042603E-2</v>
      </c>
    </row>
    <row r="4014" spans="1:7" x14ac:dyDescent="0.25">
      <c r="A4014" s="6" t="s">
        <v>6772</v>
      </c>
      <c r="B4014" s="6"/>
      <c r="C4014" s="2656">
        <v>11058</v>
      </c>
      <c r="D4014" s="2656">
        <v>1563914511.6364</v>
      </c>
      <c r="E4014" s="2657">
        <v>23775253.125673201</v>
      </c>
      <c r="F4014" s="2658">
        <v>4.91270378453732</v>
      </c>
      <c r="G4014" s="2659">
        <v>5.5992397506626303E-2</v>
      </c>
    </row>
    <row r="4015" spans="1:7" x14ac:dyDescent="0.25">
      <c r="A4015" s="11" t="s">
        <v>6773</v>
      </c>
      <c r="B4015" s="11"/>
      <c r="C4015" s="2660">
        <v>5756</v>
      </c>
      <c r="D4015" s="2660">
        <v>1351554918.0691199</v>
      </c>
      <c r="E4015" s="2661">
        <v>30007908.8822405</v>
      </c>
      <c r="F4015" s="2662">
        <v>4.2456214272611801</v>
      </c>
      <c r="G4015" s="2663">
        <v>7.19380841056938E-2</v>
      </c>
    </row>
    <row r="4016" spans="1:7" x14ac:dyDescent="0.25">
      <c r="A4016" s="6" t="s">
        <v>6774</v>
      </c>
      <c r="B4016" s="6"/>
      <c r="C4016" s="2656">
        <v>3381</v>
      </c>
      <c r="D4016" s="2656">
        <v>1156639162.8075299</v>
      </c>
      <c r="E4016" s="2657">
        <v>40423228.961049996</v>
      </c>
      <c r="F4016" s="2658">
        <v>3.6333351664619</v>
      </c>
      <c r="G4016" s="2659">
        <v>0.12488626369533599</v>
      </c>
    </row>
    <row r="4017" spans="1:7" x14ac:dyDescent="0.25">
      <c r="A4017" s="11" t="s">
        <v>6775</v>
      </c>
      <c r="B4017" s="11"/>
      <c r="C4017" s="2660">
        <v>7007</v>
      </c>
      <c r="D4017" s="2660">
        <v>985151847.66106403</v>
      </c>
      <c r="E4017" s="2661">
        <v>32195222.1373583</v>
      </c>
      <c r="F4017" s="2662">
        <v>3.0946443519373399</v>
      </c>
      <c r="G4017" s="2663">
        <v>8.4969891203943507E-2</v>
      </c>
    </row>
    <row r="4018" spans="1:7" x14ac:dyDescent="0.25">
      <c r="A4018" s="6" t="s">
        <v>4986</v>
      </c>
      <c r="B4018" s="6"/>
      <c r="C4018" s="2656">
        <v>1908</v>
      </c>
      <c r="D4018" s="2656">
        <v>786128583.49864995</v>
      </c>
      <c r="E4018" s="2657">
        <v>37927553.119311303</v>
      </c>
      <c r="F4018" s="2658">
        <v>2.4694552282437399</v>
      </c>
      <c r="G4018" s="2659">
        <v>0.11393084059521601</v>
      </c>
    </row>
    <row r="4019" spans="1:7" x14ac:dyDescent="0.25">
      <c r="A4019" s="11" t="s">
        <v>6776</v>
      </c>
      <c r="B4019" s="11"/>
      <c r="C4019" s="2660">
        <v>4425</v>
      </c>
      <c r="D4019" s="2660">
        <v>653224136.93528295</v>
      </c>
      <c r="E4019" s="2661">
        <v>25046317.1748234</v>
      </c>
      <c r="F4019" s="2662">
        <v>2.0519642639003601</v>
      </c>
      <c r="G4019" s="2663">
        <v>7.3633034254156196E-2</v>
      </c>
    </row>
    <row r="4020" spans="1:7" x14ac:dyDescent="0.25">
      <c r="A4020" s="6" t="s">
        <v>6777</v>
      </c>
      <c r="B4020" s="6"/>
      <c r="C4020" s="2656">
        <v>2603</v>
      </c>
      <c r="D4020" s="2656">
        <v>425107782.11650801</v>
      </c>
      <c r="E4020" s="2657">
        <v>21132194.5832018</v>
      </c>
      <c r="F4020" s="2658">
        <v>1.33538540278318</v>
      </c>
      <c r="G4020" s="2659">
        <v>6.4855743499811797E-2</v>
      </c>
    </row>
    <row r="4021" spans="1:7" x14ac:dyDescent="0.25">
      <c r="A4021" s="11" t="s">
        <v>6778</v>
      </c>
      <c r="B4021" s="11"/>
      <c r="C4021" s="2660">
        <v>1044</v>
      </c>
      <c r="D4021" s="2660">
        <v>370305611.61971402</v>
      </c>
      <c r="E4021" s="2661">
        <v>24903055.467242699</v>
      </c>
      <c r="F4021" s="2662">
        <v>1.1632360759515299</v>
      </c>
      <c r="G4021" s="2663">
        <v>7.2560263834531097E-2</v>
      </c>
    </row>
    <row r="4022" spans="1:7" x14ac:dyDescent="0.25">
      <c r="A4022" s="6" t="s">
        <v>6779</v>
      </c>
      <c r="B4022" s="6"/>
      <c r="C4022" s="2656">
        <v>1517</v>
      </c>
      <c r="D4022" s="2656">
        <v>258665706.599356</v>
      </c>
      <c r="E4022" s="2657">
        <v>12963950.735791299</v>
      </c>
      <c r="F4022" s="2658">
        <v>0.81254313217608598</v>
      </c>
      <c r="G4022" s="2659">
        <v>4.2303306425643103E-2</v>
      </c>
    </row>
    <row r="4023" spans="1:7" x14ac:dyDescent="0.25">
      <c r="A4023" s="11" t="s">
        <v>6780</v>
      </c>
      <c r="B4023" s="11"/>
      <c r="C4023" s="2660">
        <v>536</v>
      </c>
      <c r="D4023" s="2660">
        <v>239247664.971591</v>
      </c>
      <c r="E4023" s="2661">
        <v>15586850.532230999</v>
      </c>
      <c r="F4023" s="2662">
        <v>0.75154549714985297</v>
      </c>
      <c r="G4023" s="2663">
        <v>4.6803266524259902E-2</v>
      </c>
    </row>
    <row r="4024" spans="1:7" x14ac:dyDescent="0.25">
      <c r="A4024" s="6" t="s">
        <v>6781</v>
      </c>
      <c r="B4024" s="6"/>
      <c r="C4024" s="2656">
        <v>654</v>
      </c>
      <c r="D4024" s="2656">
        <v>220402186.31787401</v>
      </c>
      <c r="E4024" s="2657">
        <v>17546057.344890699</v>
      </c>
      <c r="F4024" s="2658">
        <v>0.69234644655298905</v>
      </c>
      <c r="G4024" s="2659">
        <v>5.8481839660621003E-2</v>
      </c>
    </row>
    <row r="4025" spans="1:7" x14ac:dyDescent="0.25">
      <c r="A4025" s="11" t="s">
        <v>6782</v>
      </c>
      <c r="B4025" s="11"/>
      <c r="C4025" s="2660">
        <v>962</v>
      </c>
      <c r="D4025" s="2660">
        <v>167739367.81634599</v>
      </c>
      <c r="E4025" s="2661">
        <v>15547547.2618661</v>
      </c>
      <c r="F4025" s="2662">
        <v>0.52691743759383003</v>
      </c>
      <c r="G4025" s="2663">
        <v>4.6970306475635097E-2</v>
      </c>
    </row>
    <row r="4026" spans="1:7" x14ac:dyDescent="0.25">
      <c r="A4026" s="6" t="s">
        <v>6783</v>
      </c>
      <c r="B4026" s="6"/>
      <c r="C4026" s="2656">
        <v>315</v>
      </c>
      <c r="D4026" s="2656">
        <v>143312293.43002799</v>
      </c>
      <c r="E4026" s="2657">
        <v>14468246.3606112</v>
      </c>
      <c r="F4026" s="2658">
        <v>0.45018499481006702</v>
      </c>
      <c r="G4026" s="2659">
        <v>4.4177159028468201E-2</v>
      </c>
    </row>
    <row r="4027" spans="1:7" x14ac:dyDescent="0.25">
      <c r="A4027" s="11" t="s">
        <v>6784</v>
      </c>
      <c r="B4027" s="11"/>
      <c r="C4027" s="2660">
        <v>191</v>
      </c>
      <c r="D4027" s="2660">
        <v>103780261.55921599</v>
      </c>
      <c r="E4027" s="2661">
        <v>13636019.8034532</v>
      </c>
      <c r="F4027" s="2662">
        <v>0.326003550660043</v>
      </c>
      <c r="G4027" s="2663">
        <v>4.5007181276578899E-2</v>
      </c>
    </row>
    <row r="4028" spans="1:7" x14ac:dyDescent="0.25">
      <c r="A4028" s="6" t="s">
        <v>6785</v>
      </c>
      <c r="B4028" s="6"/>
      <c r="C4028" s="2656">
        <v>548</v>
      </c>
      <c r="D4028" s="2656">
        <v>97133551.994439498</v>
      </c>
      <c r="E4028" s="2657">
        <v>9253423.4546619393</v>
      </c>
      <c r="F4028" s="2658">
        <v>0.30512433060636401</v>
      </c>
      <c r="G4028" s="2659">
        <v>2.93432004004936E-2</v>
      </c>
    </row>
    <row r="4029" spans="1:7" x14ac:dyDescent="0.25">
      <c r="A4029" s="11" t="s">
        <v>6786</v>
      </c>
      <c r="B4029" s="11"/>
      <c r="C4029" s="2660">
        <v>318</v>
      </c>
      <c r="D4029" s="2660">
        <v>47744403.301715501</v>
      </c>
      <c r="E4029" s="2661">
        <v>5745164.4359167498</v>
      </c>
      <c r="F4029" s="2662">
        <v>0.14997885692958199</v>
      </c>
      <c r="G4029" s="2663">
        <v>1.8231148439203999E-2</v>
      </c>
    </row>
    <row r="4030" spans="1:7" x14ac:dyDescent="0.25">
      <c r="A4030" s="6" t="s">
        <v>6787</v>
      </c>
      <c r="B4030" s="6"/>
      <c r="C4030" s="2656">
        <v>70</v>
      </c>
      <c r="D4030" s="2656">
        <v>45716445.923947997</v>
      </c>
      <c r="E4030" s="2657">
        <v>8304716.5128760198</v>
      </c>
      <c r="F4030" s="2658">
        <v>0.14360846148244599</v>
      </c>
      <c r="G4030" s="2659">
        <v>2.6779471707557199E-2</v>
      </c>
    </row>
    <row r="4031" spans="1:7" x14ac:dyDescent="0.25">
      <c r="A4031" s="11" t="s">
        <v>6788</v>
      </c>
      <c r="B4031" s="11"/>
      <c r="C4031" s="2660">
        <v>216</v>
      </c>
      <c r="D4031" s="2660">
        <v>30980260.2005294</v>
      </c>
      <c r="E4031" s="2661">
        <v>3467927.55297432</v>
      </c>
      <c r="F4031" s="2662">
        <v>9.7317877927892898E-2</v>
      </c>
      <c r="G4031" s="2663">
        <v>1.1114809906643401E-2</v>
      </c>
    </row>
    <row r="4032" spans="1:7" x14ac:dyDescent="0.25">
      <c r="A4032" s="6" t="s">
        <v>6789</v>
      </c>
      <c r="B4032" s="6"/>
      <c r="C4032" s="2656">
        <v>67</v>
      </c>
      <c r="D4032" s="2656">
        <v>25957888.118069999</v>
      </c>
      <c r="E4032" s="2657">
        <v>5217796.4694503704</v>
      </c>
      <c r="F4032" s="2658">
        <v>8.1541167530189598E-2</v>
      </c>
      <c r="G4032" s="2659">
        <v>1.6506442096227002E-2</v>
      </c>
    </row>
    <row r="4033" spans="1:7" x14ac:dyDescent="0.25">
      <c r="A4033" s="11" t="s">
        <v>6790</v>
      </c>
      <c r="B4033" s="11"/>
      <c r="C4033" s="2660">
        <v>133</v>
      </c>
      <c r="D4033" s="2660">
        <v>20769439.038307499</v>
      </c>
      <c r="E4033" s="2661">
        <v>3080692.6234892202</v>
      </c>
      <c r="F4033" s="2662">
        <v>6.5242761677201402E-2</v>
      </c>
      <c r="G4033" s="2663">
        <v>9.4506761351704702E-3</v>
      </c>
    </row>
    <row r="4034" spans="1:7" x14ac:dyDescent="0.25">
      <c r="A4034" s="6" t="s">
        <v>6791</v>
      </c>
      <c r="B4034" s="6"/>
      <c r="C4034" s="2656">
        <v>93</v>
      </c>
      <c r="D4034" s="2656">
        <v>14684509.787997101</v>
      </c>
      <c r="E4034" s="2657">
        <v>2673141.68421942</v>
      </c>
      <c r="F4034" s="2658">
        <v>4.6128254628243201E-2</v>
      </c>
      <c r="G4034" s="2659">
        <v>8.3883007465888598E-3</v>
      </c>
    </row>
    <row r="4035" spans="1:7" x14ac:dyDescent="0.25">
      <c r="A4035" s="11" t="s">
        <v>6792</v>
      </c>
      <c r="B4035" s="11"/>
      <c r="C4035" s="2660">
        <v>26</v>
      </c>
      <c r="D4035" s="2660">
        <v>13853396.093622301</v>
      </c>
      <c r="E4035" s="2661">
        <v>4972091.0225327201</v>
      </c>
      <c r="F4035" s="2662">
        <v>4.3517488271542802E-2</v>
      </c>
      <c r="G4035" s="2663">
        <v>1.5586532822091499E-2</v>
      </c>
    </row>
    <row r="4036" spans="1:7" x14ac:dyDescent="0.25">
      <c r="A4036" s="6" t="s">
        <v>6793</v>
      </c>
      <c r="B4036" s="6"/>
      <c r="C4036" s="2656">
        <v>27</v>
      </c>
      <c r="D4036" s="2656">
        <v>9963513.8606157191</v>
      </c>
      <c r="E4036" s="2657">
        <v>2325939.7625727099</v>
      </c>
      <c r="F4036" s="2658">
        <v>3.1298253124539599E-2</v>
      </c>
      <c r="G4036" s="2659">
        <v>7.1926771043185397E-3</v>
      </c>
    </row>
    <row r="4037" spans="1:7" x14ac:dyDescent="0.25">
      <c r="A4037" s="11" t="s">
        <v>6794</v>
      </c>
      <c r="B4037" s="11"/>
      <c r="C4037" s="2660">
        <v>60</v>
      </c>
      <c r="D4037" s="2660">
        <v>9863737.6920719594</v>
      </c>
      <c r="E4037" s="2661">
        <v>2297327.0800370001</v>
      </c>
      <c r="F4037" s="2662">
        <v>3.0984827577833302E-2</v>
      </c>
      <c r="G4037" s="2663">
        <v>7.1785161597815303E-3</v>
      </c>
    </row>
    <row r="4038" spans="1:7" x14ac:dyDescent="0.25">
      <c r="A4038" s="6" t="s">
        <v>6795</v>
      </c>
      <c r="B4038" s="6"/>
      <c r="C4038" s="2656">
        <v>38</v>
      </c>
      <c r="D4038" s="2656">
        <v>6777897.1454433296</v>
      </c>
      <c r="E4038" s="2657">
        <v>2009834.8365772299</v>
      </c>
      <c r="F4038" s="2658">
        <v>2.1291317850093298E-2</v>
      </c>
      <c r="G4038" s="2659">
        <v>6.24056630622059E-3</v>
      </c>
    </row>
    <row r="4039" spans="1:7" x14ac:dyDescent="0.25">
      <c r="A4039" s="11" t="s">
        <v>6796</v>
      </c>
      <c r="B4039" s="11"/>
      <c r="C4039" s="2660">
        <v>26</v>
      </c>
      <c r="D4039" s="2660">
        <v>5995140.4012022596</v>
      </c>
      <c r="E4039" s="2661">
        <v>2456024.7951620999</v>
      </c>
      <c r="F4039" s="2662">
        <v>1.88324545355113E-2</v>
      </c>
      <c r="G4039" s="2663">
        <v>7.7453979717843997E-3</v>
      </c>
    </row>
    <row r="4040" spans="1:7" x14ac:dyDescent="0.25">
      <c r="A4040" s="6" t="s">
        <v>6797</v>
      </c>
      <c r="B4040" s="6"/>
      <c r="C4040" s="2656">
        <v>6</v>
      </c>
      <c r="D4040" s="2656">
        <v>4444099.2298559798</v>
      </c>
      <c r="E4040" s="2657">
        <v>4233972.08122906</v>
      </c>
      <c r="F4040" s="2658">
        <v>1.39601896030291E-2</v>
      </c>
      <c r="G4040" s="2659">
        <v>1.32987953036597E-2</v>
      </c>
    </row>
    <row r="4041" spans="1:7" x14ac:dyDescent="0.25">
      <c r="A4041" s="11" t="s">
        <v>6798</v>
      </c>
      <c r="B4041" s="11"/>
      <c r="C4041" s="2660">
        <v>30</v>
      </c>
      <c r="D4041" s="2660">
        <v>4146403.9703348698</v>
      </c>
      <c r="E4041" s="2661">
        <v>1577003.7372441499</v>
      </c>
      <c r="F4041" s="2662">
        <v>1.302504345712E-2</v>
      </c>
      <c r="G4041" s="2663">
        <v>4.9685849504592398E-3</v>
      </c>
    </row>
    <row r="4042" spans="1:7" x14ac:dyDescent="0.25">
      <c r="A4042" s="6" t="s">
        <v>6799</v>
      </c>
      <c r="B4042" s="6"/>
      <c r="C4042" s="2656">
        <v>5</v>
      </c>
      <c r="D4042" s="2656">
        <v>3582899.2772200601</v>
      </c>
      <c r="E4042" s="2657">
        <v>1826998.6639586601</v>
      </c>
      <c r="F4042" s="2658">
        <v>1.12549136847624E-2</v>
      </c>
      <c r="G4042" s="2659">
        <v>5.73003067581498E-3</v>
      </c>
    </row>
    <row r="4043" spans="1:7" x14ac:dyDescent="0.25">
      <c r="A4043" s="11" t="s">
        <v>6800</v>
      </c>
      <c r="B4043" s="11"/>
      <c r="C4043" s="2660">
        <v>12</v>
      </c>
      <c r="D4043" s="2660">
        <v>2874706.3505206699</v>
      </c>
      <c r="E4043" s="2661">
        <v>1247876.3351121901</v>
      </c>
      <c r="F4043" s="2662">
        <v>9.0302766951495302E-3</v>
      </c>
      <c r="G4043" s="2663">
        <v>3.9440019211913801E-3</v>
      </c>
    </row>
    <row r="4044" spans="1:7" x14ac:dyDescent="0.25">
      <c r="A4044" s="6" t="s">
        <v>6801</v>
      </c>
      <c r="B4044" s="6"/>
      <c r="C4044" s="2656">
        <v>12</v>
      </c>
      <c r="D4044" s="2656">
        <v>1947841.15532126</v>
      </c>
      <c r="E4044" s="2657">
        <v>955606.98994012095</v>
      </c>
      <c r="F4044" s="2658">
        <v>6.11872742673868E-3</v>
      </c>
      <c r="G4044" s="2659">
        <v>3.00244468632321E-3</v>
      </c>
    </row>
    <row r="4045" spans="1:7" x14ac:dyDescent="0.25">
      <c r="A4045" s="11" t="s">
        <v>6802</v>
      </c>
      <c r="B4045" s="11"/>
      <c r="C4045" s="2660">
        <v>8</v>
      </c>
      <c r="D4045" s="2660">
        <v>1365334.1525387799</v>
      </c>
      <c r="E4045" s="2661">
        <v>1086224.2219479301</v>
      </c>
      <c r="F4045" s="2662">
        <v>4.28890595261307E-3</v>
      </c>
      <c r="G4045" s="2663">
        <v>3.4142147038810299E-3</v>
      </c>
    </row>
    <row r="4046" spans="1:7" x14ac:dyDescent="0.25">
      <c r="A4046" s="6" t="s">
        <v>6803</v>
      </c>
      <c r="B4046" s="6"/>
      <c r="C4046" s="2656">
        <v>8</v>
      </c>
      <c r="D4046" s="2656">
        <v>916566.80024675606</v>
      </c>
      <c r="E4046" s="2657">
        <v>530724.040431311</v>
      </c>
      <c r="F4046" s="2658">
        <v>2.87919905778096E-3</v>
      </c>
      <c r="G4046" s="2659">
        <v>1.66772910470623E-3</v>
      </c>
    </row>
    <row r="4047" spans="1:7" x14ac:dyDescent="0.25">
      <c r="A4047" s="11" t="s">
        <v>6804</v>
      </c>
      <c r="B4047" s="11"/>
      <c r="C4047" s="2660">
        <v>5</v>
      </c>
      <c r="D4047" s="2660">
        <v>844292.38983208104</v>
      </c>
      <c r="E4047" s="2661">
        <v>537296.15591483796</v>
      </c>
      <c r="F4047" s="2662">
        <v>2.6521644168670802E-3</v>
      </c>
      <c r="G4047" s="2663">
        <v>1.6874364465518099E-3</v>
      </c>
    </row>
    <row r="4048" spans="1:7" x14ac:dyDescent="0.25">
      <c r="A4048" s="6" t="s">
        <v>6805</v>
      </c>
      <c r="B4048" s="6"/>
      <c r="C4048" s="2656">
        <v>5</v>
      </c>
      <c r="D4048" s="2656">
        <v>844292.38983208104</v>
      </c>
      <c r="E4048" s="2657">
        <v>537296.15591483796</v>
      </c>
      <c r="F4048" s="2658">
        <v>2.6521644168670802E-3</v>
      </c>
      <c r="G4048" s="2659">
        <v>1.6874364465518099E-3</v>
      </c>
    </row>
    <row r="4049" spans="1:7" x14ac:dyDescent="0.25">
      <c r="A4049" s="11" t="s">
        <v>6806</v>
      </c>
      <c r="B4049" s="11"/>
      <c r="C4049" s="2660">
        <v>5</v>
      </c>
      <c r="D4049" s="2660">
        <v>744391.620197693</v>
      </c>
      <c r="E4049" s="2661">
        <v>749978.465256355</v>
      </c>
      <c r="F4049" s="2662">
        <v>2.33834746241762E-3</v>
      </c>
      <c r="G4049" s="2663">
        <v>2.3539055413147199E-3</v>
      </c>
    </row>
    <row r="4050" spans="1:7" x14ac:dyDescent="0.25">
      <c r="A4050" s="6" t="s">
        <v>6807</v>
      </c>
      <c r="B4050" s="6"/>
      <c r="C4050" s="2656">
        <v>3</v>
      </c>
      <c r="D4050" s="2656">
        <v>733565.494227616</v>
      </c>
      <c r="E4050" s="2657">
        <v>500302.42050671601</v>
      </c>
      <c r="F4050" s="2658">
        <v>2.30433949738542E-3</v>
      </c>
      <c r="G4050" s="2659">
        <v>1.5747461365253599E-3</v>
      </c>
    </row>
    <row r="4051" spans="1:7" x14ac:dyDescent="0.25">
      <c r="A4051" s="11" t="s">
        <v>6808</v>
      </c>
      <c r="B4051" s="11"/>
      <c r="C4051" s="2660">
        <v>7</v>
      </c>
      <c r="D4051" s="2660">
        <v>603331.78378451394</v>
      </c>
      <c r="E4051" s="2661">
        <v>381879.44972116302</v>
      </c>
      <c r="F4051" s="2662">
        <v>1.89523808077493E-3</v>
      </c>
      <c r="G4051" s="2663">
        <v>1.2032612792443899E-3</v>
      </c>
    </row>
    <row r="4052" spans="1:7" x14ac:dyDescent="0.25">
      <c r="A4052" s="6" t="s">
        <v>6809</v>
      </c>
      <c r="B4052" s="6"/>
      <c r="C4052" s="2656">
        <v>2</v>
      </c>
      <c r="D4052" s="2656">
        <v>565808.89153479796</v>
      </c>
      <c r="E4052" s="2657">
        <v>563831.91040062101</v>
      </c>
      <c r="F4052" s="2658">
        <v>1.77736792010413E-3</v>
      </c>
      <c r="G4052" s="2659">
        <v>1.7696869894600301E-3</v>
      </c>
    </row>
    <row r="4053" spans="1:7" x14ac:dyDescent="0.25">
      <c r="A4053" s="11" t="s">
        <v>6810</v>
      </c>
      <c r="B4053" s="11"/>
      <c r="C4053" s="2660">
        <v>3</v>
      </c>
      <c r="D4053" s="2660">
        <v>414005.39058570599</v>
      </c>
      <c r="E4053" s="2661">
        <v>271125.62531025201</v>
      </c>
      <c r="F4053" s="2662">
        <v>1.3005096084319099E-3</v>
      </c>
      <c r="G4053" s="2663">
        <v>8.5398006767547303E-4</v>
      </c>
    </row>
    <row r="4054" spans="1:7" x14ac:dyDescent="0.25">
      <c r="A4054" s="6" t="s">
        <v>6811</v>
      </c>
      <c r="B4054" s="6"/>
      <c r="C4054" s="2656">
        <v>2</v>
      </c>
      <c r="D4054" s="2656">
        <v>369860.46785386698</v>
      </c>
      <c r="E4054" s="2657">
        <v>251242.98702145301</v>
      </c>
      <c r="F4054" s="2658">
        <v>1.16183775178044E-3</v>
      </c>
      <c r="G4054" s="2659">
        <v>7.9096083098220704E-4</v>
      </c>
    </row>
    <row r="4055" spans="1:7" x14ac:dyDescent="0.25">
      <c r="A4055" s="11" t="s">
        <v>6812</v>
      </c>
      <c r="B4055" s="11"/>
      <c r="C4055" s="2660">
        <v>4</v>
      </c>
      <c r="D4055" s="2660">
        <v>344764.41787268402</v>
      </c>
      <c r="E4055" s="2661">
        <v>237975.821006796</v>
      </c>
      <c r="F4055" s="2662">
        <v>1.0830038648881801E-3</v>
      </c>
      <c r="G4055" s="2663">
        <v>7.4910697665714798E-4</v>
      </c>
    </row>
    <row r="4056" spans="1:7" x14ac:dyDescent="0.25">
      <c r="A4056" s="6" t="s">
        <v>6813</v>
      </c>
      <c r="B4056" s="6"/>
      <c r="C4056" s="2656">
        <v>5</v>
      </c>
      <c r="D4056" s="2656">
        <v>330491.84848456201</v>
      </c>
      <c r="E4056" s="2657">
        <v>241949.33288004799</v>
      </c>
      <c r="F4056" s="2658">
        <v>1.0381696331406101E-3</v>
      </c>
      <c r="G4056" s="2659">
        <v>7.6116977685639097E-4</v>
      </c>
    </row>
    <row r="4057" spans="1:7" x14ac:dyDescent="0.25">
      <c r="A4057" s="11" t="s">
        <v>6814</v>
      </c>
      <c r="B4057" s="11"/>
      <c r="C4057" s="2660">
        <v>2</v>
      </c>
      <c r="D4057" s="2660">
        <v>328485.163582462</v>
      </c>
      <c r="E4057" s="2661">
        <v>242253.50731113099</v>
      </c>
      <c r="F4057" s="2662">
        <v>1.0318660606374E-3</v>
      </c>
      <c r="G4057" s="2663">
        <v>7.6210245452652499E-4</v>
      </c>
    </row>
    <row r="4058" spans="1:7" x14ac:dyDescent="0.25">
      <c r="A4058" s="6" t="s">
        <v>6815</v>
      </c>
      <c r="B4058" s="6"/>
      <c r="C4058" s="2656">
        <v>2</v>
      </c>
      <c r="D4058" s="2656">
        <v>328485.163582462</v>
      </c>
      <c r="E4058" s="2657">
        <v>242253.50731113099</v>
      </c>
      <c r="F4058" s="2658">
        <v>1.0318660606374E-3</v>
      </c>
      <c r="G4058" s="2659">
        <v>7.6210245452652499E-4</v>
      </c>
    </row>
    <row r="4059" spans="1:7" x14ac:dyDescent="0.25">
      <c r="A4059" s="11" t="s">
        <v>6816</v>
      </c>
      <c r="B4059" s="11"/>
      <c r="C4059" s="2660">
        <v>2</v>
      </c>
      <c r="D4059" s="2660">
        <v>328485.163582462</v>
      </c>
      <c r="E4059" s="2661">
        <v>242253.50731113099</v>
      </c>
      <c r="F4059" s="2662">
        <v>1.0318660606374E-3</v>
      </c>
      <c r="G4059" s="2663">
        <v>7.6210245452652499E-4</v>
      </c>
    </row>
    <row r="4060" spans="1:7" x14ac:dyDescent="0.25">
      <c r="A4060" s="6" t="s">
        <v>6817</v>
      </c>
      <c r="B4060" s="6"/>
      <c r="C4060" s="2656">
        <v>1</v>
      </c>
      <c r="D4060" s="2656">
        <v>225346.972443701</v>
      </c>
      <c r="E4060" s="2657">
        <v>225439.70926346601</v>
      </c>
      <c r="F4060" s="2658">
        <v>7.0787943722052998E-4</v>
      </c>
      <c r="G4060" s="2659">
        <v>7.0763290332651497E-4</v>
      </c>
    </row>
    <row r="4061" spans="1:7" x14ac:dyDescent="0.25">
      <c r="A4061" s="11" t="s">
        <v>6818</v>
      </c>
      <c r="B4061" s="11"/>
      <c r="C4061" s="2660">
        <v>1</v>
      </c>
      <c r="D4061" s="2660">
        <v>225346.972443701</v>
      </c>
      <c r="E4061" s="2661">
        <v>225439.70926346601</v>
      </c>
      <c r="F4061" s="2662">
        <v>7.0787943722052998E-4</v>
      </c>
      <c r="G4061" s="2663">
        <v>7.0763290332651497E-4</v>
      </c>
    </row>
    <row r="4062" spans="1:7" x14ac:dyDescent="0.25">
      <c r="A4062" s="6" t="s">
        <v>6819</v>
      </c>
      <c r="B4062" s="6"/>
      <c r="C4062" s="2656">
        <v>4</v>
      </c>
      <c r="D4062" s="2656">
        <v>57640.374816366799</v>
      </c>
      <c r="E4062" s="2657">
        <v>57946.999150937598</v>
      </c>
      <c r="F4062" s="2658">
        <v>1.8106494018411501E-4</v>
      </c>
      <c r="G4062" s="2659">
        <v>1.8190822776250801E-4</v>
      </c>
    </row>
    <row r="4063" spans="1:7" x14ac:dyDescent="0.25">
      <c r="A4063" s="11" t="s">
        <v>6417</v>
      </c>
      <c r="B4063" s="11" t="s">
        <v>6418</v>
      </c>
      <c r="C4063" s="2660">
        <v>185710</v>
      </c>
      <c r="D4063" s="2660">
        <v>31834089337.093899</v>
      </c>
      <c r="E4063" s="2661">
        <v>298177412.67035902</v>
      </c>
      <c r="F4063" s="2662">
        <v>100</v>
      </c>
      <c r="G4063" s="2663">
        <v>1.02786679142825E-14</v>
      </c>
    </row>
    <row r="4064" spans="1:7" x14ac:dyDescent="0.25">
      <c r="A4064" s="6" t="s">
        <v>6417</v>
      </c>
      <c r="B4064" s="6" t="s">
        <v>6419</v>
      </c>
      <c r="C4064" s="2656">
        <v>185710</v>
      </c>
      <c r="D4064" s="2656">
        <v>31834089337.093899</v>
      </c>
      <c r="E4064" s="2657">
        <v>0</v>
      </c>
      <c r="F4064" s="2658">
        <v>100</v>
      </c>
      <c r="G4064" s="2659">
        <v>0</v>
      </c>
    </row>
    <row r="4065" spans="1:7" x14ac:dyDescent="0.25">
      <c r="A4065" s="3729" t="s">
        <v>393</v>
      </c>
      <c r="B4065" s="3730"/>
      <c r="C4065" s="3730"/>
      <c r="D4065" s="3730"/>
      <c r="E4065" s="3730"/>
      <c r="F4065" s="3730"/>
      <c r="G4065" s="3730"/>
    </row>
    <row r="4066" spans="1:7" x14ac:dyDescent="0.25">
      <c r="A4066" s="11" t="s">
        <v>4437</v>
      </c>
      <c r="B4066" s="11"/>
      <c r="C4066" s="2668">
        <v>63900</v>
      </c>
      <c r="D4066" s="2668">
        <v>11392648730.435801</v>
      </c>
      <c r="E4066" s="2669">
        <v>128005245.601189</v>
      </c>
      <c r="F4066" s="2670">
        <v>35.7875754189105</v>
      </c>
      <c r="G4066" s="2671">
        <v>0.17010870269412701</v>
      </c>
    </row>
    <row r="4067" spans="1:7" x14ac:dyDescent="0.25">
      <c r="A4067" s="6" t="s">
        <v>6769</v>
      </c>
      <c r="B4067" s="6"/>
      <c r="C4067" s="2664">
        <v>29712</v>
      </c>
      <c r="D4067" s="2664">
        <v>4197117972.3789401</v>
      </c>
      <c r="E4067" s="2665">
        <v>68459001.360334396</v>
      </c>
      <c r="F4067" s="2666">
        <v>13.184350674948799</v>
      </c>
      <c r="G4067" s="2667">
        <v>0.22305940778442901</v>
      </c>
    </row>
    <row r="4068" spans="1:7" x14ac:dyDescent="0.25">
      <c r="A4068" s="11" t="s">
        <v>6770</v>
      </c>
      <c r="B4068" s="11"/>
      <c r="C4068" s="2668">
        <v>22965</v>
      </c>
      <c r="D4068" s="2668">
        <v>3152105145.0423198</v>
      </c>
      <c r="E4068" s="2669">
        <v>39799502.418157801</v>
      </c>
      <c r="F4068" s="2670">
        <v>9.9016658264177195</v>
      </c>
      <c r="G4068" s="2671">
        <v>9.7707399327314398E-2</v>
      </c>
    </row>
    <row r="4069" spans="1:7" x14ac:dyDescent="0.25">
      <c r="A4069" s="6" t="s">
        <v>6771</v>
      </c>
      <c r="B4069" s="6"/>
      <c r="C4069" s="2664">
        <v>16734</v>
      </c>
      <c r="D4069" s="2664">
        <v>2329843113.2058802</v>
      </c>
      <c r="E4069" s="2665">
        <v>64911015.593556397</v>
      </c>
      <c r="F4069" s="2666">
        <v>7.31870507912123</v>
      </c>
      <c r="G4069" s="2667">
        <v>0.15828335714910899</v>
      </c>
    </row>
    <row r="4070" spans="1:7" x14ac:dyDescent="0.25">
      <c r="A4070" s="11" t="s">
        <v>6720</v>
      </c>
      <c r="B4070" s="11"/>
      <c r="C4070" s="2668">
        <v>8718</v>
      </c>
      <c r="D4070" s="2668">
        <v>1912071420.17856</v>
      </c>
      <c r="E4070" s="2669">
        <v>15870403.3776592</v>
      </c>
      <c r="F4070" s="2670">
        <v>6.0063644350917897</v>
      </c>
      <c r="G4070" s="2671">
        <v>8.48726241881987E-2</v>
      </c>
    </row>
    <row r="4071" spans="1:7" x14ac:dyDescent="0.25">
      <c r="A4071" s="6" t="s">
        <v>6772</v>
      </c>
      <c r="B4071" s="6"/>
      <c r="C4071" s="2664">
        <v>11280</v>
      </c>
      <c r="D4071" s="2664">
        <v>1586100690.27702</v>
      </c>
      <c r="E4071" s="2665">
        <v>24639235.437188901</v>
      </c>
      <c r="F4071" s="2666">
        <v>4.9823969314204701</v>
      </c>
      <c r="G4071" s="2667">
        <v>5.2135144218831302E-2</v>
      </c>
    </row>
    <row r="4072" spans="1:7" x14ac:dyDescent="0.25">
      <c r="A4072" s="11" t="s">
        <v>6773</v>
      </c>
      <c r="B4072" s="11"/>
      <c r="C4072" s="2668">
        <v>5747</v>
      </c>
      <c r="D4072" s="2668">
        <v>1345598505.7785599</v>
      </c>
      <c r="E4072" s="2669">
        <v>29383672.412191901</v>
      </c>
      <c r="F4072" s="2670">
        <v>4.2269106288227603</v>
      </c>
      <c r="G4072" s="2671">
        <v>6.93112554156739E-2</v>
      </c>
    </row>
    <row r="4073" spans="1:7" x14ac:dyDescent="0.25">
      <c r="A4073" s="6" t="s">
        <v>6774</v>
      </c>
      <c r="B4073" s="6"/>
      <c r="C4073" s="2664">
        <v>3374</v>
      </c>
      <c r="D4073" s="2664">
        <v>1149320144.8062201</v>
      </c>
      <c r="E4073" s="2665">
        <v>38692304.370481603</v>
      </c>
      <c r="F4073" s="2666">
        <v>3.61034403288867</v>
      </c>
      <c r="G4073" s="2667">
        <v>0.12012983139365201</v>
      </c>
    </row>
    <row r="4074" spans="1:7" x14ac:dyDescent="0.25">
      <c r="A4074" s="11" t="s">
        <v>6775</v>
      </c>
      <c r="B4074" s="11"/>
      <c r="C4074" s="2668">
        <v>7170</v>
      </c>
      <c r="D4074" s="2668">
        <v>1014818746.309</v>
      </c>
      <c r="E4074" s="2669">
        <v>33514972.437253699</v>
      </c>
      <c r="F4074" s="2670">
        <v>3.1878365847472399</v>
      </c>
      <c r="G4074" s="2671">
        <v>9.0752433662403001E-2</v>
      </c>
    </row>
    <row r="4075" spans="1:7" x14ac:dyDescent="0.25">
      <c r="A4075" s="6" t="s">
        <v>4986</v>
      </c>
      <c r="B4075" s="6"/>
      <c r="C4075" s="2664">
        <v>1911</v>
      </c>
      <c r="D4075" s="2664">
        <v>787841415.30352294</v>
      </c>
      <c r="E4075" s="2665">
        <v>38317583.141227402</v>
      </c>
      <c r="F4075" s="2666">
        <v>2.4748357239341798</v>
      </c>
      <c r="G4075" s="2667">
        <v>0.11531257799962701</v>
      </c>
    </row>
    <row r="4076" spans="1:7" x14ac:dyDescent="0.25">
      <c r="A4076" s="11" t="s">
        <v>6776</v>
      </c>
      <c r="B4076" s="11"/>
      <c r="C4076" s="2668">
        <v>4507</v>
      </c>
      <c r="D4076" s="2668">
        <v>665299382.03290403</v>
      </c>
      <c r="E4076" s="2669">
        <v>22653422.9753474</v>
      </c>
      <c r="F4076" s="2670">
        <v>2.0898960701780802</v>
      </c>
      <c r="G4076" s="2671">
        <v>6.6958801259107997E-2</v>
      </c>
    </row>
    <row r="4077" spans="1:7" x14ac:dyDescent="0.25">
      <c r="A4077" s="6" t="s">
        <v>6777</v>
      </c>
      <c r="B4077" s="6"/>
      <c r="C4077" s="2664">
        <v>2641</v>
      </c>
      <c r="D4077" s="2664">
        <v>427627472.10517299</v>
      </c>
      <c r="E4077" s="2665">
        <v>22753651.654435702</v>
      </c>
      <c r="F4077" s="2666">
        <v>1.3433004713186201</v>
      </c>
      <c r="G4077" s="2667">
        <v>7.0148694073804793E-2</v>
      </c>
    </row>
    <row r="4078" spans="1:7" x14ac:dyDescent="0.25">
      <c r="A4078" s="11" t="s">
        <v>6778</v>
      </c>
      <c r="B4078" s="11"/>
      <c r="C4078" s="2668">
        <v>1041</v>
      </c>
      <c r="D4078" s="2668">
        <v>374575943.64751101</v>
      </c>
      <c r="E4078" s="2669">
        <v>26413869.800036401</v>
      </c>
      <c r="F4078" s="2670">
        <v>1.1766504129616999</v>
      </c>
      <c r="G4078" s="2671">
        <v>7.7361687739724502E-2</v>
      </c>
    </row>
    <row r="4079" spans="1:7" x14ac:dyDescent="0.25">
      <c r="A4079" s="6" t="s">
        <v>6779</v>
      </c>
      <c r="B4079" s="6"/>
      <c r="C4079" s="2664">
        <v>1548</v>
      </c>
      <c r="D4079" s="2664">
        <v>262217555.30439201</v>
      </c>
      <c r="E4079" s="2665">
        <v>12876778.9136966</v>
      </c>
      <c r="F4079" s="2666">
        <v>0.82370050711282305</v>
      </c>
      <c r="G4079" s="2667">
        <v>4.23495225839359E-2</v>
      </c>
    </row>
    <row r="4080" spans="1:7" x14ac:dyDescent="0.25">
      <c r="A4080" s="11" t="s">
        <v>6780</v>
      </c>
      <c r="B4080" s="11"/>
      <c r="C4080" s="2668">
        <v>536</v>
      </c>
      <c r="D4080" s="2668">
        <v>239247664.971591</v>
      </c>
      <c r="E4080" s="2669">
        <v>15586850.532230999</v>
      </c>
      <c r="F4080" s="2670">
        <v>0.75154549714985297</v>
      </c>
      <c r="G4080" s="2671">
        <v>4.6803266524259299E-2</v>
      </c>
    </row>
    <row r="4081" spans="1:7" x14ac:dyDescent="0.25">
      <c r="A4081" s="6" t="s">
        <v>6781</v>
      </c>
      <c r="B4081" s="6"/>
      <c r="C4081" s="2664">
        <v>658</v>
      </c>
      <c r="D4081" s="2664">
        <v>220932441.022369</v>
      </c>
      <c r="E4081" s="2665">
        <v>17494392.598414801</v>
      </c>
      <c r="F4081" s="2666">
        <v>0.69401212857982497</v>
      </c>
      <c r="G4081" s="2667">
        <v>5.8424329166907998E-2</v>
      </c>
    </row>
    <row r="4082" spans="1:7" x14ac:dyDescent="0.25">
      <c r="A4082" s="11" t="s">
        <v>6782</v>
      </c>
      <c r="B4082" s="11"/>
      <c r="C4082" s="2668">
        <v>982</v>
      </c>
      <c r="D4082" s="2668">
        <v>169385479.567384</v>
      </c>
      <c r="E4082" s="2669">
        <v>15260394.559454201</v>
      </c>
      <c r="F4082" s="2670">
        <v>0.53208834646955605</v>
      </c>
      <c r="G4082" s="2671">
        <v>4.5756614033234402E-2</v>
      </c>
    </row>
    <row r="4083" spans="1:7" x14ac:dyDescent="0.25">
      <c r="A4083" s="6" t="s">
        <v>6783</v>
      </c>
      <c r="B4083" s="6"/>
      <c r="C4083" s="2664">
        <v>314</v>
      </c>
      <c r="D4083" s="2664">
        <v>143682690.039823</v>
      </c>
      <c r="E4083" s="2665">
        <v>13551201.230034599</v>
      </c>
      <c r="F4083" s="2666">
        <v>0.45134851673736998</v>
      </c>
      <c r="G4083" s="2667">
        <v>4.14079551890882E-2</v>
      </c>
    </row>
    <row r="4084" spans="1:7" x14ac:dyDescent="0.25">
      <c r="A4084" s="11" t="s">
        <v>6784</v>
      </c>
      <c r="B4084" s="11"/>
      <c r="C4084" s="2668">
        <v>191</v>
      </c>
      <c r="D4084" s="2668">
        <v>103780261.55921599</v>
      </c>
      <c r="E4084" s="2669">
        <v>13636019.8034532</v>
      </c>
      <c r="F4084" s="2670">
        <v>0.326003550660043</v>
      </c>
      <c r="G4084" s="2671">
        <v>4.50071812765791E-2</v>
      </c>
    </row>
    <row r="4085" spans="1:7" x14ac:dyDescent="0.25">
      <c r="A4085" s="6" t="s">
        <v>6785</v>
      </c>
      <c r="B4085" s="6"/>
      <c r="C4085" s="2664">
        <v>552</v>
      </c>
      <c r="D4085" s="2664">
        <v>97698960.228380993</v>
      </c>
      <c r="E4085" s="2665">
        <v>9068784.1144505106</v>
      </c>
      <c r="F4085" s="2666">
        <v>0.30690043994611599</v>
      </c>
      <c r="G4085" s="2667">
        <v>2.8804083783760499E-2</v>
      </c>
    </row>
    <row r="4086" spans="1:7" x14ac:dyDescent="0.25">
      <c r="A4086" s="11" t="s">
        <v>6786</v>
      </c>
      <c r="B4086" s="11"/>
      <c r="C4086" s="2668">
        <v>324</v>
      </c>
      <c r="D4086" s="2668">
        <v>49474931.744341403</v>
      </c>
      <c r="E4086" s="2669">
        <v>6561581.6201233296</v>
      </c>
      <c r="F4086" s="2670">
        <v>0.155414942832029</v>
      </c>
      <c r="G4086" s="2671">
        <v>2.08135167272754E-2</v>
      </c>
    </row>
    <row r="4087" spans="1:7" x14ac:dyDescent="0.25">
      <c r="A4087" s="6" t="s">
        <v>6787</v>
      </c>
      <c r="B4087" s="6"/>
      <c r="C4087" s="2664">
        <v>70</v>
      </c>
      <c r="D4087" s="2664">
        <v>45716445.923947997</v>
      </c>
      <c r="E4087" s="2665">
        <v>8304716.5128760198</v>
      </c>
      <c r="F4087" s="2666">
        <v>0.14360846148244599</v>
      </c>
      <c r="G4087" s="2667">
        <v>2.67794717075573E-2</v>
      </c>
    </row>
    <row r="4088" spans="1:7" x14ac:dyDescent="0.25">
      <c r="A4088" s="11" t="s">
        <v>6788</v>
      </c>
      <c r="B4088" s="11"/>
      <c r="C4088" s="2668">
        <v>223</v>
      </c>
      <c r="D4088" s="2668">
        <v>32103890.0655974</v>
      </c>
      <c r="E4088" s="2669">
        <v>3657903.3732283101</v>
      </c>
      <c r="F4088" s="2670">
        <v>0.100847521427884</v>
      </c>
      <c r="G4088" s="2671">
        <v>1.1664487865779101E-2</v>
      </c>
    </row>
    <row r="4089" spans="1:7" x14ac:dyDescent="0.25">
      <c r="A4089" s="6" t="s">
        <v>6789</v>
      </c>
      <c r="B4089" s="6"/>
      <c r="C4089" s="2664">
        <v>67</v>
      </c>
      <c r="D4089" s="2664">
        <v>25228910.627316199</v>
      </c>
      <c r="E4089" s="2665">
        <v>4483736.0045393296</v>
      </c>
      <c r="F4089" s="2666">
        <v>7.9251240266888401E-2</v>
      </c>
      <c r="G4089" s="2667">
        <v>1.4205351994428E-2</v>
      </c>
    </row>
    <row r="4090" spans="1:7" x14ac:dyDescent="0.25">
      <c r="A4090" s="11" t="s">
        <v>6790</v>
      </c>
      <c r="B4090" s="11"/>
      <c r="C4090" s="2668">
        <v>139</v>
      </c>
      <c r="D4090" s="2668">
        <v>21317453.836763401</v>
      </c>
      <c r="E4090" s="2669">
        <v>3199805.0634446498</v>
      </c>
      <c r="F4090" s="2670">
        <v>6.6964233250183594E-2</v>
      </c>
      <c r="G4090" s="2671">
        <v>9.7907899914381393E-3</v>
      </c>
    </row>
    <row r="4091" spans="1:7" x14ac:dyDescent="0.25">
      <c r="A4091" s="6" t="s">
        <v>6791</v>
      </c>
      <c r="B4091" s="6"/>
      <c r="C4091" s="2664">
        <v>91</v>
      </c>
      <c r="D4091" s="2664">
        <v>14684509.787997101</v>
      </c>
      <c r="E4091" s="2665">
        <v>2673141.68421942</v>
      </c>
      <c r="F4091" s="2666">
        <v>4.6128254628243201E-2</v>
      </c>
      <c r="G4091" s="2667">
        <v>8.3883007465888997E-3</v>
      </c>
    </row>
    <row r="4092" spans="1:7" x14ac:dyDescent="0.25">
      <c r="A4092" s="11" t="s">
        <v>6792</v>
      </c>
      <c r="B4092" s="11"/>
      <c r="C4092" s="2668">
        <v>26</v>
      </c>
      <c r="D4092" s="2668">
        <v>13853396.093622301</v>
      </c>
      <c r="E4092" s="2669">
        <v>4972091.0225327201</v>
      </c>
      <c r="F4092" s="2670">
        <v>4.3517488271542698E-2</v>
      </c>
      <c r="G4092" s="2671">
        <v>1.5586532822091499E-2</v>
      </c>
    </row>
    <row r="4093" spans="1:7" x14ac:dyDescent="0.25">
      <c r="A4093" s="6" t="s">
        <v>6794</v>
      </c>
      <c r="B4093" s="6"/>
      <c r="C4093" s="2664">
        <v>62</v>
      </c>
      <c r="D4093" s="2664">
        <v>10119573.886297099</v>
      </c>
      <c r="E4093" s="2665">
        <v>2291685.9621112701</v>
      </c>
      <c r="F4093" s="2666">
        <v>3.1788482400548997E-2</v>
      </c>
      <c r="G4093" s="2667">
        <v>7.1572555196026903E-3</v>
      </c>
    </row>
    <row r="4094" spans="1:7" x14ac:dyDescent="0.25">
      <c r="A4094" s="11" t="s">
        <v>6793</v>
      </c>
      <c r="B4094" s="11"/>
      <c r="C4094" s="2668">
        <v>27</v>
      </c>
      <c r="D4094" s="2668">
        <v>9963513.8606157191</v>
      </c>
      <c r="E4094" s="2669">
        <v>2325939.7625727099</v>
      </c>
      <c r="F4094" s="2670">
        <v>3.1298253124539599E-2</v>
      </c>
      <c r="G4094" s="2671">
        <v>7.1926771043185397E-3</v>
      </c>
    </row>
    <row r="4095" spans="1:7" x14ac:dyDescent="0.25">
      <c r="A4095" s="6" t="s">
        <v>6795</v>
      </c>
      <c r="B4095" s="6"/>
      <c r="C4095" s="2664">
        <v>40</v>
      </c>
      <c r="D4095" s="2664">
        <v>7151391.2309200903</v>
      </c>
      <c r="E4095" s="2665">
        <v>2127578.3196096998</v>
      </c>
      <c r="F4095" s="2666">
        <v>2.2464569836420901E-2</v>
      </c>
      <c r="G4095" s="2667">
        <v>6.6169530876061698E-3</v>
      </c>
    </row>
    <row r="4096" spans="1:7" x14ac:dyDescent="0.25">
      <c r="A4096" s="11" t="s">
        <v>6796</v>
      </c>
      <c r="B4096" s="11"/>
      <c r="C4096" s="2668">
        <v>26</v>
      </c>
      <c r="D4096" s="2668">
        <v>5995140.4012022596</v>
      </c>
      <c r="E4096" s="2669">
        <v>2456024.7951620999</v>
      </c>
      <c r="F4096" s="2670">
        <v>1.88324545355113E-2</v>
      </c>
      <c r="G4096" s="2671">
        <v>7.7453979717843997E-3</v>
      </c>
    </row>
    <row r="4097" spans="1:7" x14ac:dyDescent="0.25">
      <c r="A4097" s="6" t="s">
        <v>6797</v>
      </c>
      <c r="B4097" s="6"/>
      <c r="C4097" s="2664">
        <v>6</v>
      </c>
      <c r="D4097" s="2664">
        <v>4444099.2298559798</v>
      </c>
      <c r="E4097" s="2665">
        <v>4233972.08122906</v>
      </c>
      <c r="F4097" s="2666">
        <v>1.39601896030291E-2</v>
      </c>
      <c r="G4097" s="2667">
        <v>1.32987953036597E-2</v>
      </c>
    </row>
    <row r="4098" spans="1:7" x14ac:dyDescent="0.25">
      <c r="A4098" s="11" t="s">
        <v>6798</v>
      </c>
      <c r="B4098" s="11"/>
      <c r="C4098" s="2668">
        <v>30</v>
      </c>
      <c r="D4098" s="2668">
        <v>4146403.9703348698</v>
      </c>
      <c r="E4098" s="2669">
        <v>1577003.7372441499</v>
      </c>
      <c r="F4098" s="2670">
        <v>1.302504345712E-2</v>
      </c>
      <c r="G4098" s="2671">
        <v>4.9685849504592502E-3</v>
      </c>
    </row>
    <row r="4099" spans="1:7" x14ac:dyDescent="0.25">
      <c r="A4099" s="6" t="s">
        <v>6799</v>
      </c>
      <c r="B4099" s="6"/>
      <c r="C4099" s="2664">
        <v>5</v>
      </c>
      <c r="D4099" s="2664">
        <v>3582899.2772200601</v>
      </c>
      <c r="E4099" s="2665">
        <v>1826998.6639586601</v>
      </c>
      <c r="F4099" s="2666">
        <v>1.12549136847624E-2</v>
      </c>
      <c r="G4099" s="2667">
        <v>5.7300306758149896E-3</v>
      </c>
    </row>
    <row r="4100" spans="1:7" x14ac:dyDescent="0.25">
      <c r="A4100" s="11" t="s">
        <v>6800</v>
      </c>
      <c r="B4100" s="11"/>
      <c r="C4100" s="2668">
        <v>12</v>
      </c>
      <c r="D4100" s="2668">
        <v>2874706.3505206699</v>
      </c>
      <c r="E4100" s="2669">
        <v>1247876.3351121901</v>
      </c>
      <c r="F4100" s="2670">
        <v>9.0302766951495198E-3</v>
      </c>
      <c r="G4100" s="2671">
        <v>3.9440019211913896E-3</v>
      </c>
    </row>
    <row r="4101" spans="1:7" x14ac:dyDescent="0.25">
      <c r="A4101" s="6" t="s">
        <v>6801</v>
      </c>
      <c r="B4101" s="6"/>
      <c r="C4101" s="2664">
        <v>12</v>
      </c>
      <c r="D4101" s="2664">
        <v>1947841.15532126</v>
      </c>
      <c r="E4101" s="2665">
        <v>955606.98994012095</v>
      </c>
      <c r="F4101" s="2666">
        <v>6.1187274267386696E-3</v>
      </c>
      <c r="G4101" s="2667">
        <v>3.00244468632321E-3</v>
      </c>
    </row>
    <row r="4102" spans="1:7" x14ac:dyDescent="0.25">
      <c r="A4102" s="11" t="s">
        <v>6802</v>
      </c>
      <c r="B4102" s="11"/>
      <c r="C4102" s="2668">
        <v>8</v>
      </c>
      <c r="D4102" s="2668">
        <v>1365334.1525387799</v>
      </c>
      <c r="E4102" s="2669">
        <v>1086224.2219479301</v>
      </c>
      <c r="F4102" s="2670">
        <v>4.28890595261307E-3</v>
      </c>
      <c r="G4102" s="2671">
        <v>3.4142147038810299E-3</v>
      </c>
    </row>
    <row r="4103" spans="1:7" x14ac:dyDescent="0.25">
      <c r="A4103" s="6" t="s">
        <v>6803</v>
      </c>
      <c r="B4103" s="6"/>
      <c r="C4103" s="2664">
        <v>8</v>
      </c>
      <c r="D4103" s="2664">
        <v>916566.80024675606</v>
      </c>
      <c r="E4103" s="2665">
        <v>530724.040431311</v>
      </c>
      <c r="F4103" s="2666">
        <v>2.87919905778096E-3</v>
      </c>
      <c r="G4103" s="2667">
        <v>1.66772910470623E-3</v>
      </c>
    </row>
    <row r="4104" spans="1:7" x14ac:dyDescent="0.25">
      <c r="A4104" s="11" t="s">
        <v>6804</v>
      </c>
      <c r="B4104" s="11"/>
      <c r="C4104" s="2668">
        <v>5</v>
      </c>
      <c r="D4104" s="2668">
        <v>844292.38983208104</v>
      </c>
      <c r="E4104" s="2669">
        <v>537296.15591483796</v>
      </c>
      <c r="F4104" s="2670">
        <v>2.6521644168670702E-3</v>
      </c>
      <c r="G4104" s="2671">
        <v>1.6874364465518099E-3</v>
      </c>
    </row>
    <row r="4105" spans="1:7" x14ac:dyDescent="0.25">
      <c r="A4105" s="6" t="s">
        <v>6805</v>
      </c>
      <c r="B4105" s="6"/>
      <c r="C4105" s="2664">
        <v>5</v>
      </c>
      <c r="D4105" s="2664">
        <v>844292.38983208104</v>
      </c>
      <c r="E4105" s="2665">
        <v>537296.15591483796</v>
      </c>
      <c r="F4105" s="2666">
        <v>2.6521644168670702E-3</v>
      </c>
      <c r="G4105" s="2667">
        <v>1.6874364465518099E-3</v>
      </c>
    </row>
    <row r="4106" spans="1:7" x14ac:dyDescent="0.25">
      <c r="A4106" s="11" t="s">
        <v>6806</v>
      </c>
      <c r="B4106" s="11"/>
      <c r="C4106" s="2668">
        <v>5</v>
      </c>
      <c r="D4106" s="2668">
        <v>744391.620197693</v>
      </c>
      <c r="E4106" s="2669">
        <v>749978.465256355</v>
      </c>
      <c r="F4106" s="2670">
        <v>2.33834746241762E-3</v>
      </c>
      <c r="G4106" s="2671">
        <v>2.3539055413147199E-3</v>
      </c>
    </row>
    <row r="4107" spans="1:7" x14ac:dyDescent="0.25">
      <c r="A4107" s="6" t="s">
        <v>6807</v>
      </c>
      <c r="B4107" s="6"/>
      <c r="C4107" s="2664">
        <v>3</v>
      </c>
      <c r="D4107" s="2664">
        <v>733565.494227616</v>
      </c>
      <c r="E4107" s="2665">
        <v>500302.42050671601</v>
      </c>
      <c r="F4107" s="2666">
        <v>2.30433949738542E-3</v>
      </c>
      <c r="G4107" s="2667">
        <v>1.5747461365253599E-3</v>
      </c>
    </row>
    <row r="4108" spans="1:7" x14ac:dyDescent="0.25">
      <c r="A4108" s="11" t="s">
        <v>6808</v>
      </c>
      <c r="B4108" s="11"/>
      <c r="C4108" s="2668">
        <v>7</v>
      </c>
      <c r="D4108" s="2668">
        <v>603331.78378451394</v>
      </c>
      <c r="E4108" s="2669">
        <v>381879.44972116302</v>
      </c>
      <c r="F4108" s="2670">
        <v>1.89523808077493E-3</v>
      </c>
      <c r="G4108" s="2671">
        <v>1.2032612792443899E-3</v>
      </c>
    </row>
    <row r="4109" spans="1:7" x14ac:dyDescent="0.25">
      <c r="A4109" s="6" t="s">
        <v>6809</v>
      </c>
      <c r="B4109" s="6"/>
      <c r="C4109" s="2664">
        <v>2</v>
      </c>
      <c r="D4109" s="2664">
        <v>565808.89153479796</v>
      </c>
      <c r="E4109" s="2665">
        <v>563831.91040062101</v>
      </c>
      <c r="F4109" s="2666">
        <v>1.77736792010413E-3</v>
      </c>
      <c r="G4109" s="2667">
        <v>1.7696869894600301E-3</v>
      </c>
    </row>
    <row r="4110" spans="1:7" x14ac:dyDescent="0.25">
      <c r="A4110" s="11" t="s">
        <v>6810</v>
      </c>
      <c r="B4110" s="11"/>
      <c r="C4110" s="2668">
        <v>3</v>
      </c>
      <c r="D4110" s="2668">
        <v>414005.39058570599</v>
      </c>
      <c r="E4110" s="2669">
        <v>271125.62531025201</v>
      </c>
      <c r="F4110" s="2670">
        <v>1.3005096084319099E-3</v>
      </c>
      <c r="G4110" s="2671">
        <v>8.5398006767547303E-4</v>
      </c>
    </row>
    <row r="4111" spans="1:7" x14ac:dyDescent="0.25">
      <c r="A4111" s="6" t="s">
        <v>6811</v>
      </c>
      <c r="B4111" s="6"/>
      <c r="C4111" s="2664">
        <v>2</v>
      </c>
      <c r="D4111" s="2664">
        <v>369860.46785386698</v>
      </c>
      <c r="E4111" s="2665">
        <v>251242.98702145301</v>
      </c>
      <c r="F4111" s="2666">
        <v>1.16183775178043E-3</v>
      </c>
      <c r="G4111" s="2667">
        <v>7.9096083098220595E-4</v>
      </c>
    </row>
    <row r="4112" spans="1:7" x14ac:dyDescent="0.25">
      <c r="A4112" s="11" t="s">
        <v>6812</v>
      </c>
      <c r="B4112" s="11"/>
      <c r="C4112" s="2668">
        <v>4</v>
      </c>
      <c r="D4112" s="2668">
        <v>344764.41787268402</v>
      </c>
      <c r="E4112" s="2669">
        <v>237975.821006796</v>
      </c>
      <c r="F4112" s="2670">
        <v>1.0830038648881801E-3</v>
      </c>
      <c r="G4112" s="2671">
        <v>7.4910697665714798E-4</v>
      </c>
    </row>
    <row r="4113" spans="1:7" x14ac:dyDescent="0.25">
      <c r="A4113" s="6" t="s">
        <v>6813</v>
      </c>
      <c r="B4113" s="6"/>
      <c r="C4113" s="2664">
        <v>5</v>
      </c>
      <c r="D4113" s="2664">
        <v>330491.84848456201</v>
      </c>
      <c r="E4113" s="2665">
        <v>241949.33288004799</v>
      </c>
      <c r="F4113" s="2666">
        <v>1.0381696331406101E-3</v>
      </c>
      <c r="G4113" s="2667">
        <v>7.6116977685639E-4</v>
      </c>
    </row>
    <row r="4114" spans="1:7" x14ac:dyDescent="0.25">
      <c r="A4114" s="11" t="s">
        <v>6814</v>
      </c>
      <c r="B4114" s="11"/>
      <c r="C4114" s="2668">
        <v>2</v>
      </c>
      <c r="D4114" s="2668">
        <v>328485.163582462</v>
      </c>
      <c r="E4114" s="2669">
        <v>242253.50731113099</v>
      </c>
      <c r="F4114" s="2670">
        <v>1.0318660606374E-3</v>
      </c>
      <c r="G4114" s="2671">
        <v>7.6210245452652402E-4</v>
      </c>
    </row>
    <row r="4115" spans="1:7" x14ac:dyDescent="0.25">
      <c r="A4115" s="6" t="s">
        <v>6815</v>
      </c>
      <c r="B4115" s="6"/>
      <c r="C4115" s="2664">
        <v>2</v>
      </c>
      <c r="D4115" s="2664">
        <v>328485.163582462</v>
      </c>
      <c r="E4115" s="2665">
        <v>242253.50731113099</v>
      </c>
      <c r="F4115" s="2666">
        <v>1.0318660606374E-3</v>
      </c>
      <c r="G4115" s="2667">
        <v>7.6210245452652402E-4</v>
      </c>
    </row>
    <row r="4116" spans="1:7" x14ac:dyDescent="0.25">
      <c r="A4116" s="11" t="s">
        <v>6816</v>
      </c>
      <c r="B4116" s="11"/>
      <c r="C4116" s="2668">
        <v>2</v>
      </c>
      <c r="D4116" s="2668">
        <v>328485.163582462</v>
      </c>
      <c r="E4116" s="2669">
        <v>242253.50731113099</v>
      </c>
      <c r="F4116" s="2670">
        <v>1.0318660606374E-3</v>
      </c>
      <c r="G4116" s="2671">
        <v>7.6210245452652402E-4</v>
      </c>
    </row>
    <row r="4117" spans="1:7" x14ac:dyDescent="0.25">
      <c r="A4117" s="6" t="s">
        <v>6817</v>
      </c>
      <c r="B4117" s="6"/>
      <c r="C4117" s="2664">
        <v>1</v>
      </c>
      <c r="D4117" s="2664">
        <v>225346.972443701</v>
      </c>
      <c r="E4117" s="2665">
        <v>225439.70926346601</v>
      </c>
      <c r="F4117" s="2666">
        <v>7.07879437220529E-4</v>
      </c>
      <c r="G4117" s="2667">
        <v>7.0763290332651497E-4</v>
      </c>
    </row>
    <row r="4118" spans="1:7" x14ac:dyDescent="0.25">
      <c r="A4118" s="11" t="s">
        <v>6818</v>
      </c>
      <c r="B4118" s="11"/>
      <c r="C4118" s="2668">
        <v>1</v>
      </c>
      <c r="D4118" s="2668">
        <v>225346.972443701</v>
      </c>
      <c r="E4118" s="2669">
        <v>225439.70926346601</v>
      </c>
      <c r="F4118" s="2670">
        <v>7.07879437220529E-4</v>
      </c>
      <c r="G4118" s="2671">
        <v>7.0763290332651497E-4</v>
      </c>
    </row>
    <row r="4119" spans="1:7" x14ac:dyDescent="0.25">
      <c r="A4119" s="6" t="s">
        <v>6819</v>
      </c>
      <c r="B4119" s="6"/>
      <c r="C4119" s="2664">
        <v>4</v>
      </c>
      <c r="D4119" s="2664">
        <v>57640.374816366799</v>
      </c>
      <c r="E4119" s="2665">
        <v>57946.999150937598</v>
      </c>
      <c r="F4119" s="2666">
        <v>1.8106494018411501E-4</v>
      </c>
      <c r="G4119" s="2667">
        <v>1.8190822776250801E-4</v>
      </c>
    </row>
    <row r="4120" spans="1:7" x14ac:dyDescent="0.25">
      <c r="A4120" s="11" t="s">
        <v>6417</v>
      </c>
      <c r="B4120" s="11" t="s">
        <v>6418</v>
      </c>
      <c r="C4120" s="2668">
        <v>185710</v>
      </c>
      <c r="D4120" s="2668">
        <v>31834089337.093899</v>
      </c>
      <c r="E4120" s="2669">
        <v>298177412.67032802</v>
      </c>
      <c r="F4120" s="2670">
        <v>100</v>
      </c>
      <c r="G4120" s="2671">
        <v>0</v>
      </c>
    </row>
    <row r="4121" spans="1:7" x14ac:dyDescent="0.25">
      <c r="A4121" s="6" t="s">
        <v>6417</v>
      </c>
      <c r="B4121" s="6" t="s">
        <v>6419</v>
      </c>
      <c r="C4121" s="2664">
        <v>185710</v>
      </c>
      <c r="D4121" s="2664">
        <v>31834089337.093899</v>
      </c>
      <c r="E4121" s="2665">
        <v>0</v>
      </c>
      <c r="F4121" s="2666">
        <v>100</v>
      </c>
      <c r="G4121" s="2667">
        <v>0</v>
      </c>
    </row>
    <row r="4122" spans="1:7" x14ac:dyDescent="0.25">
      <c r="A4122" s="3729" t="s">
        <v>709</v>
      </c>
      <c r="B4122" s="3730"/>
      <c r="C4122" s="3730"/>
      <c r="D4122" s="3730"/>
      <c r="E4122" s="3730"/>
      <c r="F4122" s="3730"/>
      <c r="G4122" s="3730"/>
    </row>
    <row r="4123" spans="1:7" x14ac:dyDescent="0.25">
      <c r="A4123" s="11" t="s">
        <v>6417</v>
      </c>
      <c r="B4123" s="11" t="s">
        <v>6418</v>
      </c>
      <c r="C4123" s="2676">
        <v>185657</v>
      </c>
      <c r="D4123" s="2676">
        <v>31834089337.094101</v>
      </c>
      <c r="E4123" s="2677">
        <v>298177412.67022002</v>
      </c>
      <c r="F4123" s="2678">
        <v>100</v>
      </c>
      <c r="G4123" s="2679">
        <v>1.02786679142825E-14</v>
      </c>
    </row>
    <row r="4124" spans="1:7" x14ac:dyDescent="0.25">
      <c r="A4124" s="6" t="s">
        <v>6417</v>
      </c>
      <c r="B4124" s="6" t="s">
        <v>6419</v>
      </c>
      <c r="C4124" s="2672">
        <v>185657</v>
      </c>
      <c r="D4124" s="2672">
        <v>31834089337.094101</v>
      </c>
      <c r="E4124" s="2673">
        <v>0</v>
      </c>
      <c r="F4124" s="2674">
        <v>100</v>
      </c>
      <c r="G4124" s="2675">
        <v>0</v>
      </c>
    </row>
    <row r="4125" spans="1:7" x14ac:dyDescent="0.25">
      <c r="A4125" s="3729" t="s">
        <v>213</v>
      </c>
      <c r="B4125" s="3730"/>
      <c r="C4125" s="3730"/>
      <c r="D4125" s="3730"/>
      <c r="E4125" s="3730"/>
      <c r="F4125" s="3730"/>
      <c r="G4125" s="3730"/>
    </row>
    <row r="4126" spans="1:7" x14ac:dyDescent="0.25">
      <c r="A4126" s="11" t="s">
        <v>6417</v>
      </c>
      <c r="B4126" s="11" t="s">
        <v>6418</v>
      </c>
      <c r="C4126" s="2684">
        <v>185639</v>
      </c>
      <c r="D4126" s="2684">
        <v>31834089337.094101</v>
      </c>
      <c r="E4126" s="2685">
        <v>298177412.67022097</v>
      </c>
      <c r="F4126" s="2686">
        <v>100</v>
      </c>
      <c r="G4126" s="2687">
        <v>0</v>
      </c>
    </row>
    <row r="4127" spans="1:7" x14ac:dyDescent="0.25">
      <c r="A4127" s="6" t="s">
        <v>6417</v>
      </c>
      <c r="B4127" s="6" t="s">
        <v>6419</v>
      </c>
      <c r="C4127" s="2680">
        <v>185639</v>
      </c>
      <c r="D4127" s="2680">
        <v>31834089337.094101</v>
      </c>
      <c r="E4127" s="2681">
        <v>0</v>
      </c>
      <c r="F4127" s="2682">
        <v>100</v>
      </c>
      <c r="G4127" s="2683">
        <v>0</v>
      </c>
    </row>
    <row r="4128" spans="1:7" x14ac:dyDescent="0.25">
      <c r="A4128" s="3729" t="s">
        <v>711</v>
      </c>
      <c r="B4128" s="3730"/>
      <c r="C4128" s="3730"/>
      <c r="D4128" s="3730"/>
      <c r="E4128" s="3730"/>
      <c r="F4128" s="3730"/>
      <c r="G4128" s="3730"/>
    </row>
    <row r="4129" spans="1:7" x14ac:dyDescent="0.25">
      <c r="A4129" s="11" t="s">
        <v>6417</v>
      </c>
      <c r="B4129" s="11" t="s">
        <v>6418</v>
      </c>
      <c r="C4129" s="2692">
        <v>134424</v>
      </c>
      <c r="D4129" s="2692">
        <v>31834089337.094101</v>
      </c>
      <c r="E4129" s="2693">
        <v>298177412.67022401</v>
      </c>
      <c r="F4129" s="2694">
        <v>100</v>
      </c>
      <c r="G4129" s="2695">
        <v>1.02786679142825E-14</v>
      </c>
    </row>
    <row r="4130" spans="1:7" x14ac:dyDescent="0.25">
      <c r="A4130" s="6" t="s">
        <v>6417</v>
      </c>
      <c r="B4130" s="6" t="s">
        <v>6419</v>
      </c>
      <c r="C4130" s="2688">
        <v>134424</v>
      </c>
      <c r="D4130" s="2688">
        <v>31834089337.094101</v>
      </c>
      <c r="E4130" s="2689">
        <v>0</v>
      </c>
      <c r="F4130" s="2690">
        <v>100</v>
      </c>
      <c r="G4130" s="2691">
        <v>0</v>
      </c>
    </row>
    <row r="4131" spans="1:7" x14ac:dyDescent="0.25">
      <c r="A4131" s="3729" t="s">
        <v>215</v>
      </c>
      <c r="B4131" s="3730"/>
      <c r="C4131" s="3730"/>
      <c r="D4131" s="3730"/>
      <c r="E4131" s="3730"/>
      <c r="F4131" s="3730"/>
      <c r="G4131" s="3730"/>
    </row>
    <row r="4132" spans="1:7" x14ac:dyDescent="0.25">
      <c r="A4132" s="11" t="s">
        <v>6417</v>
      </c>
      <c r="B4132" s="11" t="s">
        <v>6418</v>
      </c>
      <c r="C4132" s="2700">
        <v>134424</v>
      </c>
      <c r="D4132" s="2700">
        <v>31834089337.094101</v>
      </c>
      <c r="E4132" s="2701">
        <v>298177412.67022401</v>
      </c>
      <c r="F4132" s="2702">
        <v>100</v>
      </c>
      <c r="G4132" s="2703">
        <v>1.02786679142825E-14</v>
      </c>
    </row>
    <row r="4133" spans="1:7" x14ac:dyDescent="0.25">
      <c r="A4133" s="6" t="s">
        <v>6417</v>
      </c>
      <c r="B4133" s="6" t="s">
        <v>6419</v>
      </c>
      <c r="C4133" s="2696">
        <v>134424</v>
      </c>
      <c r="D4133" s="2696">
        <v>31834089337.094101</v>
      </c>
      <c r="E4133" s="2697">
        <v>0</v>
      </c>
      <c r="F4133" s="2698">
        <v>100</v>
      </c>
      <c r="G4133" s="2699">
        <v>0</v>
      </c>
    </row>
    <row r="4134" spans="1:7" x14ac:dyDescent="0.25">
      <c r="A4134" s="3729" t="s">
        <v>705</v>
      </c>
      <c r="B4134" s="3730"/>
      <c r="C4134" s="3730"/>
      <c r="D4134" s="3730"/>
      <c r="E4134" s="3730"/>
      <c r="F4134" s="3730"/>
      <c r="G4134" s="3730"/>
    </row>
    <row r="4135" spans="1:7" x14ac:dyDescent="0.25">
      <c r="A4135" s="11" t="s">
        <v>1109</v>
      </c>
      <c r="B4135" s="11"/>
      <c r="C4135" s="2708">
        <v>19318</v>
      </c>
      <c r="D4135" s="2708">
        <v>4448214657.80867</v>
      </c>
      <c r="E4135" s="2709">
        <v>75570970.028512597</v>
      </c>
      <c r="F4135" s="2710">
        <v>13.9731173419353</v>
      </c>
      <c r="G4135" s="2711">
        <v>0.164840388740157</v>
      </c>
    </row>
    <row r="4136" spans="1:7" x14ac:dyDescent="0.25">
      <c r="A4136" s="6" t="s">
        <v>1119</v>
      </c>
      <c r="B4136" s="6"/>
      <c r="C4136" s="2704">
        <v>17169</v>
      </c>
      <c r="D4136" s="2704">
        <v>3287665188.6771598</v>
      </c>
      <c r="E4136" s="2705">
        <v>63318325.297036901</v>
      </c>
      <c r="F4136" s="2706">
        <v>10.327498782402101</v>
      </c>
      <c r="G4136" s="2707">
        <v>0.227239892952418</v>
      </c>
    </row>
    <row r="4137" spans="1:7" x14ac:dyDescent="0.25">
      <c r="A4137" s="11" t="s">
        <v>1098</v>
      </c>
      <c r="B4137" s="11"/>
      <c r="C4137" s="2708">
        <v>16052</v>
      </c>
      <c r="D4137" s="2708">
        <v>3098615816.7044702</v>
      </c>
      <c r="E4137" s="2709">
        <v>61060797.818735696</v>
      </c>
      <c r="F4137" s="2710">
        <v>9.7336405131397203</v>
      </c>
      <c r="G4137" s="2711">
        <v>0.15270611349403501</v>
      </c>
    </row>
    <row r="4138" spans="1:7" x14ac:dyDescent="0.25">
      <c r="A4138" s="6" t="s">
        <v>1100</v>
      </c>
      <c r="B4138" s="6"/>
      <c r="C4138" s="2704">
        <v>15413</v>
      </c>
      <c r="D4138" s="2704">
        <v>3071844222.6630201</v>
      </c>
      <c r="E4138" s="2705">
        <v>59530305.350040697</v>
      </c>
      <c r="F4138" s="2706">
        <v>9.6495432620515498</v>
      </c>
      <c r="G4138" s="2707">
        <v>0.19986600113268499</v>
      </c>
    </row>
    <row r="4139" spans="1:7" x14ac:dyDescent="0.25">
      <c r="A4139" s="11" t="s">
        <v>1094</v>
      </c>
      <c r="B4139" s="11"/>
      <c r="C4139" s="2708">
        <v>14734</v>
      </c>
      <c r="D4139" s="2708">
        <v>2631905859.65205</v>
      </c>
      <c r="E4139" s="2709">
        <v>60389374.232180402</v>
      </c>
      <c r="F4139" s="2710">
        <v>8.2675707534227403</v>
      </c>
      <c r="G4139" s="2711">
        <v>0.16940522400355401</v>
      </c>
    </row>
    <row r="4140" spans="1:7" x14ac:dyDescent="0.25">
      <c r="A4140" s="6" t="s">
        <v>1092</v>
      </c>
      <c r="B4140" s="6"/>
      <c r="C4140" s="2704">
        <v>14689</v>
      </c>
      <c r="D4140" s="2704">
        <v>2487676620.6718798</v>
      </c>
      <c r="E4140" s="2705">
        <v>65654117.770814903</v>
      </c>
      <c r="F4140" s="2706">
        <v>7.8145053697928999</v>
      </c>
      <c r="G4140" s="2707">
        <v>0.176747188996321</v>
      </c>
    </row>
    <row r="4141" spans="1:7" x14ac:dyDescent="0.25">
      <c r="A4141" s="11" t="s">
        <v>1096</v>
      </c>
      <c r="B4141" s="11"/>
      <c r="C4141" s="2708">
        <v>14457</v>
      </c>
      <c r="D4141" s="2708">
        <v>2470509627.01333</v>
      </c>
      <c r="E4141" s="2709">
        <v>82334199.417706296</v>
      </c>
      <c r="F4141" s="2710">
        <v>7.7605789217115104</v>
      </c>
      <c r="G4141" s="2711">
        <v>0.24809668331902399</v>
      </c>
    </row>
    <row r="4142" spans="1:7" x14ac:dyDescent="0.25">
      <c r="A4142" s="6" t="s">
        <v>1121</v>
      </c>
      <c r="B4142" s="6"/>
      <c r="C4142" s="2704">
        <v>14797</v>
      </c>
      <c r="D4142" s="2704">
        <v>2195443701.4562402</v>
      </c>
      <c r="E4142" s="2705">
        <v>29778053.7978503</v>
      </c>
      <c r="F4142" s="2706">
        <v>6.8965180005889</v>
      </c>
      <c r="G4142" s="2707">
        <v>7.1954848508037697E-2</v>
      </c>
    </row>
    <row r="4143" spans="1:7" x14ac:dyDescent="0.25">
      <c r="A4143" s="11" t="s">
        <v>1127</v>
      </c>
      <c r="B4143" s="11"/>
      <c r="C4143" s="2708">
        <v>15063</v>
      </c>
      <c r="D4143" s="2708">
        <v>2105325430.71369</v>
      </c>
      <c r="E4143" s="2709">
        <v>46351515.707309604</v>
      </c>
      <c r="F4143" s="2710">
        <v>6.6134306793582596</v>
      </c>
      <c r="G4143" s="2711">
        <v>0.104844785158905</v>
      </c>
    </row>
    <row r="4144" spans="1:7" x14ac:dyDescent="0.25">
      <c r="A4144" s="6" t="s">
        <v>1090</v>
      </c>
      <c r="B4144" s="6"/>
      <c r="C4144" s="2704">
        <v>13820</v>
      </c>
      <c r="D4144" s="2704">
        <v>2023814243.11271</v>
      </c>
      <c r="E4144" s="2705">
        <v>53676675.2827392</v>
      </c>
      <c r="F4144" s="2706">
        <v>6.3573806735363396</v>
      </c>
      <c r="G4144" s="2707">
        <v>0.172445770630198</v>
      </c>
    </row>
    <row r="4145" spans="1:7" x14ac:dyDescent="0.25">
      <c r="A4145" s="11" t="s">
        <v>1125</v>
      </c>
      <c r="B4145" s="11"/>
      <c r="C4145" s="2708">
        <v>15042</v>
      </c>
      <c r="D4145" s="2708">
        <v>2006951409.1045599</v>
      </c>
      <c r="E4145" s="2709">
        <v>46348847.4753704</v>
      </c>
      <c r="F4145" s="2710">
        <v>6.3044096781056602</v>
      </c>
      <c r="G4145" s="2711">
        <v>0.12653327099353501</v>
      </c>
    </row>
    <row r="4146" spans="1:7" x14ac:dyDescent="0.25">
      <c r="A4146" s="6" t="s">
        <v>1123</v>
      </c>
      <c r="B4146" s="6"/>
      <c r="C4146" s="2704">
        <v>15157</v>
      </c>
      <c r="D4146" s="2704">
        <v>2006122559.5162101</v>
      </c>
      <c r="E4146" s="2705">
        <v>59632764.094831802</v>
      </c>
      <c r="F4146" s="2706">
        <v>6.3018060239549998</v>
      </c>
      <c r="G4146" s="2707">
        <v>0.16305448743180101</v>
      </c>
    </row>
    <row r="4147" spans="1:7" x14ac:dyDescent="0.25">
      <c r="A4147" s="11" t="s">
        <v>6417</v>
      </c>
      <c r="B4147" s="11" t="s">
        <v>6418</v>
      </c>
      <c r="C4147" s="2708">
        <v>185711</v>
      </c>
      <c r="D4147" s="2708">
        <v>31834089337.094002</v>
      </c>
      <c r="E4147" s="2709">
        <v>298177412.670232</v>
      </c>
      <c r="F4147" s="2710">
        <v>100</v>
      </c>
      <c r="G4147" s="2711">
        <v>0</v>
      </c>
    </row>
    <row r="4148" spans="1:7" x14ac:dyDescent="0.25">
      <c r="A4148" s="6" t="s">
        <v>6417</v>
      </c>
      <c r="B4148" s="6" t="s">
        <v>6419</v>
      </c>
      <c r="C4148" s="2704">
        <v>185711</v>
      </c>
      <c r="D4148" s="2704">
        <v>31834089337.094002</v>
      </c>
      <c r="E4148" s="2705">
        <v>0</v>
      </c>
      <c r="F4148" s="2706">
        <v>100</v>
      </c>
      <c r="G4148" s="2707">
        <v>0</v>
      </c>
    </row>
    <row r="4149" spans="1:7" x14ac:dyDescent="0.25">
      <c r="A4149" s="3729" t="s">
        <v>707</v>
      </c>
      <c r="B4149" s="3730"/>
      <c r="C4149" s="3730"/>
      <c r="D4149" s="3730"/>
      <c r="E4149" s="3730"/>
      <c r="F4149" s="3730"/>
      <c r="G4149" s="3730"/>
    </row>
    <row r="4150" spans="1:7" x14ac:dyDescent="0.25">
      <c r="A4150" s="11" t="s">
        <v>1292</v>
      </c>
      <c r="B4150" s="11"/>
      <c r="C4150" s="2716">
        <v>39002</v>
      </c>
      <c r="D4150" s="2716">
        <v>6998598898.7162304</v>
      </c>
      <c r="E4150" s="2717">
        <v>67395034.6021173</v>
      </c>
      <c r="F4150" s="2718">
        <v>21.984605322324299</v>
      </c>
      <c r="G4150" s="2719">
        <v>0.29462181862010101</v>
      </c>
    </row>
    <row r="4151" spans="1:7" x14ac:dyDescent="0.25">
      <c r="A4151" s="6" t="s">
        <v>1297</v>
      </c>
      <c r="B4151" s="6"/>
      <c r="C4151" s="2712">
        <v>31896</v>
      </c>
      <c r="D4151" s="2712">
        <v>5581628747.35324</v>
      </c>
      <c r="E4151" s="2713">
        <v>104510411.28552499</v>
      </c>
      <c r="F4151" s="2714">
        <v>17.533495895701201</v>
      </c>
      <c r="G4151" s="2715">
        <v>0.23201309920423899</v>
      </c>
    </row>
    <row r="4152" spans="1:7" x14ac:dyDescent="0.25">
      <c r="A4152" s="11" t="s">
        <v>3201</v>
      </c>
      <c r="B4152" s="11"/>
      <c r="C4152" s="2716">
        <v>15460</v>
      </c>
      <c r="D4152" s="2716">
        <v>2620249215.1182599</v>
      </c>
      <c r="E4152" s="2717">
        <v>50982794.611042097</v>
      </c>
      <c r="F4152" s="2718">
        <v>8.2309538915098504</v>
      </c>
      <c r="G4152" s="2719">
        <v>0.142491446567514</v>
      </c>
    </row>
    <row r="4153" spans="1:7" x14ac:dyDescent="0.25">
      <c r="A4153" s="6" t="s">
        <v>1133</v>
      </c>
      <c r="B4153" s="6"/>
      <c r="C4153" s="2712">
        <v>14636</v>
      </c>
      <c r="D4153" s="2712">
        <v>2485601901.2603302</v>
      </c>
      <c r="E4153" s="2713">
        <v>104049090.10802799</v>
      </c>
      <c r="F4153" s="2714">
        <v>7.8079880813930904</v>
      </c>
      <c r="G4153" s="2715">
        <v>0.27942520792770997</v>
      </c>
    </row>
    <row r="4154" spans="1:7" x14ac:dyDescent="0.25">
      <c r="A4154" s="11" t="s">
        <v>1295</v>
      </c>
      <c r="B4154" s="11"/>
      <c r="C4154" s="2716">
        <v>8171</v>
      </c>
      <c r="D4154" s="2716">
        <v>1465405032.9098799</v>
      </c>
      <c r="E4154" s="2717">
        <v>35055585.477415502</v>
      </c>
      <c r="F4154" s="2718">
        <v>4.6032572736495796</v>
      </c>
      <c r="G4154" s="2719">
        <v>0.13075210408634599</v>
      </c>
    </row>
    <row r="4155" spans="1:7" x14ac:dyDescent="0.25">
      <c r="A4155" s="6" t="s">
        <v>1301</v>
      </c>
      <c r="B4155" s="6"/>
      <c r="C4155" s="2712">
        <v>7966</v>
      </c>
      <c r="D4155" s="2712">
        <v>1454727558.41608</v>
      </c>
      <c r="E4155" s="2713">
        <v>36789342.422039002</v>
      </c>
      <c r="F4155" s="2714">
        <v>4.5697162655160097</v>
      </c>
      <c r="G4155" s="2715">
        <v>0.109721735379068</v>
      </c>
    </row>
    <row r="4156" spans="1:7" x14ac:dyDescent="0.25">
      <c r="A4156" s="11" t="s">
        <v>1299</v>
      </c>
      <c r="B4156" s="11"/>
      <c r="C4156" s="2716">
        <v>7398</v>
      </c>
      <c r="D4156" s="2716">
        <v>1283561006.08111</v>
      </c>
      <c r="E4156" s="2717">
        <v>36682220.040561303</v>
      </c>
      <c r="F4156" s="2718">
        <v>4.03203305893053</v>
      </c>
      <c r="G4156" s="2719">
        <v>9.2553181124458997E-2</v>
      </c>
    </row>
    <row r="4157" spans="1:7" x14ac:dyDescent="0.25">
      <c r="A4157" s="6" t="s">
        <v>1123</v>
      </c>
      <c r="B4157" s="6"/>
      <c r="C4157" s="2712">
        <v>7458</v>
      </c>
      <c r="D4157" s="2712">
        <v>1207092062.9707501</v>
      </c>
      <c r="E4157" s="2713">
        <v>22715971.2082786</v>
      </c>
      <c r="F4157" s="2714">
        <v>3.7918221884368801</v>
      </c>
      <c r="G4157" s="2715">
        <v>5.3263177509598802E-2</v>
      </c>
    </row>
    <row r="4158" spans="1:7" x14ac:dyDescent="0.25">
      <c r="A4158" s="11" t="s">
        <v>3187</v>
      </c>
      <c r="B4158" s="11"/>
      <c r="C4158" s="2716">
        <v>5538</v>
      </c>
      <c r="D4158" s="2716">
        <v>939627398.28084898</v>
      </c>
      <c r="E4158" s="2717">
        <v>36536302.1576612</v>
      </c>
      <c r="F4158" s="2718">
        <v>2.9516390066354701</v>
      </c>
      <c r="G4158" s="2719">
        <v>0.108221928014002</v>
      </c>
    </row>
    <row r="4159" spans="1:7" x14ac:dyDescent="0.25">
      <c r="A4159" s="6" t="s">
        <v>1098</v>
      </c>
      <c r="B4159" s="6"/>
      <c r="C4159" s="2712">
        <v>5520</v>
      </c>
      <c r="D4159" s="2712">
        <v>926509511.24528396</v>
      </c>
      <c r="E4159" s="2713">
        <v>34837982.0810467</v>
      </c>
      <c r="F4159" s="2714">
        <v>2.9104319631524298</v>
      </c>
      <c r="G4159" s="2715">
        <v>0.106739483782819</v>
      </c>
    </row>
    <row r="4160" spans="1:7" x14ac:dyDescent="0.25">
      <c r="A4160" s="11" t="s">
        <v>3172</v>
      </c>
      <c r="B4160" s="11"/>
      <c r="C4160" s="2716">
        <v>4755</v>
      </c>
      <c r="D4160" s="2716">
        <v>828584028.49603403</v>
      </c>
      <c r="E4160" s="2717">
        <v>31593743.537746999</v>
      </c>
      <c r="F4160" s="2718">
        <v>2.6028199510345198</v>
      </c>
      <c r="G4160" s="2719">
        <v>7.8615471282105095E-2</v>
      </c>
    </row>
    <row r="4161" spans="1:7" x14ac:dyDescent="0.25">
      <c r="A4161" s="6" t="s">
        <v>3215</v>
      </c>
      <c r="B4161" s="6"/>
      <c r="C4161" s="2712">
        <v>4658</v>
      </c>
      <c r="D4161" s="2712">
        <v>766937945.15430498</v>
      </c>
      <c r="E4161" s="2713">
        <v>25678320.524715099</v>
      </c>
      <c r="F4161" s="2714">
        <v>2.40917193211695</v>
      </c>
      <c r="G4161" s="2715">
        <v>7.3378594076404194E-2</v>
      </c>
    </row>
    <row r="4162" spans="1:7" x14ac:dyDescent="0.25">
      <c r="A4162" s="11" t="s">
        <v>1127</v>
      </c>
      <c r="B4162" s="11"/>
      <c r="C4162" s="2716">
        <v>1120</v>
      </c>
      <c r="D4162" s="2716">
        <v>173393822.45100701</v>
      </c>
      <c r="E4162" s="2717">
        <v>13578820.8722948</v>
      </c>
      <c r="F4162" s="2718">
        <v>0.54467970047744996</v>
      </c>
      <c r="G4162" s="2719">
        <v>4.2207354681578699E-2</v>
      </c>
    </row>
    <row r="4163" spans="1:7" x14ac:dyDescent="0.25">
      <c r="A4163" s="6" t="s">
        <v>1090</v>
      </c>
      <c r="B4163" s="6"/>
      <c r="C4163" s="2712">
        <v>1031</v>
      </c>
      <c r="D4163" s="2712">
        <v>169321615.246748</v>
      </c>
      <c r="E4163" s="2713">
        <v>9427356.2726154607</v>
      </c>
      <c r="F4163" s="2714">
        <v>0.531887730331425</v>
      </c>
      <c r="G4163" s="2715">
        <v>3.0913100056466299E-2</v>
      </c>
    </row>
    <row r="4164" spans="1:7" x14ac:dyDescent="0.25">
      <c r="A4164" s="11" t="s">
        <v>1197</v>
      </c>
      <c r="B4164" s="11"/>
      <c r="C4164" s="2716">
        <v>986</v>
      </c>
      <c r="D4164" s="2716">
        <v>160447600.96773401</v>
      </c>
      <c r="E4164" s="2717">
        <v>15047717.102111099</v>
      </c>
      <c r="F4164" s="2718">
        <v>0.50401190770290305</v>
      </c>
      <c r="G4164" s="2719">
        <v>4.6634694895518601E-2</v>
      </c>
    </row>
    <row r="4165" spans="1:7" x14ac:dyDescent="0.25">
      <c r="A4165" s="6" t="s">
        <v>1094</v>
      </c>
      <c r="B4165" s="6"/>
      <c r="C4165" s="2712">
        <v>875</v>
      </c>
      <c r="D4165" s="2712">
        <v>154390323.32224399</v>
      </c>
      <c r="E4165" s="2713">
        <v>14126913.237514401</v>
      </c>
      <c r="F4165" s="2714">
        <v>0.48498426227114999</v>
      </c>
      <c r="G4165" s="2715">
        <v>4.1948784980265899E-2</v>
      </c>
    </row>
    <row r="4166" spans="1:7" x14ac:dyDescent="0.25">
      <c r="A4166" s="11" t="s">
        <v>1092</v>
      </c>
      <c r="B4166" s="11"/>
      <c r="C4166" s="2716">
        <v>1023</v>
      </c>
      <c r="D4166" s="2716">
        <v>148077328.20456201</v>
      </c>
      <c r="E4166" s="2717">
        <v>9927112.0402413402</v>
      </c>
      <c r="F4166" s="2718">
        <v>0.46515333495661898</v>
      </c>
      <c r="G4166" s="2719">
        <v>3.2418737763421697E-2</v>
      </c>
    </row>
    <row r="4167" spans="1:7" x14ac:dyDescent="0.25">
      <c r="A4167" s="6" t="s">
        <v>1189</v>
      </c>
      <c r="B4167" s="6"/>
      <c r="C4167" s="2712">
        <v>828</v>
      </c>
      <c r="D4167" s="2712">
        <v>146285601.94474399</v>
      </c>
      <c r="E4167" s="2713">
        <v>6570265.9769979101</v>
      </c>
      <c r="F4167" s="2714">
        <v>0.45952500916772698</v>
      </c>
      <c r="G4167" s="2715">
        <v>2.2046579070088401E-2</v>
      </c>
    </row>
    <row r="4168" spans="1:7" x14ac:dyDescent="0.25">
      <c r="A4168" s="11" t="s">
        <v>1119</v>
      </c>
      <c r="B4168" s="11"/>
      <c r="C4168" s="2716">
        <v>806</v>
      </c>
      <c r="D4168" s="2716">
        <v>140129831.55251899</v>
      </c>
      <c r="E4168" s="2717">
        <v>14593315.134075001</v>
      </c>
      <c r="F4168" s="2718">
        <v>0.44018796978506802</v>
      </c>
      <c r="G4168" s="2719">
        <v>4.6306065991391802E-2</v>
      </c>
    </row>
    <row r="4169" spans="1:7" x14ac:dyDescent="0.25">
      <c r="A4169" s="6" t="s">
        <v>1139</v>
      </c>
      <c r="B4169" s="6"/>
      <c r="C4169" s="2712">
        <v>825</v>
      </c>
      <c r="D4169" s="2712">
        <v>138759484.785391</v>
      </c>
      <c r="E4169" s="2713">
        <v>6889674.0203641597</v>
      </c>
      <c r="F4169" s="2714">
        <v>0.43588331777314199</v>
      </c>
      <c r="G4169" s="2715">
        <v>2.3272582905486301E-2</v>
      </c>
    </row>
    <row r="4170" spans="1:7" x14ac:dyDescent="0.25">
      <c r="A4170" s="11" t="s">
        <v>3203</v>
      </c>
      <c r="B4170" s="11"/>
      <c r="C4170" s="2716">
        <v>783</v>
      </c>
      <c r="D4170" s="2716">
        <v>137062281.83746201</v>
      </c>
      <c r="E4170" s="2717">
        <v>14608783.614884101</v>
      </c>
      <c r="F4170" s="2718">
        <v>0.43055191680244798</v>
      </c>
      <c r="G4170" s="2719">
        <v>4.5337459170734798E-2</v>
      </c>
    </row>
    <row r="4171" spans="1:7" x14ac:dyDescent="0.25">
      <c r="A4171" s="6" t="s">
        <v>1135</v>
      </c>
      <c r="B4171" s="6"/>
      <c r="C4171" s="2712">
        <v>856</v>
      </c>
      <c r="D4171" s="2712">
        <v>136979165.08159801</v>
      </c>
      <c r="E4171" s="2713">
        <v>11299259.7746656</v>
      </c>
      <c r="F4171" s="2714">
        <v>0.43029082324647</v>
      </c>
      <c r="G4171" s="2715">
        <v>3.5191317390457902E-2</v>
      </c>
    </row>
    <row r="4172" spans="1:7" x14ac:dyDescent="0.25">
      <c r="A4172" s="11" t="s">
        <v>1213</v>
      </c>
      <c r="B4172" s="11"/>
      <c r="C4172" s="2716">
        <v>768</v>
      </c>
      <c r="D4172" s="2716">
        <v>134716743.57330799</v>
      </c>
      <c r="E4172" s="2717">
        <v>9894738.2315300107</v>
      </c>
      <c r="F4172" s="2718">
        <v>0.42318390875510897</v>
      </c>
      <c r="G4172" s="2719">
        <v>3.0306571882130599E-2</v>
      </c>
    </row>
    <row r="4173" spans="1:7" x14ac:dyDescent="0.25">
      <c r="A4173" s="6" t="s">
        <v>1100</v>
      </c>
      <c r="B4173" s="6"/>
      <c r="C4173" s="2712">
        <v>749</v>
      </c>
      <c r="D4173" s="2712">
        <v>130879124.665668</v>
      </c>
      <c r="E4173" s="2713">
        <v>11336400.599814</v>
      </c>
      <c r="F4173" s="2714">
        <v>0.411128847694613</v>
      </c>
      <c r="G4173" s="2715">
        <v>3.6333735398810699E-2</v>
      </c>
    </row>
    <row r="4174" spans="1:7" x14ac:dyDescent="0.25">
      <c r="A4174" s="11" t="s">
        <v>1137</v>
      </c>
      <c r="B4174" s="11"/>
      <c r="C4174" s="2716">
        <v>788</v>
      </c>
      <c r="D4174" s="2716">
        <v>128183677.084535</v>
      </c>
      <c r="E4174" s="2717">
        <v>16747912.5087175</v>
      </c>
      <c r="F4174" s="2718">
        <v>0.40266167417948201</v>
      </c>
      <c r="G4174" s="2719">
        <v>5.26619505557228E-2</v>
      </c>
    </row>
    <row r="4175" spans="1:7" x14ac:dyDescent="0.25">
      <c r="A4175" s="6" t="s">
        <v>3207</v>
      </c>
      <c r="B4175" s="6"/>
      <c r="C4175" s="2712">
        <v>798</v>
      </c>
      <c r="D4175" s="2712">
        <v>127726338.617164</v>
      </c>
      <c r="E4175" s="2713">
        <v>11651642.422927801</v>
      </c>
      <c r="F4175" s="2714">
        <v>0.40122504295523798</v>
      </c>
      <c r="G4175" s="2715">
        <v>3.68705274597469E-2</v>
      </c>
    </row>
    <row r="4176" spans="1:7" x14ac:dyDescent="0.25">
      <c r="A4176" s="11" t="s">
        <v>1195</v>
      </c>
      <c r="B4176" s="11"/>
      <c r="C4176" s="2716">
        <v>812</v>
      </c>
      <c r="D4176" s="2716">
        <v>127450987.310662</v>
      </c>
      <c r="E4176" s="2717">
        <v>11470029.561603701</v>
      </c>
      <c r="F4176" s="2718">
        <v>0.40036008557076103</v>
      </c>
      <c r="G4176" s="2719">
        <v>3.6615011060469702E-2</v>
      </c>
    </row>
    <row r="4177" spans="1:7" x14ac:dyDescent="0.25">
      <c r="A4177" s="6" t="s">
        <v>3205</v>
      </c>
      <c r="B4177" s="6"/>
      <c r="C4177" s="2712">
        <v>816</v>
      </c>
      <c r="D4177" s="2712">
        <v>126365993.2212</v>
      </c>
      <c r="E4177" s="2713">
        <v>15712936.4765485</v>
      </c>
      <c r="F4177" s="2714">
        <v>0.39695180811707498</v>
      </c>
      <c r="G4177" s="2715">
        <v>4.9996732902108702E-2</v>
      </c>
    </row>
    <row r="4178" spans="1:7" x14ac:dyDescent="0.25">
      <c r="A4178" s="11" t="s">
        <v>3189</v>
      </c>
      <c r="B4178" s="11"/>
      <c r="C4178" s="2716">
        <v>786</v>
      </c>
      <c r="D4178" s="2716">
        <v>125348669.64410301</v>
      </c>
      <c r="E4178" s="2717">
        <v>10378041.433188099</v>
      </c>
      <c r="F4178" s="2718">
        <v>0.39375610314080201</v>
      </c>
      <c r="G4178" s="2719">
        <v>3.0985172369576101E-2</v>
      </c>
    </row>
    <row r="4179" spans="1:7" x14ac:dyDescent="0.25">
      <c r="A4179" s="6" t="s">
        <v>3191</v>
      </c>
      <c r="B4179" s="6"/>
      <c r="C4179" s="2712">
        <v>761</v>
      </c>
      <c r="D4179" s="2712">
        <v>119066935.35196801</v>
      </c>
      <c r="E4179" s="2713">
        <v>8589501.8079214394</v>
      </c>
      <c r="F4179" s="2714">
        <v>0.37402337504037703</v>
      </c>
      <c r="G4179" s="2715">
        <v>2.5070834717698699E-2</v>
      </c>
    </row>
    <row r="4180" spans="1:7" x14ac:dyDescent="0.25">
      <c r="A4180" s="11" t="s">
        <v>1109</v>
      </c>
      <c r="B4180" s="11"/>
      <c r="C4180" s="2716">
        <v>782</v>
      </c>
      <c r="D4180" s="2716">
        <v>118766728.742874</v>
      </c>
      <c r="E4180" s="2717">
        <v>12958243.0242415</v>
      </c>
      <c r="F4180" s="2718">
        <v>0.373080340025571</v>
      </c>
      <c r="G4180" s="2719">
        <v>3.9414070776972503E-2</v>
      </c>
    </row>
    <row r="4181" spans="1:7" x14ac:dyDescent="0.25">
      <c r="A4181" s="6" t="s">
        <v>1205</v>
      </c>
      <c r="B4181" s="6"/>
      <c r="C4181" s="2712">
        <v>858</v>
      </c>
      <c r="D4181" s="2712">
        <v>113712067.46472</v>
      </c>
      <c r="E4181" s="2713">
        <v>12765096.7448669</v>
      </c>
      <c r="F4181" s="2714">
        <v>0.35720220000833902</v>
      </c>
      <c r="G4181" s="2715">
        <v>3.8531767064013199E-2</v>
      </c>
    </row>
    <row r="4182" spans="1:7" x14ac:dyDescent="0.25">
      <c r="A4182" s="11" t="s">
        <v>1199</v>
      </c>
      <c r="B4182" s="11"/>
      <c r="C4182" s="2716">
        <v>681</v>
      </c>
      <c r="D4182" s="2716">
        <v>112910703.75712</v>
      </c>
      <c r="E4182" s="2717">
        <v>11104846.2451875</v>
      </c>
      <c r="F4182" s="2718">
        <v>0.35468488688807498</v>
      </c>
      <c r="G4182" s="2719">
        <v>3.6102458624318101E-2</v>
      </c>
    </row>
    <row r="4183" spans="1:7" x14ac:dyDescent="0.25">
      <c r="A4183" s="6" t="s">
        <v>3193</v>
      </c>
      <c r="B4183" s="6"/>
      <c r="C4183" s="2712">
        <v>741</v>
      </c>
      <c r="D4183" s="2712">
        <v>112216084.22028001</v>
      </c>
      <c r="E4183" s="2713">
        <v>6855448.1723315399</v>
      </c>
      <c r="F4183" s="2714">
        <v>0.35250288780688699</v>
      </c>
      <c r="G4183" s="2715">
        <v>2.1468066247257001E-2</v>
      </c>
    </row>
    <row r="4184" spans="1:7" x14ac:dyDescent="0.25">
      <c r="A4184" s="11" t="s">
        <v>3314</v>
      </c>
      <c r="B4184" s="11"/>
      <c r="C4184" s="2716">
        <v>713</v>
      </c>
      <c r="D4184" s="2716">
        <v>105585586.56209999</v>
      </c>
      <c r="E4184" s="2717">
        <v>9359997.9772064108</v>
      </c>
      <c r="F4184" s="2718">
        <v>0.33167459399904498</v>
      </c>
      <c r="G4184" s="2719">
        <v>2.9321674496355799E-2</v>
      </c>
    </row>
    <row r="4185" spans="1:7" x14ac:dyDescent="0.25">
      <c r="A4185" s="6" t="s">
        <v>3217</v>
      </c>
      <c r="B4185" s="6"/>
      <c r="C4185" s="2712">
        <v>655</v>
      </c>
      <c r="D4185" s="2712">
        <v>104623887.793782</v>
      </c>
      <c r="E4185" s="2713">
        <v>7832263.6816151198</v>
      </c>
      <c r="F4185" s="2714">
        <v>0.32865362249226099</v>
      </c>
      <c r="G4185" s="2715">
        <v>2.4415637280736601E-2</v>
      </c>
    </row>
    <row r="4186" spans="1:7" x14ac:dyDescent="0.25">
      <c r="A4186" s="11" t="s">
        <v>1191</v>
      </c>
      <c r="B4186" s="11"/>
      <c r="C4186" s="2716">
        <v>656</v>
      </c>
      <c r="D4186" s="2716">
        <v>104426875.844539</v>
      </c>
      <c r="E4186" s="2717">
        <v>8714159.6087660491</v>
      </c>
      <c r="F4186" s="2718">
        <v>0.32803475148528199</v>
      </c>
      <c r="G4186" s="2719">
        <v>2.6603367034749598E-2</v>
      </c>
    </row>
    <row r="4187" spans="1:7" x14ac:dyDescent="0.25">
      <c r="A4187" s="6" t="s">
        <v>3178</v>
      </c>
      <c r="B4187" s="6"/>
      <c r="C4187" s="2712">
        <v>716</v>
      </c>
      <c r="D4187" s="2712">
        <v>102587314.664674</v>
      </c>
      <c r="E4187" s="2713">
        <v>7071860.0278863702</v>
      </c>
      <c r="F4187" s="2714">
        <v>0.322256162500417</v>
      </c>
      <c r="G4187" s="2715">
        <v>2.1228471948500399E-2</v>
      </c>
    </row>
    <row r="4188" spans="1:7" x14ac:dyDescent="0.25">
      <c r="A4188" s="11" t="s">
        <v>1203</v>
      </c>
      <c r="B4188" s="11"/>
      <c r="C4188" s="2716">
        <v>579</v>
      </c>
      <c r="D4188" s="2716">
        <v>101616414.674435</v>
      </c>
      <c r="E4188" s="2717">
        <v>4826883.4754240401</v>
      </c>
      <c r="F4188" s="2718">
        <v>0.31920628731800499</v>
      </c>
      <c r="G4188" s="2719">
        <v>1.3594794694777401E-2</v>
      </c>
    </row>
    <row r="4189" spans="1:7" x14ac:dyDescent="0.25">
      <c r="A4189" s="6" t="s">
        <v>1125</v>
      </c>
      <c r="B4189" s="6"/>
      <c r="C4189" s="2712">
        <v>689</v>
      </c>
      <c r="D4189" s="2712">
        <v>101136478.355242</v>
      </c>
      <c r="E4189" s="2713">
        <v>15103679.581707999</v>
      </c>
      <c r="F4189" s="2714">
        <v>0.31769866976340699</v>
      </c>
      <c r="G4189" s="2715">
        <v>4.8423756247173301E-2</v>
      </c>
    </row>
    <row r="4190" spans="1:7" x14ac:dyDescent="0.25">
      <c r="A4190" s="11" t="s">
        <v>1207</v>
      </c>
      <c r="B4190" s="11"/>
      <c r="C4190" s="2716">
        <v>607</v>
      </c>
      <c r="D4190" s="2716">
        <v>99888776.012708902</v>
      </c>
      <c r="E4190" s="2717">
        <v>9111829.8640330695</v>
      </c>
      <c r="F4190" s="2718">
        <v>0.31377927904573499</v>
      </c>
      <c r="G4190" s="2719">
        <v>2.9632325182493799E-2</v>
      </c>
    </row>
    <row r="4191" spans="1:7" x14ac:dyDescent="0.25">
      <c r="A4191" s="6" t="s">
        <v>1131</v>
      </c>
      <c r="B4191" s="6"/>
      <c r="C4191" s="2712">
        <v>565</v>
      </c>
      <c r="D4191" s="2712">
        <v>98582592.045581296</v>
      </c>
      <c r="E4191" s="2713">
        <v>5548872.9613461699</v>
      </c>
      <c r="F4191" s="2714">
        <v>0.30967618078117898</v>
      </c>
      <c r="G4191" s="2715">
        <v>1.6771738879232501E-2</v>
      </c>
    </row>
    <row r="4192" spans="1:7" x14ac:dyDescent="0.25">
      <c r="A4192" s="11" t="s">
        <v>3312</v>
      </c>
      <c r="B4192" s="11"/>
      <c r="C4192" s="2716">
        <v>577</v>
      </c>
      <c r="D4192" s="2716">
        <v>98369421.336485997</v>
      </c>
      <c r="E4192" s="2717">
        <v>13144405.4031913</v>
      </c>
      <c r="F4192" s="2718">
        <v>0.30900655047751902</v>
      </c>
      <c r="G4192" s="2719">
        <v>4.1242246012626299E-2</v>
      </c>
    </row>
    <row r="4193" spans="1:7" x14ac:dyDescent="0.25">
      <c r="A4193" s="6" t="s">
        <v>3174</v>
      </c>
      <c r="B4193" s="6"/>
      <c r="C4193" s="2712">
        <v>610</v>
      </c>
      <c r="D4193" s="2712">
        <v>97446729.492259398</v>
      </c>
      <c r="E4193" s="2713">
        <v>13340909.7158005</v>
      </c>
      <c r="F4193" s="2714">
        <v>0.30610811090082501</v>
      </c>
      <c r="G4193" s="2715">
        <v>4.1386657514272299E-2</v>
      </c>
    </row>
    <row r="4194" spans="1:7" x14ac:dyDescent="0.25">
      <c r="A4194" s="11" t="s">
        <v>1096</v>
      </c>
      <c r="B4194" s="11"/>
      <c r="C4194" s="2716">
        <v>658</v>
      </c>
      <c r="D4194" s="2716">
        <v>97032973.622392997</v>
      </c>
      <c r="E4194" s="2717">
        <v>9018701.01014865</v>
      </c>
      <c r="F4194" s="2718">
        <v>0.304808385108499</v>
      </c>
      <c r="G4194" s="2719">
        <v>2.8051180953676699E-2</v>
      </c>
    </row>
    <row r="4195" spans="1:7" x14ac:dyDescent="0.25">
      <c r="A4195" s="6" t="s">
        <v>1211</v>
      </c>
      <c r="B4195" s="6"/>
      <c r="C4195" s="2712">
        <v>549</v>
      </c>
      <c r="D4195" s="2712">
        <v>92462558.430090904</v>
      </c>
      <c r="E4195" s="2713">
        <v>10336466.927188501</v>
      </c>
      <c r="F4195" s="2714">
        <v>0.29045140085835902</v>
      </c>
      <c r="G4195" s="2715">
        <v>3.21560981991122E-2</v>
      </c>
    </row>
    <row r="4196" spans="1:7" x14ac:dyDescent="0.25">
      <c r="A4196" s="11" t="s">
        <v>3176</v>
      </c>
      <c r="B4196" s="11"/>
      <c r="C4196" s="2716">
        <v>667</v>
      </c>
      <c r="D4196" s="2716">
        <v>92118812.793479994</v>
      </c>
      <c r="E4196" s="2717">
        <v>12467791.403829001</v>
      </c>
      <c r="F4196" s="2718">
        <v>0.28937159727745199</v>
      </c>
      <c r="G4196" s="2719">
        <v>3.8879047062209598E-2</v>
      </c>
    </row>
    <row r="4197" spans="1:7" x14ac:dyDescent="0.25">
      <c r="A4197" s="6" t="s">
        <v>3195</v>
      </c>
      <c r="B4197" s="6"/>
      <c r="C4197" s="2712">
        <v>483</v>
      </c>
      <c r="D4197" s="2712">
        <v>91263781.030449703</v>
      </c>
      <c r="E4197" s="2713">
        <v>9760182.9199263491</v>
      </c>
      <c r="F4197" s="2714">
        <v>0.28668569741087802</v>
      </c>
      <c r="G4197" s="2715">
        <v>3.13288363425554E-2</v>
      </c>
    </row>
    <row r="4198" spans="1:7" x14ac:dyDescent="0.25">
      <c r="A4198" s="11" t="s">
        <v>1187</v>
      </c>
      <c r="B4198" s="11"/>
      <c r="C4198" s="2716">
        <v>598</v>
      </c>
      <c r="D4198" s="2716">
        <v>87165943.735744894</v>
      </c>
      <c r="E4198" s="2717">
        <v>8616811.7825094908</v>
      </c>
      <c r="F4198" s="2718">
        <v>0.27381321580377899</v>
      </c>
      <c r="G4198" s="2719">
        <v>2.748003893773E-2</v>
      </c>
    </row>
    <row r="4199" spans="1:7" x14ac:dyDescent="0.25">
      <c r="A4199" s="6" t="s">
        <v>1141</v>
      </c>
      <c r="B4199" s="6"/>
      <c r="C4199" s="2712">
        <v>495</v>
      </c>
      <c r="D4199" s="2712">
        <v>86066534.771263897</v>
      </c>
      <c r="E4199" s="2713">
        <v>9695352.9878665004</v>
      </c>
      <c r="F4199" s="2714">
        <v>0.27035965709556697</v>
      </c>
      <c r="G4199" s="2715">
        <v>3.1809741345151701E-2</v>
      </c>
    </row>
    <row r="4200" spans="1:7" x14ac:dyDescent="0.25">
      <c r="A4200" s="11" t="s">
        <v>1129</v>
      </c>
      <c r="B4200" s="11"/>
      <c r="C4200" s="2716">
        <v>599</v>
      </c>
      <c r="D4200" s="2716">
        <v>85249440.479469806</v>
      </c>
      <c r="E4200" s="2717">
        <v>5757926.4766343003</v>
      </c>
      <c r="F4200" s="2718">
        <v>0.26779292970110102</v>
      </c>
      <c r="G4200" s="2719">
        <v>1.7914804548440601E-2</v>
      </c>
    </row>
    <row r="4201" spans="1:7" x14ac:dyDescent="0.25">
      <c r="A4201" s="6" t="s">
        <v>1201</v>
      </c>
      <c r="B4201" s="6"/>
      <c r="C4201" s="2712">
        <v>582</v>
      </c>
      <c r="D4201" s="2712">
        <v>80898235.312756002</v>
      </c>
      <c r="E4201" s="2713">
        <v>7666462.64721948</v>
      </c>
      <c r="F4201" s="2714">
        <v>0.254124546978924</v>
      </c>
      <c r="G4201" s="2715">
        <v>2.3869274200105699E-2</v>
      </c>
    </row>
    <row r="4202" spans="1:7" x14ac:dyDescent="0.25">
      <c r="A4202" s="11" t="s">
        <v>3209</v>
      </c>
      <c r="B4202" s="11"/>
      <c r="C4202" s="2716">
        <v>462</v>
      </c>
      <c r="D4202" s="2716">
        <v>78915383.245947897</v>
      </c>
      <c r="E4202" s="2717">
        <v>10513438.7145005</v>
      </c>
      <c r="F4202" s="2718">
        <v>0.247895840243161</v>
      </c>
      <c r="G4202" s="2719">
        <v>3.27057282874973E-2</v>
      </c>
    </row>
    <row r="4203" spans="1:7" x14ac:dyDescent="0.25">
      <c r="A4203" s="6" t="s">
        <v>1193</v>
      </c>
      <c r="B4203" s="6"/>
      <c r="C4203" s="2712">
        <v>464</v>
      </c>
      <c r="D4203" s="2712">
        <v>76320094.475551993</v>
      </c>
      <c r="E4203" s="2713">
        <v>7523731.5713525098</v>
      </c>
      <c r="F4203" s="2714">
        <v>0.23974329426355401</v>
      </c>
      <c r="G4203" s="2715">
        <v>2.3530706824017599E-2</v>
      </c>
    </row>
    <row r="4204" spans="1:7" x14ac:dyDescent="0.25">
      <c r="A4204" s="11" t="s">
        <v>1209</v>
      </c>
      <c r="B4204" s="11"/>
      <c r="C4204" s="2716">
        <v>470</v>
      </c>
      <c r="D4204" s="2716">
        <v>75075313.395560905</v>
      </c>
      <c r="E4204" s="2717">
        <v>8253332.1725766798</v>
      </c>
      <c r="F4204" s="2718">
        <v>0.23583308006892101</v>
      </c>
      <c r="G4204" s="2719">
        <v>2.7518699742460701E-2</v>
      </c>
    </row>
    <row r="4205" spans="1:7" x14ac:dyDescent="0.25">
      <c r="A4205" s="6" t="s">
        <v>3316</v>
      </c>
      <c r="B4205" s="6"/>
      <c r="C4205" s="2712">
        <v>487</v>
      </c>
      <c r="D4205" s="2712">
        <v>74469650.574926794</v>
      </c>
      <c r="E4205" s="2713">
        <v>7962668.5167661402</v>
      </c>
      <c r="F4205" s="2714">
        <v>0.23393051953319899</v>
      </c>
      <c r="G4205" s="2715">
        <v>2.58423214443433E-2</v>
      </c>
    </row>
    <row r="4206" spans="1:7" x14ac:dyDescent="0.25">
      <c r="A4206" s="11" t="s">
        <v>1215</v>
      </c>
      <c r="B4206" s="11"/>
      <c r="C4206" s="2716">
        <v>583</v>
      </c>
      <c r="D4206" s="2716">
        <v>74176048.311588705</v>
      </c>
      <c r="E4206" s="2717">
        <v>10857794.165426601</v>
      </c>
      <c r="F4206" s="2718">
        <v>0.233008230661578</v>
      </c>
      <c r="G4206" s="2719">
        <v>3.4438056310990998E-2</v>
      </c>
    </row>
    <row r="4207" spans="1:7" x14ac:dyDescent="0.25">
      <c r="A4207" s="6" t="s">
        <v>1121</v>
      </c>
      <c r="B4207" s="6"/>
      <c r="C4207" s="2712">
        <v>470</v>
      </c>
      <c r="D4207" s="2712">
        <v>71451692.730194896</v>
      </c>
      <c r="E4207" s="2713">
        <v>8419863.4551782291</v>
      </c>
      <c r="F4207" s="2714">
        <v>0.224450248831014</v>
      </c>
      <c r="G4207" s="2715">
        <v>2.6516391093250598E-2</v>
      </c>
    </row>
    <row r="4208" spans="1:7" x14ac:dyDescent="0.25">
      <c r="A4208" s="11" t="s">
        <v>1217</v>
      </c>
      <c r="B4208" s="11"/>
      <c r="C4208" s="2716">
        <v>429</v>
      </c>
      <c r="D4208" s="2716">
        <v>65873130.438595399</v>
      </c>
      <c r="E4208" s="2717">
        <v>5573642.3000935102</v>
      </c>
      <c r="F4208" s="2718">
        <v>0.20692638555185</v>
      </c>
      <c r="G4208" s="2719">
        <v>1.71201408541874E-2</v>
      </c>
    </row>
    <row r="4209" spans="1:7" x14ac:dyDescent="0.25">
      <c r="A4209" s="6" t="s">
        <v>3180</v>
      </c>
      <c r="B4209" s="6"/>
      <c r="C4209" s="2712">
        <v>417</v>
      </c>
      <c r="D4209" s="2712">
        <v>50571251.914210699</v>
      </c>
      <c r="E4209" s="2713">
        <v>5466141.1907113902</v>
      </c>
      <c r="F4209" s="2714">
        <v>0.158858798750946</v>
      </c>
      <c r="G4209" s="2715">
        <v>1.6892262386453201E-2</v>
      </c>
    </row>
    <row r="4210" spans="1:7" x14ac:dyDescent="0.25">
      <c r="A4210" s="11" t="s">
        <v>6417</v>
      </c>
      <c r="B4210" s="11" t="s">
        <v>6418</v>
      </c>
      <c r="C4210" s="2716">
        <v>185711</v>
      </c>
      <c r="D4210" s="2716">
        <v>31834089337.094002</v>
      </c>
      <c r="E4210" s="2717">
        <v>298177412.67028701</v>
      </c>
      <c r="F4210" s="2718">
        <v>100</v>
      </c>
      <c r="G4210" s="2719">
        <v>1.02786679142825E-14</v>
      </c>
    </row>
    <row r="4211" spans="1:7" x14ac:dyDescent="0.25">
      <c r="A4211" s="6" t="s">
        <v>6417</v>
      </c>
      <c r="B4211" s="6" t="s">
        <v>6419</v>
      </c>
      <c r="C4211" s="2712">
        <v>185711</v>
      </c>
      <c r="D4211" s="2712">
        <v>31834089337.094002</v>
      </c>
      <c r="E4211" s="2713">
        <v>0</v>
      </c>
      <c r="F4211" s="2714">
        <v>100</v>
      </c>
      <c r="G4211" s="2715">
        <v>0</v>
      </c>
    </row>
    <row r="4212" spans="1:7" x14ac:dyDescent="0.25">
      <c r="A4212" s="3729" t="s">
        <v>702</v>
      </c>
      <c r="B4212" s="3730"/>
      <c r="C4212" s="3730"/>
      <c r="D4212" s="3730"/>
      <c r="E4212" s="3730"/>
      <c r="F4212" s="3730"/>
      <c r="G4212" s="3730"/>
    </row>
    <row r="4213" spans="1:7" x14ac:dyDescent="0.25">
      <c r="A4213" s="11" t="s">
        <v>6539</v>
      </c>
      <c r="B4213" s="11"/>
      <c r="C4213" s="2724">
        <v>115501</v>
      </c>
      <c r="D4213" s="2724">
        <v>19685630101.069</v>
      </c>
      <c r="E4213" s="2725">
        <v>279954519.64215797</v>
      </c>
      <c r="F4213" s="2726">
        <v>61.838207126381597</v>
      </c>
      <c r="G4213" s="2727">
        <v>0.451260296719732</v>
      </c>
    </row>
    <row r="4214" spans="1:7" x14ac:dyDescent="0.25">
      <c r="A4214" s="6" t="s">
        <v>6538</v>
      </c>
      <c r="B4214" s="6"/>
      <c r="C4214" s="2720">
        <v>70210</v>
      </c>
      <c r="D4214" s="2720">
        <v>12148459236.024099</v>
      </c>
      <c r="E4214" s="2721">
        <v>137921597.885061</v>
      </c>
      <c r="F4214" s="2722">
        <v>38.161792873618303</v>
      </c>
      <c r="G4214" s="2723">
        <v>0.451260296719728</v>
      </c>
    </row>
    <row r="4215" spans="1:7" x14ac:dyDescent="0.25">
      <c r="A4215" s="11" t="s">
        <v>6417</v>
      </c>
      <c r="B4215" s="11" t="s">
        <v>6418</v>
      </c>
      <c r="C4215" s="2724">
        <v>185711</v>
      </c>
      <c r="D4215" s="2724">
        <v>31834089337.092999</v>
      </c>
      <c r="E4215" s="2725">
        <v>298177412.671161</v>
      </c>
      <c r="F4215" s="2726">
        <v>100</v>
      </c>
      <c r="G4215" s="2727">
        <v>0</v>
      </c>
    </row>
    <row r="4216" spans="1:7" x14ac:dyDescent="0.25">
      <c r="A4216" s="6" t="s">
        <v>6417</v>
      </c>
      <c r="B4216" s="6" t="s">
        <v>6419</v>
      </c>
      <c r="C4216" s="2720">
        <v>185711</v>
      </c>
      <c r="D4216" s="2720">
        <v>31834089337.092999</v>
      </c>
      <c r="E4216" s="2721">
        <v>0</v>
      </c>
      <c r="F4216" s="2722">
        <v>100</v>
      </c>
      <c r="G4216" s="2723">
        <v>0</v>
      </c>
    </row>
    <row r="4217" spans="1:7" x14ac:dyDescent="0.25">
      <c r="A4217" s="3729" t="s">
        <v>209</v>
      </c>
      <c r="B4217" s="3730"/>
      <c r="C4217" s="3730"/>
      <c r="D4217" s="3730"/>
      <c r="E4217" s="3730"/>
      <c r="F4217" s="3730"/>
      <c r="G4217" s="3730"/>
    </row>
    <row r="4218" spans="1:7" x14ac:dyDescent="0.25">
      <c r="A4218" s="11" t="s">
        <v>1109</v>
      </c>
      <c r="B4218" s="11"/>
      <c r="C4218" s="2732">
        <v>18426</v>
      </c>
      <c r="D4218" s="2732">
        <v>4169204179.0051799</v>
      </c>
      <c r="E4218" s="2733">
        <v>102756788.84364501</v>
      </c>
      <c r="F4218" s="2734">
        <v>13.0966654483409</v>
      </c>
      <c r="G4218" s="2735">
        <v>0.26953731750750198</v>
      </c>
    </row>
    <row r="4219" spans="1:7" x14ac:dyDescent="0.25">
      <c r="A4219" s="6" t="s">
        <v>1119</v>
      </c>
      <c r="B4219" s="6"/>
      <c r="C4219" s="2728">
        <v>18210</v>
      </c>
      <c r="D4219" s="2728">
        <v>3715876890.1560102</v>
      </c>
      <c r="E4219" s="2729">
        <v>81644641.295507997</v>
      </c>
      <c r="F4219" s="2730">
        <v>11.6726344856555</v>
      </c>
      <c r="G4219" s="2731">
        <v>0.258473765514529</v>
      </c>
    </row>
    <row r="4220" spans="1:7" x14ac:dyDescent="0.25">
      <c r="A4220" s="11" t="s">
        <v>1100</v>
      </c>
      <c r="B4220" s="11"/>
      <c r="C4220" s="2732">
        <v>15501</v>
      </c>
      <c r="D4220" s="2732">
        <v>3118747020.4797702</v>
      </c>
      <c r="E4220" s="2733">
        <v>66719247.073529698</v>
      </c>
      <c r="F4220" s="2734">
        <v>9.7968783949026292</v>
      </c>
      <c r="G4220" s="2735">
        <v>0.23025890556821699</v>
      </c>
    </row>
    <row r="4221" spans="1:7" x14ac:dyDescent="0.25">
      <c r="A4221" s="6" t="s">
        <v>1098</v>
      </c>
      <c r="B4221" s="6"/>
      <c r="C4221" s="2728">
        <v>15819</v>
      </c>
      <c r="D4221" s="2728">
        <v>2893516376.4430199</v>
      </c>
      <c r="E4221" s="2729">
        <v>68271407.135231599</v>
      </c>
      <c r="F4221" s="2730">
        <v>9.0893643785544391</v>
      </c>
      <c r="G4221" s="2731">
        <v>0.16877577551652301</v>
      </c>
    </row>
    <row r="4222" spans="1:7" x14ac:dyDescent="0.25">
      <c r="A4222" s="11" t="s">
        <v>1094</v>
      </c>
      <c r="B4222" s="11"/>
      <c r="C4222" s="2732">
        <v>14903</v>
      </c>
      <c r="D4222" s="2732">
        <v>2671627083.2081599</v>
      </c>
      <c r="E4222" s="2733">
        <v>72032709.063571498</v>
      </c>
      <c r="F4222" s="2734">
        <v>8.3923465028889694</v>
      </c>
      <c r="G4222" s="2735">
        <v>0.20693313145880499</v>
      </c>
    </row>
    <row r="4223" spans="1:7" x14ac:dyDescent="0.25">
      <c r="A4223" s="6" t="s">
        <v>1121</v>
      </c>
      <c r="B4223" s="6"/>
      <c r="C4223" s="2728">
        <v>15171</v>
      </c>
      <c r="D4223" s="2728">
        <v>2437045740.15941</v>
      </c>
      <c r="E4223" s="2729">
        <v>33054449.346397098</v>
      </c>
      <c r="F4223" s="2730">
        <v>7.655459260522</v>
      </c>
      <c r="G4223" s="2731">
        <v>0.11297427083247399</v>
      </c>
    </row>
    <row r="4224" spans="1:7" x14ac:dyDescent="0.25">
      <c r="A4224" s="11" t="s">
        <v>1096</v>
      </c>
      <c r="B4224" s="11"/>
      <c r="C4224" s="2732">
        <v>13814</v>
      </c>
      <c r="D4224" s="2732">
        <v>2309999430.9408302</v>
      </c>
      <c r="E4224" s="2733">
        <v>55624005.957024701</v>
      </c>
      <c r="F4224" s="2734">
        <v>7.2563703848413503</v>
      </c>
      <c r="G4224" s="2735">
        <v>0.18137593522523801</v>
      </c>
    </row>
    <row r="4225" spans="1:7" x14ac:dyDescent="0.25">
      <c r="A4225" s="6" t="s">
        <v>1092</v>
      </c>
      <c r="B4225" s="6"/>
      <c r="C4225" s="2728">
        <v>14279</v>
      </c>
      <c r="D4225" s="2728">
        <v>2268728086.6525898</v>
      </c>
      <c r="E4225" s="2729">
        <v>50957654.567924596</v>
      </c>
      <c r="F4225" s="2730">
        <v>7.1267252618060501</v>
      </c>
      <c r="G4225" s="2731">
        <v>0.14406641870078701</v>
      </c>
    </row>
    <row r="4226" spans="1:7" x14ac:dyDescent="0.25">
      <c r="A4226" s="11" t="s">
        <v>1123</v>
      </c>
      <c r="B4226" s="11"/>
      <c r="C4226" s="2732">
        <v>15308</v>
      </c>
      <c r="D4226" s="2732">
        <v>2120159811.7229099</v>
      </c>
      <c r="E4226" s="2733">
        <v>47283503.4785107</v>
      </c>
      <c r="F4226" s="2734">
        <v>6.6600297224536398</v>
      </c>
      <c r="G4226" s="2735">
        <v>0.125528175412249</v>
      </c>
    </row>
    <row r="4227" spans="1:7" x14ac:dyDescent="0.25">
      <c r="A4227" s="6" t="s">
        <v>1127</v>
      </c>
      <c r="B4227" s="6"/>
      <c r="C4227" s="2728">
        <v>15301</v>
      </c>
      <c r="D4227" s="2728">
        <v>2102961347.7247601</v>
      </c>
      <c r="E4227" s="2729">
        <v>43098907.590643302</v>
      </c>
      <c r="F4227" s="2730">
        <v>6.6060044170144598</v>
      </c>
      <c r="G4227" s="2731">
        <v>0.106443587919802</v>
      </c>
    </row>
    <row r="4228" spans="1:7" x14ac:dyDescent="0.25">
      <c r="A4228" s="11" t="s">
        <v>1090</v>
      </c>
      <c r="B4228" s="11"/>
      <c r="C4228" s="2732">
        <v>13839</v>
      </c>
      <c r="D4228" s="2732">
        <v>2026965376.3608</v>
      </c>
      <c r="E4228" s="2733">
        <v>45505675.170011804</v>
      </c>
      <c r="F4228" s="2734">
        <v>6.3672792863558403</v>
      </c>
      <c r="G4228" s="2735">
        <v>0.12965608081348601</v>
      </c>
    </row>
    <row r="4229" spans="1:7" x14ac:dyDescent="0.25">
      <c r="A4229" s="6" t="s">
        <v>1125</v>
      </c>
      <c r="B4229" s="6"/>
      <c r="C4229" s="2728">
        <v>15140</v>
      </c>
      <c r="D4229" s="2728">
        <v>1999257994.2405801</v>
      </c>
      <c r="E4229" s="2729">
        <v>51922609.645783097</v>
      </c>
      <c r="F4229" s="2730">
        <v>6.2802424566641797</v>
      </c>
      <c r="G4229" s="2731">
        <v>0.123456707539867</v>
      </c>
    </row>
    <row r="4230" spans="1:7" x14ac:dyDescent="0.25">
      <c r="A4230" s="11" t="s">
        <v>6417</v>
      </c>
      <c r="B4230" s="11" t="s">
        <v>6418</v>
      </c>
      <c r="C4230" s="2732">
        <v>185711</v>
      </c>
      <c r="D4230" s="2732">
        <v>31834089337.094002</v>
      </c>
      <c r="E4230" s="2733">
        <v>298177412.67022002</v>
      </c>
      <c r="F4230" s="2734">
        <v>100</v>
      </c>
      <c r="G4230" s="2735">
        <v>1.45362315675074E-14</v>
      </c>
    </row>
    <row r="4231" spans="1:7" x14ac:dyDescent="0.25">
      <c r="A4231" s="6" t="s">
        <v>6417</v>
      </c>
      <c r="B4231" s="6" t="s">
        <v>6419</v>
      </c>
      <c r="C4231" s="2728">
        <v>185711</v>
      </c>
      <c r="D4231" s="2728">
        <v>31834089337.094002</v>
      </c>
      <c r="E4231" s="2729">
        <v>0</v>
      </c>
      <c r="F4231" s="2730">
        <v>100</v>
      </c>
      <c r="G4231" s="2731">
        <v>0</v>
      </c>
    </row>
    <row r="4232" spans="1:7" x14ac:dyDescent="0.25">
      <c r="A4232" s="3729" t="s">
        <v>211</v>
      </c>
      <c r="B4232" s="3730"/>
      <c r="C4232" s="3730"/>
      <c r="D4232" s="3730"/>
      <c r="E4232" s="3730"/>
      <c r="F4232" s="3730"/>
      <c r="G4232" s="3730"/>
    </row>
    <row r="4233" spans="1:7" x14ac:dyDescent="0.25">
      <c r="A4233" s="11" t="s">
        <v>1292</v>
      </c>
      <c r="B4233" s="11"/>
      <c r="C4233" s="2740">
        <v>21796</v>
      </c>
      <c r="D4233" s="2740">
        <v>3905815538.51789</v>
      </c>
      <c r="E4233" s="2741">
        <v>53472319.321769796</v>
      </c>
      <c r="F4233" s="2742">
        <v>12.2692862269715</v>
      </c>
      <c r="G4233" s="2743">
        <v>0.15817550428616001</v>
      </c>
    </row>
    <row r="4234" spans="1:7" x14ac:dyDescent="0.25">
      <c r="A4234" s="6" t="s">
        <v>1297</v>
      </c>
      <c r="B4234" s="6"/>
      <c r="C4234" s="2736">
        <v>19148</v>
      </c>
      <c r="D4234" s="2736">
        <v>3434948433.7656898</v>
      </c>
      <c r="E4234" s="2737">
        <v>60945712.602712996</v>
      </c>
      <c r="F4234" s="2738">
        <v>10.790157674663501</v>
      </c>
      <c r="G4234" s="2739">
        <v>0.16571908580292899</v>
      </c>
    </row>
    <row r="4235" spans="1:7" x14ac:dyDescent="0.25">
      <c r="A4235" s="11" t="s">
        <v>3201</v>
      </c>
      <c r="B4235" s="11"/>
      <c r="C4235" s="2740">
        <v>14303</v>
      </c>
      <c r="D4235" s="2740">
        <v>2577599883.0345898</v>
      </c>
      <c r="E4235" s="2741">
        <v>78885733.537069306</v>
      </c>
      <c r="F4235" s="2742">
        <v>8.0969801138024007</v>
      </c>
      <c r="G4235" s="2743">
        <v>0.23531610070043599</v>
      </c>
    </row>
    <row r="4236" spans="1:7" x14ac:dyDescent="0.25">
      <c r="A4236" s="6" t="s">
        <v>1133</v>
      </c>
      <c r="B4236" s="6"/>
      <c r="C4236" s="2736">
        <v>14968</v>
      </c>
      <c r="D4236" s="2736">
        <v>2561560844.9247499</v>
      </c>
      <c r="E4236" s="2737">
        <v>31607333.725165799</v>
      </c>
      <c r="F4236" s="2738">
        <v>8.0465968974332807</v>
      </c>
      <c r="G4236" s="2739">
        <v>0.137615291939269</v>
      </c>
    </row>
    <row r="4237" spans="1:7" x14ac:dyDescent="0.25">
      <c r="A4237" s="11" t="s">
        <v>1123</v>
      </c>
      <c r="B4237" s="11"/>
      <c r="C4237" s="2740">
        <v>11107</v>
      </c>
      <c r="D4237" s="2740">
        <v>1880581925.9126301</v>
      </c>
      <c r="E4237" s="2741">
        <v>64491112.210632399</v>
      </c>
      <c r="F4237" s="2742">
        <v>5.9074469069901099</v>
      </c>
      <c r="G4237" s="2743">
        <v>0.192674691355945</v>
      </c>
    </row>
    <row r="4238" spans="1:7" x14ac:dyDescent="0.25">
      <c r="A4238" s="6" t="s">
        <v>1295</v>
      </c>
      <c r="B4238" s="6"/>
      <c r="C4238" s="2736">
        <v>10458</v>
      </c>
      <c r="D4238" s="2736">
        <v>1839395495.28561</v>
      </c>
      <c r="E4238" s="2737">
        <v>52652614.608273901</v>
      </c>
      <c r="F4238" s="2738">
        <v>5.7780685221056096</v>
      </c>
      <c r="G4238" s="2739">
        <v>0.142373959999119</v>
      </c>
    </row>
    <row r="4239" spans="1:7" x14ac:dyDescent="0.25">
      <c r="A4239" s="11" t="s">
        <v>1299</v>
      </c>
      <c r="B4239" s="11"/>
      <c r="C4239" s="2740">
        <v>9971</v>
      </c>
      <c r="D4239" s="2740">
        <v>1712309663.7491801</v>
      </c>
      <c r="E4239" s="2741">
        <v>51885559.028378703</v>
      </c>
      <c r="F4239" s="2742">
        <v>5.3788554954953298</v>
      </c>
      <c r="G4239" s="2743">
        <v>0.13298003072846001</v>
      </c>
    </row>
    <row r="4240" spans="1:7" x14ac:dyDescent="0.25">
      <c r="A4240" s="6" t="s">
        <v>1301</v>
      </c>
      <c r="B4240" s="6"/>
      <c r="C4240" s="2736">
        <v>9339</v>
      </c>
      <c r="D4240" s="2736">
        <v>1693333703.66219</v>
      </c>
      <c r="E4240" s="2737">
        <v>44442408.678654499</v>
      </c>
      <c r="F4240" s="2738">
        <v>5.31924656531345</v>
      </c>
      <c r="G4240" s="2739">
        <v>0.103664036015005</v>
      </c>
    </row>
    <row r="4241" spans="1:7" x14ac:dyDescent="0.25">
      <c r="A4241" s="11" t="s">
        <v>1098</v>
      </c>
      <c r="B4241" s="11"/>
      <c r="C4241" s="2740">
        <v>8524</v>
      </c>
      <c r="D4241" s="2740">
        <v>1364625179.9648299</v>
      </c>
      <c r="E4241" s="2741">
        <v>30391599.735839199</v>
      </c>
      <c r="F4241" s="2742">
        <v>4.2866788665279101</v>
      </c>
      <c r="G4241" s="2743">
        <v>8.1969964251536798E-2</v>
      </c>
    </row>
    <row r="4242" spans="1:7" x14ac:dyDescent="0.25">
      <c r="A4242" s="6" t="s">
        <v>3187</v>
      </c>
      <c r="B4242" s="6"/>
      <c r="C4242" s="2736">
        <v>8054</v>
      </c>
      <c r="D4242" s="2736">
        <v>1303545838.22893</v>
      </c>
      <c r="E4242" s="2737">
        <v>30965302.563900899</v>
      </c>
      <c r="F4242" s="2738">
        <v>4.09481114545342</v>
      </c>
      <c r="G4242" s="2739">
        <v>9.9145918785006198E-2</v>
      </c>
    </row>
    <row r="4243" spans="1:7" x14ac:dyDescent="0.25">
      <c r="A4243" s="11" t="s">
        <v>3215</v>
      </c>
      <c r="B4243" s="11"/>
      <c r="C4243" s="2740">
        <v>6833</v>
      </c>
      <c r="D4243" s="2740">
        <v>1260330390.8220899</v>
      </c>
      <c r="E4243" s="2741">
        <v>39167690.063893802</v>
      </c>
      <c r="F4243" s="2742">
        <v>3.9590590372362802</v>
      </c>
      <c r="G4243" s="2743">
        <v>0.10786574599771</v>
      </c>
    </row>
    <row r="4244" spans="1:7" x14ac:dyDescent="0.25">
      <c r="A4244" s="6" t="s">
        <v>3172</v>
      </c>
      <c r="B4244" s="6"/>
      <c r="C4244" s="2736">
        <v>6790</v>
      </c>
      <c r="D4244" s="2736">
        <v>1152565667.8492301</v>
      </c>
      <c r="E4244" s="2737">
        <v>35635967.589233398</v>
      </c>
      <c r="F4244" s="2738">
        <v>3.6205391511112901</v>
      </c>
      <c r="G4244" s="2739">
        <v>0.11155520575144399</v>
      </c>
    </row>
    <row r="4245" spans="1:7" x14ac:dyDescent="0.25">
      <c r="A4245" s="11" t="s">
        <v>1127</v>
      </c>
      <c r="B4245" s="11"/>
      <c r="C4245" s="2740">
        <v>1437</v>
      </c>
      <c r="D4245" s="2740">
        <v>240738518.92380899</v>
      </c>
      <c r="E4245" s="2741">
        <v>15069331.764146101</v>
      </c>
      <c r="F4245" s="2742">
        <v>0.75622869677410098</v>
      </c>
      <c r="G4245" s="2743">
        <v>4.7686748199193101E-2</v>
      </c>
    </row>
    <row r="4246" spans="1:7" x14ac:dyDescent="0.25">
      <c r="A4246" s="6" t="s">
        <v>3314</v>
      </c>
      <c r="B4246" s="6"/>
      <c r="C4246" s="2736">
        <v>1195</v>
      </c>
      <c r="D4246" s="2736">
        <v>216926147.550125</v>
      </c>
      <c r="E4246" s="2737">
        <v>14182149.9411998</v>
      </c>
      <c r="F4246" s="2738">
        <v>0.68142721236054404</v>
      </c>
      <c r="G4246" s="2739">
        <v>4.66530513265246E-2</v>
      </c>
    </row>
    <row r="4247" spans="1:7" x14ac:dyDescent="0.25">
      <c r="A4247" s="11" t="s">
        <v>1092</v>
      </c>
      <c r="B4247" s="11"/>
      <c r="C4247" s="2740">
        <v>1301</v>
      </c>
      <c r="D4247" s="2740">
        <v>216015382.28680301</v>
      </c>
      <c r="E4247" s="2741">
        <v>19249348.454608299</v>
      </c>
      <c r="F4247" s="2742">
        <v>0.67856623759328105</v>
      </c>
      <c r="G4247" s="2743">
        <v>6.0963442462775803E-2</v>
      </c>
    </row>
    <row r="4248" spans="1:7" x14ac:dyDescent="0.25">
      <c r="A4248" s="6" t="s">
        <v>1197</v>
      </c>
      <c r="B4248" s="6"/>
      <c r="C4248" s="2736">
        <v>1329</v>
      </c>
      <c r="D4248" s="2736">
        <v>211840722.43911201</v>
      </c>
      <c r="E4248" s="2737">
        <v>23607929.091350202</v>
      </c>
      <c r="F4248" s="2738">
        <v>0.665452434325704</v>
      </c>
      <c r="G4248" s="2739">
        <v>7.5125705364662301E-2</v>
      </c>
    </row>
    <row r="4249" spans="1:7" x14ac:dyDescent="0.25">
      <c r="A4249" s="11" t="s">
        <v>1109</v>
      </c>
      <c r="B4249" s="11"/>
      <c r="C4249" s="2740">
        <v>1175</v>
      </c>
      <c r="D4249" s="2740">
        <v>204733789.829739</v>
      </c>
      <c r="E4249" s="2741">
        <v>15844800.6100666</v>
      </c>
      <c r="F4249" s="2742">
        <v>0.64312752176383803</v>
      </c>
      <c r="G4249" s="2743">
        <v>5.0753299754050803E-2</v>
      </c>
    </row>
    <row r="4250" spans="1:7" x14ac:dyDescent="0.25">
      <c r="A4250" s="6" t="s">
        <v>1139</v>
      </c>
      <c r="B4250" s="6"/>
      <c r="C4250" s="2736">
        <v>1177</v>
      </c>
      <c r="D4250" s="2736">
        <v>199688462.530137</v>
      </c>
      <c r="E4250" s="2737">
        <v>12667122.159581</v>
      </c>
      <c r="F4250" s="2738">
        <v>0.62727870244886896</v>
      </c>
      <c r="G4250" s="2739">
        <v>3.78754814833199E-2</v>
      </c>
    </row>
    <row r="4251" spans="1:7" x14ac:dyDescent="0.25">
      <c r="A4251" s="11" t="s">
        <v>3178</v>
      </c>
      <c r="B4251" s="11"/>
      <c r="C4251" s="2740">
        <v>1096</v>
      </c>
      <c r="D4251" s="2740">
        <v>199676704.968265</v>
      </c>
      <c r="E4251" s="2741">
        <v>18092120.913536999</v>
      </c>
      <c r="F4251" s="2742">
        <v>0.62724176857666902</v>
      </c>
      <c r="G4251" s="2743">
        <v>5.6226030176624801E-2</v>
      </c>
    </row>
    <row r="4252" spans="1:7" x14ac:dyDescent="0.25">
      <c r="A4252" s="6" t="s">
        <v>1205</v>
      </c>
      <c r="B4252" s="6"/>
      <c r="C4252" s="2736">
        <v>1173</v>
      </c>
      <c r="D4252" s="2736">
        <v>193600674.96429601</v>
      </c>
      <c r="E4252" s="2737">
        <v>11449781.7604771</v>
      </c>
      <c r="F4252" s="2738">
        <v>0.60815521661147798</v>
      </c>
      <c r="G4252" s="2739">
        <v>3.8111486055174802E-2</v>
      </c>
    </row>
    <row r="4253" spans="1:7" x14ac:dyDescent="0.25">
      <c r="A4253" s="11" t="s">
        <v>1094</v>
      </c>
      <c r="B4253" s="11"/>
      <c r="C4253" s="2740">
        <v>1189</v>
      </c>
      <c r="D4253" s="2740">
        <v>193565971.91363299</v>
      </c>
      <c r="E4253" s="2741">
        <v>11790713.297924399</v>
      </c>
      <c r="F4253" s="2742">
        <v>0.60804620438155299</v>
      </c>
      <c r="G4253" s="2743">
        <v>3.7897384652593798E-2</v>
      </c>
    </row>
    <row r="4254" spans="1:7" x14ac:dyDescent="0.25">
      <c r="A4254" s="6" t="s">
        <v>3205</v>
      </c>
      <c r="B4254" s="6"/>
      <c r="C4254" s="2736">
        <v>1158</v>
      </c>
      <c r="D4254" s="2736">
        <v>192732811.44012699</v>
      </c>
      <c r="E4254" s="2737">
        <v>13249281.6791708</v>
      </c>
      <c r="F4254" s="2738">
        <v>0.60542900850488202</v>
      </c>
      <c r="G4254" s="2739">
        <v>4.0497435396211701E-2</v>
      </c>
    </row>
    <row r="4255" spans="1:7" x14ac:dyDescent="0.25">
      <c r="A4255" s="11" t="s">
        <v>1137</v>
      </c>
      <c r="B4255" s="11"/>
      <c r="C4255" s="2740">
        <v>1175</v>
      </c>
      <c r="D4255" s="2740">
        <v>192713227.774703</v>
      </c>
      <c r="E4255" s="2741">
        <v>7235545.7501725703</v>
      </c>
      <c r="F4255" s="2742">
        <v>0.60536749059803696</v>
      </c>
      <c r="G4255" s="2743">
        <v>2.33385821223345E-2</v>
      </c>
    </row>
    <row r="4256" spans="1:7" x14ac:dyDescent="0.25">
      <c r="A4256" s="6" t="s">
        <v>1189</v>
      </c>
      <c r="B4256" s="6"/>
      <c r="C4256" s="2736">
        <v>1233</v>
      </c>
      <c r="D4256" s="2736">
        <v>189426571.09582001</v>
      </c>
      <c r="E4256" s="2737">
        <v>10633549.875351699</v>
      </c>
      <c r="F4256" s="2738">
        <v>0.59504315983399203</v>
      </c>
      <c r="G4256" s="2739">
        <v>3.3259936948296202E-2</v>
      </c>
    </row>
    <row r="4257" spans="1:7" x14ac:dyDescent="0.25">
      <c r="A4257" s="11" t="s">
        <v>1090</v>
      </c>
      <c r="B4257" s="11"/>
      <c r="C4257" s="2740">
        <v>1220</v>
      </c>
      <c r="D4257" s="2740">
        <v>187737462.28130499</v>
      </c>
      <c r="E4257" s="2741">
        <v>9762605.4521502703</v>
      </c>
      <c r="F4257" s="2742">
        <v>0.589737184856573</v>
      </c>
      <c r="G4257" s="2743">
        <v>2.7499986011388401E-2</v>
      </c>
    </row>
    <row r="4258" spans="1:7" x14ac:dyDescent="0.25">
      <c r="A4258" s="6" t="s">
        <v>3207</v>
      </c>
      <c r="B4258" s="6"/>
      <c r="C4258" s="2736">
        <v>1119</v>
      </c>
      <c r="D4258" s="2736">
        <v>186202818.50193101</v>
      </c>
      <c r="E4258" s="2737">
        <v>12805324.0428952</v>
      </c>
      <c r="F4258" s="2738">
        <v>0.58491642883266604</v>
      </c>
      <c r="G4258" s="2739">
        <v>3.9586750627168203E-2</v>
      </c>
    </row>
    <row r="4259" spans="1:7" x14ac:dyDescent="0.25">
      <c r="A4259" s="11" t="s">
        <v>1119</v>
      </c>
      <c r="B4259" s="11"/>
      <c r="C4259" s="2740">
        <v>1139</v>
      </c>
      <c r="D4259" s="2740">
        <v>177724487.731837</v>
      </c>
      <c r="E4259" s="2741">
        <v>13975393.910952199</v>
      </c>
      <c r="F4259" s="2742">
        <v>0.55828356153020997</v>
      </c>
      <c r="G4259" s="2743">
        <v>4.2760010061496802E-2</v>
      </c>
    </row>
    <row r="4260" spans="1:7" x14ac:dyDescent="0.25">
      <c r="A4260" s="6" t="s">
        <v>1213</v>
      </c>
      <c r="B4260" s="6"/>
      <c r="C4260" s="2736">
        <v>1095</v>
      </c>
      <c r="D4260" s="2736">
        <v>169632161.34188801</v>
      </c>
      <c r="E4260" s="2737">
        <v>19244033.304738499</v>
      </c>
      <c r="F4260" s="2738">
        <v>0.53286324463576795</v>
      </c>
      <c r="G4260" s="2739">
        <v>5.9877039766534697E-2</v>
      </c>
    </row>
    <row r="4261" spans="1:7" x14ac:dyDescent="0.25">
      <c r="A4261" s="11" t="s">
        <v>3312</v>
      </c>
      <c r="B4261" s="11"/>
      <c r="C4261" s="2740">
        <v>944</v>
      </c>
      <c r="D4261" s="2740">
        <v>168345665.51590499</v>
      </c>
      <c r="E4261" s="2741">
        <v>11882486.686003201</v>
      </c>
      <c r="F4261" s="2742">
        <v>0.52882199246624295</v>
      </c>
      <c r="G4261" s="2743">
        <v>3.7840273059451403E-2</v>
      </c>
    </row>
    <row r="4262" spans="1:7" x14ac:dyDescent="0.25">
      <c r="A4262" s="6" t="s">
        <v>3191</v>
      </c>
      <c r="B4262" s="6"/>
      <c r="C4262" s="2736">
        <v>1001</v>
      </c>
      <c r="D4262" s="2736">
        <v>165509152.575719</v>
      </c>
      <c r="E4262" s="2737">
        <v>12485708.8812542</v>
      </c>
      <c r="F4262" s="2738">
        <v>0.51991169222127698</v>
      </c>
      <c r="G4262" s="2739">
        <v>3.72490403783746E-2</v>
      </c>
    </row>
    <row r="4263" spans="1:7" x14ac:dyDescent="0.25">
      <c r="A4263" s="11" t="s">
        <v>3193</v>
      </c>
      <c r="B4263" s="11"/>
      <c r="C4263" s="2740">
        <v>1104</v>
      </c>
      <c r="D4263" s="2740">
        <v>161606518.11390299</v>
      </c>
      <c r="E4263" s="2741">
        <v>9342326.8808653895</v>
      </c>
      <c r="F4263" s="2742">
        <v>0.50765239866809797</v>
      </c>
      <c r="G4263" s="2743">
        <v>2.7994683247929801E-2</v>
      </c>
    </row>
    <row r="4264" spans="1:7" x14ac:dyDescent="0.25">
      <c r="A4264" s="6" t="s">
        <v>3189</v>
      </c>
      <c r="B4264" s="6"/>
      <c r="C4264" s="2736">
        <v>849</v>
      </c>
      <c r="D4264" s="2736">
        <v>152465780.63500699</v>
      </c>
      <c r="E4264" s="2737">
        <v>10856819.600990601</v>
      </c>
      <c r="F4264" s="2738">
        <v>0.47893872201127802</v>
      </c>
      <c r="G4264" s="2739">
        <v>3.4996405835197399E-2</v>
      </c>
    </row>
    <row r="4265" spans="1:7" x14ac:dyDescent="0.25">
      <c r="A4265" s="11" t="s">
        <v>1191</v>
      </c>
      <c r="B4265" s="11"/>
      <c r="C4265" s="2740">
        <v>947</v>
      </c>
      <c r="D4265" s="2740">
        <v>150209162.33844301</v>
      </c>
      <c r="E4265" s="2741">
        <v>18430087.3449842</v>
      </c>
      <c r="F4265" s="2742">
        <v>0.47185003707147</v>
      </c>
      <c r="G4265" s="2743">
        <v>5.6216416027922801E-2</v>
      </c>
    </row>
    <row r="4266" spans="1:7" x14ac:dyDescent="0.25">
      <c r="A4266" s="6" t="s">
        <v>3176</v>
      </c>
      <c r="B4266" s="6"/>
      <c r="C4266" s="2736">
        <v>953</v>
      </c>
      <c r="D4266" s="2736">
        <v>145085479.40766299</v>
      </c>
      <c r="E4266" s="2737">
        <v>16133113.167067301</v>
      </c>
      <c r="F4266" s="2738">
        <v>0.45575508025795702</v>
      </c>
      <c r="G4266" s="2739">
        <v>5.3018714407273702E-2</v>
      </c>
    </row>
    <row r="4267" spans="1:7" x14ac:dyDescent="0.25">
      <c r="A4267" s="11" t="s">
        <v>1129</v>
      </c>
      <c r="B4267" s="11"/>
      <c r="C4267" s="2740">
        <v>811</v>
      </c>
      <c r="D4267" s="2740">
        <v>144642899.00966299</v>
      </c>
      <c r="E4267" s="2741">
        <v>6755606.02823909</v>
      </c>
      <c r="F4267" s="2742">
        <v>0.45436480836007698</v>
      </c>
      <c r="G4267" s="2743">
        <v>2.1574576424498799E-2</v>
      </c>
    </row>
    <row r="4268" spans="1:7" x14ac:dyDescent="0.25">
      <c r="A4268" s="6" t="s">
        <v>1199</v>
      </c>
      <c r="B4268" s="6"/>
      <c r="C4268" s="2736">
        <v>911</v>
      </c>
      <c r="D4268" s="2736">
        <v>140609286.105849</v>
      </c>
      <c r="E4268" s="2737">
        <v>9627200.0815158505</v>
      </c>
      <c r="F4268" s="2738">
        <v>0.44169407397499</v>
      </c>
      <c r="G4268" s="2739">
        <v>2.9598298895919899E-2</v>
      </c>
    </row>
    <row r="4269" spans="1:7" x14ac:dyDescent="0.25">
      <c r="A4269" s="11" t="s">
        <v>1195</v>
      </c>
      <c r="B4269" s="11"/>
      <c r="C4269" s="2740">
        <v>1005</v>
      </c>
      <c r="D4269" s="2740">
        <v>139436908.62049001</v>
      </c>
      <c r="E4269" s="2741">
        <v>9274011.1646317001</v>
      </c>
      <c r="F4269" s="2742">
        <v>0.43801130022593099</v>
      </c>
      <c r="G4269" s="2743">
        <v>2.92476466825606E-2</v>
      </c>
    </row>
    <row r="4270" spans="1:7" x14ac:dyDescent="0.25">
      <c r="A4270" s="6" t="s">
        <v>3203</v>
      </c>
      <c r="B4270" s="6"/>
      <c r="C4270" s="2736">
        <v>865</v>
      </c>
      <c r="D4270" s="2736">
        <v>138993530.553453</v>
      </c>
      <c r="E4270" s="2737">
        <v>9918124.9784459807</v>
      </c>
      <c r="F4270" s="2738">
        <v>0.43661852262094802</v>
      </c>
      <c r="G4270" s="2739">
        <v>3.2551697377523801E-2</v>
      </c>
    </row>
    <row r="4271" spans="1:7" x14ac:dyDescent="0.25">
      <c r="A4271" s="11" t="s">
        <v>1135</v>
      </c>
      <c r="B4271" s="11"/>
      <c r="C4271" s="2740">
        <v>959</v>
      </c>
      <c r="D4271" s="2740">
        <v>138137603.192274</v>
      </c>
      <c r="E4271" s="2741">
        <v>8468684.5387968197</v>
      </c>
      <c r="F4271" s="2742">
        <v>0.43392980942386</v>
      </c>
      <c r="G4271" s="2743">
        <v>2.5773622148027499E-2</v>
      </c>
    </row>
    <row r="4272" spans="1:7" x14ac:dyDescent="0.25">
      <c r="A4272" s="6" t="s">
        <v>3217</v>
      </c>
      <c r="B4272" s="6"/>
      <c r="C4272" s="2736">
        <v>856</v>
      </c>
      <c r="D4272" s="2736">
        <v>136978049.25938901</v>
      </c>
      <c r="E4272" s="2737">
        <v>12658637.870818799</v>
      </c>
      <c r="F4272" s="2738">
        <v>0.43028731812905502</v>
      </c>
      <c r="G4272" s="2739">
        <v>3.7193171819727998E-2</v>
      </c>
    </row>
    <row r="4273" spans="1:7" x14ac:dyDescent="0.25">
      <c r="A4273" s="11" t="s">
        <v>1207</v>
      </c>
      <c r="B4273" s="11"/>
      <c r="C4273" s="2740">
        <v>811</v>
      </c>
      <c r="D4273" s="2740">
        <v>130008314.032288</v>
      </c>
      <c r="E4273" s="2741">
        <v>9397597.0866481606</v>
      </c>
      <c r="F4273" s="2742">
        <v>0.40839338187317897</v>
      </c>
      <c r="G4273" s="2743">
        <v>2.8647133762998999E-2</v>
      </c>
    </row>
    <row r="4274" spans="1:7" x14ac:dyDescent="0.25">
      <c r="A4274" s="6" t="s">
        <v>1125</v>
      </c>
      <c r="B4274" s="6"/>
      <c r="C4274" s="2736">
        <v>718</v>
      </c>
      <c r="D4274" s="2736">
        <v>129838772.74537501</v>
      </c>
      <c r="E4274" s="2737">
        <v>6798782.9815790402</v>
      </c>
      <c r="F4274" s="2738">
        <v>0.40786080409117498</v>
      </c>
      <c r="G4274" s="2739">
        <v>2.0674714808080401E-2</v>
      </c>
    </row>
    <row r="4275" spans="1:7" x14ac:dyDescent="0.25">
      <c r="A4275" s="11" t="s">
        <v>1215</v>
      </c>
      <c r="B4275" s="11"/>
      <c r="C4275" s="2740">
        <v>791</v>
      </c>
      <c r="D4275" s="2740">
        <v>129723181.449099</v>
      </c>
      <c r="E4275" s="2741">
        <v>11869581.587714801</v>
      </c>
      <c r="F4275" s="2742">
        <v>0.40749769869478097</v>
      </c>
      <c r="G4275" s="2743">
        <v>3.72814429200835E-2</v>
      </c>
    </row>
    <row r="4276" spans="1:7" x14ac:dyDescent="0.25">
      <c r="A4276" s="6" t="s">
        <v>1096</v>
      </c>
      <c r="B4276" s="6"/>
      <c r="C4276" s="2736">
        <v>794</v>
      </c>
      <c r="D4276" s="2736">
        <v>123927430.924904</v>
      </c>
      <c r="E4276" s="2737">
        <v>8035176.9144686405</v>
      </c>
      <c r="F4276" s="2738">
        <v>0.38929158491900201</v>
      </c>
      <c r="G4276" s="2739">
        <v>2.5871239873415199E-2</v>
      </c>
    </row>
    <row r="4277" spans="1:7" x14ac:dyDescent="0.25">
      <c r="A4277" s="11" t="s">
        <v>1100</v>
      </c>
      <c r="B4277" s="11"/>
      <c r="C4277" s="2740">
        <v>862</v>
      </c>
      <c r="D4277" s="2740">
        <v>119909880.784997</v>
      </c>
      <c r="E4277" s="2741">
        <v>11712397.606995899</v>
      </c>
      <c r="F4277" s="2742">
        <v>0.37667130827981299</v>
      </c>
      <c r="G4277" s="2743">
        <v>3.6052979491625899E-2</v>
      </c>
    </row>
    <row r="4278" spans="1:7" x14ac:dyDescent="0.25">
      <c r="A4278" s="6" t="s">
        <v>3316</v>
      </c>
      <c r="B4278" s="6"/>
      <c r="C4278" s="2736">
        <v>767</v>
      </c>
      <c r="D4278" s="2736">
        <v>116006721.315578</v>
      </c>
      <c r="E4278" s="2737">
        <v>11580150.302060399</v>
      </c>
      <c r="F4278" s="2738">
        <v>0.36441036552725597</v>
      </c>
      <c r="G4278" s="2739">
        <v>3.6711684823415497E-2</v>
      </c>
    </row>
    <row r="4279" spans="1:7" x14ac:dyDescent="0.25">
      <c r="A4279" s="11" t="s">
        <v>3174</v>
      </c>
      <c r="B4279" s="11"/>
      <c r="C4279" s="2740">
        <v>743</v>
      </c>
      <c r="D4279" s="2740">
        <v>115602311.546653</v>
      </c>
      <c r="E4279" s="2741">
        <v>8445096.9145796299</v>
      </c>
      <c r="F4279" s="2742">
        <v>0.363139998517091</v>
      </c>
      <c r="G4279" s="2743">
        <v>2.74943014816195E-2</v>
      </c>
    </row>
    <row r="4280" spans="1:7" x14ac:dyDescent="0.25">
      <c r="A4280" s="6" t="s">
        <v>1201</v>
      </c>
      <c r="B4280" s="6"/>
      <c r="C4280" s="2736">
        <v>675</v>
      </c>
      <c r="D4280" s="2736">
        <v>111621112.456746</v>
      </c>
      <c r="E4280" s="2737">
        <v>8731071.25642322</v>
      </c>
      <c r="F4280" s="2738">
        <v>0.35063391094615598</v>
      </c>
      <c r="G4280" s="2739">
        <v>2.7246831228184502E-2</v>
      </c>
    </row>
    <row r="4281" spans="1:7" x14ac:dyDescent="0.25">
      <c r="A4281" s="11" t="s">
        <v>1211</v>
      </c>
      <c r="B4281" s="11"/>
      <c r="C4281" s="2740">
        <v>706</v>
      </c>
      <c r="D4281" s="2740">
        <v>110639237.692276</v>
      </c>
      <c r="E4281" s="2741">
        <v>12473834.934153499</v>
      </c>
      <c r="F4281" s="2742">
        <v>0.34754956085191402</v>
      </c>
      <c r="G4281" s="2743">
        <v>3.9368292152956501E-2</v>
      </c>
    </row>
    <row r="4282" spans="1:7" x14ac:dyDescent="0.25">
      <c r="A4282" s="6" t="s">
        <v>1187</v>
      </c>
      <c r="B4282" s="6"/>
      <c r="C4282" s="2736">
        <v>763</v>
      </c>
      <c r="D4282" s="2736">
        <v>110430809.176972</v>
      </c>
      <c r="E4282" s="2737">
        <v>7685149.94234828</v>
      </c>
      <c r="F4282" s="2738">
        <v>0.34689482713832398</v>
      </c>
      <c r="G4282" s="2739">
        <v>2.41997565830218E-2</v>
      </c>
    </row>
    <row r="4283" spans="1:7" x14ac:dyDescent="0.25">
      <c r="A4283" s="11" t="s">
        <v>1203</v>
      </c>
      <c r="B4283" s="11"/>
      <c r="C4283" s="2740">
        <v>648</v>
      </c>
      <c r="D4283" s="2740">
        <v>108609947.915719</v>
      </c>
      <c r="E4283" s="2741">
        <v>5526712.0810471401</v>
      </c>
      <c r="F4283" s="2742">
        <v>0.34117497995823998</v>
      </c>
      <c r="G4283" s="2743">
        <v>1.8649482168300001E-2</v>
      </c>
    </row>
    <row r="4284" spans="1:7" x14ac:dyDescent="0.25">
      <c r="A4284" s="6" t="s">
        <v>1193</v>
      </c>
      <c r="B4284" s="6"/>
      <c r="C4284" s="2736">
        <v>731</v>
      </c>
      <c r="D4284" s="2736">
        <v>108117476.03797799</v>
      </c>
      <c r="E4284" s="2737">
        <v>9159774.2260650806</v>
      </c>
      <c r="F4284" s="2738">
        <v>0.33962798462086402</v>
      </c>
      <c r="G4284" s="2739">
        <v>2.84874752011097E-2</v>
      </c>
    </row>
    <row r="4285" spans="1:7" x14ac:dyDescent="0.25">
      <c r="A4285" s="11" t="s">
        <v>1121</v>
      </c>
      <c r="B4285" s="11"/>
      <c r="C4285" s="2740">
        <v>652</v>
      </c>
      <c r="D4285" s="2740">
        <v>107733046.692186</v>
      </c>
      <c r="E4285" s="2741">
        <v>8147263.5402497603</v>
      </c>
      <c r="F4285" s="2742">
        <v>0.33842038184724099</v>
      </c>
      <c r="G4285" s="2743">
        <v>2.5121117592114901E-2</v>
      </c>
    </row>
    <row r="4286" spans="1:7" x14ac:dyDescent="0.25">
      <c r="A4286" s="6" t="s">
        <v>3180</v>
      </c>
      <c r="B4286" s="6"/>
      <c r="C4286" s="2736">
        <v>630</v>
      </c>
      <c r="D4286" s="2736">
        <v>101570552.655518</v>
      </c>
      <c r="E4286" s="2737">
        <v>7739275.8091813596</v>
      </c>
      <c r="F4286" s="2738">
        <v>0.31906222157002401</v>
      </c>
      <c r="G4286" s="2739">
        <v>2.3061912443239501E-2</v>
      </c>
    </row>
    <row r="4287" spans="1:7" x14ac:dyDescent="0.25">
      <c r="A4287" s="11" t="s">
        <v>3209</v>
      </c>
      <c r="B4287" s="11"/>
      <c r="C4287" s="2740">
        <v>613</v>
      </c>
      <c r="D4287" s="2740">
        <v>100152999.48956899</v>
      </c>
      <c r="E4287" s="2741">
        <v>17127726.156013399</v>
      </c>
      <c r="F4287" s="2742">
        <v>0.31460928072745997</v>
      </c>
      <c r="G4287" s="2743">
        <v>5.1958066239075E-2</v>
      </c>
    </row>
    <row r="4288" spans="1:7" x14ac:dyDescent="0.25">
      <c r="A4288" s="6" t="s">
        <v>1141</v>
      </c>
      <c r="B4288" s="6"/>
      <c r="C4288" s="2736">
        <v>592</v>
      </c>
      <c r="D4288" s="2736">
        <v>97438377.421080798</v>
      </c>
      <c r="E4288" s="2737">
        <v>8880450.2946526408</v>
      </c>
      <c r="F4288" s="2738">
        <v>0.30608187465109199</v>
      </c>
      <c r="G4288" s="2739">
        <v>2.7268424068586199E-2</v>
      </c>
    </row>
    <row r="4289" spans="1:7" x14ac:dyDescent="0.25">
      <c r="A4289" s="11" t="s">
        <v>1217</v>
      </c>
      <c r="B4289" s="11"/>
      <c r="C4289" s="2740">
        <v>557</v>
      </c>
      <c r="D4289" s="2740">
        <v>96521881.335316896</v>
      </c>
      <c r="E4289" s="2741">
        <v>7397093.2544648703</v>
      </c>
      <c r="F4289" s="2742">
        <v>0.30320289772777198</v>
      </c>
      <c r="G4289" s="2743">
        <v>2.4930006412522202E-2</v>
      </c>
    </row>
    <row r="4290" spans="1:7" x14ac:dyDescent="0.25">
      <c r="A4290" s="6" t="s">
        <v>1131</v>
      </c>
      <c r="B4290" s="6"/>
      <c r="C4290" s="2736">
        <v>719</v>
      </c>
      <c r="D4290" s="2736">
        <v>95578130.891724795</v>
      </c>
      <c r="E4290" s="2737">
        <v>7638942.0011183498</v>
      </c>
      <c r="F4290" s="2738">
        <v>0.30023830705392401</v>
      </c>
      <c r="G4290" s="2739">
        <v>2.2071426417256301E-2</v>
      </c>
    </row>
    <row r="4291" spans="1:7" x14ac:dyDescent="0.25">
      <c r="A4291" s="11" t="s">
        <v>1209</v>
      </c>
      <c r="B4291" s="11"/>
      <c r="C4291" s="2740">
        <v>644</v>
      </c>
      <c r="D4291" s="2740">
        <v>95054334.772034198</v>
      </c>
      <c r="E4291" s="2741">
        <v>6073113.4481800701</v>
      </c>
      <c r="F4291" s="2742">
        <v>0.29859291329334198</v>
      </c>
      <c r="G4291" s="2743">
        <v>1.8666575859602401E-2</v>
      </c>
    </row>
    <row r="4292" spans="1:7" x14ac:dyDescent="0.25">
      <c r="A4292" s="6" t="s">
        <v>3195</v>
      </c>
      <c r="B4292" s="6"/>
      <c r="C4292" s="2736">
        <v>588</v>
      </c>
      <c r="D4292" s="2736">
        <v>84016301.139136896</v>
      </c>
      <c r="E4292" s="2737">
        <v>11734579.226656999</v>
      </c>
      <c r="F4292" s="2738">
        <v>0.26391928554789401</v>
      </c>
      <c r="G4292" s="2739">
        <v>3.5830222733570102E-2</v>
      </c>
    </row>
    <row r="4293" spans="1:7" x14ac:dyDescent="0.25">
      <c r="A4293" s="11" t="s">
        <v>6417</v>
      </c>
      <c r="B4293" s="11" t="s">
        <v>6418</v>
      </c>
      <c r="C4293" s="2740">
        <v>185711</v>
      </c>
      <c r="D4293" s="2740">
        <v>31834089337.094002</v>
      </c>
      <c r="E4293" s="2741">
        <v>298177412.67021102</v>
      </c>
      <c r="F4293" s="2742">
        <v>100</v>
      </c>
      <c r="G4293" s="2743">
        <v>0</v>
      </c>
    </row>
    <row r="4294" spans="1:7" x14ac:dyDescent="0.25">
      <c r="A4294" s="6" t="s">
        <v>6417</v>
      </c>
      <c r="B4294" s="6" t="s">
        <v>6419</v>
      </c>
      <c r="C4294" s="2736">
        <v>185711</v>
      </c>
      <c r="D4294" s="2736">
        <v>31834089337.094002</v>
      </c>
      <c r="E4294" s="2737">
        <v>0</v>
      </c>
      <c r="F4294" s="2738">
        <v>100</v>
      </c>
      <c r="G4294" s="2739">
        <v>0</v>
      </c>
    </row>
    <row r="4295" spans="1:7" x14ac:dyDescent="0.25">
      <c r="A4295" s="3729" t="s">
        <v>206</v>
      </c>
      <c r="B4295" s="3730"/>
      <c r="C4295" s="3730"/>
      <c r="D4295" s="3730"/>
      <c r="E4295" s="3730"/>
      <c r="F4295" s="3730"/>
      <c r="G4295" s="3730"/>
    </row>
    <row r="4296" spans="1:7" x14ac:dyDescent="0.25">
      <c r="A4296" s="11" t="s">
        <v>6539</v>
      </c>
      <c r="B4296" s="11"/>
      <c r="C4296" s="2748">
        <v>119639</v>
      </c>
      <c r="D4296" s="2748">
        <v>20203471849.974602</v>
      </c>
      <c r="E4296" s="2749">
        <v>287704575.93310398</v>
      </c>
      <c r="F4296" s="2750">
        <v>63.4648965014797</v>
      </c>
      <c r="G4296" s="2751">
        <v>0.487573442419097</v>
      </c>
    </row>
    <row r="4297" spans="1:7" x14ac:dyDescent="0.25">
      <c r="A4297" s="6" t="s">
        <v>6538</v>
      </c>
      <c r="B4297" s="6"/>
      <c r="C4297" s="2744">
        <v>66072</v>
      </c>
      <c r="D4297" s="2744">
        <v>11630617487.118299</v>
      </c>
      <c r="E4297" s="2745">
        <v>151304252.13677299</v>
      </c>
      <c r="F4297" s="2746">
        <v>36.5351034985203</v>
      </c>
      <c r="G4297" s="2747">
        <v>0.487573442419106</v>
      </c>
    </row>
    <row r="4298" spans="1:7" x14ac:dyDescent="0.25">
      <c r="A4298" s="11" t="s">
        <v>6417</v>
      </c>
      <c r="B4298" s="11" t="s">
        <v>6418</v>
      </c>
      <c r="C4298" s="2748">
        <v>185711</v>
      </c>
      <c r="D4298" s="2748">
        <v>31834089337.092899</v>
      </c>
      <c r="E4298" s="2749">
        <v>298177412.67110902</v>
      </c>
      <c r="F4298" s="2750">
        <v>100</v>
      </c>
      <c r="G4298" s="2751">
        <v>0</v>
      </c>
    </row>
    <row r="4299" spans="1:7" x14ac:dyDescent="0.25">
      <c r="A4299" s="6" t="s">
        <v>6417</v>
      </c>
      <c r="B4299" s="6" t="s">
        <v>6419</v>
      </c>
      <c r="C4299" s="2744">
        <v>185711</v>
      </c>
      <c r="D4299" s="2744">
        <v>31834089337.092899</v>
      </c>
      <c r="E4299" s="2745">
        <v>0</v>
      </c>
      <c r="F4299" s="2746">
        <v>100</v>
      </c>
      <c r="G4299" s="2747">
        <v>0</v>
      </c>
    </row>
    <row r="4300" spans="1:7" x14ac:dyDescent="0.25">
      <c r="A4300" s="3729" t="s">
        <v>868</v>
      </c>
      <c r="B4300" s="3730"/>
      <c r="C4300" s="3730"/>
      <c r="D4300" s="3730"/>
      <c r="E4300" s="3730"/>
      <c r="F4300" s="3730"/>
      <c r="G4300" s="3730"/>
    </row>
    <row r="4301" spans="1:7" x14ac:dyDescent="0.25">
      <c r="A4301" s="11" t="s">
        <v>1102</v>
      </c>
      <c r="B4301" s="11" t="s">
        <v>1103</v>
      </c>
      <c r="C4301" s="2756">
        <v>223</v>
      </c>
      <c r="D4301" s="2756">
        <v>31085232.2983252</v>
      </c>
      <c r="E4301" s="2757">
        <v>4836445.6100295596</v>
      </c>
      <c r="F4301" s="2758">
        <v>100</v>
      </c>
      <c r="G4301" s="2759">
        <v>0</v>
      </c>
    </row>
    <row r="4302" spans="1:7" x14ac:dyDescent="0.25">
      <c r="A4302" s="6" t="s">
        <v>6417</v>
      </c>
      <c r="B4302" s="6" t="s">
        <v>6418</v>
      </c>
      <c r="C4302" s="2752">
        <v>185419</v>
      </c>
      <c r="D4302" s="2752">
        <v>31803004104.7957</v>
      </c>
      <c r="E4302" s="2753">
        <v>299444913.85334897</v>
      </c>
      <c r="F4302" s="2754">
        <v>99.902352374622197</v>
      </c>
      <c r="G4302" s="2755">
        <v>1.54447036139405E-2</v>
      </c>
    </row>
    <row r="4303" spans="1:7" x14ac:dyDescent="0.25">
      <c r="A4303" s="11" t="s">
        <v>6417</v>
      </c>
      <c r="B4303" s="11" t="s">
        <v>6419</v>
      </c>
      <c r="C4303" s="2756">
        <v>185642</v>
      </c>
      <c r="D4303" s="2756">
        <v>31834089337.094002</v>
      </c>
      <c r="E4303" s="2757">
        <v>0</v>
      </c>
      <c r="F4303" s="2758">
        <v>100</v>
      </c>
      <c r="G4303" s="2759">
        <v>0</v>
      </c>
    </row>
    <row r="4304" spans="1:7" x14ac:dyDescent="0.25">
      <c r="A4304" s="3729" t="s">
        <v>855</v>
      </c>
      <c r="B4304" s="3730"/>
      <c r="C4304" s="3730"/>
      <c r="D4304" s="3730"/>
      <c r="E4304" s="3730"/>
      <c r="F4304" s="3730"/>
      <c r="G4304" s="3730"/>
    </row>
    <row r="4305" spans="1:7" x14ac:dyDescent="0.25">
      <c r="A4305" s="11" t="s">
        <v>6417</v>
      </c>
      <c r="B4305" s="11" t="s">
        <v>6418</v>
      </c>
      <c r="C4305" s="2764">
        <v>179130</v>
      </c>
      <c r="D4305" s="2764">
        <v>31834089337.094101</v>
      </c>
      <c r="E4305" s="2765">
        <v>298177412.67022502</v>
      </c>
      <c r="F4305" s="2766">
        <v>100</v>
      </c>
      <c r="G4305" s="2767">
        <v>1.45362315675074E-14</v>
      </c>
    </row>
    <row r="4306" spans="1:7" x14ac:dyDescent="0.25">
      <c r="A4306" s="6" t="s">
        <v>6417</v>
      </c>
      <c r="B4306" s="6" t="s">
        <v>6419</v>
      </c>
      <c r="C4306" s="2760">
        <v>179130</v>
      </c>
      <c r="D4306" s="2760">
        <v>31834089337.094101</v>
      </c>
      <c r="E4306" s="2761">
        <v>0</v>
      </c>
      <c r="F4306" s="2762">
        <v>100</v>
      </c>
      <c r="G4306" s="2763">
        <v>0</v>
      </c>
    </row>
    <row r="4307" spans="1:7" x14ac:dyDescent="0.25">
      <c r="A4307" s="3729" t="s">
        <v>853</v>
      </c>
      <c r="B4307" s="3730"/>
      <c r="C4307" s="3730"/>
      <c r="D4307" s="3730"/>
      <c r="E4307" s="3730"/>
      <c r="F4307" s="3730"/>
      <c r="G4307" s="3730"/>
    </row>
    <row r="4308" spans="1:7" x14ac:dyDescent="0.25">
      <c r="A4308" s="11" t="s">
        <v>1102</v>
      </c>
      <c r="B4308" s="11" t="s">
        <v>1103</v>
      </c>
      <c r="C4308" s="2772">
        <v>122</v>
      </c>
      <c r="D4308" s="2772">
        <v>20492058.712456401</v>
      </c>
      <c r="E4308" s="2773">
        <v>2915493.0670330902</v>
      </c>
      <c r="F4308" s="2774">
        <v>100</v>
      </c>
      <c r="G4308" s="2775">
        <v>0</v>
      </c>
    </row>
    <row r="4309" spans="1:7" x14ac:dyDescent="0.25">
      <c r="A4309" s="6" t="s">
        <v>6417</v>
      </c>
      <c r="B4309" s="6" t="s">
        <v>6418</v>
      </c>
      <c r="C4309" s="2768">
        <v>179008</v>
      </c>
      <c r="D4309" s="2768">
        <v>31813597278.381599</v>
      </c>
      <c r="E4309" s="2769">
        <v>298814040.33112401</v>
      </c>
      <c r="F4309" s="2770">
        <v>99.935628569438705</v>
      </c>
      <c r="G4309" s="2771">
        <v>9.2849605520331294E-3</v>
      </c>
    </row>
    <row r="4310" spans="1:7" x14ac:dyDescent="0.25">
      <c r="A4310" s="11" t="s">
        <v>6417</v>
      </c>
      <c r="B4310" s="11" t="s">
        <v>6419</v>
      </c>
      <c r="C4310" s="2772">
        <v>179130</v>
      </c>
      <c r="D4310" s="2772">
        <v>31834089337.094101</v>
      </c>
      <c r="E4310" s="2773">
        <v>0</v>
      </c>
      <c r="F4310" s="2774">
        <v>100</v>
      </c>
      <c r="G4310" s="2775">
        <v>0</v>
      </c>
    </row>
    <row r="4311" spans="1:7" x14ac:dyDescent="0.25">
      <c r="A4311" s="3729" t="s">
        <v>984</v>
      </c>
      <c r="B4311" s="3730"/>
      <c r="C4311" s="3730"/>
      <c r="D4311" s="3730"/>
      <c r="E4311" s="3730"/>
      <c r="F4311" s="3730"/>
      <c r="G4311" s="3730"/>
    </row>
    <row r="4312" spans="1:7" x14ac:dyDescent="0.25">
      <c r="A4312" s="11" t="s">
        <v>1088</v>
      </c>
      <c r="B4312" s="11" t="s">
        <v>1089</v>
      </c>
      <c r="C4312" s="2780">
        <v>179003</v>
      </c>
      <c r="D4312" s="2780">
        <v>30950246137.351601</v>
      </c>
      <c r="E4312" s="2781">
        <v>306423141.60649502</v>
      </c>
      <c r="F4312" s="2782">
        <v>99.962875722470699</v>
      </c>
      <c r="G4312" s="2783">
        <v>1.0285403372323001E-2</v>
      </c>
    </row>
    <row r="4313" spans="1:7" x14ac:dyDescent="0.25">
      <c r="A4313" s="6" t="s">
        <v>1102</v>
      </c>
      <c r="B4313" s="6" t="s">
        <v>1103</v>
      </c>
      <c r="C4313" s="2776">
        <v>59</v>
      </c>
      <c r="D4313" s="2776">
        <v>11494322.4562115</v>
      </c>
      <c r="E4313" s="2777">
        <v>3167412.8295481498</v>
      </c>
      <c r="F4313" s="2778">
        <v>3.7124277529335101E-2</v>
      </c>
      <c r="G4313" s="2779">
        <v>1.02854033723163E-2</v>
      </c>
    </row>
    <row r="4314" spans="1:7" x14ac:dyDescent="0.25">
      <c r="A4314" s="11" t="s">
        <v>6417</v>
      </c>
      <c r="B4314" s="11" t="s">
        <v>6418</v>
      </c>
      <c r="C4314" s="2780">
        <v>6502</v>
      </c>
      <c r="D4314" s="2780">
        <v>872348877.28614104</v>
      </c>
      <c r="E4314" s="2781">
        <v>36597990.072108202</v>
      </c>
      <c r="F4314" s="2782">
        <v>2.74029788648502</v>
      </c>
      <c r="G4314" s="2783">
        <v>0.121278785657485</v>
      </c>
    </row>
    <row r="4315" spans="1:7" x14ac:dyDescent="0.25">
      <c r="A4315" s="6" t="s">
        <v>6417</v>
      </c>
      <c r="B4315" s="6" t="s">
        <v>6419</v>
      </c>
      <c r="C4315" s="2776">
        <v>185564</v>
      </c>
      <c r="D4315" s="2776">
        <v>31834089337.094002</v>
      </c>
      <c r="E4315" s="2777">
        <v>0</v>
      </c>
      <c r="F4315" s="2778">
        <v>100</v>
      </c>
      <c r="G4315" s="2779">
        <v>0</v>
      </c>
    </row>
    <row r="4316" spans="1:7" x14ac:dyDescent="0.25">
      <c r="A4316" s="3729" t="s">
        <v>987</v>
      </c>
      <c r="B4316" s="3730"/>
      <c r="C4316" s="3730"/>
      <c r="D4316" s="3730"/>
      <c r="E4316" s="3730"/>
      <c r="F4316" s="3730"/>
      <c r="G4316" s="3730"/>
    </row>
    <row r="4317" spans="1:7" x14ac:dyDescent="0.25">
      <c r="A4317" s="11" t="s">
        <v>1090</v>
      </c>
      <c r="B4317" s="11" t="s">
        <v>6308</v>
      </c>
      <c r="C4317" s="2788">
        <v>2726</v>
      </c>
      <c r="D4317" s="2788">
        <v>433463659.02508801</v>
      </c>
      <c r="E4317" s="2789">
        <v>26692194.533454299</v>
      </c>
      <c r="F4317" s="2790">
        <v>50.212411154163199</v>
      </c>
      <c r="G4317" s="2791">
        <v>1.8475376069141101</v>
      </c>
    </row>
    <row r="4318" spans="1:7" x14ac:dyDescent="0.25">
      <c r="A4318" s="6" t="s">
        <v>1092</v>
      </c>
      <c r="B4318" s="6" t="s">
        <v>6309</v>
      </c>
      <c r="C4318" s="2784">
        <v>3863</v>
      </c>
      <c r="D4318" s="2784">
        <v>429796337.97895598</v>
      </c>
      <c r="E4318" s="2785">
        <v>22623417.341986898</v>
      </c>
      <c r="F4318" s="2786">
        <v>49.787588845836702</v>
      </c>
      <c r="G4318" s="2787">
        <v>1.8475376069141101</v>
      </c>
    </row>
    <row r="4319" spans="1:7" x14ac:dyDescent="0.25">
      <c r="A4319" s="11" t="s">
        <v>1088</v>
      </c>
      <c r="B4319" s="11" t="s">
        <v>1089</v>
      </c>
      <c r="C4319" s="2788">
        <v>179002</v>
      </c>
      <c r="D4319" s="2788">
        <v>30950217515.0116</v>
      </c>
      <c r="E4319" s="2789">
        <v>306420004.88404</v>
      </c>
      <c r="F4319" s="2790">
        <v>99.9334476166201</v>
      </c>
      <c r="G4319" s="2791">
        <v>2.1101164582126599E-2</v>
      </c>
    </row>
    <row r="4320" spans="1:7" x14ac:dyDescent="0.25">
      <c r="A4320" s="6" t="s">
        <v>1102</v>
      </c>
      <c r="B4320" s="6" t="s">
        <v>1103</v>
      </c>
      <c r="C4320" s="2784">
        <v>59</v>
      </c>
      <c r="D4320" s="2784">
        <v>11494322.4562115</v>
      </c>
      <c r="E4320" s="2785">
        <v>3167412.8295481498</v>
      </c>
      <c r="F4320" s="2786">
        <v>3.7113382822244197E-2</v>
      </c>
      <c r="G4320" s="2787">
        <v>1.0279432177898E-2</v>
      </c>
    </row>
    <row r="4321" spans="1:7" x14ac:dyDescent="0.25">
      <c r="A4321" s="11" t="s">
        <v>1084</v>
      </c>
      <c r="B4321" s="11" t="s">
        <v>1085</v>
      </c>
      <c r="C4321" s="2788">
        <v>52</v>
      </c>
      <c r="D4321" s="2788">
        <v>8572113.22913705</v>
      </c>
      <c r="E4321" s="2789">
        <v>3848977.9232341801</v>
      </c>
      <c r="F4321" s="2790">
        <v>2.7678022874385699E-2</v>
      </c>
      <c r="G4321" s="2791">
        <v>1.24893869406621E-2</v>
      </c>
    </row>
    <row r="4322" spans="1:7" x14ac:dyDescent="0.25">
      <c r="A4322" s="6" t="s">
        <v>1086</v>
      </c>
      <c r="B4322" s="6" t="s">
        <v>1147</v>
      </c>
      <c r="C4322" s="2784">
        <v>9</v>
      </c>
      <c r="D4322" s="2784">
        <v>545389.393003045</v>
      </c>
      <c r="E4322" s="2785">
        <v>247996.6645939</v>
      </c>
      <c r="F4322" s="2786">
        <v>1.76097768327137E-3</v>
      </c>
      <c r="G4322" s="2787">
        <v>8.0704477923965504E-4</v>
      </c>
    </row>
    <row r="4323" spans="1:7" x14ac:dyDescent="0.25">
      <c r="A4323" s="11" t="s">
        <v>6417</v>
      </c>
      <c r="B4323" s="11" t="s">
        <v>6418</v>
      </c>
      <c r="C4323" s="2788">
        <v>6589</v>
      </c>
      <c r="D4323" s="2788">
        <v>863259997.00404501</v>
      </c>
      <c r="E4323" s="2789">
        <v>37747222.997855701</v>
      </c>
      <c r="F4323" s="2790">
        <v>2.7117471081484701</v>
      </c>
      <c r="G4323" s="2791">
        <v>0.123649054991035</v>
      </c>
    </row>
    <row r="4324" spans="1:7" x14ac:dyDescent="0.25">
      <c r="A4324" s="6" t="s">
        <v>6417</v>
      </c>
      <c r="B4324" s="6" t="s">
        <v>6419</v>
      </c>
      <c r="C4324" s="2784">
        <v>185711</v>
      </c>
      <c r="D4324" s="2784">
        <v>31834089337.094002</v>
      </c>
      <c r="E4324" s="2785">
        <v>0</v>
      </c>
      <c r="F4324" s="2786">
        <v>100</v>
      </c>
      <c r="G4324" s="2787">
        <v>0</v>
      </c>
    </row>
    <row r="4325" spans="1:7" x14ac:dyDescent="0.25">
      <c r="A4325" s="3729" t="s">
        <v>857</v>
      </c>
      <c r="B4325" s="3730"/>
      <c r="C4325" s="3730"/>
      <c r="D4325" s="3730"/>
      <c r="E4325" s="3730"/>
      <c r="F4325" s="3730"/>
      <c r="G4325" s="3730"/>
    </row>
    <row r="4326" spans="1:7" x14ac:dyDescent="0.25">
      <c r="A4326" s="11" t="s">
        <v>1092</v>
      </c>
      <c r="B4326" s="11" t="s">
        <v>1180</v>
      </c>
      <c r="C4326" s="2796">
        <v>182400</v>
      </c>
      <c r="D4326" s="2796">
        <v>30699943736.4795</v>
      </c>
      <c r="E4326" s="2797">
        <v>283081249.72153699</v>
      </c>
      <c r="F4326" s="2798">
        <v>96.4373235602731</v>
      </c>
      <c r="G4326" s="2799">
        <v>0.16570316124276299</v>
      </c>
    </row>
    <row r="4327" spans="1:7" x14ac:dyDescent="0.25">
      <c r="A4327" s="6" t="s">
        <v>1090</v>
      </c>
      <c r="B4327" s="6" t="s">
        <v>1179</v>
      </c>
      <c r="C4327" s="2792">
        <v>3311</v>
      </c>
      <c r="D4327" s="2792">
        <v>1134145600.61426</v>
      </c>
      <c r="E4327" s="2793">
        <v>55747146.080349602</v>
      </c>
      <c r="F4327" s="2794">
        <v>3.5626764397269102</v>
      </c>
      <c r="G4327" s="2795">
        <v>0.16570316124276399</v>
      </c>
    </row>
    <row r="4328" spans="1:7" x14ac:dyDescent="0.25">
      <c r="A4328" s="11" t="s">
        <v>6417</v>
      </c>
      <c r="B4328" s="11" t="s">
        <v>6418</v>
      </c>
      <c r="C4328" s="2796">
        <v>185711</v>
      </c>
      <c r="D4328" s="2796">
        <v>31834089337.0938</v>
      </c>
      <c r="E4328" s="2797">
        <v>298177412.67110902</v>
      </c>
      <c r="F4328" s="2798">
        <v>100</v>
      </c>
      <c r="G4328" s="2799">
        <v>1.45362315675074E-14</v>
      </c>
    </row>
    <row r="4329" spans="1:7" x14ac:dyDescent="0.25">
      <c r="A4329" s="6" t="s">
        <v>6417</v>
      </c>
      <c r="B4329" s="6" t="s">
        <v>6419</v>
      </c>
      <c r="C4329" s="2792">
        <v>185711</v>
      </c>
      <c r="D4329" s="2792">
        <v>31834089337.0938</v>
      </c>
      <c r="E4329" s="2793">
        <v>0</v>
      </c>
      <c r="F4329" s="2794">
        <v>100</v>
      </c>
      <c r="G4329" s="2795">
        <v>0</v>
      </c>
    </row>
    <row r="4330" spans="1:7" x14ac:dyDescent="0.25">
      <c r="A4330" s="3729" t="s">
        <v>860</v>
      </c>
      <c r="B4330" s="3730"/>
      <c r="C4330" s="3730"/>
      <c r="D4330" s="3730"/>
      <c r="E4330" s="3730"/>
      <c r="F4330" s="3730"/>
      <c r="G4330" s="3730"/>
    </row>
    <row r="4331" spans="1:7" x14ac:dyDescent="0.25">
      <c r="A4331" s="11" t="s">
        <v>1094</v>
      </c>
      <c r="B4331" s="11" t="s">
        <v>6219</v>
      </c>
      <c r="C4331" s="2804">
        <v>86848</v>
      </c>
      <c r="D4331" s="2804">
        <v>15003178523.416599</v>
      </c>
      <c r="E4331" s="2805">
        <v>199136278.618368</v>
      </c>
      <c r="F4331" s="2806">
        <v>47.129905184472896</v>
      </c>
      <c r="G4331" s="2807">
        <v>0.71368318767967498</v>
      </c>
    </row>
    <row r="4332" spans="1:7" x14ac:dyDescent="0.25">
      <c r="A4332" s="6" t="s">
        <v>1096</v>
      </c>
      <c r="B4332" s="6" t="s">
        <v>6179</v>
      </c>
      <c r="C4332" s="2800">
        <v>38651</v>
      </c>
      <c r="D4332" s="2800">
        <v>5941791074.8227196</v>
      </c>
      <c r="E4332" s="2801">
        <v>186138097.16711</v>
      </c>
      <c r="F4332" s="2802">
        <v>18.6651148318517</v>
      </c>
      <c r="G4332" s="2803">
        <v>0.54599501451740995</v>
      </c>
    </row>
    <row r="4333" spans="1:7" x14ac:dyDescent="0.25">
      <c r="A4333" s="11" t="s">
        <v>1090</v>
      </c>
      <c r="B4333" s="11" t="s">
        <v>927</v>
      </c>
      <c r="C4333" s="2804">
        <v>21906</v>
      </c>
      <c r="D4333" s="2804">
        <v>4128024585.46104</v>
      </c>
      <c r="E4333" s="2805">
        <v>124632859.567432</v>
      </c>
      <c r="F4333" s="2806">
        <v>12.9674793250175</v>
      </c>
      <c r="G4333" s="2807">
        <v>0.332352970923529</v>
      </c>
    </row>
    <row r="4334" spans="1:7" x14ac:dyDescent="0.25">
      <c r="A4334" s="6" t="s">
        <v>1100</v>
      </c>
      <c r="B4334" s="6" t="s">
        <v>6180</v>
      </c>
      <c r="C4334" s="2800">
        <v>18197</v>
      </c>
      <c r="D4334" s="2800">
        <v>2281027100.9162402</v>
      </c>
      <c r="E4334" s="2801">
        <v>63533923.245229296</v>
      </c>
      <c r="F4334" s="2802">
        <v>7.16545436166109</v>
      </c>
      <c r="G4334" s="2803">
        <v>0.221029807343055</v>
      </c>
    </row>
    <row r="4335" spans="1:7" x14ac:dyDescent="0.25">
      <c r="A4335" s="11" t="s">
        <v>1098</v>
      </c>
      <c r="B4335" s="11" t="s">
        <v>4632</v>
      </c>
      <c r="C4335" s="2804">
        <v>10413</v>
      </c>
      <c r="D4335" s="2804">
        <v>2230127836.84936</v>
      </c>
      <c r="E4335" s="2805">
        <v>166115693.96555999</v>
      </c>
      <c r="F4335" s="2806">
        <v>7.0055630769118196</v>
      </c>
      <c r="G4335" s="2807">
        <v>0.49387989630608298</v>
      </c>
    </row>
    <row r="4336" spans="1:7" x14ac:dyDescent="0.25">
      <c r="A4336" s="6" t="s">
        <v>1125</v>
      </c>
      <c r="B4336" s="6" t="s">
        <v>6206</v>
      </c>
      <c r="C4336" s="2800">
        <v>1707</v>
      </c>
      <c r="D4336" s="2800">
        <v>664094446.11798596</v>
      </c>
      <c r="E4336" s="2801">
        <v>53379947.603471696</v>
      </c>
      <c r="F4336" s="2802">
        <v>2.08613849593441</v>
      </c>
      <c r="G4336" s="2803">
        <v>0.15988833560039101</v>
      </c>
    </row>
    <row r="4337" spans="1:7" x14ac:dyDescent="0.25">
      <c r="A4337" s="11" t="s">
        <v>1092</v>
      </c>
      <c r="B4337" s="11" t="s">
        <v>1107</v>
      </c>
      <c r="C4337" s="2804">
        <v>2593</v>
      </c>
      <c r="D4337" s="2804">
        <v>427724099.44239801</v>
      </c>
      <c r="E4337" s="2805">
        <v>25364963.176951598</v>
      </c>
      <c r="F4337" s="2806">
        <v>1.3436217012529199</v>
      </c>
      <c r="G4337" s="2807">
        <v>7.5523358141972294E-2</v>
      </c>
    </row>
    <row r="4338" spans="1:7" x14ac:dyDescent="0.25">
      <c r="A4338" s="6" t="s">
        <v>1135</v>
      </c>
      <c r="B4338" s="6" t="s">
        <v>6231</v>
      </c>
      <c r="C4338" s="2800">
        <v>773</v>
      </c>
      <c r="D4338" s="2800">
        <v>259048386.25503799</v>
      </c>
      <c r="E4338" s="2801">
        <v>12565597.7639056</v>
      </c>
      <c r="F4338" s="2802">
        <v>0.81375595600193795</v>
      </c>
      <c r="G4338" s="2803">
        <v>4.2075638992178498E-2</v>
      </c>
    </row>
    <row r="4339" spans="1:7" x14ac:dyDescent="0.25">
      <c r="A4339" s="11" t="s">
        <v>1123</v>
      </c>
      <c r="B4339" s="11" t="s">
        <v>6184</v>
      </c>
      <c r="C4339" s="2804">
        <v>684</v>
      </c>
      <c r="D4339" s="2804">
        <v>212837711.11262301</v>
      </c>
      <c r="E4339" s="2805">
        <v>24656886.6336785</v>
      </c>
      <c r="F4339" s="2806">
        <v>0.66859306704655697</v>
      </c>
      <c r="G4339" s="2807">
        <v>7.5528135302492E-2</v>
      </c>
    </row>
    <row r="4340" spans="1:7" x14ac:dyDescent="0.25">
      <c r="A4340" s="6" t="s">
        <v>1137</v>
      </c>
      <c r="B4340" s="6" t="s">
        <v>6232</v>
      </c>
      <c r="C4340" s="2800">
        <v>786</v>
      </c>
      <c r="D4340" s="2800">
        <v>170656177.254053</v>
      </c>
      <c r="E4340" s="2801">
        <v>27394288.188652199</v>
      </c>
      <c r="F4340" s="2802">
        <v>0.536087032529457</v>
      </c>
      <c r="G4340" s="2803">
        <v>8.3548355183084996E-2</v>
      </c>
    </row>
    <row r="4341" spans="1:7" x14ac:dyDescent="0.25">
      <c r="A4341" s="11" t="s">
        <v>1133</v>
      </c>
      <c r="B4341" s="11" t="s">
        <v>6189</v>
      </c>
      <c r="C4341" s="2804">
        <v>297</v>
      </c>
      <c r="D4341" s="2804">
        <v>88589610.788519695</v>
      </c>
      <c r="E4341" s="2805">
        <v>7809818.3598879799</v>
      </c>
      <c r="F4341" s="2806">
        <v>0.27828902724017501</v>
      </c>
      <c r="G4341" s="2807">
        <v>2.50705373283432E-2</v>
      </c>
    </row>
    <row r="4342" spans="1:7" x14ac:dyDescent="0.25">
      <c r="A4342" s="6" t="s">
        <v>1111</v>
      </c>
      <c r="B4342" s="6" t="s">
        <v>6211</v>
      </c>
      <c r="C4342" s="2800">
        <v>614</v>
      </c>
      <c r="D4342" s="2800">
        <v>87219981.093694001</v>
      </c>
      <c r="E4342" s="2801">
        <v>13315983.424137799</v>
      </c>
      <c r="F4342" s="2802">
        <v>0.27398657109368402</v>
      </c>
      <c r="G4342" s="2803">
        <v>4.1219589833006103E-2</v>
      </c>
    </row>
    <row r="4343" spans="1:7" x14ac:dyDescent="0.25">
      <c r="A4343" s="11" t="s">
        <v>1119</v>
      </c>
      <c r="B4343" s="11" t="s">
        <v>6182</v>
      </c>
      <c r="C4343" s="2804">
        <v>492</v>
      </c>
      <c r="D4343" s="2804">
        <v>83704147.586182207</v>
      </c>
      <c r="E4343" s="2805">
        <v>20198827.091702599</v>
      </c>
      <c r="F4343" s="2806">
        <v>0.26294218475949499</v>
      </c>
      <c r="G4343" s="2807">
        <v>6.2977889632695905E-2</v>
      </c>
    </row>
    <row r="4344" spans="1:7" x14ac:dyDescent="0.25">
      <c r="A4344" s="6" t="s">
        <v>1129</v>
      </c>
      <c r="B4344" s="6" t="s">
        <v>6187</v>
      </c>
      <c r="C4344" s="2800">
        <v>341</v>
      </c>
      <c r="D4344" s="2800">
        <v>78035341.490502194</v>
      </c>
      <c r="E4344" s="2801">
        <v>11112452.8431783</v>
      </c>
      <c r="F4344" s="2802">
        <v>0.245134605293479</v>
      </c>
      <c r="G4344" s="2803">
        <v>3.4338691338428901E-2</v>
      </c>
    </row>
    <row r="4345" spans="1:7" x14ac:dyDescent="0.25">
      <c r="A4345" s="11" t="s">
        <v>1141</v>
      </c>
      <c r="B4345" s="11" t="s">
        <v>6210</v>
      </c>
      <c r="C4345" s="2804">
        <v>437</v>
      </c>
      <c r="D4345" s="2804">
        <v>49934754.094984204</v>
      </c>
      <c r="E4345" s="2805">
        <v>7869595.2841192801</v>
      </c>
      <c r="F4345" s="2806">
        <v>0.15686144254255299</v>
      </c>
      <c r="G4345" s="2807">
        <v>2.4622490089366698E-2</v>
      </c>
    </row>
    <row r="4346" spans="1:7" x14ac:dyDescent="0.25">
      <c r="A4346" s="6" t="s">
        <v>1139</v>
      </c>
      <c r="B4346" s="6" t="s">
        <v>6192</v>
      </c>
      <c r="C4346" s="2800">
        <v>457</v>
      </c>
      <c r="D4346" s="2800">
        <v>44313791.241998002</v>
      </c>
      <c r="E4346" s="2801">
        <v>8105122.1605864903</v>
      </c>
      <c r="F4346" s="2802">
        <v>0.139204154395697</v>
      </c>
      <c r="G4346" s="2803">
        <v>2.5641471852171499E-2</v>
      </c>
    </row>
    <row r="4347" spans="1:7" x14ac:dyDescent="0.25">
      <c r="A4347" s="11" t="s">
        <v>1127</v>
      </c>
      <c r="B4347" s="11" t="s">
        <v>6230</v>
      </c>
      <c r="C4347" s="2804">
        <v>108</v>
      </c>
      <c r="D4347" s="2804">
        <v>35056481.667478703</v>
      </c>
      <c r="E4347" s="2805">
        <v>11697823.7137265</v>
      </c>
      <c r="F4347" s="2806">
        <v>0.110123908377865</v>
      </c>
      <c r="G4347" s="2807">
        <v>3.6898758431766501E-2</v>
      </c>
    </row>
    <row r="4348" spans="1:7" x14ac:dyDescent="0.25">
      <c r="A4348" s="6" t="s">
        <v>1295</v>
      </c>
      <c r="B4348" s="6" t="s">
        <v>6233</v>
      </c>
      <c r="C4348" s="2800">
        <v>75</v>
      </c>
      <c r="D4348" s="2800">
        <v>21749519.695958398</v>
      </c>
      <c r="E4348" s="2801">
        <v>5523833.41873693</v>
      </c>
      <c r="F4348" s="2802">
        <v>6.8322375787135001E-2</v>
      </c>
      <c r="G4348" s="2803">
        <v>1.7417566585793999E-2</v>
      </c>
    </row>
    <row r="4349" spans="1:7" x14ac:dyDescent="0.25">
      <c r="A4349" s="11" t="s">
        <v>1109</v>
      </c>
      <c r="B4349" s="11" t="s">
        <v>6202</v>
      </c>
      <c r="C4349" s="2804">
        <v>118</v>
      </c>
      <c r="D4349" s="2804">
        <v>11094979.966667401</v>
      </c>
      <c r="E4349" s="2805">
        <v>4319043.5094080502</v>
      </c>
      <c r="F4349" s="2806">
        <v>3.4852971524435498E-2</v>
      </c>
      <c r="G4349" s="2807">
        <v>1.34812979158147E-2</v>
      </c>
    </row>
    <row r="4350" spans="1:7" x14ac:dyDescent="0.25">
      <c r="A4350" s="6" t="s">
        <v>1121</v>
      </c>
      <c r="B4350" s="6" t="s">
        <v>6183</v>
      </c>
      <c r="C4350" s="2800">
        <v>179</v>
      </c>
      <c r="D4350" s="2800">
        <v>9055545.6727350205</v>
      </c>
      <c r="E4350" s="2801">
        <v>4135774.6043795198</v>
      </c>
      <c r="F4350" s="2802">
        <v>2.8446439418390299E-2</v>
      </c>
      <c r="G4350" s="2803">
        <v>1.2900001554168501E-2</v>
      </c>
    </row>
    <row r="4351" spans="1:7" x14ac:dyDescent="0.25">
      <c r="A4351" s="11" t="s">
        <v>1131</v>
      </c>
      <c r="B4351" s="11" t="s">
        <v>6188</v>
      </c>
      <c r="C4351" s="2804">
        <v>28</v>
      </c>
      <c r="D4351" s="2804">
        <v>6405980.75592124</v>
      </c>
      <c r="E4351" s="2805">
        <v>1758594.57161042</v>
      </c>
      <c r="F4351" s="2806">
        <v>2.01232868867691E-2</v>
      </c>
      <c r="G4351" s="2807">
        <v>5.45011887274904E-3</v>
      </c>
    </row>
    <row r="4352" spans="1:7" x14ac:dyDescent="0.25">
      <c r="A4352" s="6" t="s">
        <v>1084</v>
      </c>
      <c r="B4352" s="6" t="s">
        <v>1085</v>
      </c>
      <c r="C4352" s="2800">
        <v>6</v>
      </c>
      <c r="D4352" s="2800">
        <v>319153.331837993</v>
      </c>
      <c r="E4352" s="2801">
        <v>322470.37047982903</v>
      </c>
      <c r="F4352" s="2802">
        <v>76.122757461937198</v>
      </c>
      <c r="G4352" s="2803">
        <v>74.372953069676697</v>
      </c>
    </row>
    <row r="4353" spans="1:7" x14ac:dyDescent="0.25">
      <c r="A4353" s="11" t="s">
        <v>1102</v>
      </c>
      <c r="B4353" s="11" t="s">
        <v>1103</v>
      </c>
      <c r="C4353" s="2804">
        <v>1</v>
      </c>
      <c r="D4353" s="2804">
        <v>100108.05920866699</v>
      </c>
      <c r="E4353" s="2805">
        <v>99856.0720760064</v>
      </c>
      <c r="F4353" s="2806">
        <v>23.877242538062799</v>
      </c>
      <c r="G4353" s="2807">
        <v>74.372953069676697</v>
      </c>
    </row>
    <row r="4354" spans="1:7" x14ac:dyDescent="0.25">
      <c r="A4354" s="6" t="s">
        <v>6417</v>
      </c>
      <c r="B4354" s="6" t="s">
        <v>6418</v>
      </c>
      <c r="C4354" s="2800">
        <v>185704</v>
      </c>
      <c r="D4354" s="2800">
        <v>31833670075.702702</v>
      </c>
      <c r="E4354" s="2801">
        <v>298278503.35911298</v>
      </c>
      <c r="F4354" s="2802">
        <v>99.998682979787503</v>
      </c>
      <c r="G4354" s="2803">
        <v>1.0879165637575801E-3</v>
      </c>
    </row>
    <row r="4355" spans="1:7" x14ac:dyDescent="0.25">
      <c r="A4355" s="11" t="s">
        <v>6417</v>
      </c>
      <c r="B4355" s="11" t="s">
        <v>6419</v>
      </c>
      <c r="C4355" s="2804">
        <v>185711</v>
      </c>
      <c r="D4355" s="2804">
        <v>31834089337.0938</v>
      </c>
      <c r="E4355" s="2805">
        <v>0</v>
      </c>
      <c r="F4355" s="2806">
        <v>100</v>
      </c>
      <c r="G4355" s="2807">
        <v>0</v>
      </c>
    </row>
    <row r="4356" spans="1:7" x14ac:dyDescent="0.25">
      <c r="A4356" s="3729" t="s">
        <v>862</v>
      </c>
      <c r="B4356" s="3730"/>
      <c r="C4356" s="3730"/>
      <c r="D4356" s="3730"/>
      <c r="E4356" s="3730"/>
      <c r="F4356" s="3730"/>
      <c r="G4356" s="3730"/>
    </row>
    <row r="4357" spans="1:7" x14ac:dyDescent="0.25">
      <c r="A4357" s="11" t="s">
        <v>1094</v>
      </c>
      <c r="B4357" s="11" t="s">
        <v>6219</v>
      </c>
      <c r="C4357" s="2812">
        <v>105179</v>
      </c>
      <c r="D4357" s="2812">
        <v>18008633379.6479</v>
      </c>
      <c r="E4357" s="2813">
        <v>185746169.816847</v>
      </c>
      <c r="F4357" s="2814">
        <v>56.571024757190401</v>
      </c>
      <c r="G4357" s="2815">
        <v>0.56025166449951602</v>
      </c>
    </row>
    <row r="4358" spans="1:7" x14ac:dyDescent="0.25">
      <c r="A4358" s="6" t="s">
        <v>1096</v>
      </c>
      <c r="B4358" s="6" t="s">
        <v>6179</v>
      </c>
      <c r="C4358" s="2808">
        <v>26869</v>
      </c>
      <c r="D4358" s="2808">
        <v>4159361681.03298</v>
      </c>
      <c r="E4358" s="2809">
        <v>127825696.769033</v>
      </c>
      <c r="F4358" s="2810">
        <v>13.0659194216116</v>
      </c>
      <c r="G4358" s="2811">
        <v>0.40763493044813098</v>
      </c>
    </row>
    <row r="4359" spans="1:7" x14ac:dyDescent="0.25">
      <c r="A4359" s="11" t="s">
        <v>1090</v>
      </c>
      <c r="B4359" s="11" t="s">
        <v>927</v>
      </c>
      <c r="C4359" s="2812">
        <v>21906</v>
      </c>
      <c r="D4359" s="2812">
        <v>4128024585.46104</v>
      </c>
      <c r="E4359" s="2813">
        <v>124632859.567432</v>
      </c>
      <c r="F4359" s="2814">
        <v>12.967479325017701</v>
      </c>
      <c r="G4359" s="2815">
        <v>0.332352970923526</v>
      </c>
    </row>
    <row r="4360" spans="1:7" x14ac:dyDescent="0.25">
      <c r="A4360" s="6" t="s">
        <v>1100</v>
      </c>
      <c r="B4360" s="6" t="s">
        <v>6180</v>
      </c>
      <c r="C4360" s="2808">
        <v>15659</v>
      </c>
      <c r="D4360" s="2808">
        <v>1889843638.5647199</v>
      </c>
      <c r="E4360" s="2809">
        <v>48248288.245525897</v>
      </c>
      <c r="F4360" s="2810">
        <v>5.9366187878135301</v>
      </c>
      <c r="G4360" s="2811">
        <v>0.16135369516289899</v>
      </c>
    </row>
    <row r="4361" spans="1:7" x14ac:dyDescent="0.25">
      <c r="A4361" s="11" t="s">
        <v>1098</v>
      </c>
      <c r="B4361" s="11" t="s">
        <v>4632</v>
      </c>
      <c r="C4361" s="2812">
        <v>6491</v>
      </c>
      <c r="D4361" s="2812">
        <v>1406062355.6484301</v>
      </c>
      <c r="E4361" s="2813">
        <v>122094763.374193</v>
      </c>
      <c r="F4361" s="2814">
        <v>4.4169030850188804</v>
      </c>
      <c r="G4361" s="2815">
        <v>0.36523125848176102</v>
      </c>
    </row>
    <row r="4362" spans="1:7" x14ac:dyDescent="0.25">
      <c r="A4362" s="6" t="s">
        <v>1125</v>
      </c>
      <c r="B4362" s="6" t="s">
        <v>6206</v>
      </c>
      <c r="C4362" s="2808">
        <v>1707</v>
      </c>
      <c r="D4362" s="2808">
        <v>664094446.11798596</v>
      </c>
      <c r="E4362" s="2809">
        <v>53379947.603471696</v>
      </c>
      <c r="F4362" s="2810">
        <v>2.08613849593443</v>
      </c>
      <c r="G4362" s="2811">
        <v>0.159888335600396</v>
      </c>
    </row>
    <row r="4363" spans="1:7" x14ac:dyDescent="0.25">
      <c r="A4363" s="11" t="s">
        <v>1092</v>
      </c>
      <c r="B4363" s="11" t="s">
        <v>1107</v>
      </c>
      <c r="C4363" s="2812">
        <v>2593</v>
      </c>
      <c r="D4363" s="2812">
        <v>427724099.44239801</v>
      </c>
      <c r="E4363" s="2813">
        <v>25364963.176951598</v>
      </c>
      <c r="F4363" s="2814">
        <v>1.3436217012529299</v>
      </c>
      <c r="G4363" s="2815">
        <v>7.5523358141972696E-2</v>
      </c>
    </row>
    <row r="4364" spans="1:7" x14ac:dyDescent="0.25">
      <c r="A4364" s="6" t="s">
        <v>1135</v>
      </c>
      <c r="B4364" s="6" t="s">
        <v>6231</v>
      </c>
      <c r="C4364" s="2808">
        <v>773</v>
      </c>
      <c r="D4364" s="2808">
        <v>259048386.25503799</v>
      </c>
      <c r="E4364" s="2809">
        <v>12565597.7639056</v>
      </c>
      <c r="F4364" s="2810">
        <v>0.81375595600194595</v>
      </c>
      <c r="G4364" s="2811">
        <v>4.20756389921687E-2</v>
      </c>
    </row>
    <row r="4365" spans="1:7" x14ac:dyDescent="0.25">
      <c r="A4365" s="11" t="s">
        <v>1123</v>
      </c>
      <c r="B4365" s="11" t="s">
        <v>6184</v>
      </c>
      <c r="C4365" s="2812">
        <v>684</v>
      </c>
      <c r="D4365" s="2812">
        <v>212837711.11262301</v>
      </c>
      <c r="E4365" s="2813">
        <v>24656886.6336785</v>
      </c>
      <c r="F4365" s="2814">
        <v>0.66859306704656296</v>
      </c>
      <c r="G4365" s="2815">
        <v>7.5528135302489405E-2</v>
      </c>
    </row>
    <row r="4366" spans="1:7" x14ac:dyDescent="0.25">
      <c r="A4366" s="6" t="s">
        <v>1137</v>
      </c>
      <c r="B4366" s="6" t="s">
        <v>6232</v>
      </c>
      <c r="C4366" s="2808">
        <v>786</v>
      </c>
      <c r="D4366" s="2808">
        <v>170656177.254053</v>
      </c>
      <c r="E4366" s="2809">
        <v>27394288.188652199</v>
      </c>
      <c r="F4366" s="2810">
        <v>0.53608703252946199</v>
      </c>
      <c r="G4366" s="2811">
        <v>8.3548355183090395E-2</v>
      </c>
    </row>
    <row r="4367" spans="1:7" x14ac:dyDescent="0.25">
      <c r="A4367" s="11" t="s">
        <v>1133</v>
      </c>
      <c r="B4367" s="11" t="s">
        <v>6189</v>
      </c>
      <c r="C4367" s="2812">
        <v>297</v>
      </c>
      <c r="D4367" s="2812">
        <v>88589610.788519695</v>
      </c>
      <c r="E4367" s="2813">
        <v>7809818.3598879799</v>
      </c>
      <c r="F4367" s="2814">
        <v>0.27828902724017701</v>
      </c>
      <c r="G4367" s="2815">
        <v>2.5070537328342201E-2</v>
      </c>
    </row>
    <row r="4368" spans="1:7" x14ac:dyDescent="0.25">
      <c r="A4368" s="6" t="s">
        <v>1111</v>
      </c>
      <c r="B4368" s="6" t="s">
        <v>6211</v>
      </c>
      <c r="C4368" s="2808">
        <v>614</v>
      </c>
      <c r="D4368" s="2808">
        <v>87219981.093694001</v>
      </c>
      <c r="E4368" s="2809">
        <v>13315983.424137799</v>
      </c>
      <c r="F4368" s="2810">
        <v>0.27398657109368701</v>
      </c>
      <c r="G4368" s="2811">
        <v>4.1219589833006498E-2</v>
      </c>
    </row>
    <row r="4369" spans="1:7" x14ac:dyDescent="0.25">
      <c r="A4369" s="11" t="s">
        <v>1119</v>
      </c>
      <c r="B4369" s="11" t="s">
        <v>6182</v>
      </c>
      <c r="C4369" s="2812">
        <v>483</v>
      </c>
      <c r="D4369" s="2812">
        <v>82776037.923172593</v>
      </c>
      <c r="E4369" s="2813">
        <v>20151600.9498761</v>
      </c>
      <c r="F4369" s="2814">
        <v>0.26002668786327798</v>
      </c>
      <c r="G4369" s="2815">
        <v>6.2837993372153705E-2</v>
      </c>
    </row>
    <row r="4370" spans="1:7" x14ac:dyDescent="0.25">
      <c r="A4370" s="6" t="s">
        <v>1129</v>
      </c>
      <c r="B4370" s="6" t="s">
        <v>6187</v>
      </c>
      <c r="C4370" s="2808">
        <v>341</v>
      </c>
      <c r="D4370" s="2808">
        <v>78035341.490502194</v>
      </c>
      <c r="E4370" s="2809">
        <v>11112452.8431783</v>
      </c>
      <c r="F4370" s="2810">
        <v>0.24513460529348099</v>
      </c>
      <c r="G4370" s="2811">
        <v>3.4338691338428602E-2</v>
      </c>
    </row>
    <row r="4371" spans="1:7" x14ac:dyDescent="0.25">
      <c r="A4371" s="11" t="s">
        <v>1141</v>
      </c>
      <c r="B4371" s="11" t="s">
        <v>6210</v>
      </c>
      <c r="C4371" s="2812">
        <v>437</v>
      </c>
      <c r="D4371" s="2812">
        <v>49934754.094984204</v>
      </c>
      <c r="E4371" s="2813">
        <v>7869595.2841192801</v>
      </c>
      <c r="F4371" s="2814">
        <v>0.15686144254255399</v>
      </c>
      <c r="G4371" s="2815">
        <v>2.4622490089367E-2</v>
      </c>
    </row>
    <row r="4372" spans="1:7" x14ac:dyDescent="0.25">
      <c r="A4372" s="6" t="s">
        <v>1139</v>
      </c>
      <c r="B4372" s="6" t="s">
        <v>6192</v>
      </c>
      <c r="C4372" s="2808">
        <v>457</v>
      </c>
      <c r="D4372" s="2808">
        <v>44313791.241998002</v>
      </c>
      <c r="E4372" s="2809">
        <v>8105122.1605864903</v>
      </c>
      <c r="F4372" s="2810">
        <v>0.139204154395698</v>
      </c>
      <c r="G4372" s="2811">
        <v>2.56414718521717E-2</v>
      </c>
    </row>
    <row r="4373" spans="1:7" x14ac:dyDescent="0.25">
      <c r="A4373" s="11" t="s">
        <v>1127</v>
      </c>
      <c r="B4373" s="11" t="s">
        <v>6230</v>
      </c>
      <c r="C4373" s="2812">
        <v>108</v>
      </c>
      <c r="D4373" s="2812">
        <v>35056481.667478703</v>
      </c>
      <c r="E4373" s="2813">
        <v>11697823.7137265</v>
      </c>
      <c r="F4373" s="2814">
        <v>0.11012390837786599</v>
      </c>
      <c r="G4373" s="2815">
        <v>3.6898758431765898E-2</v>
      </c>
    </row>
    <row r="4374" spans="1:7" x14ac:dyDescent="0.25">
      <c r="A4374" s="6" t="s">
        <v>1295</v>
      </c>
      <c r="B4374" s="6" t="s">
        <v>6233</v>
      </c>
      <c r="C4374" s="2808">
        <v>75</v>
      </c>
      <c r="D4374" s="2808">
        <v>21749519.695958398</v>
      </c>
      <c r="E4374" s="2809">
        <v>5523833.41873693</v>
      </c>
      <c r="F4374" s="2810">
        <v>6.8322375787135695E-2</v>
      </c>
      <c r="G4374" s="2811">
        <v>1.7417566585793898E-2</v>
      </c>
    </row>
    <row r="4375" spans="1:7" x14ac:dyDescent="0.25">
      <c r="A4375" s="11" t="s">
        <v>1109</v>
      </c>
      <c r="B4375" s="11" t="s">
        <v>6202</v>
      </c>
      <c r="C4375" s="2812">
        <v>119</v>
      </c>
      <c r="D4375" s="2812">
        <v>11127245.2710861</v>
      </c>
      <c r="E4375" s="2813">
        <v>4310003.1248586504</v>
      </c>
      <c r="F4375" s="2814">
        <v>3.49543274294946E-2</v>
      </c>
      <c r="G4375" s="2815">
        <v>1.34532794241488E-2</v>
      </c>
    </row>
    <row r="4376" spans="1:7" x14ac:dyDescent="0.25">
      <c r="A4376" s="6" t="s">
        <v>1131</v>
      </c>
      <c r="B4376" s="6" t="s">
        <v>6188</v>
      </c>
      <c r="C4376" s="2808">
        <v>28</v>
      </c>
      <c r="D4376" s="2808">
        <v>6405980.75592124</v>
      </c>
      <c r="E4376" s="2809">
        <v>1758594.57161042</v>
      </c>
      <c r="F4376" s="2810">
        <v>2.0123286886769301E-2</v>
      </c>
      <c r="G4376" s="2811">
        <v>5.4501188727489403E-3</v>
      </c>
    </row>
    <row r="4377" spans="1:7" x14ac:dyDescent="0.25">
      <c r="A4377" s="11" t="s">
        <v>1121</v>
      </c>
      <c r="B4377" s="11" t="s">
        <v>6183</v>
      </c>
      <c r="C4377" s="2812">
        <v>98</v>
      </c>
      <c r="D4377" s="2812">
        <v>2174871.1418958101</v>
      </c>
      <c r="E4377" s="2813">
        <v>408607.56490858702</v>
      </c>
      <c r="F4377" s="2814">
        <v>6.8319836723941298E-3</v>
      </c>
      <c r="G4377" s="2815">
        <v>1.2910673214569801E-3</v>
      </c>
    </row>
    <row r="4378" spans="1:7" x14ac:dyDescent="0.25">
      <c r="A4378" s="6" t="s">
        <v>1084</v>
      </c>
      <c r="B4378" s="6" t="s">
        <v>1085</v>
      </c>
      <c r="C4378" s="2808">
        <v>6</v>
      </c>
      <c r="D4378" s="2808">
        <v>319153.331837993</v>
      </c>
      <c r="E4378" s="2809">
        <v>322470.37047982903</v>
      </c>
      <c r="F4378" s="2810">
        <v>76.122757461937198</v>
      </c>
      <c r="G4378" s="2811">
        <v>74.372953069676697</v>
      </c>
    </row>
    <row r="4379" spans="1:7" x14ac:dyDescent="0.25">
      <c r="A4379" s="11" t="s">
        <v>1102</v>
      </c>
      <c r="B4379" s="11"/>
      <c r="C4379" s="2812">
        <v>1</v>
      </c>
      <c r="D4379" s="2812">
        <v>100108.05920866699</v>
      </c>
      <c r="E4379" s="2813">
        <v>99856.0720760064</v>
      </c>
      <c r="F4379" s="2814">
        <v>23.877242538062799</v>
      </c>
      <c r="G4379" s="2815">
        <v>74.372953069676697</v>
      </c>
    </row>
    <row r="4380" spans="1:7" x14ac:dyDescent="0.25">
      <c r="A4380" s="6" t="s">
        <v>6417</v>
      </c>
      <c r="B4380" s="6" t="s">
        <v>6418</v>
      </c>
      <c r="C4380" s="2808">
        <v>185704</v>
      </c>
      <c r="D4380" s="2808">
        <v>31833670075.7024</v>
      </c>
      <c r="E4380" s="2809">
        <v>298278503.35913497</v>
      </c>
      <c r="F4380" s="2810">
        <v>99.998682979787503</v>
      </c>
      <c r="G4380" s="2811">
        <v>1.08791656376018E-3</v>
      </c>
    </row>
    <row r="4381" spans="1:7" x14ac:dyDescent="0.25">
      <c r="A4381" s="11" t="s">
        <v>6417</v>
      </c>
      <c r="B4381" s="11" t="s">
        <v>6419</v>
      </c>
      <c r="C4381" s="2812">
        <v>185711</v>
      </c>
      <c r="D4381" s="2812">
        <v>31834089337.093498</v>
      </c>
      <c r="E4381" s="2813">
        <v>0</v>
      </c>
      <c r="F4381" s="2814">
        <v>100</v>
      </c>
      <c r="G4381" s="2815">
        <v>0</v>
      </c>
    </row>
    <row r="4382" spans="1:7" x14ac:dyDescent="0.25">
      <c r="A4382" s="3729" t="s">
        <v>865</v>
      </c>
      <c r="B4382" s="3730"/>
      <c r="C4382" s="3730"/>
      <c r="D4382" s="3730"/>
      <c r="E4382" s="3730"/>
      <c r="F4382" s="3730"/>
      <c r="G4382" s="3730"/>
    </row>
    <row r="4383" spans="1:7" x14ac:dyDescent="0.25">
      <c r="A4383" s="11" t="s">
        <v>6540</v>
      </c>
      <c r="B4383" s="11"/>
      <c r="C4383" s="2820">
        <v>93</v>
      </c>
      <c r="D4383" s="2820">
        <v>23001913.036144301</v>
      </c>
      <c r="E4383" s="2821">
        <v>5576715.7702680305</v>
      </c>
      <c r="F4383" s="2822">
        <v>26.4384730424518</v>
      </c>
      <c r="G4383" s="2823">
        <v>6.5282457703690797</v>
      </c>
    </row>
    <row r="4384" spans="1:7" x14ac:dyDescent="0.25">
      <c r="A4384" s="6" t="s">
        <v>6512</v>
      </c>
      <c r="B4384" s="6"/>
      <c r="C4384" s="2816">
        <v>125</v>
      </c>
      <c r="D4384" s="2816">
        <v>21686244.985335</v>
      </c>
      <c r="E4384" s="2817">
        <v>5700061.4946935298</v>
      </c>
      <c r="F4384" s="2818">
        <v>24.926239940818899</v>
      </c>
      <c r="G4384" s="2819">
        <v>3.4373120487931099</v>
      </c>
    </row>
    <row r="4385" spans="1:7" x14ac:dyDescent="0.25">
      <c r="A4385" s="11" t="s">
        <v>6514</v>
      </c>
      <c r="B4385" s="11"/>
      <c r="C4385" s="2820">
        <v>114</v>
      </c>
      <c r="D4385" s="2820">
        <v>15582929.118874701</v>
      </c>
      <c r="E4385" s="2821">
        <v>6860224.2129991902</v>
      </c>
      <c r="F4385" s="2822">
        <v>17.911068996062198</v>
      </c>
      <c r="G4385" s="2823">
        <v>6.4126317032367597</v>
      </c>
    </row>
    <row r="4386" spans="1:7" x14ac:dyDescent="0.25">
      <c r="A4386" s="6" t="s">
        <v>6820</v>
      </c>
      <c r="B4386" s="6"/>
      <c r="C4386" s="2816">
        <v>68</v>
      </c>
      <c r="D4386" s="2816">
        <v>8487285.7360614203</v>
      </c>
      <c r="E4386" s="2817">
        <v>4135860.3492389</v>
      </c>
      <c r="F4386" s="2818">
        <v>9.7553136029966705</v>
      </c>
      <c r="G4386" s="2819">
        <v>5.0864037931463502</v>
      </c>
    </row>
    <row r="4387" spans="1:7" x14ac:dyDescent="0.25">
      <c r="A4387" s="11" t="s">
        <v>6821</v>
      </c>
      <c r="B4387" s="11"/>
      <c r="C4387" s="2820">
        <v>65</v>
      </c>
      <c r="D4387" s="2820">
        <v>4995930.5539006097</v>
      </c>
      <c r="E4387" s="2821">
        <v>2188956.7974737198</v>
      </c>
      <c r="F4387" s="2822">
        <v>5.7423386943385699</v>
      </c>
      <c r="G4387" s="2823">
        <v>2.6687308211571699</v>
      </c>
    </row>
    <row r="4388" spans="1:7" x14ac:dyDescent="0.25">
      <c r="A4388" s="6" t="s">
        <v>6639</v>
      </c>
      <c r="B4388" s="6"/>
      <c r="C4388" s="2816">
        <v>12</v>
      </c>
      <c r="D4388" s="2816">
        <v>2394053.7150360201</v>
      </c>
      <c r="E4388" s="2817">
        <v>1094314.0445380399</v>
      </c>
      <c r="F4388" s="2818">
        <v>2.7517330627109899</v>
      </c>
      <c r="G4388" s="2819">
        <v>1.19935268930019</v>
      </c>
    </row>
    <row r="4389" spans="1:7" x14ac:dyDescent="0.25">
      <c r="A4389" s="11" t="s">
        <v>6822</v>
      </c>
      <c r="B4389" s="11"/>
      <c r="C4389" s="2820">
        <v>16</v>
      </c>
      <c r="D4389" s="2820">
        <v>2199414.2443341701</v>
      </c>
      <c r="E4389" s="2821">
        <v>1093801.19346759</v>
      </c>
      <c r="F4389" s="2822">
        <v>2.5280138272255801</v>
      </c>
      <c r="G4389" s="2823">
        <v>1.09545321801922</v>
      </c>
    </row>
    <row r="4390" spans="1:7" x14ac:dyDescent="0.25">
      <c r="A4390" s="6" t="s">
        <v>6517</v>
      </c>
      <c r="B4390" s="6"/>
      <c r="C4390" s="2816">
        <v>35</v>
      </c>
      <c r="D4390" s="2816">
        <v>2165174.6498980802</v>
      </c>
      <c r="E4390" s="2817">
        <v>1365480.5515310401</v>
      </c>
      <c r="F4390" s="2818">
        <v>2.4886587269319498</v>
      </c>
      <c r="G4390" s="2819">
        <v>1.4586543993755801</v>
      </c>
    </row>
    <row r="4391" spans="1:7" x14ac:dyDescent="0.25">
      <c r="A4391" s="11" t="s">
        <v>6520</v>
      </c>
      <c r="B4391" s="11"/>
      <c r="C4391" s="2820">
        <v>10</v>
      </c>
      <c r="D4391" s="2820">
        <v>1998101.2901296101</v>
      </c>
      <c r="E4391" s="2821">
        <v>1453663.36947272</v>
      </c>
      <c r="F4391" s="2822">
        <v>2.2966240682750998</v>
      </c>
      <c r="G4391" s="2823">
        <v>1.76570056046027</v>
      </c>
    </row>
    <row r="4392" spans="1:7" x14ac:dyDescent="0.25">
      <c r="A4392" s="6" t="s">
        <v>6513</v>
      </c>
      <c r="B4392" s="6"/>
      <c r="C4392" s="2816">
        <v>5</v>
      </c>
      <c r="D4392" s="2816">
        <v>1806837.47108972</v>
      </c>
      <c r="E4392" s="2817">
        <v>1240034.8700166401</v>
      </c>
      <c r="F4392" s="2818">
        <v>2.076784817699</v>
      </c>
      <c r="G4392" s="2819">
        <v>1.3384547858202001</v>
      </c>
    </row>
    <row r="4393" spans="1:7" x14ac:dyDescent="0.25">
      <c r="A4393" s="11" t="s">
        <v>6823</v>
      </c>
      <c r="B4393" s="11"/>
      <c r="C4393" s="2820">
        <v>34</v>
      </c>
      <c r="D4393" s="2820">
        <v>1626215.0652111899</v>
      </c>
      <c r="E4393" s="2821">
        <v>720465.45690532902</v>
      </c>
      <c r="F4393" s="2822">
        <v>1.8691768417372401</v>
      </c>
      <c r="G4393" s="2823">
        <v>0.94868386464912602</v>
      </c>
    </row>
    <row r="4394" spans="1:7" x14ac:dyDescent="0.25">
      <c r="A4394" s="6" t="s">
        <v>6824</v>
      </c>
      <c r="B4394" s="6"/>
      <c r="C4394" s="2816">
        <v>8</v>
      </c>
      <c r="D4394" s="2816">
        <v>546769.71306231397</v>
      </c>
      <c r="E4394" s="2817">
        <v>294757.88079995499</v>
      </c>
      <c r="F4394" s="2818">
        <v>0.62845887194303496</v>
      </c>
      <c r="G4394" s="2819">
        <v>0.34602324783393001</v>
      </c>
    </row>
    <row r="4395" spans="1:7" x14ac:dyDescent="0.25">
      <c r="A4395" s="11" t="s">
        <v>6825</v>
      </c>
      <c r="B4395" s="11"/>
      <c r="C4395" s="2820">
        <v>8</v>
      </c>
      <c r="D4395" s="2820">
        <v>182009.99977008699</v>
      </c>
      <c r="E4395" s="2821">
        <v>181862.040412306</v>
      </c>
      <c r="F4395" s="2822">
        <v>0.209202880856762</v>
      </c>
      <c r="G4395" s="2823">
        <v>0.21121170365457001</v>
      </c>
    </row>
    <row r="4396" spans="1:7" x14ac:dyDescent="0.25">
      <c r="A4396" s="6" t="s">
        <v>6826</v>
      </c>
      <c r="B4396" s="6"/>
      <c r="C4396" s="2816">
        <v>5</v>
      </c>
      <c r="D4396" s="2816">
        <v>153201.516434319</v>
      </c>
      <c r="E4396" s="2817">
        <v>152940.37252422399</v>
      </c>
      <c r="F4396" s="2818">
        <v>0.17609031718130599</v>
      </c>
      <c r="G4396" s="2819">
        <v>0.17463964868711901</v>
      </c>
    </row>
    <row r="4397" spans="1:7" x14ac:dyDescent="0.25">
      <c r="A4397" s="11" t="s">
        <v>6827</v>
      </c>
      <c r="B4397" s="11"/>
      <c r="C4397" s="2820">
        <v>8</v>
      </c>
      <c r="D4397" s="2820">
        <v>135495.25007285201</v>
      </c>
      <c r="E4397" s="2821">
        <v>137684.58153796699</v>
      </c>
      <c r="F4397" s="2822">
        <v>0.15573867750922701</v>
      </c>
      <c r="G4397" s="2823">
        <v>0.160690470302814</v>
      </c>
    </row>
    <row r="4398" spans="1:7" x14ac:dyDescent="0.25">
      <c r="A4398" s="6" t="s">
        <v>6828</v>
      </c>
      <c r="B4398" s="6"/>
      <c r="C4398" s="2816">
        <v>2</v>
      </c>
      <c r="D4398" s="2816">
        <v>40093.5287362952</v>
      </c>
      <c r="E4398" s="2817">
        <v>40671.713108015501</v>
      </c>
      <c r="F4398" s="2818">
        <v>4.60836312616974E-2</v>
      </c>
      <c r="G4398" s="2819">
        <v>4.7824553297617499E-2</v>
      </c>
    </row>
    <row r="4399" spans="1:7" x14ac:dyDescent="0.25">
      <c r="A4399" s="11" t="s">
        <v>1088</v>
      </c>
      <c r="B4399" s="11" t="s">
        <v>1089</v>
      </c>
      <c r="C4399" s="2820">
        <v>185097</v>
      </c>
      <c r="D4399" s="2820">
        <v>31746869356.000301</v>
      </c>
      <c r="E4399" s="2821">
        <v>295296019.38564801</v>
      </c>
      <c r="F4399" s="2822">
        <v>99.9993123425308</v>
      </c>
      <c r="G4399" s="2823">
        <v>4.8801429419359802E-4</v>
      </c>
    </row>
    <row r="4400" spans="1:7" x14ac:dyDescent="0.25">
      <c r="A4400" s="6" t="s">
        <v>1102</v>
      </c>
      <c r="B4400" s="6" t="s">
        <v>1103</v>
      </c>
      <c r="C4400" s="2816">
        <v>2</v>
      </c>
      <c r="D4400" s="2816">
        <v>218311.21960347399</v>
      </c>
      <c r="E4400" s="2817">
        <v>155060.3697025</v>
      </c>
      <c r="F4400" s="2818">
        <v>6.8765746922004698E-4</v>
      </c>
      <c r="G4400" s="2819">
        <v>4.8801429418969002E-4</v>
      </c>
    </row>
    <row r="4401" spans="1:7" x14ac:dyDescent="0.25">
      <c r="A4401" s="11" t="s">
        <v>6417</v>
      </c>
      <c r="B4401" s="11" t="s">
        <v>6418</v>
      </c>
      <c r="C4401" s="2820">
        <v>608</v>
      </c>
      <c r="D4401" s="2820">
        <v>87001669.874090701</v>
      </c>
      <c r="E4401" s="2821">
        <v>13272128.748087499</v>
      </c>
      <c r="F4401" s="2822">
        <v>0.27329718451444401</v>
      </c>
      <c r="G4401" s="2823">
        <v>4.1082448150404398E-2</v>
      </c>
    </row>
    <row r="4402" spans="1:7" x14ac:dyDescent="0.25">
      <c r="A4402" s="6" t="s">
        <v>6417</v>
      </c>
      <c r="B4402" s="6" t="s">
        <v>6419</v>
      </c>
      <c r="C4402" s="2816">
        <v>185707</v>
      </c>
      <c r="D4402" s="2816">
        <v>31834089337.093899</v>
      </c>
      <c r="E4402" s="2817">
        <v>0</v>
      </c>
      <c r="F4402" s="2818">
        <v>100</v>
      </c>
      <c r="G4402" s="2819">
        <v>0</v>
      </c>
    </row>
    <row r="4403" spans="1:7" x14ac:dyDescent="0.25">
      <c r="A4403" s="3729" t="s">
        <v>847</v>
      </c>
      <c r="B4403" s="3730"/>
      <c r="C4403" s="3730"/>
      <c r="D4403" s="3730"/>
      <c r="E4403" s="3730"/>
      <c r="F4403" s="3730"/>
      <c r="G4403" s="3730"/>
    </row>
    <row r="4404" spans="1:7" x14ac:dyDescent="0.25">
      <c r="A4404" s="11" t="s">
        <v>1292</v>
      </c>
      <c r="B4404" s="11"/>
      <c r="C4404" s="2828">
        <v>94273</v>
      </c>
      <c r="D4404" s="2828">
        <v>16138817265.8487</v>
      </c>
      <c r="E4404" s="2829">
        <v>277623518.19856501</v>
      </c>
      <c r="F4404" s="2830">
        <v>50.696810725590801</v>
      </c>
      <c r="G4404" s="2831">
        <v>0.67472798573192605</v>
      </c>
    </row>
    <row r="4405" spans="1:7" x14ac:dyDescent="0.25">
      <c r="A4405" s="6" t="s">
        <v>1090</v>
      </c>
      <c r="B4405" s="6"/>
      <c r="C4405" s="2824">
        <v>55100</v>
      </c>
      <c r="D4405" s="2824">
        <v>8531685085.9905996</v>
      </c>
      <c r="E4405" s="2825">
        <v>123684995.88139699</v>
      </c>
      <c r="F4405" s="2826">
        <v>26.800552782147498</v>
      </c>
      <c r="G4405" s="2827">
        <v>0.354774122601759</v>
      </c>
    </row>
    <row r="4406" spans="1:7" x14ac:dyDescent="0.25">
      <c r="A4406" s="11" t="s">
        <v>1092</v>
      </c>
      <c r="B4406" s="11"/>
      <c r="C4406" s="2828">
        <v>19464</v>
      </c>
      <c r="D4406" s="2828">
        <v>3897385837.4623699</v>
      </c>
      <c r="E4406" s="2829">
        <v>106433027.86073001</v>
      </c>
      <c r="F4406" s="2830">
        <v>12.2428446193847</v>
      </c>
      <c r="G4406" s="2831">
        <v>0.28255184788490101</v>
      </c>
    </row>
    <row r="4407" spans="1:7" x14ac:dyDescent="0.25">
      <c r="A4407" s="6" t="s">
        <v>1094</v>
      </c>
      <c r="B4407" s="6"/>
      <c r="C4407" s="2824">
        <v>10325</v>
      </c>
      <c r="D4407" s="2824">
        <v>1896669000.5780399</v>
      </c>
      <c r="E4407" s="2825">
        <v>105694048.76732101</v>
      </c>
      <c r="F4407" s="2826">
        <v>5.9579997559594302</v>
      </c>
      <c r="G4407" s="2827">
        <v>0.336537101752236</v>
      </c>
    </row>
    <row r="4408" spans="1:7" x14ac:dyDescent="0.25">
      <c r="A4408" s="11" t="s">
        <v>1096</v>
      </c>
      <c r="B4408" s="11"/>
      <c r="C4408" s="2828">
        <v>4002</v>
      </c>
      <c r="D4408" s="2828">
        <v>879276955.81582606</v>
      </c>
      <c r="E4408" s="2829">
        <v>88299709.128595099</v>
      </c>
      <c r="F4408" s="2830">
        <v>2.7620696529414799</v>
      </c>
      <c r="G4408" s="2831">
        <v>0.26638034490151302</v>
      </c>
    </row>
    <row r="4409" spans="1:7" x14ac:dyDescent="0.25">
      <c r="A4409" s="6" t="s">
        <v>1098</v>
      </c>
      <c r="B4409" s="6"/>
      <c r="C4409" s="2824">
        <v>1328</v>
      </c>
      <c r="D4409" s="2824">
        <v>185221444.55019501</v>
      </c>
      <c r="E4409" s="2825">
        <v>29488671.435900498</v>
      </c>
      <c r="F4409" s="2826">
        <v>0.58183548162182697</v>
      </c>
      <c r="G4409" s="2827">
        <v>9.4522674886510297E-2</v>
      </c>
    </row>
    <row r="4410" spans="1:7" x14ac:dyDescent="0.25">
      <c r="A4410" s="11" t="s">
        <v>1100</v>
      </c>
      <c r="B4410" s="11"/>
      <c r="C4410" s="2828">
        <v>566</v>
      </c>
      <c r="D4410" s="2828">
        <v>135478697.68931901</v>
      </c>
      <c r="E4410" s="2829">
        <v>27975791.112608898</v>
      </c>
      <c r="F4410" s="2830">
        <v>0.42557876336074502</v>
      </c>
      <c r="G4410" s="2831">
        <v>9.0174281693645303E-2</v>
      </c>
    </row>
    <row r="4411" spans="1:7" x14ac:dyDescent="0.25">
      <c r="A4411" s="6" t="s">
        <v>1109</v>
      </c>
      <c r="B4411" s="6"/>
      <c r="C4411" s="2824">
        <v>239</v>
      </c>
      <c r="D4411" s="2824">
        <v>62198020.3090818</v>
      </c>
      <c r="E4411" s="2825">
        <v>25448196.994162399</v>
      </c>
      <c r="F4411" s="2826">
        <v>0.19538242556277899</v>
      </c>
      <c r="G4411" s="2827">
        <v>7.9891443205446402E-2</v>
      </c>
    </row>
    <row r="4412" spans="1:7" x14ac:dyDescent="0.25">
      <c r="A4412" s="11" t="s">
        <v>1121</v>
      </c>
      <c r="B4412" s="11"/>
      <c r="C4412" s="2828">
        <v>75</v>
      </c>
      <c r="D4412" s="2828">
        <v>33914023.837693602</v>
      </c>
      <c r="E4412" s="2829">
        <v>31476622.9433969</v>
      </c>
      <c r="F4412" s="2830">
        <v>0.106534005504914</v>
      </c>
      <c r="G4412" s="2831">
        <v>9.8936612596729298E-2</v>
      </c>
    </row>
    <row r="4413" spans="1:7" x14ac:dyDescent="0.25">
      <c r="A4413" s="6" t="s">
        <v>1119</v>
      </c>
      <c r="B4413" s="6"/>
      <c r="C4413" s="2824">
        <v>95</v>
      </c>
      <c r="D4413" s="2824">
        <v>18432649.645960599</v>
      </c>
      <c r="E4413" s="2825">
        <v>6392380.1809511799</v>
      </c>
      <c r="F4413" s="2826">
        <v>5.7902418428755299E-2</v>
      </c>
      <c r="G4413" s="2827">
        <v>2.0119965176163799E-2</v>
      </c>
    </row>
    <row r="4414" spans="1:7" x14ac:dyDescent="0.25">
      <c r="A4414" s="11" t="s">
        <v>1123</v>
      </c>
      <c r="B4414" s="11"/>
      <c r="C4414" s="2828">
        <v>45</v>
      </c>
      <c r="D4414" s="2828">
        <v>14416701.989283299</v>
      </c>
      <c r="E4414" s="2829">
        <v>5852692.9632969899</v>
      </c>
      <c r="F4414" s="2830">
        <v>4.5287135977712299E-2</v>
      </c>
      <c r="G4414" s="2831">
        <v>1.8311745090538602E-2</v>
      </c>
    </row>
    <row r="4415" spans="1:7" x14ac:dyDescent="0.25">
      <c r="A4415" s="6" t="s">
        <v>1133</v>
      </c>
      <c r="B4415" s="6"/>
      <c r="C4415" s="2824">
        <v>29</v>
      </c>
      <c r="D4415" s="2824">
        <v>7457696.0680263601</v>
      </c>
      <c r="E4415" s="2825">
        <v>2170626.32342041</v>
      </c>
      <c r="F4415" s="2826">
        <v>2.3426834803425899E-2</v>
      </c>
      <c r="G4415" s="2827">
        <v>6.7018130410296303E-3</v>
      </c>
    </row>
    <row r="4416" spans="1:7" x14ac:dyDescent="0.25">
      <c r="A4416" s="11" t="s">
        <v>1299</v>
      </c>
      <c r="B4416" s="11"/>
      <c r="C4416" s="2828">
        <v>13</v>
      </c>
      <c r="D4416" s="2828">
        <v>5710465.7636201503</v>
      </c>
      <c r="E4416" s="2829">
        <v>3821126.7426177398</v>
      </c>
      <c r="F4416" s="2830">
        <v>1.7938266305662399E-2</v>
      </c>
      <c r="G4416" s="2831">
        <v>1.2020163968546001E-2</v>
      </c>
    </row>
    <row r="4417" spans="1:7" x14ac:dyDescent="0.25">
      <c r="A4417" s="6" t="s">
        <v>1127</v>
      </c>
      <c r="B4417" s="6"/>
      <c r="C4417" s="2824">
        <v>22</v>
      </c>
      <c r="D4417" s="2824">
        <v>3837881.24890773</v>
      </c>
      <c r="E4417" s="2825">
        <v>1550378.65020513</v>
      </c>
      <c r="F4417" s="2826">
        <v>1.2055923061654299E-2</v>
      </c>
      <c r="G4417" s="2827">
        <v>4.91684771659539E-3</v>
      </c>
    </row>
    <row r="4418" spans="1:7" x14ac:dyDescent="0.25">
      <c r="A4418" s="11" t="s">
        <v>1125</v>
      </c>
      <c r="B4418" s="11"/>
      <c r="C4418" s="2828">
        <v>8</v>
      </c>
      <c r="D4418" s="2828">
        <v>3817099.2419293802</v>
      </c>
      <c r="E4418" s="2829">
        <v>2721461.3048143601</v>
      </c>
      <c r="F4418" s="2830">
        <v>1.1990640615182201E-2</v>
      </c>
      <c r="G4418" s="2831">
        <v>8.5375025881229607E-3</v>
      </c>
    </row>
    <row r="4419" spans="1:7" x14ac:dyDescent="0.25">
      <c r="A4419" s="6" t="s">
        <v>1295</v>
      </c>
      <c r="B4419" s="6"/>
      <c r="C4419" s="2824">
        <v>10</v>
      </c>
      <c r="D4419" s="2824">
        <v>3053177.2262202902</v>
      </c>
      <c r="E4419" s="2825">
        <v>1757957.66381436</v>
      </c>
      <c r="F4419" s="2826">
        <v>9.5909350356743403E-3</v>
      </c>
      <c r="G4419" s="2827">
        <v>5.5352997039555098E-3</v>
      </c>
    </row>
    <row r="4420" spans="1:7" x14ac:dyDescent="0.25">
      <c r="A4420" s="11" t="s">
        <v>3187</v>
      </c>
      <c r="B4420" s="11"/>
      <c r="C4420" s="2828">
        <v>9</v>
      </c>
      <c r="D4420" s="2828">
        <v>2335409.4653923898</v>
      </c>
      <c r="E4420" s="2829">
        <v>2209271.4251585598</v>
      </c>
      <c r="F4420" s="2830">
        <v>7.3362136570126902E-3</v>
      </c>
      <c r="G4420" s="2831">
        <v>6.93837263226203E-3</v>
      </c>
    </row>
    <row r="4421" spans="1:7" x14ac:dyDescent="0.25">
      <c r="A4421" s="6" t="s">
        <v>1297</v>
      </c>
      <c r="B4421" s="6"/>
      <c r="C4421" s="2824">
        <v>16</v>
      </c>
      <c r="D4421" s="2824">
        <v>1994937.0277923299</v>
      </c>
      <c r="E4421" s="2825">
        <v>861218.02975428</v>
      </c>
      <c r="F4421" s="2826">
        <v>6.26668876916253E-3</v>
      </c>
      <c r="G4421" s="2827">
        <v>2.6700702795626201E-3</v>
      </c>
    </row>
    <row r="4422" spans="1:7" x14ac:dyDescent="0.25">
      <c r="A4422" s="11" t="s">
        <v>3209</v>
      </c>
      <c r="B4422" s="11"/>
      <c r="C4422" s="2828">
        <v>3</v>
      </c>
      <c r="D4422" s="2828">
        <v>1430869.76297549</v>
      </c>
      <c r="E4422" s="2829">
        <v>1445931.18486699</v>
      </c>
      <c r="F4422" s="2830">
        <v>4.4947862257565903E-3</v>
      </c>
      <c r="G4422" s="2831">
        <v>4.5327263501086703E-3</v>
      </c>
    </row>
    <row r="4423" spans="1:7" x14ac:dyDescent="0.25">
      <c r="A4423" s="6" t="s">
        <v>3180</v>
      </c>
      <c r="B4423" s="6"/>
      <c r="C4423" s="2824">
        <v>2</v>
      </c>
      <c r="D4423" s="2824">
        <v>1183792.82768769</v>
      </c>
      <c r="E4423" s="2825">
        <v>1184337.01052319</v>
      </c>
      <c r="F4423" s="2826">
        <v>3.71864430552736E-3</v>
      </c>
      <c r="G4423" s="2827">
        <v>3.7160322664685401E-3</v>
      </c>
    </row>
    <row r="4424" spans="1:7" x14ac:dyDescent="0.25">
      <c r="A4424" s="11" t="s">
        <v>1307</v>
      </c>
      <c r="B4424" s="11"/>
      <c r="C4424" s="2828">
        <v>2</v>
      </c>
      <c r="D4424" s="2828">
        <v>969616.85267920594</v>
      </c>
      <c r="E4424" s="2829">
        <v>980830.19459135097</v>
      </c>
      <c r="F4424" s="2830">
        <v>3.0458540577592802E-3</v>
      </c>
      <c r="G4424" s="2831">
        <v>3.0794851268931599E-3</v>
      </c>
    </row>
    <row r="4425" spans="1:7" x14ac:dyDescent="0.25">
      <c r="A4425" s="6" t="s">
        <v>3201</v>
      </c>
      <c r="B4425" s="6"/>
      <c r="C4425" s="2824">
        <v>2</v>
      </c>
      <c r="D4425" s="2824">
        <v>875594.080641996</v>
      </c>
      <c r="E4425" s="2825">
        <v>695063.01766445104</v>
      </c>
      <c r="F4425" s="2826">
        <v>2.7505006499260699E-3</v>
      </c>
      <c r="G4425" s="2827">
        <v>2.1846138532095301E-3</v>
      </c>
    </row>
    <row r="4426" spans="1:7" x14ac:dyDescent="0.25">
      <c r="A4426" s="11" t="s">
        <v>3361</v>
      </c>
      <c r="B4426" s="11"/>
      <c r="C4426" s="2828">
        <v>10</v>
      </c>
      <c r="D4426" s="2828">
        <v>871406.57551571005</v>
      </c>
      <c r="E4426" s="2829">
        <v>612886.53974045103</v>
      </c>
      <c r="F4426" s="2830">
        <v>2.7373464545905201E-3</v>
      </c>
      <c r="G4426" s="2831">
        <v>1.9255987832369199E-3</v>
      </c>
    </row>
    <row r="4427" spans="1:7" x14ac:dyDescent="0.25">
      <c r="A4427" s="6" t="s">
        <v>1301</v>
      </c>
      <c r="B4427" s="6"/>
      <c r="C4427" s="2824">
        <v>11</v>
      </c>
      <c r="D4427" s="2824">
        <v>802868.88454567897</v>
      </c>
      <c r="E4427" s="2825">
        <v>481475.18947660102</v>
      </c>
      <c r="F4427" s="2826">
        <v>2.52204924355949E-3</v>
      </c>
      <c r="G4427" s="2827">
        <v>1.5055978891843299E-3</v>
      </c>
    </row>
    <row r="4428" spans="1:7" x14ac:dyDescent="0.25">
      <c r="A4428" s="11" t="s">
        <v>3178</v>
      </c>
      <c r="B4428" s="11"/>
      <c r="C4428" s="2828">
        <v>1</v>
      </c>
      <c r="D4428" s="2828">
        <v>780481.97389645898</v>
      </c>
      <c r="E4428" s="2829">
        <v>797876.27585943602</v>
      </c>
      <c r="F4428" s="2830">
        <v>2.4517253187502099E-3</v>
      </c>
      <c r="G4428" s="2831">
        <v>2.50101865830148E-3</v>
      </c>
    </row>
    <row r="4429" spans="1:7" x14ac:dyDescent="0.25">
      <c r="A4429" s="6" t="s">
        <v>3172</v>
      </c>
      <c r="B4429" s="6"/>
      <c r="C4429" s="2824">
        <v>6</v>
      </c>
      <c r="D4429" s="2824">
        <v>670505.63453146606</v>
      </c>
      <c r="E4429" s="2825">
        <v>347759.22625225602</v>
      </c>
      <c r="F4429" s="2826">
        <v>2.1062570251796199E-3</v>
      </c>
      <c r="G4429" s="2827">
        <v>1.08679223917935E-3</v>
      </c>
    </row>
    <row r="4430" spans="1:7" x14ac:dyDescent="0.25">
      <c r="A4430" s="11" t="s">
        <v>3236</v>
      </c>
      <c r="B4430" s="11"/>
      <c r="C4430" s="2828">
        <v>1</v>
      </c>
      <c r="D4430" s="2828">
        <v>628997.26185607805</v>
      </c>
      <c r="E4430" s="2829">
        <v>635315.05456255504</v>
      </c>
      <c r="F4430" s="2830">
        <v>1.9758669179996799E-3</v>
      </c>
      <c r="G4430" s="2831">
        <v>1.9945999751950802E-3</v>
      </c>
    </row>
    <row r="4431" spans="1:7" x14ac:dyDescent="0.25">
      <c r="A4431" s="6" t="s">
        <v>3479</v>
      </c>
      <c r="B4431" s="6"/>
      <c r="C4431" s="2824">
        <v>1</v>
      </c>
      <c r="D4431" s="2824">
        <v>628997.26185607805</v>
      </c>
      <c r="E4431" s="2825">
        <v>635315.05456255504</v>
      </c>
      <c r="F4431" s="2826">
        <v>1.9758669179996799E-3</v>
      </c>
      <c r="G4431" s="2827">
        <v>1.9945999751950802E-3</v>
      </c>
    </row>
    <row r="4432" spans="1:7" x14ac:dyDescent="0.25">
      <c r="A4432" s="11" t="s">
        <v>3176</v>
      </c>
      <c r="B4432" s="11"/>
      <c r="C4432" s="2828">
        <v>11</v>
      </c>
      <c r="D4432" s="2828">
        <v>598092.27260506002</v>
      </c>
      <c r="E4432" s="2829">
        <v>403362.068584322</v>
      </c>
      <c r="F4432" s="2830">
        <v>1.87878518240987E-3</v>
      </c>
      <c r="G4432" s="2831">
        <v>1.2680491195576E-3</v>
      </c>
    </row>
    <row r="4433" spans="1:7" x14ac:dyDescent="0.25">
      <c r="A4433" s="6" t="s">
        <v>1141</v>
      </c>
      <c r="B4433" s="6"/>
      <c r="C4433" s="2824">
        <v>1</v>
      </c>
      <c r="D4433" s="2824">
        <v>413616.08129506098</v>
      </c>
      <c r="E4433" s="2825">
        <v>419204.221385082</v>
      </c>
      <c r="F4433" s="2826">
        <v>1.2992907622077601E-3</v>
      </c>
      <c r="G4433" s="2827">
        <v>1.31582312420758E-3</v>
      </c>
    </row>
    <row r="4434" spans="1:7" x14ac:dyDescent="0.25">
      <c r="A4434" s="11" t="s">
        <v>1197</v>
      </c>
      <c r="B4434" s="11"/>
      <c r="C4434" s="2828">
        <v>1</v>
      </c>
      <c r="D4434" s="2828">
        <v>358202.26236728003</v>
      </c>
      <c r="E4434" s="2829">
        <v>363503.31265898002</v>
      </c>
      <c r="F4434" s="2830">
        <v>1.1252195249239301E-3</v>
      </c>
      <c r="G4434" s="2831">
        <v>1.1412926627874301E-3</v>
      </c>
    </row>
    <row r="4435" spans="1:7" x14ac:dyDescent="0.25">
      <c r="A4435" s="6" t="s">
        <v>3191</v>
      </c>
      <c r="B4435" s="6"/>
      <c r="C4435" s="2824">
        <v>2</v>
      </c>
      <c r="D4435" s="2824">
        <v>328369.72320944199</v>
      </c>
      <c r="E4435" s="2825">
        <v>330074.40864796698</v>
      </c>
      <c r="F4435" s="2826">
        <v>1.0315066730937599E-3</v>
      </c>
      <c r="G4435" s="2827">
        <v>1.0359825281973901E-3</v>
      </c>
    </row>
    <row r="4436" spans="1:7" x14ac:dyDescent="0.25">
      <c r="A4436" s="11" t="s">
        <v>1135</v>
      </c>
      <c r="B4436" s="11"/>
      <c r="C4436" s="2828">
        <v>3</v>
      </c>
      <c r="D4436" s="2828">
        <v>282803.59574145899</v>
      </c>
      <c r="E4436" s="2829">
        <v>192213.539290088</v>
      </c>
      <c r="F4436" s="2830">
        <v>8.8836995485166298E-4</v>
      </c>
      <c r="G4436" s="2831">
        <v>6.0536991417794203E-4</v>
      </c>
    </row>
    <row r="4437" spans="1:7" x14ac:dyDescent="0.25">
      <c r="A4437" s="6" t="s">
        <v>1209</v>
      </c>
      <c r="B4437" s="6"/>
      <c r="C4437" s="2824">
        <v>2</v>
      </c>
      <c r="D4437" s="2824">
        <v>224881.49144737201</v>
      </c>
      <c r="E4437" s="2825">
        <v>227331.93622638201</v>
      </c>
      <c r="F4437" s="2826">
        <v>7.0641944944262603E-4</v>
      </c>
      <c r="G4437" s="2827">
        <v>7.1370671563065796E-4</v>
      </c>
    </row>
    <row r="4438" spans="1:7" x14ac:dyDescent="0.25">
      <c r="A4438" s="11" t="s">
        <v>1139</v>
      </c>
      <c r="B4438" s="11"/>
      <c r="C4438" s="2828">
        <v>1</v>
      </c>
      <c r="D4438" s="2828">
        <v>187084.505613216</v>
      </c>
      <c r="E4438" s="2829">
        <v>189030.47310106899</v>
      </c>
      <c r="F4438" s="2830">
        <v>5.8768790888005502E-4</v>
      </c>
      <c r="G4438" s="2831">
        <v>5.9277231788185201E-4</v>
      </c>
    </row>
    <row r="4439" spans="1:7" x14ac:dyDescent="0.25">
      <c r="A4439" s="6" t="s">
        <v>1191</v>
      </c>
      <c r="B4439" s="6"/>
      <c r="C4439" s="2824">
        <v>1</v>
      </c>
      <c r="D4439" s="2824">
        <v>187084.505613216</v>
      </c>
      <c r="E4439" s="2825">
        <v>189030.47310106899</v>
      </c>
      <c r="F4439" s="2826">
        <v>5.8768790888005502E-4</v>
      </c>
      <c r="G4439" s="2827">
        <v>5.9277231788185201E-4</v>
      </c>
    </row>
    <row r="4440" spans="1:7" x14ac:dyDescent="0.25">
      <c r="A4440" s="11" t="s">
        <v>3195</v>
      </c>
      <c r="B4440" s="11"/>
      <c r="C4440" s="2828">
        <v>2</v>
      </c>
      <c r="D4440" s="2828">
        <v>179424.23812370101</v>
      </c>
      <c r="E4440" s="2829">
        <v>180513.46486112001</v>
      </c>
      <c r="F4440" s="2830">
        <v>5.6362473717260202E-4</v>
      </c>
      <c r="G4440" s="2831">
        <v>5.6681176084095498E-4</v>
      </c>
    </row>
    <row r="4441" spans="1:7" x14ac:dyDescent="0.25">
      <c r="A4441" s="6" t="s">
        <v>6829</v>
      </c>
      <c r="B4441" s="6"/>
      <c r="C4441" s="2824">
        <v>1</v>
      </c>
      <c r="D4441" s="2824">
        <v>144991.61649471399</v>
      </c>
      <c r="E4441" s="2825">
        <v>145911.63578892799</v>
      </c>
      <c r="F4441" s="2826">
        <v>4.55461662223822E-4</v>
      </c>
      <c r="G4441" s="2827">
        <v>4.57523097956173E-4</v>
      </c>
    </row>
    <row r="4442" spans="1:7" x14ac:dyDescent="0.25">
      <c r="A4442" s="11" t="s">
        <v>1193</v>
      </c>
      <c r="B4442" s="11"/>
      <c r="C4442" s="2828">
        <v>1</v>
      </c>
      <c r="D4442" s="2828">
        <v>102689.30289874801</v>
      </c>
      <c r="E4442" s="2829">
        <v>103425.69869668099</v>
      </c>
      <c r="F4442" s="2830">
        <v>3.2257755118258498E-4</v>
      </c>
      <c r="G4442" s="2831">
        <v>3.2484464830333102E-4</v>
      </c>
    </row>
    <row r="4443" spans="1:7" x14ac:dyDescent="0.25">
      <c r="A4443" s="6" t="s">
        <v>3174</v>
      </c>
      <c r="B4443" s="6"/>
      <c r="C4443" s="2824">
        <v>1</v>
      </c>
      <c r="D4443" s="2824">
        <v>102689.30289874801</v>
      </c>
      <c r="E4443" s="2825">
        <v>103425.69869668099</v>
      </c>
      <c r="F4443" s="2826">
        <v>3.2257755118258498E-4</v>
      </c>
      <c r="G4443" s="2827">
        <v>3.2484464830333102E-4</v>
      </c>
    </row>
    <row r="4444" spans="1:7" x14ac:dyDescent="0.25">
      <c r="A4444" s="11" t="s">
        <v>1211</v>
      </c>
      <c r="B4444" s="11"/>
      <c r="C4444" s="2828">
        <v>2</v>
      </c>
      <c r="D4444" s="2828">
        <v>85973.444943605005</v>
      </c>
      <c r="E4444" s="2829">
        <v>86717.360253566003</v>
      </c>
      <c r="F4444" s="2830">
        <v>2.7006808454025499E-4</v>
      </c>
      <c r="G4444" s="2831">
        <v>2.7216128526080699E-4</v>
      </c>
    </row>
    <row r="4445" spans="1:7" x14ac:dyDescent="0.25">
      <c r="A4445" s="6" t="s">
        <v>3215</v>
      </c>
      <c r="B4445" s="6"/>
      <c r="C4445" s="2824">
        <v>1</v>
      </c>
      <c r="D4445" s="2824">
        <v>81361.309942154199</v>
      </c>
      <c r="E4445" s="2825">
        <v>81527.879181703596</v>
      </c>
      <c r="F4445" s="2826">
        <v>2.5558000084999498E-4</v>
      </c>
      <c r="G4445" s="2827">
        <v>2.5579090883801498E-4</v>
      </c>
    </row>
    <row r="4446" spans="1:7" x14ac:dyDescent="0.25">
      <c r="A4446" s="11" t="s">
        <v>6525</v>
      </c>
      <c r="B4446" s="11"/>
      <c r="C4446" s="2828">
        <v>2</v>
      </c>
      <c r="D4446" s="2828">
        <v>56345.816099584597</v>
      </c>
      <c r="E4446" s="2829">
        <v>56584.8099155952</v>
      </c>
      <c r="F4446" s="2830">
        <v>1.7699891676847501E-4</v>
      </c>
      <c r="G4446" s="2831">
        <v>1.77603034100026E-4</v>
      </c>
    </row>
    <row r="4447" spans="1:7" x14ac:dyDescent="0.25">
      <c r="A4447" s="6" t="s">
        <v>1137</v>
      </c>
      <c r="B4447" s="6"/>
      <c r="C4447" s="2824">
        <v>4</v>
      </c>
      <c r="D4447" s="2824">
        <v>46640.697506584002</v>
      </c>
      <c r="E4447" s="2825">
        <v>46799.7767184607</v>
      </c>
      <c r="F4447" s="2826">
        <v>1.4651226137893099E-4</v>
      </c>
      <c r="G4447" s="2827">
        <v>1.4693265863551899E-4</v>
      </c>
    </row>
    <row r="4448" spans="1:7" x14ac:dyDescent="0.25">
      <c r="A4448" s="11" t="s">
        <v>1207</v>
      </c>
      <c r="B4448" s="11"/>
      <c r="C4448" s="2828">
        <v>1</v>
      </c>
      <c r="D4448" s="2828">
        <v>35267.284116709103</v>
      </c>
      <c r="E4448" s="2829">
        <v>35290.207013938903</v>
      </c>
      <c r="F4448" s="2830">
        <v>1.10784997327771E-4</v>
      </c>
      <c r="G4448" s="2831">
        <v>1.1077114788697099E-4</v>
      </c>
    </row>
    <row r="4449" spans="1:7" x14ac:dyDescent="0.25">
      <c r="A4449" s="6" t="s">
        <v>1129</v>
      </c>
      <c r="B4449" s="6"/>
      <c r="C4449" s="2824">
        <v>1</v>
      </c>
      <c r="D4449" s="2824">
        <v>28230.7086547709</v>
      </c>
      <c r="E4449" s="2825">
        <v>28497.461117110099</v>
      </c>
      <c r="F4449" s="2826">
        <v>8.8681027224268196E-5</v>
      </c>
      <c r="G4449" s="2827">
        <v>8.9351591926283195E-5</v>
      </c>
    </row>
    <row r="4450" spans="1:7" x14ac:dyDescent="0.25">
      <c r="A4450" s="11" t="s">
        <v>1102</v>
      </c>
      <c r="B4450" s="11" t="s">
        <v>1103</v>
      </c>
      <c r="C4450" s="2828">
        <v>1</v>
      </c>
      <c r="D4450" s="2828">
        <v>100108.05920866699</v>
      </c>
      <c r="E4450" s="2829">
        <v>99856.0720760064</v>
      </c>
      <c r="F4450" s="2830">
        <v>100</v>
      </c>
      <c r="G4450" s="2831" t="e">
        <v>#NUM!</v>
      </c>
    </row>
    <row r="4451" spans="1:7" x14ac:dyDescent="0.25">
      <c r="A4451" s="6" t="s">
        <v>6417</v>
      </c>
      <c r="B4451" s="6" t="s">
        <v>6418</v>
      </c>
      <c r="C4451" s="2824">
        <v>185696</v>
      </c>
      <c r="D4451" s="2824">
        <v>31833989229.034698</v>
      </c>
      <c r="E4451" s="2825">
        <v>298205724.93379903</v>
      </c>
      <c r="F4451" s="2826">
        <v>99.999685531889597</v>
      </c>
      <c r="G4451" s="2827">
        <v>3.13803942140197E-4</v>
      </c>
    </row>
    <row r="4452" spans="1:7" x14ac:dyDescent="0.25">
      <c r="A4452" s="11" t="s">
        <v>6417</v>
      </c>
      <c r="B4452" s="11" t="s">
        <v>6419</v>
      </c>
      <c r="C4452" s="2828">
        <v>185697</v>
      </c>
      <c r="D4452" s="2828">
        <v>31834089337.093899</v>
      </c>
      <c r="E4452" s="2829">
        <v>0</v>
      </c>
      <c r="F4452" s="2830">
        <v>100</v>
      </c>
      <c r="G4452" s="2831">
        <v>0</v>
      </c>
    </row>
    <row r="4453" spans="1:7" x14ac:dyDescent="0.25">
      <c r="A4453" s="3729" t="s">
        <v>849</v>
      </c>
      <c r="B4453" s="3730"/>
      <c r="C4453" s="3730"/>
      <c r="D4453" s="3730"/>
      <c r="E4453" s="3730"/>
      <c r="F4453" s="3730"/>
      <c r="G4453" s="3730"/>
    </row>
    <row r="4454" spans="1:7" x14ac:dyDescent="0.25">
      <c r="A4454" s="11" t="s">
        <v>1292</v>
      </c>
      <c r="B4454" s="11"/>
      <c r="C4454" s="2836">
        <v>116147</v>
      </c>
      <c r="D4454" s="2836">
        <v>19432030444.579899</v>
      </c>
      <c r="E4454" s="2837">
        <v>303589326.07152998</v>
      </c>
      <c r="F4454" s="2838">
        <v>61.041577909809099</v>
      </c>
      <c r="G4454" s="2839">
        <v>0.57713033219492205</v>
      </c>
    </row>
    <row r="4455" spans="1:7" x14ac:dyDescent="0.25">
      <c r="A4455" s="6" t="s">
        <v>1090</v>
      </c>
      <c r="B4455" s="6"/>
      <c r="C4455" s="2832">
        <v>48524</v>
      </c>
      <c r="D4455" s="2832">
        <v>7421264784.5345898</v>
      </c>
      <c r="E4455" s="2833">
        <v>105025752.919221</v>
      </c>
      <c r="F4455" s="2834">
        <v>23.3123200288546</v>
      </c>
      <c r="G4455" s="2835">
        <v>0.43485734962453199</v>
      </c>
    </row>
    <row r="4456" spans="1:7" x14ac:dyDescent="0.25">
      <c r="A4456" s="11" t="s">
        <v>1092</v>
      </c>
      <c r="B4456" s="11"/>
      <c r="C4456" s="2836">
        <v>11987</v>
      </c>
      <c r="D4456" s="2836">
        <v>3008804683.77951</v>
      </c>
      <c r="E4456" s="2837">
        <v>115919529.87220301</v>
      </c>
      <c r="F4456" s="2838">
        <v>9.4515179998369003</v>
      </c>
      <c r="G4456" s="2839">
        <v>0.32049669188341801</v>
      </c>
    </row>
    <row r="4457" spans="1:7" x14ac:dyDescent="0.25">
      <c r="A4457" s="6" t="s">
        <v>1094</v>
      </c>
      <c r="B4457" s="6"/>
      <c r="C4457" s="2832">
        <v>6463</v>
      </c>
      <c r="D4457" s="2832">
        <v>1324363523.69171</v>
      </c>
      <c r="E4457" s="2833">
        <v>123902341.48458999</v>
      </c>
      <c r="F4457" s="2834">
        <v>4.1602054629801097</v>
      </c>
      <c r="G4457" s="2835">
        <v>0.38787619391834199</v>
      </c>
    </row>
    <row r="4458" spans="1:7" x14ac:dyDescent="0.25">
      <c r="A4458" s="11" t="s">
        <v>1096</v>
      </c>
      <c r="B4458" s="11"/>
      <c r="C4458" s="2836">
        <v>1914</v>
      </c>
      <c r="D4458" s="2836">
        <v>465692875.32937503</v>
      </c>
      <c r="E4458" s="2837">
        <v>52456036.451286398</v>
      </c>
      <c r="F4458" s="2838">
        <v>1.4628748144736501</v>
      </c>
      <c r="G4458" s="2839">
        <v>0.16056631282558101</v>
      </c>
    </row>
    <row r="4459" spans="1:7" x14ac:dyDescent="0.25">
      <c r="A4459" s="6" t="s">
        <v>1100</v>
      </c>
      <c r="B4459" s="6"/>
      <c r="C4459" s="2832">
        <v>244</v>
      </c>
      <c r="D4459" s="2832">
        <v>70167092.753052503</v>
      </c>
      <c r="E4459" s="2833">
        <v>29330256.184698898</v>
      </c>
      <c r="F4459" s="2834">
        <v>0.22041495206616099</v>
      </c>
      <c r="G4459" s="2835">
        <v>9.2352929757067798E-2</v>
      </c>
    </row>
    <row r="4460" spans="1:7" x14ac:dyDescent="0.25">
      <c r="A4460" s="11" t="s">
        <v>1098</v>
      </c>
      <c r="B4460" s="11"/>
      <c r="C4460" s="2836">
        <v>366</v>
      </c>
      <c r="D4460" s="2836">
        <v>55985904.3749457</v>
      </c>
      <c r="E4460" s="2837">
        <v>8253933.6795937298</v>
      </c>
      <c r="F4460" s="2838">
        <v>0.17586777426584299</v>
      </c>
      <c r="G4460" s="2839">
        <v>2.6131527435460801E-2</v>
      </c>
    </row>
    <row r="4461" spans="1:7" x14ac:dyDescent="0.25">
      <c r="A4461" s="6" t="s">
        <v>1119</v>
      </c>
      <c r="B4461" s="6"/>
      <c r="C4461" s="2832">
        <v>28</v>
      </c>
      <c r="D4461" s="2832">
        <v>31371026.933288399</v>
      </c>
      <c r="E4461" s="2833">
        <v>31710972.952534001</v>
      </c>
      <c r="F4461" s="2834">
        <v>9.8545388250622798E-2</v>
      </c>
      <c r="G4461" s="2835">
        <v>9.9640903424640104E-2</v>
      </c>
    </row>
    <row r="4462" spans="1:7" x14ac:dyDescent="0.25">
      <c r="A4462" s="11" t="s">
        <v>1109</v>
      </c>
      <c r="B4462" s="11"/>
      <c r="C4462" s="2836">
        <v>38</v>
      </c>
      <c r="D4462" s="2836">
        <v>24409001.116693299</v>
      </c>
      <c r="E4462" s="2837">
        <v>23652680.184419401</v>
      </c>
      <c r="F4462" s="2838">
        <v>7.6675669463087195E-2</v>
      </c>
      <c r="G4462" s="2839">
        <v>7.4274526879699099E-2</v>
      </c>
    </row>
    <row r="4463" spans="1:7" x14ac:dyDescent="0.25">
      <c r="A4463" s="6" t="s">
        <v>6417</v>
      </c>
      <c r="B4463" s="6" t="s">
        <v>6418</v>
      </c>
      <c r="C4463" s="2832">
        <v>185711</v>
      </c>
      <c r="D4463" s="2832">
        <v>31834089337.092999</v>
      </c>
      <c r="E4463" s="2833">
        <v>298177412.67136699</v>
      </c>
      <c r="F4463" s="2834">
        <v>100</v>
      </c>
      <c r="G4463" s="2835">
        <v>1.45362315675074E-14</v>
      </c>
    </row>
    <row r="4464" spans="1:7" x14ac:dyDescent="0.25">
      <c r="A4464" s="11" t="s">
        <v>6417</v>
      </c>
      <c r="B4464" s="11" t="s">
        <v>6419</v>
      </c>
      <c r="C4464" s="2836">
        <v>185711</v>
      </c>
      <c r="D4464" s="2836">
        <v>31834089337.092999</v>
      </c>
      <c r="E4464" s="2837">
        <v>0</v>
      </c>
      <c r="F4464" s="2838">
        <v>100</v>
      </c>
      <c r="G4464" s="2839">
        <v>0</v>
      </c>
    </row>
    <row r="4465" spans="1:7" x14ac:dyDescent="0.25">
      <c r="A4465" s="3729" t="s">
        <v>886</v>
      </c>
      <c r="B4465" s="3730"/>
      <c r="C4465" s="3730"/>
      <c r="D4465" s="3730"/>
      <c r="E4465" s="3730"/>
      <c r="F4465" s="3730"/>
      <c r="G4465" s="3730"/>
    </row>
    <row r="4466" spans="1:7" x14ac:dyDescent="0.25">
      <c r="A4466" s="11" t="s">
        <v>1090</v>
      </c>
      <c r="B4466" s="11" t="s">
        <v>6246</v>
      </c>
      <c r="C4466" s="2844">
        <v>92623</v>
      </c>
      <c r="D4466" s="2844">
        <v>14168235051.7384</v>
      </c>
      <c r="E4466" s="2845">
        <v>173310789.128144</v>
      </c>
      <c r="F4466" s="2846">
        <v>55.527916437364901</v>
      </c>
      <c r="G4466" s="2847">
        <v>0.56651284459768703</v>
      </c>
    </row>
    <row r="4467" spans="1:7" x14ac:dyDescent="0.25">
      <c r="A4467" s="6" t="s">
        <v>1092</v>
      </c>
      <c r="B4467" s="6" t="s">
        <v>6247</v>
      </c>
      <c r="C4467" s="2840">
        <v>40791</v>
      </c>
      <c r="D4467" s="2840">
        <v>6968977982.2075195</v>
      </c>
      <c r="E4467" s="2841">
        <v>86553209.327573597</v>
      </c>
      <c r="F4467" s="2842">
        <v>27.312705191348002</v>
      </c>
      <c r="G4467" s="2843">
        <v>0.37699103926696798</v>
      </c>
    </row>
    <row r="4468" spans="1:7" x14ac:dyDescent="0.25">
      <c r="A4468" s="11" t="s">
        <v>1094</v>
      </c>
      <c r="B4468" s="11" t="s">
        <v>6248</v>
      </c>
      <c r="C4468" s="2844">
        <v>9584</v>
      </c>
      <c r="D4468" s="2844">
        <v>2136098996.75542</v>
      </c>
      <c r="E4468" s="2845">
        <v>97326888.129808798</v>
      </c>
      <c r="F4468" s="2846">
        <v>8.3717644548267298</v>
      </c>
      <c r="G4468" s="2847">
        <v>0.34664575359109501</v>
      </c>
    </row>
    <row r="4469" spans="1:7" x14ac:dyDescent="0.25">
      <c r="A4469" s="6" t="s">
        <v>1111</v>
      </c>
      <c r="B4469" s="6" t="s">
        <v>6258</v>
      </c>
      <c r="C4469" s="2840">
        <v>8513</v>
      </c>
      <c r="D4469" s="2840">
        <v>1466103565.4514501</v>
      </c>
      <c r="E4469" s="2841">
        <v>93981345.305089295</v>
      </c>
      <c r="F4469" s="2842">
        <v>5.7459292546760601</v>
      </c>
      <c r="G4469" s="2843">
        <v>0.36388675405961601</v>
      </c>
    </row>
    <row r="4470" spans="1:7" x14ac:dyDescent="0.25">
      <c r="A4470" s="11" t="s">
        <v>1096</v>
      </c>
      <c r="B4470" s="11" t="s">
        <v>6249</v>
      </c>
      <c r="C4470" s="2844">
        <v>2288</v>
      </c>
      <c r="D4470" s="2844">
        <v>577393267.06592095</v>
      </c>
      <c r="E4470" s="2845">
        <v>52518672.164754197</v>
      </c>
      <c r="F4470" s="2846">
        <v>2.26291030379255</v>
      </c>
      <c r="G4470" s="2847">
        <v>0.201603369095053</v>
      </c>
    </row>
    <row r="4471" spans="1:7" x14ac:dyDescent="0.25">
      <c r="A4471" s="6" t="s">
        <v>1098</v>
      </c>
      <c r="B4471" s="6" t="s">
        <v>6250</v>
      </c>
      <c r="C4471" s="2840">
        <v>549</v>
      </c>
      <c r="D4471" s="2840">
        <v>161371467.02797201</v>
      </c>
      <c r="E4471" s="2841">
        <v>26785963.434656799</v>
      </c>
      <c r="F4471" s="2842">
        <v>0.63244442965426095</v>
      </c>
      <c r="G4471" s="2843">
        <v>0.104433950418838</v>
      </c>
    </row>
    <row r="4472" spans="1:7" x14ac:dyDescent="0.25">
      <c r="A4472" s="11" t="s">
        <v>1100</v>
      </c>
      <c r="B4472" s="11" t="s">
        <v>6251</v>
      </c>
      <c r="C4472" s="2844">
        <v>145</v>
      </c>
      <c r="D4472" s="2844">
        <v>29937944.935428001</v>
      </c>
      <c r="E4472" s="2845">
        <v>10302304.978045</v>
      </c>
      <c r="F4472" s="2846">
        <v>0.117332306995916</v>
      </c>
      <c r="G4472" s="2847">
        <v>4.0152294098105203E-2</v>
      </c>
    </row>
    <row r="4473" spans="1:7" x14ac:dyDescent="0.25">
      <c r="A4473" s="6" t="s">
        <v>1109</v>
      </c>
      <c r="B4473" s="6" t="s">
        <v>6252</v>
      </c>
      <c r="C4473" s="2840">
        <v>55</v>
      </c>
      <c r="D4473" s="2840">
        <v>6759966.7254446298</v>
      </c>
      <c r="E4473" s="2841">
        <v>2753618.26209646</v>
      </c>
      <c r="F4473" s="2842">
        <v>2.6493551672394099E-2</v>
      </c>
      <c r="G4473" s="2843">
        <v>1.0675170114167101E-2</v>
      </c>
    </row>
    <row r="4474" spans="1:7" x14ac:dyDescent="0.25">
      <c r="A4474" s="11" t="s">
        <v>1123</v>
      </c>
      <c r="B4474" s="11" t="s">
        <v>6255</v>
      </c>
      <c r="C4474" s="2844">
        <v>13</v>
      </c>
      <c r="D4474" s="2844">
        <v>638926.32635045797</v>
      </c>
      <c r="E4474" s="2845">
        <v>450152.64535182499</v>
      </c>
      <c r="F4474" s="2846">
        <v>2.5040696692046802E-3</v>
      </c>
      <c r="G4474" s="2847">
        <v>1.7616783273229899E-3</v>
      </c>
    </row>
    <row r="4475" spans="1:7" x14ac:dyDescent="0.25">
      <c r="A4475" s="6" t="s">
        <v>1088</v>
      </c>
      <c r="B4475" s="6" t="s">
        <v>1089</v>
      </c>
      <c r="C4475" s="2840">
        <v>30813</v>
      </c>
      <c r="D4475" s="2840">
        <v>6274110127.8632002</v>
      </c>
      <c r="E4475" s="2841">
        <v>167994783.05692199</v>
      </c>
      <c r="F4475" s="2842">
        <v>99.296327717586294</v>
      </c>
      <c r="G4475" s="2843">
        <v>0.134593837173589</v>
      </c>
    </row>
    <row r="4476" spans="1:7" x14ac:dyDescent="0.25">
      <c r="A4476" s="11" t="s">
        <v>1102</v>
      </c>
      <c r="B4476" s="11" t="s">
        <v>1103</v>
      </c>
      <c r="C4476" s="2844">
        <v>333</v>
      </c>
      <c r="D4476" s="2844">
        <v>44462040.996575803</v>
      </c>
      <c r="E4476" s="2845">
        <v>8248630.0020065997</v>
      </c>
      <c r="F4476" s="2846">
        <v>0.70367228241375301</v>
      </c>
      <c r="G4476" s="2847">
        <v>0.134593837173583</v>
      </c>
    </row>
    <row r="4477" spans="1:7" x14ac:dyDescent="0.25">
      <c r="A4477" s="6" t="s">
        <v>6417</v>
      </c>
      <c r="B4477" s="6" t="s">
        <v>6418</v>
      </c>
      <c r="C4477" s="2840">
        <v>154561</v>
      </c>
      <c r="D4477" s="2840">
        <v>25515517168.233898</v>
      </c>
      <c r="E4477" s="2841">
        <v>201324356.24915501</v>
      </c>
      <c r="F4477" s="2842">
        <v>80.151553569031293</v>
      </c>
      <c r="G4477" s="2843">
        <v>0.39900053596933999</v>
      </c>
    </row>
    <row r="4478" spans="1:7" x14ac:dyDescent="0.25">
      <c r="A4478" s="11" t="s">
        <v>6417</v>
      </c>
      <c r="B4478" s="11" t="s">
        <v>6419</v>
      </c>
      <c r="C4478" s="2844">
        <v>185707</v>
      </c>
      <c r="D4478" s="2844">
        <v>31834089337.0937</v>
      </c>
      <c r="E4478" s="2845">
        <v>0</v>
      </c>
      <c r="F4478" s="2846">
        <v>100</v>
      </c>
      <c r="G4478" s="2847">
        <v>0</v>
      </c>
    </row>
    <row r="4479" spans="1:7" x14ac:dyDescent="0.25">
      <c r="A4479" s="3729" t="s">
        <v>870</v>
      </c>
      <c r="B4479" s="3730"/>
      <c r="C4479" s="3730"/>
      <c r="D4479" s="3730"/>
      <c r="E4479" s="3730"/>
      <c r="F4479" s="3730"/>
      <c r="G4479" s="3730"/>
    </row>
    <row r="4480" spans="1:7" x14ac:dyDescent="0.25">
      <c r="A4480" s="11" t="s">
        <v>6430</v>
      </c>
      <c r="B4480" s="11"/>
      <c r="C4480" s="2852">
        <v>614</v>
      </c>
      <c r="D4480" s="2852">
        <v>236830015.90796199</v>
      </c>
      <c r="E4480" s="2853">
        <v>21549030.233067401</v>
      </c>
      <c r="F4480" s="2854">
        <v>21.854742865890799</v>
      </c>
      <c r="G4480" s="2855">
        <v>1.7337888495968501</v>
      </c>
    </row>
    <row r="4481" spans="1:7" x14ac:dyDescent="0.25">
      <c r="A4481" s="6" t="s">
        <v>1123</v>
      </c>
      <c r="B4481" s="6"/>
      <c r="C4481" s="2848">
        <v>523</v>
      </c>
      <c r="D4481" s="2848">
        <v>193404427.788937</v>
      </c>
      <c r="E4481" s="2849">
        <v>14473757.833294399</v>
      </c>
      <c r="F4481" s="2850">
        <v>17.847416942684301</v>
      </c>
      <c r="G4481" s="2851">
        <v>0.82894215952774497</v>
      </c>
    </row>
    <row r="4482" spans="1:7" x14ac:dyDescent="0.25">
      <c r="A4482" s="11" t="s">
        <v>1133</v>
      </c>
      <c r="B4482" s="11"/>
      <c r="C4482" s="2852">
        <v>283</v>
      </c>
      <c r="D4482" s="2852">
        <v>103200381.898987</v>
      </c>
      <c r="E4482" s="2853">
        <v>14663661.281398499</v>
      </c>
      <c r="F4482" s="2854">
        <v>9.5233613079712001</v>
      </c>
      <c r="G4482" s="2855">
        <v>1.1040447916615099</v>
      </c>
    </row>
    <row r="4483" spans="1:7" x14ac:dyDescent="0.25">
      <c r="A4483" s="6" t="s">
        <v>1295</v>
      </c>
      <c r="B4483" s="6"/>
      <c r="C4483" s="2848">
        <v>153</v>
      </c>
      <c r="D4483" s="2848">
        <v>72781948.128609106</v>
      </c>
      <c r="E4483" s="2849">
        <v>13463610.253846399</v>
      </c>
      <c r="F4483" s="2850">
        <v>6.7163393775538696</v>
      </c>
      <c r="G4483" s="2851">
        <v>1.1897800889430601</v>
      </c>
    </row>
    <row r="4484" spans="1:7" x14ac:dyDescent="0.25">
      <c r="A4484" s="11" t="s">
        <v>6426</v>
      </c>
      <c r="B4484" s="11"/>
      <c r="C4484" s="2852">
        <v>182</v>
      </c>
      <c r="D4484" s="2852">
        <v>64993054.559142202</v>
      </c>
      <c r="E4484" s="2853">
        <v>12254572.9443946</v>
      </c>
      <c r="F4484" s="2854">
        <v>5.99757800975223</v>
      </c>
      <c r="G4484" s="2855">
        <v>1.05951452426542</v>
      </c>
    </row>
    <row r="4485" spans="1:7" x14ac:dyDescent="0.25">
      <c r="A4485" s="6" t="s">
        <v>6429</v>
      </c>
      <c r="B4485" s="6"/>
      <c r="C4485" s="2848">
        <v>172</v>
      </c>
      <c r="D4485" s="2848">
        <v>54503691.255277202</v>
      </c>
      <c r="E4485" s="2849">
        <v>8808013.2877994999</v>
      </c>
      <c r="F4485" s="2850">
        <v>5.0296165081072299</v>
      </c>
      <c r="G4485" s="2851">
        <v>0.83094657566108499</v>
      </c>
    </row>
    <row r="4486" spans="1:7" x14ac:dyDescent="0.25">
      <c r="A4486" s="11" t="s">
        <v>1292</v>
      </c>
      <c r="B4486" s="11"/>
      <c r="C4486" s="2852">
        <v>187</v>
      </c>
      <c r="D4486" s="2852">
        <v>48222892.424402103</v>
      </c>
      <c r="E4486" s="2853">
        <v>8743456.1899500694</v>
      </c>
      <c r="F4486" s="2854">
        <v>4.4500225621501999</v>
      </c>
      <c r="G4486" s="2855">
        <v>0.739765160925834</v>
      </c>
    </row>
    <row r="4487" spans="1:7" x14ac:dyDescent="0.25">
      <c r="A4487" s="6" t="s">
        <v>1297</v>
      </c>
      <c r="B4487" s="6"/>
      <c r="C4487" s="2848">
        <v>89</v>
      </c>
      <c r="D4487" s="2848">
        <v>33657363.045333602</v>
      </c>
      <c r="E4487" s="2849">
        <v>7680104.6578776799</v>
      </c>
      <c r="F4487" s="2850">
        <v>3.1059112675378202</v>
      </c>
      <c r="G4487" s="2851">
        <v>0.62651151591683996</v>
      </c>
    </row>
    <row r="4488" spans="1:7" x14ac:dyDescent="0.25">
      <c r="A4488" s="11" t="s">
        <v>6428</v>
      </c>
      <c r="B4488" s="11"/>
      <c r="C4488" s="2852">
        <v>95</v>
      </c>
      <c r="D4488" s="2852">
        <v>32924344.960999198</v>
      </c>
      <c r="E4488" s="2853">
        <v>4585853.51086774</v>
      </c>
      <c r="F4488" s="2854">
        <v>3.0382681451584301</v>
      </c>
      <c r="G4488" s="2855">
        <v>0.38880361238536798</v>
      </c>
    </row>
    <row r="4489" spans="1:7" x14ac:dyDescent="0.25">
      <c r="A4489" s="6" t="s">
        <v>6433</v>
      </c>
      <c r="B4489" s="6"/>
      <c r="C4489" s="2848">
        <v>83</v>
      </c>
      <c r="D4489" s="2848">
        <v>29840442.8317509</v>
      </c>
      <c r="E4489" s="2849">
        <v>4701850.15025796</v>
      </c>
      <c r="F4489" s="2850">
        <v>2.75368475820934</v>
      </c>
      <c r="G4489" s="2851">
        <v>0.437297921460649</v>
      </c>
    </row>
    <row r="4490" spans="1:7" x14ac:dyDescent="0.25">
      <c r="A4490" s="11" t="s">
        <v>6427</v>
      </c>
      <c r="B4490" s="11"/>
      <c r="C4490" s="2852">
        <v>115</v>
      </c>
      <c r="D4490" s="2852">
        <v>28214244.344771799</v>
      </c>
      <c r="E4490" s="2853">
        <v>4194839.2846555896</v>
      </c>
      <c r="F4490" s="2854">
        <v>2.6036186880552901</v>
      </c>
      <c r="G4490" s="2855">
        <v>0.33415056019162398</v>
      </c>
    </row>
    <row r="4491" spans="1:7" x14ac:dyDescent="0.25">
      <c r="A4491" s="6" t="s">
        <v>6432</v>
      </c>
      <c r="B4491" s="6"/>
      <c r="C4491" s="2848">
        <v>104</v>
      </c>
      <c r="D4491" s="2848">
        <v>27497771.2158246</v>
      </c>
      <c r="E4491" s="2849">
        <v>3769270.42378189</v>
      </c>
      <c r="F4491" s="2850">
        <v>2.5375023389792299</v>
      </c>
      <c r="G4491" s="2851">
        <v>0.383146572406591</v>
      </c>
    </row>
    <row r="4492" spans="1:7" x14ac:dyDescent="0.25">
      <c r="A4492" s="11" t="s">
        <v>6431</v>
      </c>
      <c r="B4492" s="11"/>
      <c r="C4492" s="2852">
        <v>80</v>
      </c>
      <c r="D4492" s="2852">
        <v>23541739.915939499</v>
      </c>
      <c r="E4492" s="2853">
        <v>5196035.6781071797</v>
      </c>
      <c r="F4492" s="2854">
        <v>2.17243861807821</v>
      </c>
      <c r="G4492" s="2855">
        <v>0.47610726427782102</v>
      </c>
    </row>
    <row r="4493" spans="1:7" x14ac:dyDescent="0.25">
      <c r="A4493" s="6" t="s">
        <v>3172</v>
      </c>
      <c r="B4493" s="6"/>
      <c r="C4493" s="2848">
        <v>38</v>
      </c>
      <c r="D4493" s="2848">
        <v>18282510.192195199</v>
      </c>
      <c r="E4493" s="2849">
        <v>3900785.0957675399</v>
      </c>
      <c r="F4493" s="2850">
        <v>1.6871153669504999</v>
      </c>
      <c r="G4493" s="2851">
        <v>0.40169113507353399</v>
      </c>
    </row>
    <row r="4494" spans="1:7" x14ac:dyDescent="0.25">
      <c r="A4494" s="11" t="s">
        <v>6434</v>
      </c>
      <c r="B4494" s="11"/>
      <c r="C4494" s="2852">
        <v>47</v>
      </c>
      <c r="D4494" s="2852">
        <v>12963989.679352099</v>
      </c>
      <c r="E4494" s="2853">
        <v>3009915.8184349998</v>
      </c>
      <c r="F4494" s="2854">
        <v>1.196320744531</v>
      </c>
      <c r="G4494" s="2855">
        <v>0.27345517850252399</v>
      </c>
    </row>
    <row r="4495" spans="1:7" x14ac:dyDescent="0.25">
      <c r="A4495" s="6" t="s">
        <v>1125</v>
      </c>
      <c r="B4495" s="6"/>
      <c r="C4495" s="2848">
        <v>41</v>
      </c>
      <c r="D4495" s="2848">
        <v>11107242.179865001</v>
      </c>
      <c r="E4495" s="2849">
        <v>1738484.2179715</v>
      </c>
      <c r="F4495" s="2850">
        <v>1.0249795443347101</v>
      </c>
      <c r="G4495" s="2851">
        <v>0.19948882995563499</v>
      </c>
    </row>
    <row r="4496" spans="1:7" x14ac:dyDescent="0.25">
      <c r="A4496" s="11" t="s">
        <v>1127</v>
      </c>
      <c r="B4496" s="11"/>
      <c r="C4496" s="2852">
        <v>47</v>
      </c>
      <c r="D4496" s="2852">
        <v>9156439.2349832598</v>
      </c>
      <c r="E4496" s="2853">
        <v>2260997.3729343</v>
      </c>
      <c r="F4496" s="2854">
        <v>0.84495888023535504</v>
      </c>
      <c r="G4496" s="2855">
        <v>0.21510382806473399</v>
      </c>
    </row>
    <row r="4497" spans="1:7" x14ac:dyDescent="0.25">
      <c r="A4497" s="6" t="s">
        <v>1129</v>
      </c>
      <c r="B4497" s="6"/>
      <c r="C4497" s="2848">
        <v>28</v>
      </c>
      <c r="D4497" s="2848">
        <v>9076801.2528060004</v>
      </c>
      <c r="E4497" s="2849">
        <v>2022711.3559502801</v>
      </c>
      <c r="F4497" s="2850">
        <v>0.83760986403836002</v>
      </c>
      <c r="G4497" s="2851">
        <v>0.16394648001083101</v>
      </c>
    </row>
    <row r="4498" spans="1:7" x14ac:dyDescent="0.25">
      <c r="A4498" s="11" t="s">
        <v>1303</v>
      </c>
      <c r="B4498" s="11"/>
      <c r="C4498" s="2852">
        <v>82</v>
      </c>
      <c r="D4498" s="2852">
        <v>8148990.4194512703</v>
      </c>
      <c r="E4498" s="2853">
        <v>2306125.39927602</v>
      </c>
      <c r="F4498" s="2854">
        <v>0.75199121002857605</v>
      </c>
      <c r="G4498" s="2855">
        <v>0.230697173661748</v>
      </c>
    </row>
    <row r="4499" spans="1:7" x14ac:dyDescent="0.25">
      <c r="A4499" s="6" t="s">
        <v>1299</v>
      </c>
      <c r="B4499" s="6"/>
      <c r="C4499" s="2848">
        <v>18</v>
      </c>
      <c r="D4499" s="2848">
        <v>6860446.4937770404</v>
      </c>
      <c r="E4499" s="2849">
        <v>3290626.8305691499</v>
      </c>
      <c r="F4499" s="2850">
        <v>0.63308400116380104</v>
      </c>
      <c r="G4499" s="2851">
        <v>0.29771543384829402</v>
      </c>
    </row>
    <row r="4500" spans="1:7" x14ac:dyDescent="0.25">
      <c r="A4500" s="11" t="s">
        <v>1131</v>
      </c>
      <c r="B4500" s="11"/>
      <c r="C4500" s="2852">
        <v>16</v>
      </c>
      <c r="D4500" s="2852">
        <v>6780234.2825771105</v>
      </c>
      <c r="E4500" s="2853">
        <v>3152336.37290448</v>
      </c>
      <c r="F4500" s="2854">
        <v>0.62568199494529797</v>
      </c>
      <c r="G4500" s="2855">
        <v>0.30205919671689102</v>
      </c>
    </row>
    <row r="4501" spans="1:7" x14ac:dyDescent="0.25">
      <c r="A4501" s="6" t="s">
        <v>1137</v>
      </c>
      <c r="B4501" s="6"/>
      <c r="C4501" s="2848">
        <v>17</v>
      </c>
      <c r="D4501" s="2848">
        <v>5458416.5916593</v>
      </c>
      <c r="E4501" s="2849">
        <v>2134198.48384642</v>
      </c>
      <c r="F4501" s="2850">
        <v>0.50370427332988899</v>
      </c>
      <c r="G4501" s="2851">
        <v>0.20116350717647</v>
      </c>
    </row>
    <row r="4502" spans="1:7" x14ac:dyDescent="0.25">
      <c r="A4502" s="11" t="s">
        <v>3187</v>
      </c>
      <c r="B4502" s="11"/>
      <c r="C4502" s="2852">
        <v>12</v>
      </c>
      <c r="D4502" s="2852">
        <v>4840298.6904783901</v>
      </c>
      <c r="E4502" s="2853">
        <v>1958644.3827221</v>
      </c>
      <c r="F4502" s="2854">
        <v>0.44666417332684399</v>
      </c>
      <c r="G4502" s="2855">
        <v>0.18220700116114699</v>
      </c>
    </row>
    <row r="4503" spans="1:7" x14ac:dyDescent="0.25">
      <c r="A4503" s="6" t="s">
        <v>1139</v>
      </c>
      <c r="B4503" s="6"/>
      <c r="C4503" s="2848">
        <v>14</v>
      </c>
      <c r="D4503" s="2848">
        <v>4427951.19944325</v>
      </c>
      <c r="E4503" s="2849">
        <v>1572176.8228051099</v>
      </c>
      <c r="F4503" s="2850">
        <v>0.40861262672106902</v>
      </c>
      <c r="G4503" s="2851">
        <v>0.14096639240459399</v>
      </c>
    </row>
    <row r="4504" spans="1:7" x14ac:dyDescent="0.25">
      <c r="A4504" s="11" t="s">
        <v>3201</v>
      </c>
      <c r="B4504" s="11"/>
      <c r="C4504" s="2852">
        <v>24</v>
      </c>
      <c r="D4504" s="2852">
        <v>4381290.4764727401</v>
      </c>
      <c r="E4504" s="2853">
        <v>1439108.8531658601</v>
      </c>
      <c r="F4504" s="2854">
        <v>0.40430676161124601</v>
      </c>
      <c r="G4504" s="2855">
        <v>0.12734143210576601</v>
      </c>
    </row>
    <row r="4505" spans="1:7" x14ac:dyDescent="0.25">
      <c r="A4505" s="6" t="s">
        <v>1135</v>
      </c>
      <c r="B4505" s="6"/>
      <c r="C4505" s="2848">
        <v>18</v>
      </c>
      <c r="D4505" s="2848">
        <v>3835991.2022277601</v>
      </c>
      <c r="E4505" s="2849">
        <v>1319181.42058863</v>
      </c>
      <c r="F4505" s="2850">
        <v>0.35398638571678098</v>
      </c>
      <c r="G4505" s="2851">
        <v>0.125884418247178</v>
      </c>
    </row>
    <row r="4506" spans="1:7" x14ac:dyDescent="0.25">
      <c r="A4506" s="11" t="s">
        <v>1191</v>
      </c>
      <c r="B4506" s="11"/>
      <c r="C4506" s="2852">
        <v>8</v>
      </c>
      <c r="D4506" s="2852">
        <v>3564472.8149234401</v>
      </c>
      <c r="E4506" s="2853">
        <v>2764661.5381413</v>
      </c>
      <c r="F4506" s="2854">
        <v>0.32893058983234602</v>
      </c>
      <c r="G4506" s="2855">
        <v>0.25525959396127301</v>
      </c>
    </row>
    <row r="4507" spans="1:7" x14ac:dyDescent="0.25">
      <c r="A4507" s="6" t="s">
        <v>1189</v>
      </c>
      <c r="B4507" s="6"/>
      <c r="C4507" s="2848">
        <v>10</v>
      </c>
      <c r="D4507" s="2848">
        <v>3444278.9552950701</v>
      </c>
      <c r="E4507" s="2849">
        <v>1585033.42156962</v>
      </c>
      <c r="F4507" s="2850">
        <v>0.31783906544863799</v>
      </c>
      <c r="G4507" s="2851">
        <v>0.14741716415519199</v>
      </c>
    </row>
    <row r="4508" spans="1:7" x14ac:dyDescent="0.25">
      <c r="A4508" s="11" t="s">
        <v>3174</v>
      </c>
      <c r="B4508" s="11"/>
      <c r="C4508" s="2852">
        <v>8</v>
      </c>
      <c r="D4508" s="2852">
        <v>2584809.1697816299</v>
      </c>
      <c r="E4508" s="2853">
        <v>1796447.7117431399</v>
      </c>
      <c r="F4508" s="2854">
        <v>0.23852694324408499</v>
      </c>
      <c r="G4508" s="2855">
        <v>0.16159425876387701</v>
      </c>
    </row>
    <row r="4509" spans="1:7" x14ac:dyDescent="0.25">
      <c r="A4509" s="6" t="s">
        <v>1187</v>
      </c>
      <c r="B4509" s="6"/>
      <c r="C4509" s="2848">
        <v>6</v>
      </c>
      <c r="D4509" s="2848">
        <v>1676041.3228223501</v>
      </c>
      <c r="E4509" s="2849">
        <v>845501.42933771305</v>
      </c>
      <c r="F4509" s="2850">
        <v>0.15466558156684401</v>
      </c>
      <c r="G4509" s="2851">
        <v>8.1349265393841602E-2</v>
      </c>
    </row>
    <row r="4510" spans="1:7" x14ac:dyDescent="0.25">
      <c r="A4510" s="11" t="s">
        <v>6529</v>
      </c>
      <c r="B4510" s="11"/>
      <c r="C4510" s="2852">
        <v>1</v>
      </c>
      <c r="D4510" s="2852">
        <v>1428419.9289663199</v>
      </c>
      <c r="E4510" s="2853">
        <v>1445256.31105428</v>
      </c>
      <c r="F4510" s="2854">
        <v>0.13181500719995301</v>
      </c>
      <c r="G4510" s="2855">
        <v>0.13350947478522601</v>
      </c>
    </row>
    <row r="4511" spans="1:7" x14ac:dyDescent="0.25">
      <c r="A4511" s="6" t="s">
        <v>1111</v>
      </c>
      <c r="B4511" s="6"/>
      <c r="C4511" s="2848">
        <v>1</v>
      </c>
      <c r="D4511" s="2848">
        <v>1428419.9289663199</v>
      </c>
      <c r="E4511" s="2849">
        <v>1445256.31105428</v>
      </c>
      <c r="F4511" s="2850">
        <v>0.13181500719995301</v>
      </c>
      <c r="G4511" s="2851">
        <v>0.13350947478522601</v>
      </c>
    </row>
    <row r="4512" spans="1:7" x14ac:dyDescent="0.25">
      <c r="A4512" s="11" t="s">
        <v>1203</v>
      </c>
      <c r="B4512" s="11"/>
      <c r="C4512" s="2852">
        <v>2</v>
      </c>
      <c r="D4512" s="2852">
        <v>1427484.41033472</v>
      </c>
      <c r="E4512" s="2853">
        <v>1453195.4901787499</v>
      </c>
      <c r="F4512" s="2854">
        <v>0.131728677268075</v>
      </c>
      <c r="G4512" s="2855">
        <v>0.13360571032801499</v>
      </c>
    </row>
    <row r="4513" spans="1:7" x14ac:dyDescent="0.25">
      <c r="A4513" s="6" t="s">
        <v>3316</v>
      </c>
      <c r="B4513" s="6"/>
      <c r="C4513" s="2848">
        <v>1</v>
      </c>
      <c r="D4513" s="2848">
        <v>1396925.1368245999</v>
      </c>
      <c r="E4513" s="2849">
        <v>1413514.1020935299</v>
      </c>
      <c r="F4513" s="2850">
        <v>0.12890865860544201</v>
      </c>
      <c r="G4513" s="2851">
        <v>0.131563297621272</v>
      </c>
    </row>
    <row r="4514" spans="1:7" x14ac:dyDescent="0.25">
      <c r="A4514" s="11" t="s">
        <v>1205</v>
      </c>
      <c r="B4514" s="11"/>
      <c r="C4514" s="2852">
        <v>2</v>
      </c>
      <c r="D4514" s="2852">
        <v>1155230.4519793999</v>
      </c>
      <c r="E4514" s="2853">
        <v>1169665.61972072</v>
      </c>
      <c r="F4514" s="2854">
        <v>0.106605002672754</v>
      </c>
      <c r="G4514" s="2855">
        <v>0.107357089620307</v>
      </c>
    </row>
    <row r="4515" spans="1:7" x14ac:dyDescent="0.25">
      <c r="A4515" s="6" t="s">
        <v>3178</v>
      </c>
      <c r="B4515" s="6"/>
      <c r="C4515" s="2848">
        <v>3</v>
      </c>
      <c r="D4515" s="2848">
        <v>1096816.17458749</v>
      </c>
      <c r="E4515" s="2849">
        <v>1102603.99710019</v>
      </c>
      <c r="F4515" s="2850">
        <v>0.101214516136651</v>
      </c>
      <c r="G4515" s="2851">
        <v>0.101617531638083</v>
      </c>
    </row>
    <row r="4516" spans="1:7" x14ac:dyDescent="0.25">
      <c r="A4516" s="11" t="s">
        <v>1193</v>
      </c>
      <c r="B4516" s="11"/>
      <c r="C4516" s="2852">
        <v>4</v>
      </c>
      <c r="D4516" s="2852">
        <v>1015588.3074165999</v>
      </c>
      <c r="E4516" s="2853">
        <v>732852.31800205796</v>
      </c>
      <c r="F4516" s="2854">
        <v>9.3718784889246204E-2</v>
      </c>
      <c r="G4516" s="2855">
        <v>6.7642711804163605E-2</v>
      </c>
    </row>
    <row r="4517" spans="1:7" x14ac:dyDescent="0.25">
      <c r="A4517" s="6" t="s">
        <v>3203</v>
      </c>
      <c r="B4517" s="6"/>
      <c r="C4517" s="2848">
        <v>3</v>
      </c>
      <c r="D4517" s="2848">
        <v>952799.09420080599</v>
      </c>
      <c r="E4517" s="2849">
        <v>775762.12615988404</v>
      </c>
      <c r="F4517" s="2850">
        <v>8.7924578000723896E-2</v>
      </c>
      <c r="G4517" s="2851">
        <v>7.0925741133380696E-2</v>
      </c>
    </row>
    <row r="4518" spans="1:7" x14ac:dyDescent="0.25">
      <c r="A4518" s="11" t="s">
        <v>3176</v>
      </c>
      <c r="B4518" s="11"/>
      <c r="C4518" s="2852">
        <v>5</v>
      </c>
      <c r="D4518" s="2852">
        <v>874157.36067498894</v>
      </c>
      <c r="E4518" s="2853">
        <v>393078.82011948799</v>
      </c>
      <c r="F4518" s="2854">
        <v>8.0667495919529597E-2</v>
      </c>
      <c r="G4518" s="2855">
        <v>3.5451545038560003E-2</v>
      </c>
    </row>
    <row r="4519" spans="1:7" x14ac:dyDescent="0.25">
      <c r="A4519" s="6" t="s">
        <v>1141</v>
      </c>
      <c r="B4519" s="6"/>
      <c r="C4519" s="2848">
        <v>9</v>
      </c>
      <c r="D4519" s="2848">
        <v>732364.27165197697</v>
      </c>
      <c r="E4519" s="2849">
        <v>489752.93273153901</v>
      </c>
      <c r="F4519" s="2850">
        <v>6.7582788354578899E-2</v>
      </c>
      <c r="G4519" s="2851">
        <v>4.4651257863853398E-2</v>
      </c>
    </row>
    <row r="4520" spans="1:7" x14ac:dyDescent="0.25">
      <c r="A4520" s="11" t="s">
        <v>1199</v>
      </c>
      <c r="B4520" s="11"/>
      <c r="C4520" s="2852">
        <v>2</v>
      </c>
      <c r="D4520" s="2852">
        <v>717394.81356543303</v>
      </c>
      <c r="E4520" s="2853">
        <v>718325.97394998197</v>
      </c>
      <c r="F4520" s="2854">
        <v>6.6201402401160403E-2</v>
      </c>
      <c r="G4520" s="2855">
        <v>6.6505288104162702E-2</v>
      </c>
    </row>
    <row r="4521" spans="1:7" x14ac:dyDescent="0.25">
      <c r="A4521" s="6" t="s">
        <v>3205</v>
      </c>
      <c r="B4521" s="6"/>
      <c r="C4521" s="2848">
        <v>1</v>
      </c>
      <c r="D4521" s="2848">
        <v>715107.37666636205</v>
      </c>
      <c r="E4521" s="2849">
        <v>743504.51453253801</v>
      </c>
      <c r="F4521" s="2850">
        <v>6.5990317057693704E-2</v>
      </c>
      <c r="G4521" s="2851">
        <v>6.80893394601121E-2</v>
      </c>
    </row>
    <row r="4522" spans="1:7" x14ac:dyDescent="0.25">
      <c r="A4522" s="11" t="s">
        <v>1195</v>
      </c>
      <c r="B4522" s="11"/>
      <c r="C4522" s="2852">
        <v>3</v>
      </c>
      <c r="D4522" s="2852">
        <v>625924.85427263204</v>
      </c>
      <c r="E4522" s="2853">
        <v>475684.177529621</v>
      </c>
      <c r="F4522" s="2854">
        <v>5.7760527908821802E-2</v>
      </c>
      <c r="G4522" s="2855">
        <v>4.4200375805991503E-2</v>
      </c>
    </row>
    <row r="4523" spans="1:7" x14ac:dyDescent="0.25">
      <c r="A4523" s="6" t="s">
        <v>3215</v>
      </c>
      <c r="B4523" s="6"/>
      <c r="C4523" s="2848">
        <v>3</v>
      </c>
      <c r="D4523" s="2848">
        <v>543922.28588852496</v>
      </c>
      <c r="E4523" s="2849">
        <v>345722.32611413999</v>
      </c>
      <c r="F4523" s="2850">
        <v>5.0193307007761E-2</v>
      </c>
      <c r="G4523" s="2851">
        <v>3.1764989609133001E-2</v>
      </c>
    </row>
    <row r="4524" spans="1:7" x14ac:dyDescent="0.25">
      <c r="A4524" s="11" t="s">
        <v>1301</v>
      </c>
      <c r="B4524" s="11"/>
      <c r="C4524" s="2852">
        <v>6</v>
      </c>
      <c r="D4524" s="2852">
        <v>525895.41042147297</v>
      </c>
      <c r="E4524" s="2853">
        <v>531147.85393712495</v>
      </c>
      <c r="F4524" s="2854">
        <v>4.8529781687723199E-2</v>
      </c>
      <c r="G4524" s="2855">
        <v>4.9306216225157698E-2</v>
      </c>
    </row>
    <row r="4525" spans="1:7" x14ac:dyDescent="0.25">
      <c r="A4525" s="6" t="s">
        <v>1201</v>
      </c>
      <c r="B4525" s="6"/>
      <c r="C4525" s="2848">
        <v>3</v>
      </c>
      <c r="D4525" s="2848">
        <v>343397.42452698998</v>
      </c>
      <c r="E4525" s="2849">
        <v>251052.41182195299</v>
      </c>
      <c r="F4525" s="2850">
        <v>3.1688814380534801E-2</v>
      </c>
      <c r="G4525" s="2851">
        <v>2.30786608338143E-2</v>
      </c>
    </row>
    <row r="4526" spans="1:7" x14ac:dyDescent="0.25">
      <c r="A4526" s="11" t="s">
        <v>1215</v>
      </c>
      <c r="B4526" s="11"/>
      <c r="C4526" s="2852">
        <v>2</v>
      </c>
      <c r="D4526" s="2852">
        <v>306947.66185871401</v>
      </c>
      <c r="E4526" s="2853">
        <v>289181.285972243</v>
      </c>
      <c r="F4526" s="2854">
        <v>2.8325219662255902E-2</v>
      </c>
      <c r="G4526" s="2855">
        <v>2.6762217437444901E-2</v>
      </c>
    </row>
    <row r="4527" spans="1:7" x14ac:dyDescent="0.25">
      <c r="A4527" s="6" t="s">
        <v>3207</v>
      </c>
      <c r="B4527" s="6"/>
      <c r="C4527" s="2848">
        <v>2</v>
      </c>
      <c r="D4527" s="2848">
        <v>279364.114164364</v>
      </c>
      <c r="E4527" s="2849">
        <v>252089.850644013</v>
      </c>
      <c r="F4527" s="2850">
        <v>2.57798018448483E-2</v>
      </c>
      <c r="G4527" s="2851">
        <v>2.3072197864443401E-2</v>
      </c>
    </row>
    <row r="4528" spans="1:7" x14ac:dyDescent="0.25">
      <c r="A4528" s="11" t="s">
        <v>1207</v>
      </c>
      <c r="B4528" s="11"/>
      <c r="C4528" s="2852">
        <v>1</v>
      </c>
      <c r="D4528" s="2852">
        <v>235358.31779129099</v>
      </c>
      <c r="E4528" s="2853">
        <v>235368.03246914499</v>
      </c>
      <c r="F4528" s="2854">
        <v>2.1718934134920799E-2</v>
      </c>
      <c r="G4528" s="2855">
        <v>2.1782802111999001E-2</v>
      </c>
    </row>
    <row r="4529" spans="1:7" x14ac:dyDescent="0.25">
      <c r="A4529" s="6" t="s">
        <v>3193</v>
      </c>
      <c r="B4529" s="6"/>
      <c r="C4529" s="2848">
        <v>2</v>
      </c>
      <c r="D4529" s="2848">
        <v>231793.48245595599</v>
      </c>
      <c r="E4529" s="2849">
        <v>211093.581080976</v>
      </c>
      <c r="F4529" s="2850">
        <v>2.1389970091599299E-2</v>
      </c>
      <c r="G4529" s="2851">
        <v>1.9550853487939501E-2</v>
      </c>
    </row>
    <row r="4530" spans="1:7" x14ac:dyDescent="0.25">
      <c r="A4530" s="11" t="s">
        <v>1311</v>
      </c>
      <c r="B4530" s="11"/>
      <c r="C4530" s="2852">
        <v>1</v>
      </c>
      <c r="D4530" s="2852">
        <v>186857.18830898701</v>
      </c>
      <c r="E4530" s="2853">
        <v>189034.071064894</v>
      </c>
      <c r="F4530" s="2854">
        <v>1.7243235776006002E-2</v>
      </c>
      <c r="G4530" s="2855">
        <v>1.7465450607318501E-2</v>
      </c>
    </row>
    <row r="4531" spans="1:7" x14ac:dyDescent="0.25">
      <c r="A4531" s="6" t="s">
        <v>3191</v>
      </c>
      <c r="B4531" s="6"/>
      <c r="C4531" s="2848">
        <v>2</v>
      </c>
      <c r="D4531" s="2848">
        <v>180790.84584844601</v>
      </c>
      <c r="E4531" s="2849">
        <v>179779.43764122599</v>
      </c>
      <c r="F4531" s="2850">
        <v>1.6683431926383E-2</v>
      </c>
      <c r="G4531" s="2851">
        <v>1.6650884428483E-2</v>
      </c>
    </row>
    <row r="4532" spans="1:7" x14ac:dyDescent="0.25">
      <c r="A4532" s="11" t="s">
        <v>3189</v>
      </c>
      <c r="B4532" s="11"/>
      <c r="C4532" s="2852">
        <v>2</v>
      </c>
      <c r="D4532" s="2852">
        <v>173055.262016611</v>
      </c>
      <c r="E4532" s="2853">
        <v>175892.898642418</v>
      </c>
      <c r="F4532" s="2854">
        <v>1.5969589996701301E-2</v>
      </c>
      <c r="G4532" s="2855">
        <v>1.6237054643095099E-2</v>
      </c>
    </row>
    <row r="4533" spans="1:7" x14ac:dyDescent="0.25">
      <c r="A4533" s="6" t="s">
        <v>3312</v>
      </c>
      <c r="B4533" s="6"/>
      <c r="C4533" s="2848">
        <v>2</v>
      </c>
      <c r="D4533" s="2848">
        <v>124774.969739219</v>
      </c>
      <c r="E4533" s="2849">
        <v>127580.692999946</v>
      </c>
      <c r="F4533" s="2850">
        <v>1.15142705593943E-2</v>
      </c>
      <c r="G4533" s="2851">
        <v>1.17718048433303E-2</v>
      </c>
    </row>
    <row r="4534" spans="1:7" x14ac:dyDescent="0.25">
      <c r="A4534" s="11" t="s">
        <v>1197</v>
      </c>
      <c r="B4534" s="11"/>
      <c r="C4534" s="2852">
        <v>2</v>
      </c>
      <c r="D4534" s="2852">
        <v>120299.034394253</v>
      </c>
      <c r="E4534" s="2853">
        <v>92989.316494725805</v>
      </c>
      <c r="F4534" s="2854">
        <v>1.1101229941744801E-2</v>
      </c>
      <c r="G4534" s="2855">
        <v>8.6752252658900408E-3</v>
      </c>
    </row>
    <row r="4535" spans="1:7" x14ac:dyDescent="0.25">
      <c r="A4535" s="6" t="s">
        <v>3195</v>
      </c>
      <c r="B4535" s="6"/>
      <c r="C4535" s="2848">
        <v>1</v>
      </c>
      <c r="D4535" s="2848">
        <v>118716.02617970599</v>
      </c>
      <c r="E4535" s="2849">
        <v>122857.790146475</v>
      </c>
      <c r="F4535" s="2850">
        <v>1.0955149482513801E-2</v>
      </c>
      <c r="G4535" s="2851">
        <v>1.12140896020112E-2</v>
      </c>
    </row>
    <row r="4536" spans="1:7" x14ac:dyDescent="0.25">
      <c r="A4536" s="11" t="s">
        <v>1223</v>
      </c>
      <c r="B4536" s="11"/>
      <c r="C4536" s="2852">
        <v>1</v>
      </c>
      <c r="D4536" s="2852">
        <v>118716.02617970599</v>
      </c>
      <c r="E4536" s="2853">
        <v>122857.790146475</v>
      </c>
      <c r="F4536" s="2854">
        <v>1.0955149482513801E-2</v>
      </c>
      <c r="G4536" s="2855">
        <v>1.12140896020112E-2</v>
      </c>
    </row>
    <row r="4537" spans="1:7" x14ac:dyDescent="0.25">
      <c r="A4537" s="6" t="s">
        <v>1305</v>
      </c>
      <c r="B4537" s="6"/>
      <c r="C4537" s="2848">
        <v>1</v>
      </c>
      <c r="D4537" s="2848">
        <v>98978.519305146896</v>
      </c>
      <c r="E4537" s="2849">
        <v>99200.607766928602</v>
      </c>
      <c r="F4537" s="2850">
        <v>9.1337665978169294E-3</v>
      </c>
      <c r="G4537" s="2851">
        <v>9.1363897998549999E-3</v>
      </c>
    </row>
    <row r="4538" spans="1:7" x14ac:dyDescent="0.25">
      <c r="A4538" s="11" t="s">
        <v>1217</v>
      </c>
      <c r="B4538" s="11"/>
      <c r="C4538" s="2852">
        <v>2</v>
      </c>
      <c r="D4538" s="2852">
        <v>93171.793521006097</v>
      </c>
      <c r="E4538" s="2853">
        <v>93591.790463391604</v>
      </c>
      <c r="F4538" s="2854">
        <v>8.5979202507286707E-3</v>
      </c>
      <c r="G4538" s="2855">
        <v>8.6681013098682796E-3</v>
      </c>
    </row>
    <row r="4539" spans="1:7" x14ac:dyDescent="0.25">
      <c r="A4539" s="6" t="s">
        <v>1211</v>
      </c>
      <c r="B4539" s="6"/>
      <c r="C4539" s="2848">
        <v>2</v>
      </c>
      <c r="D4539" s="2848">
        <v>50328.689112789303</v>
      </c>
      <c r="E4539" s="2849">
        <v>50327.255082705</v>
      </c>
      <c r="F4539" s="2850">
        <v>4.6443460940560196E-3</v>
      </c>
      <c r="G4539" s="2851">
        <v>4.6442505769186803E-3</v>
      </c>
    </row>
    <row r="4540" spans="1:7" x14ac:dyDescent="0.25">
      <c r="A4540" s="11" t="s">
        <v>3346</v>
      </c>
      <c r="B4540" s="11"/>
      <c r="C4540" s="2852">
        <v>1</v>
      </c>
      <c r="D4540" s="2852">
        <v>50328.689112789303</v>
      </c>
      <c r="E4540" s="2853">
        <v>50327.255082705</v>
      </c>
      <c r="F4540" s="2854">
        <v>4.6443460940560196E-3</v>
      </c>
      <c r="G4540" s="2855">
        <v>4.6442505769186803E-3</v>
      </c>
    </row>
    <row r="4541" spans="1:7" x14ac:dyDescent="0.25">
      <c r="A4541" s="6" t="s">
        <v>3314</v>
      </c>
      <c r="B4541" s="6"/>
      <c r="C4541" s="2848">
        <v>2</v>
      </c>
      <c r="D4541" s="2848">
        <v>49023.858180126001</v>
      </c>
      <c r="E4541" s="2849">
        <v>49313.8613444324</v>
      </c>
      <c r="F4541" s="2850">
        <v>4.5239359154412503E-3</v>
      </c>
      <c r="G4541" s="2851">
        <v>4.5728445215431398E-3</v>
      </c>
    </row>
    <row r="4542" spans="1:7" x14ac:dyDescent="0.25">
      <c r="A4542" s="11" t="s">
        <v>6522</v>
      </c>
      <c r="B4542" s="11"/>
      <c r="C4542" s="2852">
        <v>1</v>
      </c>
      <c r="D4542" s="2852">
        <v>28914.798657064799</v>
      </c>
      <c r="E4542" s="2853">
        <v>28968.155868378399</v>
      </c>
      <c r="F4542" s="2854">
        <v>2.6682660440927302E-3</v>
      </c>
      <c r="G4542" s="2855">
        <v>2.6806528896183499E-3</v>
      </c>
    </row>
    <row r="4543" spans="1:7" x14ac:dyDescent="0.25">
      <c r="A4543" s="6" t="s">
        <v>3180</v>
      </c>
      <c r="B4543" s="6"/>
      <c r="C4543" s="2848">
        <v>1</v>
      </c>
      <c r="D4543" s="2848">
        <v>25220.6860965614</v>
      </c>
      <c r="E4543" s="2849">
        <v>25384.250012833101</v>
      </c>
      <c r="F4543" s="2850">
        <v>2.3273722607691002E-3</v>
      </c>
      <c r="G4543" s="2851">
        <v>2.3607814221151E-3</v>
      </c>
    </row>
    <row r="4544" spans="1:7" x14ac:dyDescent="0.25">
      <c r="A4544" s="11" t="s">
        <v>1088</v>
      </c>
      <c r="B4544" s="11" t="s">
        <v>1089</v>
      </c>
      <c r="C4544" s="2852">
        <v>182494</v>
      </c>
      <c r="D4544" s="2852">
        <v>30742784695.707901</v>
      </c>
      <c r="E4544" s="2853">
        <v>279478707.40574503</v>
      </c>
      <c r="F4544" s="2854">
        <v>99.975123500128404</v>
      </c>
      <c r="G4544" s="2855">
        <v>5.9196170644539598E-3</v>
      </c>
    </row>
    <row r="4545" spans="1:7" x14ac:dyDescent="0.25">
      <c r="A4545" s="6" t="s">
        <v>1084</v>
      </c>
      <c r="B4545" s="6" t="s">
        <v>1153</v>
      </c>
      <c r="C4545" s="2848">
        <v>20</v>
      </c>
      <c r="D4545" s="2848">
        <v>6263656.73760325</v>
      </c>
      <c r="E4545" s="2849">
        <v>1787141.7741092599</v>
      </c>
      <c r="F4545" s="2850">
        <v>2.0369327700874199E-2</v>
      </c>
      <c r="G4545" s="2851">
        <v>5.7148298540229099E-3</v>
      </c>
    </row>
    <row r="4546" spans="1:7" x14ac:dyDescent="0.25">
      <c r="A4546" s="11" t="s">
        <v>1086</v>
      </c>
      <c r="B4546" s="11" t="s">
        <v>1147</v>
      </c>
      <c r="C4546" s="2852">
        <v>4</v>
      </c>
      <c r="D4546" s="2852">
        <v>1385975.01839068</v>
      </c>
      <c r="E4546" s="2853">
        <v>1303344.1033383999</v>
      </c>
      <c r="F4546" s="2854">
        <v>4.5071721707450399E-3</v>
      </c>
      <c r="G4546" s="2855">
        <v>4.2368251794345103E-3</v>
      </c>
    </row>
    <row r="4547" spans="1:7" x14ac:dyDescent="0.25">
      <c r="A4547" s="6" t="s">
        <v>6417</v>
      </c>
      <c r="B4547" s="6" t="s">
        <v>6418</v>
      </c>
      <c r="C4547" s="2848">
        <v>3191</v>
      </c>
      <c r="D4547" s="2848">
        <v>1083655009.62991</v>
      </c>
      <c r="E4547" s="2849">
        <v>55526762.796056099</v>
      </c>
      <c r="F4547" s="2850">
        <v>3.40407102007851</v>
      </c>
      <c r="G4547" s="2851">
        <v>0.16361619072550099</v>
      </c>
    </row>
    <row r="4548" spans="1:7" x14ac:dyDescent="0.25">
      <c r="A4548" s="11" t="s">
        <v>6417</v>
      </c>
      <c r="B4548" s="11" t="s">
        <v>6419</v>
      </c>
      <c r="C4548" s="2852">
        <v>185709</v>
      </c>
      <c r="D4548" s="2852">
        <v>31834089337.0938</v>
      </c>
      <c r="E4548" s="2853">
        <v>0</v>
      </c>
      <c r="F4548" s="2854">
        <v>100</v>
      </c>
      <c r="G4548" s="2855">
        <v>0</v>
      </c>
    </row>
    <row r="4549" spans="1:7" x14ac:dyDescent="0.25">
      <c r="A4549" s="3729" t="s">
        <v>450</v>
      </c>
      <c r="B4549" s="3730"/>
      <c r="C4549" s="3730"/>
      <c r="D4549" s="3730"/>
      <c r="E4549" s="3730"/>
      <c r="F4549" s="3730"/>
      <c r="G4549" s="3730"/>
    </row>
    <row r="4550" spans="1:7" x14ac:dyDescent="0.25">
      <c r="A4550" s="11" t="s">
        <v>1292</v>
      </c>
      <c r="B4550" s="11"/>
      <c r="C4550" s="2860">
        <v>2363</v>
      </c>
      <c r="D4550" s="2860">
        <v>746543386.12261701</v>
      </c>
      <c r="E4550" s="2861">
        <v>42577090.565211996</v>
      </c>
      <c r="F4550" s="2862">
        <v>68.531786977373599</v>
      </c>
      <c r="G4550" s="2863">
        <v>2.15256363022494</v>
      </c>
    </row>
    <row r="4551" spans="1:7" x14ac:dyDescent="0.25">
      <c r="A4551" s="6" t="s">
        <v>6427</v>
      </c>
      <c r="B4551" s="6"/>
      <c r="C4551" s="2856">
        <v>569</v>
      </c>
      <c r="D4551" s="2856">
        <v>190040264.68022701</v>
      </c>
      <c r="E4551" s="2857">
        <v>20784865.589396801</v>
      </c>
      <c r="F4551" s="2858">
        <v>17.445468245096599</v>
      </c>
      <c r="G4551" s="2859">
        <v>1.7929388551452501</v>
      </c>
    </row>
    <row r="4552" spans="1:7" x14ac:dyDescent="0.25">
      <c r="A4552" s="11" t="s">
        <v>6426</v>
      </c>
      <c r="B4552" s="11"/>
      <c r="C4552" s="2860">
        <v>188</v>
      </c>
      <c r="D4552" s="2860">
        <v>98117071.837449804</v>
      </c>
      <c r="E4552" s="2861">
        <v>18690987.367678199</v>
      </c>
      <c r="F4552" s="2862">
        <v>9.0070294520074299</v>
      </c>
      <c r="G4552" s="2863">
        <v>1.6950154016279999</v>
      </c>
    </row>
    <row r="4553" spans="1:7" x14ac:dyDescent="0.25">
      <c r="A4553" s="6" t="s">
        <v>6429</v>
      </c>
      <c r="B4553" s="6"/>
      <c r="C4553" s="2856">
        <v>60</v>
      </c>
      <c r="D4553" s="2856">
        <v>34791687.647381201</v>
      </c>
      <c r="E4553" s="2857">
        <v>10473136.842447501</v>
      </c>
      <c r="F4553" s="2858">
        <v>3.1938351752298999</v>
      </c>
      <c r="G4553" s="2859">
        <v>0.91184985482200098</v>
      </c>
    </row>
    <row r="4554" spans="1:7" x14ac:dyDescent="0.25">
      <c r="A4554" s="11" t="s">
        <v>1123</v>
      </c>
      <c r="B4554" s="11"/>
      <c r="C4554" s="2860">
        <v>8</v>
      </c>
      <c r="D4554" s="2860">
        <v>9161025.5960860606</v>
      </c>
      <c r="E4554" s="2861">
        <v>6697114.31860206</v>
      </c>
      <c r="F4554" s="2862">
        <v>0.84097115628604502</v>
      </c>
      <c r="G4554" s="2863">
        <v>0.60873327834565405</v>
      </c>
    </row>
    <row r="4555" spans="1:7" x14ac:dyDescent="0.25">
      <c r="A4555" s="6" t="s">
        <v>6428</v>
      </c>
      <c r="B4555" s="6"/>
      <c r="C4555" s="2856">
        <v>8</v>
      </c>
      <c r="D4555" s="2856">
        <v>3750954.6891589798</v>
      </c>
      <c r="E4555" s="2857">
        <v>2335282.9762776201</v>
      </c>
      <c r="F4555" s="2858">
        <v>0.344333139235665</v>
      </c>
      <c r="G4555" s="2859">
        <v>0.20927616696225401</v>
      </c>
    </row>
    <row r="4556" spans="1:7" x14ac:dyDescent="0.25">
      <c r="A4556" s="11" t="s">
        <v>6430</v>
      </c>
      <c r="B4556" s="11"/>
      <c r="C4556" s="2860">
        <v>8</v>
      </c>
      <c r="D4556" s="2860">
        <v>3738094.27670157</v>
      </c>
      <c r="E4556" s="2861">
        <v>1428021.6963945201</v>
      </c>
      <c r="F4556" s="2862">
        <v>0.34315256880485601</v>
      </c>
      <c r="G4556" s="2863">
        <v>0.13102027282298001</v>
      </c>
    </row>
    <row r="4557" spans="1:7" x14ac:dyDescent="0.25">
      <c r="A4557" s="6" t="s">
        <v>6431</v>
      </c>
      <c r="B4557" s="6"/>
      <c r="C4557" s="2856">
        <v>3</v>
      </c>
      <c r="D4557" s="2856">
        <v>1715788.2940394999</v>
      </c>
      <c r="E4557" s="2857">
        <v>1564275.3819259501</v>
      </c>
      <c r="F4557" s="2858">
        <v>0.15750730640867699</v>
      </c>
      <c r="G4557" s="2859">
        <v>0.14356304500557601</v>
      </c>
    </row>
    <row r="4558" spans="1:7" x14ac:dyDescent="0.25">
      <c r="A4558" s="11" t="s">
        <v>6432</v>
      </c>
      <c r="B4558" s="11"/>
      <c r="C4558" s="2860">
        <v>2</v>
      </c>
      <c r="D4558" s="2860">
        <v>1226395.27095474</v>
      </c>
      <c r="E4558" s="2861">
        <v>1192186.4307151099</v>
      </c>
      <c r="F4558" s="2862">
        <v>0.11258161417201799</v>
      </c>
      <c r="G4558" s="2863">
        <v>0.109083100400874</v>
      </c>
    </row>
    <row r="4559" spans="1:7" x14ac:dyDescent="0.25">
      <c r="A4559" s="6" t="s">
        <v>6433</v>
      </c>
      <c r="B4559" s="6"/>
      <c r="C4559" s="2856">
        <v>1</v>
      </c>
      <c r="D4559" s="2856">
        <v>254190.309577526</v>
      </c>
      <c r="E4559" s="2857">
        <v>260024.42673987299</v>
      </c>
      <c r="F4559" s="2858">
        <v>2.3334365385186701E-2</v>
      </c>
      <c r="G4559" s="2859">
        <v>2.3829948847002201E-2</v>
      </c>
    </row>
    <row r="4560" spans="1:7" x14ac:dyDescent="0.25">
      <c r="A4560" s="11" t="s">
        <v>1088</v>
      </c>
      <c r="B4560" s="11" t="s">
        <v>1089</v>
      </c>
      <c r="C4560" s="2860">
        <v>182494</v>
      </c>
      <c r="D4560" s="2860">
        <v>30742784695.707901</v>
      </c>
      <c r="E4560" s="2861">
        <v>279478707.40574503</v>
      </c>
      <c r="F4560" s="2862">
        <v>99.993606119317505</v>
      </c>
      <c r="G4560" s="2863">
        <v>4.1733853921046803E-3</v>
      </c>
    </row>
    <row r="4561" spans="1:7" x14ac:dyDescent="0.25">
      <c r="A4561" s="6" t="s">
        <v>1084</v>
      </c>
      <c r="B4561" s="6" t="s">
        <v>1153</v>
      </c>
      <c r="C4561" s="2856">
        <v>4</v>
      </c>
      <c r="D4561" s="2856">
        <v>1900464.62109414</v>
      </c>
      <c r="E4561" s="2857">
        <v>1219008.2605707</v>
      </c>
      <c r="F4561" s="2858">
        <v>6.1814280211225101E-3</v>
      </c>
      <c r="G4561" s="2859">
        <v>3.9739318799226504E-3</v>
      </c>
    </row>
    <row r="4562" spans="1:7" x14ac:dyDescent="0.25">
      <c r="A4562" s="11" t="s">
        <v>1086</v>
      </c>
      <c r="B4562" s="11" t="s">
        <v>1147</v>
      </c>
      <c r="C4562" s="2860">
        <v>3</v>
      </c>
      <c r="D4562" s="2860">
        <v>65318.0406182929</v>
      </c>
      <c r="E4562" s="2861">
        <v>65458.531280668401</v>
      </c>
      <c r="F4562" s="2862">
        <v>2.1245266135513799E-4</v>
      </c>
      <c r="G4562" s="2863">
        <v>2.1283736993346199E-4</v>
      </c>
    </row>
    <row r="4563" spans="1:7" x14ac:dyDescent="0.25">
      <c r="A4563" s="6" t="s">
        <v>6417</v>
      </c>
      <c r="B4563" s="6" t="s">
        <v>6418</v>
      </c>
      <c r="C4563" s="2856">
        <v>3210</v>
      </c>
      <c r="D4563" s="2856">
        <v>1089338858.72419</v>
      </c>
      <c r="E4563" s="2857">
        <v>54760106.598707996</v>
      </c>
      <c r="F4563" s="2858">
        <v>3.42192561938585</v>
      </c>
      <c r="G4563" s="2859">
        <v>0.16045370255703001</v>
      </c>
    </row>
    <row r="4564" spans="1:7" x14ac:dyDescent="0.25">
      <c r="A4564" s="11" t="s">
        <v>6417</v>
      </c>
      <c r="B4564" s="11" t="s">
        <v>6419</v>
      </c>
      <c r="C4564" s="2860">
        <v>185711</v>
      </c>
      <c r="D4564" s="2860">
        <v>31834089337.0938</v>
      </c>
      <c r="E4564" s="2861">
        <v>0</v>
      </c>
      <c r="F4564" s="2862">
        <v>100</v>
      </c>
      <c r="G4564" s="2863">
        <v>0</v>
      </c>
    </row>
    <row r="4565" spans="1:7" x14ac:dyDescent="0.25">
      <c r="A4565" s="3729" t="s">
        <v>783</v>
      </c>
      <c r="B4565" s="3730"/>
      <c r="C4565" s="3730"/>
      <c r="D4565" s="3730"/>
      <c r="E4565" s="3730"/>
      <c r="F4565" s="3730"/>
      <c r="G4565" s="3730"/>
    </row>
    <row r="4566" spans="1:7" x14ac:dyDescent="0.25">
      <c r="A4566" s="11" t="s">
        <v>6430</v>
      </c>
      <c r="B4566" s="11"/>
      <c r="C4566" s="2868">
        <v>676</v>
      </c>
      <c r="D4566" s="2868">
        <v>248030885.679849</v>
      </c>
      <c r="E4566" s="2869">
        <v>17544731.548086699</v>
      </c>
      <c r="F4566" s="2870">
        <v>23.128361272796599</v>
      </c>
      <c r="G4566" s="2871">
        <v>1.1573692833026701</v>
      </c>
    </row>
    <row r="4567" spans="1:7" x14ac:dyDescent="0.25">
      <c r="A4567" s="6" t="s">
        <v>1123</v>
      </c>
      <c r="B4567" s="6"/>
      <c r="C4567" s="2864">
        <v>509</v>
      </c>
      <c r="D4567" s="2864">
        <v>187382961.312738</v>
      </c>
      <c r="E4567" s="2865">
        <v>15020936.694413301</v>
      </c>
      <c r="F4567" s="2866">
        <v>17.473069185429999</v>
      </c>
      <c r="G4567" s="2867">
        <v>0.96543689033705404</v>
      </c>
    </row>
    <row r="4568" spans="1:7" x14ac:dyDescent="0.25">
      <c r="A4568" s="11" t="s">
        <v>1133</v>
      </c>
      <c r="B4568" s="11"/>
      <c r="C4568" s="2868">
        <v>264</v>
      </c>
      <c r="D4568" s="2868">
        <v>101535640.399437</v>
      </c>
      <c r="E4568" s="2869">
        <v>12526324.464415601</v>
      </c>
      <c r="F4568" s="2870">
        <v>9.4679860807904905</v>
      </c>
      <c r="G4568" s="2871">
        <v>1.1781129040284399</v>
      </c>
    </row>
    <row r="4569" spans="1:7" x14ac:dyDescent="0.25">
      <c r="A4569" s="6" t="s">
        <v>6426</v>
      </c>
      <c r="B4569" s="6"/>
      <c r="C4569" s="2864">
        <v>252</v>
      </c>
      <c r="D4569" s="2864">
        <v>83562734.961074397</v>
      </c>
      <c r="E4569" s="2865">
        <v>15609230.059565</v>
      </c>
      <c r="F4569" s="2866">
        <v>7.7920502433608796</v>
      </c>
      <c r="G4569" s="2867">
        <v>1.2194283766169101</v>
      </c>
    </row>
    <row r="4570" spans="1:7" x14ac:dyDescent="0.25">
      <c r="A4570" s="11" t="s">
        <v>6427</v>
      </c>
      <c r="B4570" s="11"/>
      <c r="C4570" s="2868">
        <v>264</v>
      </c>
      <c r="D4570" s="2868">
        <v>79926025.433351606</v>
      </c>
      <c r="E4570" s="2869">
        <v>9780594.7347606197</v>
      </c>
      <c r="F4570" s="2870">
        <v>7.4529346869621396</v>
      </c>
      <c r="G4570" s="2871">
        <v>0.87785467165478603</v>
      </c>
    </row>
    <row r="4571" spans="1:7" x14ac:dyDescent="0.25">
      <c r="A4571" s="6" t="s">
        <v>6429</v>
      </c>
      <c r="B4571" s="6"/>
      <c r="C4571" s="2864">
        <v>184</v>
      </c>
      <c r="D4571" s="2864">
        <v>65106223.7057257</v>
      </c>
      <c r="E4571" s="2865">
        <v>8138135.2943540104</v>
      </c>
      <c r="F4571" s="2866">
        <v>6.07101917507637</v>
      </c>
      <c r="G4571" s="2867">
        <v>0.72273717787786895</v>
      </c>
    </row>
    <row r="4572" spans="1:7" x14ac:dyDescent="0.25">
      <c r="A4572" s="11" t="s">
        <v>1295</v>
      </c>
      <c r="B4572" s="11"/>
      <c r="C4572" s="2868">
        <v>144</v>
      </c>
      <c r="D4572" s="2868">
        <v>55256050.040758602</v>
      </c>
      <c r="E4572" s="2869">
        <v>11548104.1654146</v>
      </c>
      <c r="F4572" s="2870">
        <v>5.1525110848492304</v>
      </c>
      <c r="G4572" s="2871">
        <v>0.97139142698376102</v>
      </c>
    </row>
    <row r="4573" spans="1:7" x14ac:dyDescent="0.25">
      <c r="A4573" s="6" t="s">
        <v>6432</v>
      </c>
      <c r="B4573" s="6"/>
      <c r="C4573" s="2864">
        <v>110</v>
      </c>
      <c r="D4573" s="2864">
        <v>40867035.0988013</v>
      </c>
      <c r="E4573" s="2865">
        <v>6916510.9758803099</v>
      </c>
      <c r="F4573" s="2866">
        <v>3.8107655396318498</v>
      </c>
      <c r="G4573" s="2867">
        <v>0.72161261075452299</v>
      </c>
    </row>
    <row r="4574" spans="1:7" x14ac:dyDescent="0.25">
      <c r="A4574" s="11" t="s">
        <v>6428</v>
      </c>
      <c r="B4574" s="11"/>
      <c r="C4574" s="2868">
        <v>97</v>
      </c>
      <c r="D4574" s="2868">
        <v>28145437.692146599</v>
      </c>
      <c r="E4574" s="2869">
        <v>4936732.9624698497</v>
      </c>
      <c r="F4574" s="2870">
        <v>2.6245031917726198</v>
      </c>
      <c r="G4574" s="2871">
        <v>0.39040682817814698</v>
      </c>
    </row>
    <row r="4575" spans="1:7" x14ac:dyDescent="0.25">
      <c r="A4575" s="6" t="s">
        <v>6433</v>
      </c>
      <c r="B4575" s="6"/>
      <c r="C4575" s="2864">
        <v>78</v>
      </c>
      <c r="D4575" s="2864">
        <v>27645224.320942599</v>
      </c>
      <c r="E4575" s="2865">
        <v>7268362.3179999096</v>
      </c>
      <c r="F4575" s="2866">
        <v>2.5778593412256301</v>
      </c>
      <c r="G4575" s="2867">
        <v>0.67524962026602298</v>
      </c>
    </row>
    <row r="4576" spans="1:7" x14ac:dyDescent="0.25">
      <c r="A4576" s="11" t="s">
        <v>6431</v>
      </c>
      <c r="B4576" s="11"/>
      <c r="C4576" s="2868">
        <v>66</v>
      </c>
      <c r="D4576" s="2868">
        <v>25069102.073926501</v>
      </c>
      <c r="E4576" s="2869">
        <v>6642222.5337263402</v>
      </c>
      <c r="F4576" s="2870">
        <v>2.3376413302768499</v>
      </c>
      <c r="G4576" s="2871">
        <v>0.618073971592354</v>
      </c>
    </row>
    <row r="4577" spans="1:7" x14ac:dyDescent="0.25">
      <c r="A4577" s="6" t="s">
        <v>1297</v>
      </c>
      <c r="B4577" s="6"/>
      <c r="C4577" s="2864">
        <v>70</v>
      </c>
      <c r="D4577" s="2864">
        <v>23682904.061397102</v>
      </c>
      <c r="E4577" s="2865">
        <v>6843327.7648670897</v>
      </c>
      <c r="F4577" s="2866">
        <v>2.2083812651783701</v>
      </c>
      <c r="G4577" s="2867">
        <v>0.603653868377242</v>
      </c>
    </row>
    <row r="4578" spans="1:7" x14ac:dyDescent="0.25">
      <c r="A4578" s="11" t="s">
        <v>1292</v>
      </c>
      <c r="B4578" s="11"/>
      <c r="C4578" s="2868">
        <v>131</v>
      </c>
      <c r="D4578" s="2868">
        <v>20005549.4836451</v>
      </c>
      <c r="E4578" s="2869">
        <v>5714588.9559707204</v>
      </c>
      <c r="F4578" s="2870">
        <v>1.8654756428833901</v>
      </c>
      <c r="G4578" s="2871">
        <v>0.53540397125317096</v>
      </c>
    </row>
    <row r="4579" spans="1:7" x14ac:dyDescent="0.25">
      <c r="A4579" s="6" t="s">
        <v>1127</v>
      </c>
      <c r="B4579" s="6"/>
      <c r="C4579" s="2864">
        <v>52</v>
      </c>
      <c r="D4579" s="2864">
        <v>16986209.912498001</v>
      </c>
      <c r="E4579" s="2865">
        <v>2965932.4935293901</v>
      </c>
      <c r="F4579" s="2866">
        <v>1.5839285435560999</v>
      </c>
      <c r="G4579" s="2867">
        <v>0.29973888495769302</v>
      </c>
    </row>
    <row r="4580" spans="1:7" x14ac:dyDescent="0.25">
      <c r="A4580" s="11" t="s">
        <v>3172</v>
      </c>
      <c r="B4580" s="11"/>
      <c r="C4580" s="2868">
        <v>45</v>
      </c>
      <c r="D4580" s="2868">
        <v>10215297.4148743</v>
      </c>
      <c r="E4580" s="2869">
        <v>2615089.27701029</v>
      </c>
      <c r="F4580" s="2870">
        <v>0.95255511616097299</v>
      </c>
      <c r="G4580" s="2871">
        <v>0.237138936952072</v>
      </c>
    </row>
    <row r="4581" spans="1:7" x14ac:dyDescent="0.25">
      <c r="A4581" s="6" t="s">
        <v>6434</v>
      </c>
      <c r="B4581" s="6"/>
      <c r="C4581" s="2864">
        <v>22</v>
      </c>
      <c r="D4581" s="2864">
        <v>6794679.1579020098</v>
      </c>
      <c r="E4581" s="2865">
        <v>2121814.7057374101</v>
      </c>
      <c r="F4581" s="2866">
        <v>0.63358961875233399</v>
      </c>
      <c r="G4581" s="2867">
        <v>0.20003148712577701</v>
      </c>
    </row>
    <row r="4582" spans="1:7" x14ac:dyDescent="0.25">
      <c r="A4582" s="11" t="s">
        <v>1299</v>
      </c>
      <c r="B4582" s="11"/>
      <c r="C4582" s="2868">
        <v>17</v>
      </c>
      <c r="D4582" s="2868">
        <v>6171963.0985668199</v>
      </c>
      <c r="E4582" s="2869">
        <v>2351814.2724512601</v>
      </c>
      <c r="F4582" s="2870">
        <v>0.57552264878123705</v>
      </c>
      <c r="G4582" s="2871">
        <v>0.20544764506660601</v>
      </c>
    </row>
    <row r="4583" spans="1:7" x14ac:dyDescent="0.25">
      <c r="A4583" s="6" t="s">
        <v>1129</v>
      </c>
      <c r="B4583" s="6"/>
      <c r="C4583" s="2864">
        <v>14</v>
      </c>
      <c r="D4583" s="2864">
        <v>5947522.6024490297</v>
      </c>
      <c r="E4583" s="2865">
        <v>2730881.0388055802</v>
      </c>
      <c r="F4583" s="2866">
        <v>0.55459404199007201</v>
      </c>
      <c r="G4583" s="2867">
        <v>0.26239935099359701</v>
      </c>
    </row>
    <row r="4584" spans="1:7" x14ac:dyDescent="0.25">
      <c r="A4584" s="11" t="s">
        <v>1139</v>
      </c>
      <c r="B4584" s="11"/>
      <c r="C4584" s="2868">
        <v>10</v>
      </c>
      <c r="D4584" s="2868">
        <v>3794862.8603251502</v>
      </c>
      <c r="E4584" s="2869">
        <v>1540131.3468188299</v>
      </c>
      <c r="F4584" s="2870">
        <v>0.353863023847796</v>
      </c>
      <c r="G4584" s="2871">
        <v>0.14457634426934601</v>
      </c>
    </row>
    <row r="4585" spans="1:7" x14ac:dyDescent="0.25">
      <c r="A4585" s="6" t="s">
        <v>1303</v>
      </c>
      <c r="B4585" s="6"/>
      <c r="C4585" s="2864">
        <v>8</v>
      </c>
      <c r="D4585" s="2864">
        <v>3181222.9463034901</v>
      </c>
      <c r="E4585" s="2865">
        <v>1264008.0266710699</v>
      </c>
      <c r="F4585" s="2866">
        <v>0.29664238544222299</v>
      </c>
      <c r="G4585" s="2867">
        <v>0.11302359180066</v>
      </c>
    </row>
    <row r="4586" spans="1:7" x14ac:dyDescent="0.25">
      <c r="A4586" s="11" t="s">
        <v>1125</v>
      </c>
      <c r="B4586" s="11"/>
      <c r="C4586" s="2868">
        <v>10</v>
      </c>
      <c r="D4586" s="2868">
        <v>3044239.1753804702</v>
      </c>
      <c r="E4586" s="2869">
        <v>1342205.56757603</v>
      </c>
      <c r="F4586" s="2870">
        <v>0.28386893533848401</v>
      </c>
      <c r="G4586" s="2871">
        <v>0.12109005409118601</v>
      </c>
    </row>
    <row r="4587" spans="1:7" x14ac:dyDescent="0.25">
      <c r="A4587" s="6" t="s">
        <v>3201</v>
      </c>
      <c r="B4587" s="6"/>
      <c r="C4587" s="2864">
        <v>23</v>
      </c>
      <c r="D4587" s="2864">
        <v>2889609.83496211</v>
      </c>
      <c r="E4587" s="2865">
        <v>846954.02730183594</v>
      </c>
      <c r="F4587" s="2866">
        <v>0.2694500727893</v>
      </c>
      <c r="G4587" s="2867">
        <v>8.4363966446300398E-2</v>
      </c>
    </row>
    <row r="4588" spans="1:7" x14ac:dyDescent="0.25">
      <c r="A4588" s="11" t="s">
        <v>3215</v>
      </c>
      <c r="B4588" s="11"/>
      <c r="C4588" s="2868">
        <v>2</v>
      </c>
      <c r="D4588" s="2868">
        <v>2852448.7095208098</v>
      </c>
      <c r="E4588" s="2869">
        <v>1842466.16605689</v>
      </c>
      <c r="F4588" s="2870">
        <v>0.26598487557341999</v>
      </c>
      <c r="G4588" s="2871">
        <v>0.177475952126847</v>
      </c>
    </row>
    <row r="4589" spans="1:7" x14ac:dyDescent="0.25">
      <c r="A4589" s="6" t="s">
        <v>1137</v>
      </c>
      <c r="B4589" s="6"/>
      <c r="C4589" s="2864">
        <v>11</v>
      </c>
      <c r="D4589" s="2864">
        <v>2263708.8072311501</v>
      </c>
      <c r="E4589" s="2865">
        <v>894604.21989683097</v>
      </c>
      <c r="F4589" s="2866">
        <v>0.21108611117743201</v>
      </c>
      <c r="G4589" s="2867">
        <v>8.7598281758523203E-2</v>
      </c>
    </row>
    <row r="4590" spans="1:7" x14ac:dyDescent="0.25">
      <c r="A4590" s="11" t="s">
        <v>3174</v>
      </c>
      <c r="B4590" s="11"/>
      <c r="C4590" s="2868">
        <v>3</v>
      </c>
      <c r="D4590" s="2868">
        <v>2251285.8502012701</v>
      </c>
      <c r="E4590" s="2869">
        <v>1130794.5474667801</v>
      </c>
      <c r="F4590" s="2870">
        <v>0.20992769642002801</v>
      </c>
      <c r="G4590" s="2871">
        <v>0.105373309698479</v>
      </c>
    </row>
    <row r="4591" spans="1:7" x14ac:dyDescent="0.25">
      <c r="A4591" s="6" t="s">
        <v>1189</v>
      </c>
      <c r="B4591" s="6"/>
      <c r="C4591" s="2864">
        <v>4</v>
      </c>
      <c r="D4591" s="2864">
        <v>2165714.4225601698</v>
      </c>
      <c r="E4591" s="2865">
        <v>2183869.0588358999</v>
      </c>
      <c r="F4591" s="2866">
        <v>0.201948339785923</v>
      </c>
      <c r="G4591" s="2867">
        <v>0.20535554451633301</v>
      </c>
    </row>
    <row r="4592" spans="1:7" x14ac:dyDescent="0.25">
      <c r="A4592" s="11" t="s">
        <v>3187</v>
      </c>
      <c r="B4592" s="11"/>
      <c r="C4592" s="2868">
        <v>12</v>
      </c>
      <c r="D4592" s="2868">
        <v>2111372.17565445</v>
      </c>
      <c r="E4592" s="2869">
        <v>997886.904720461</v>
      </c>
      <c r="F4592" s="2870">
        <v>0.19688103893197501</v>
      </c>
      <c r="G4592" s="2871">
        <v>9.14651538932508E-2</v>
      </c>
    </row>
    <row r="4593" spans="1:7" x14ac:dyDescent="0.25">
      <c r="A4593" s="6" t="s">
        <v>1301</v>
      </c>
      <c r="B4593" s="6"/>
      <c r="C4593" s="2864">
        <v>6</v>
      </c>
      <c r="D4593" s="2864">
        <v>2096089.8999945</v>
      </c>
      <c r="E4593" s="2865">
        <v>1018811.4959013599</v>
      </c>
      <c r="F4593" s="2866">
        <v>0.19545599869327701</v>
      </c>
      <c r="G4593" s="2867">
        <v>9.8971342965655199E-2</v>
      </c>
    </row>
    <row r="4594" spans="1:7" x14ac:dyDescent="0.25">
      <c r="A4594" s="11" t="s">
        <v>1305</v>
      </c>
      <c r="B4594" s="11"/>
      <c r="C4594" s="2868">
        <v>3</v>
      </c>
      <c r="D4594" s="2868">
        <v>1517087.62419526</v>
      </c>
      <c r="E4594" s="2869">
        <v>1031743.6440306</v>
      </c>
      <c r="F4594" s="2870">
        <v>0.14146524759890999</v>
      </c>
      <c r="G4594" s="2871">
        <v>0.10034108984710199</v>
      </c>
    </row>
    <row r="4595" spans="1:7" x14ac:dyDescent="0.25">
      <c r="A4595" s="6" t="s">
        <v>1197</v>
      </c>
      <c r="B4595" s="6"/>
      <c r="C4595" s="2864">
        <v>2</v>
      </c>
      <c r="D4595" s="2864">
        <v>1186987.3031508501</v>
      </c>
      <c r="E4595" s="2865">
        <v>754074.35398449097</v>
      </c>
      <c r="F4595" s="2866">
        <v>0.110684083146528</v>
      </c>
      <c r="G4595" s="2867">
        <v>6.8408193942158801E-2</v>
      </c>
    </row>
    <row r="4596" spans="1:7" x14ac:dyDescent="0.25">
      <c r="A4596" s="11" t="s">
        <v>1131</v>
      </c>
      <c r="B4596" s="11"/>
      <c r="C4596" s="2868">
        <v>7</v>
      </c>
      <c r="D4596" s="2868">
        <v>1176213.0049972699</v>
      </c>
      <c r="E4596" s="2869">
        <v>576855.14872627298</v>
      </c>
      <c r="F4596" s="2870">
        <v>0.10967940238076899</v>
      </c>
      <c r="G4596" s="2871">
        <v>5.4164460219776098E-2</v>
      </c>
    </row>
    <row r="4597" spans="1:7" x14ac:dyDescent="0.25">
      <c r="A4597" s="6" t="s">
        <v>1193</v>
      </c>
      <c r="B4597" s="6"/>
      <c r="C4597" s="2864">
        <v>3</v>
      </c>
      <c r="D4597" s="2864">
        <v>1105285.8435479801</v>
      </c>
      <c r="E4597" s="2865">
        <v>907688.57937847497</v>
      </c>
      <c r="F4597" s="2866">
        <v>0.10306559293700999</v>
      </c>
      <c r="G4597" s="2867">
        <v>8.3270879261342898E-2</v>
      </c>
    </row>
    <row r="4598" spans="1:7" x14ac:dyDescent="0.25">
      <c r="A4598" s="11" t="s">
        <v>1309</v>
      </c>
      <c r="B4598" s="11"/>
      <c r="C4598" s="2868">
        <v>11</v>
      </c>
      <c r="D4598" s="2868">
        <v>1014998.94516251</v>
      </c>
      <c r="E4598" s="2869">
        <v>777118.22053795401</v>
      </c>
      <c r="F4598" s="2870">
        <v>9.4646528519545595E-2</v>
      </c>
      <c r="G4598" s="2871">
        <v>7.19479426172802E-2</v>
      </c>
    </row>
    <row r="4599" spans="1:7" x14ac:dyDescent="0.25">
      <c r="A4599" s="6" t="s">
        <v>1191</v>
      </c>
      <c r="B4599" s="6"/>
      <c r="C4599" s="2864">
        <v>2</v>
      </c>
      <c r="D4599" s="2864">
        <v>956878.85687520902</v>
      </c>
      <c r="E4599" s="2865">
        <v>632082.78920359199</v>
      </c>
      <c r="F4599" s="2866">
        <v>8.92269518590382E-2</v>
      </c>
      <c r="G4599" s="2867">
        <v>6.0019754379269902E-2</v>
      </c>
    </row>
    <row r="4600" spans="1:7" x14ac:dyDescent="0.25">
      <c r="A4600" s="11" t="s">
        <v>1111</v>
      </c>
      <c r="B4600" s="11"/>
      <c r="C4600" s="2868">
        <v>1</v>
      </c>
      <c r="D4600" s="2868">
        <v>669606.22145757405</v>
      </c>
      <c r="E4600" s="2869">
        <v>675492.40900331398</v>
      </c>
      <c r="F4600" s="2870">
        <v>6.2439379506845201E-2</v>
      </c>
      <c r="G4600" s="2871">
        <v>6.2821307775429006E-2</v>
      </c>
    </row>
    <row r="4601" spans="1:7" x14ac:dyDescent="0.25">
      <c r="A4601" s="6" t="s">
        <v>3209</v>
      </c>
      <c r="B4601" s="6"/>
      <c r="C4601" s="2864">
        <v>1</v>
      </c>
      <c r="D4601" s="2864">
        <v>599601.62695081404</v>
      </c>
      <c r="E4601" s="2865">
        <v>609746.06440546503</v>
      </c>
      <c r="F4601" s="2866">
        <v>5.5911597500704902E-2</v>
      </c>
      <c r="G4601" s="2867">
        <v>5.64015363212933E-2</v>
      </c>
    </row>
    <row r="4602" spans="1:7" x14ac:dyDescent="0.25">
      <c r="A4602" s="11" t="s">
        <v>1135</v>
      </c>
      <c r="B4602" s="11"/>
      <c r="C4602" s="2868">
        <v>4</v>
      </c>
      <c r="D4602" s="2868">
        <v>551103.72728521598</v>
      </c>
      <c r="E4602" s="2869">
        <v>339358.25772201398</v>
      </c>
      <c r="F4602" s="2870">
        <v>5.1389269802026197E-2</v>
      </c>
      <c r="G4602" s="2871">
        <v>3.1002387248302302E-2</v>
      </c>
    </row>
    <row r="4603" spans="1:7" x14ac:dyDescent="0.25">
      <c r="A4603" s="6" t="s">
        <v>1201</v>
      </c>
      <c r="B4603" s="6"/>
      <c r="C4603" s="2864">
        <v>1</v>
      </c>
      <c r="D4603" s="2864">
        <v>501931.90845026902</v>
      </c>
      <c r="E4603" s="2865">
        <v>512386.96790886601</v>
      </c>
      <c r="F4603" s="2866">
        <v>4.6804100550471302E-2</v>
      </c>
      <c r="G4603" s="2867">
        <v>4.7742888545560497E-2</v>
      </c>
    </row>
    <row r="4604" spans="1:7" x14ac:dyDescent="0.25">
      <c r="A4604" s="11" t="s">
        <v>1314</v>
      </c>
      <c r="B4604" s="11"/>
      <c r="C4604" s="2868">
        <v>7</v>
      </c>
      <c r="D4604" s="2868">
        <v>459186.17255657102</v>
      </c>
      <c r="E4604" s="2869">
        <v>295399.67639498698</v>
      </c>
      <c r="F4604" s="2870">
        <v>4.2818150091474397E-2</v>
      </c>
      <c r="G4604" s="2871">
        <v>2.8766799745126501E-2</v>
      </c>
    </row>
    <row r="4605" spans="1:7" x14ac:dyDescent="0.25">
      <c r="A4605" s="6" t="s">
        <v>6526</v>
      </c>
      <c r="B4605" s="6"/>
      <c r="C4605" s="2864">
        <v>2</v>
      </c>
      <c r="D4605" s="2864">
        <v>434768.54114965798</v>
      </c>
      <c r="E4605" s="2865">
        <v>440769.544031183</v>
      </c>
      <c r="F4605" s="2866">
        <v>4.0541257038187402E-2</v>
      </c>
      <c r="G4605" s="2867">
        <v>4.1067172680721797E-2</v>
      </c>
    </row>
    <row r="4606" spans="1:7" x14ac:dyDescent="0.25">
      <c r="A4606" s="11" t="s">
        <v>3234</v>
      </c>
      <c r="B4606" s="11"/>
      <c r="C4606" s="2868">
        <v>4</v>
      </c>
      <c r="D4606" s="2868">
        <v>409140.06619114301</v>
      </c>
      <c r="E4606" s="2869">
        <v>281502.37356545997</v>
      </c>
      <c r="F4606" s="2870">
        <v>3.8151455356487E-2</v>
      </c>
      <c r="G4606" s="2871">
        <v>2.5548641373029701E-2</v>
      </c>
    </row>
    <row r="4607" spans="1:7" x14ac:dyDescent="0.25">
      <c r="A4607" s="6" t="s">
        <v>6669</v>
      </c>
      <c r="B4607" s="6"/>
      <c r="C4607" s="2864">
        <v>1</v>
      </c>
      <c r="D4607" s="2864">
        <v>375327.97684652603</v>
      </c>
      <c r="E4607" s="2865">
        <v>377395.938281479</v>
      </c>
      <c r="F4607" s="2866">
        <v>3.4998548751299999E-2</v>
      </c>
      <c r="G4607" s="2867">
        <v>3.5318856431142999E-2</v>
      </c>
    </row>
    <row r="4608" spans="1:7" x14ac:dyDescent="0.25">
      <c r="A4608" s="11" t="s">
        <v>3323</v>
      </c>
      <c r="B4608" s="11"/>
      <c r="C4608" s="2868">
        <v>1</v>
      </c>
      <c r="D4608" s="2868">
        <v>369400.07530344801</v>
      </c>
      <c r="E4608" s="2869">
        <v>373424.81302271702</v>
      </c>
      <c r="F4608" s="2870">
        <v>3.4445784332054002E-2</v>
      </c>
      <c r="G4608" s="2871">
        <v>3.5020927218923803E-2</v>
      </c>
    </row>
    <row r="4609" spans="1:7" x14ac:dyDescent="0.25">
      <c r="A4609" s="6" t="s">
        <v>6525</v>
      </c>
      <c r="B4609" s="6"/>
      <c r="C4609" s="2864">
        <v>1</v>
      </c>
      <c r="D4609" s="2864">
        <v>348407.26042669802</v>
      </c>
      <c r="E4609" s="2865">
        <v>346698.06473384402</v>
      </c>
      <c r="F4609" s="2866">
        <v>3.2488248256369E-2</v>
      </c>
      <c r="G4609" s="2867">
        <v>3.22999554559949E-2</v>
      </c>
    </row>
    <row r="4610" spans="1:7" x14ac:dyDescent="0.25">
      <c r="A4610" s="11" t="s">
        <v>6524</v>
      </c>
      <c r="B4610" s="11"/>
      <c r="C4610" s="2868">
        <v>1</v>
      </c>
      <c r="D4610" s="2868">
        <v>294913.94495756901</v>
      </c>
      <c r="E4610" s="2869">
        <v>297113.35748090298</v>
      </c>
      <c r="F4610" s="2870">
        <v>2.75001084831367E-2</v>
      </c>
      <c r="G4610" s="2871">
        <v>2.7669740065029501E-2</v>
      </c>
    </row>
    <row r="4611" spans="1:7" x14ac:dyDescent="0.25">
      <c r="A4611" s="6" t="s">
        <v>3189</v>
      </c>
      <c r="B4611" s="6"/>
      <c r="C4611" s="2864">
        <v>2</v>
      </c>
      <c r="D4611" s="2864">
        <v>261009.57923477999</v>
      </c>
      <c r="E4611" s="2865">
        <v>232340.09473790901</v>
      </c>
      <c r="F4611" s="2866">
        <v>2.4338597298703499E-2</v>
      </c>
      <c r="G4611" s="2867">
        <v>2.1649092090922799E-2</v>
      </c>
    </row>
    <row r="4612" spans="1:7" x14ac:dyDescent="0.25">
      <c r="A4612" s="11" t="s">
        <v>3180</v>
      </c>
      <c r="B4612" s="11"/>
      <c r="C4612" s="2868">
        <v>1</v>
      </c>
      <c r="D4612" s="2868">
        <v>230599.65348579199</v>
      </c>
      <c r="E4612" s="2869">
        <v>230770.92141315</v>
      </c>
      <c r="F4612" s="2870">
        <v>2.1502935332357399E-2</v>
      </c>
      <c r="G4612" s="2871">
        <v>2.1520566078973499E-2</v>
      </c>
    </row>
    <row r="4613" spans="1:7" x14ac:dyDescent="0.25">
      <c r="A4613" s="6" t="s">
        <v>3195</v>
      </c>
      <c r="B4613" s="6"/>
      <c r="C4613" s="2864">
        <v>1</v>
      </c>
      <c r="D4613" s="2864">
        <v>218534.62030968501</v>
      </c>
      <c r="E4613" s="2865">
        <v>223368.34771185199</v>
      </c>
      <c r="F4613" s="2866">
        <v>2.0377896225633099E-2</v>
      </c>
      <c r="G4613" s="2867">
        <v>2.07077907965381E-2</v>
      </c>
    </row>
    <row r="4614" spans="1:7" x14ac:dyDescent="0.25">
      <c r="A4614" s="11" t="s">
        <v>1199</v>
      </c>
      <c r="B4614" s="11"/>
      <c r="C4614" s="2868">
        <v>1</v>
      </c>
      <c r="D4614" s="2868">
        <v>193506.97407190001</v>
      </c>
      <c r="E4614" s="2869">
        <v>193098.14095152001</v>
      </c>
      <c r="F4614" s="2870">
        <v>1.8044120565361501E-2</v>
      </c>
      <c r="G4614" s="2871">
        <v>1.8002156032142301E-2</v>
      </c>
    </row>
    <row r="4615" spans="1:7" x14ac:dyDescent="0.25">
      <c r="A4615" s="6" t="s">
        <v>1187</v>
      </c>
      <c r="B4615" s="6"/>
      <c r="C4615" s="2864">
        <v>2</v>
      </c>
      <c r="D4615" s="2864">
        <v>157382.801464166</v>
      </c>
      <c r="E4615" s="2865">
        <v>158281.19791083701</v>
      </c>
      <c r="F4615" s="2866">
        <v>1.46756170321726E-2</v>
      </c>
      <c r="G4615" s="2867">
        <v>1.47586105665659E-2</v>
      </c>
    </row>
    <row r="4616" spans="1:7" x14ac:dyDescent="0.25">
      <c r="A4616" s="11" t="s">
        <v>1237</v>
      </c>
      <c r="B4616" s="11"/>
      <c r="C4616" s="2868">
        <v>1</v>
      </c>
      <c r="D4616" s="2868">
        <v>102204.08347215599</v>
      </c>
      <c r="E4616" s="2869">
        <v>103755.318977423</v>
      </c>
      <c r="F4616" s="2870">
        <v>9.5303169991104598E-3</v>
      </c>
      <c r="G4616" s="2871">
        <v>9.6017972432525193E-3</v>
      </c>
    </row>
    <row r="4617" spans="1:7" x14ac:dyDescent="0.25">
      <c r="A4617" s="6" t="s">
        <v>3191</v>
      </c>
      <c r="B4617" s="6"/>
      <c r="C4617" s="2864">
        <v>1</v>
      </c>
      <c r="D4617" s="2864">
        <v>54848.421212531</v>
      </c>
      <c r="E4617" s="2865">
        <v>55423.964231769503</v>
      </c>
      <c r="F4617" s="2866">
        <v>5.1145005492717202E-3</v>
      </c>
      <c r="G4617" s="2867">
        <v>5.18624406680204E-3</v>
      </c>
    </row>
    <row r="4618" spans="1:7" x14ac:dyDescent="0.25">
      <c r="A4618" s="11" t="s">
        <v>1307</v>
      </c>
      <c r="B4618" s="11"/>
      <c r="C4618" s="2868">
        <v>1</v>
      </c>
      <c r="D4618" s="2868">
        <v>50328.689112789303</v>
      </c>
      <c r="E4618" s="2869">
        <v>50327.255082705</v>
      </c>
      <c r="F4618" s="2870">
        <v>4.6930449850884296E-3</v>
      </c>
      <c r="G4618" s="2871">
        <v>4.6925952339639601E-3</v>
      </c>
    </row>
    <row r="4619" spans="1:7" x14ac:dyDescent="0.25">
      <c r="A4619" s="6" t="s">
        <v>1213</v>
      </c>
      <c r="B4619" s="6"/>
      <c r="C4619" s="2864">
        <v>1</v>
      </c>
      <c r="D4619" s="2864">
        <v>35150.220097024197</v>
      </c>
      <c r="E4619" s="2865">
        <v>35511.412457417602</v>
      </c>
      <c r="F4619" s="2866">
        <v>3.2776844988234499E-3</v>
      </c>
      <c r="G4619" s="2867">
        <v>3.3158275317373099E-3</v>
      </c>
    </row>
    <row r="4620" spans="1:7" x14ac:dyDescent="0.25">
      <c r="A4620" s="11" t="s">
        <v>1221</v>
      </c>
      <c r="B4620" s="11"/>
      <c r="C4620" s="2868">
        <v>1</v>
      </c>
      <c r="D4620" s="2868">
        <v>32264.1434756743</v>
      </c>
      <c r="E4620" s="2869">
        <v>32039.6794138974</v>
      </c>
      <c r="F4620" s="2870">
        <v>3.0085638908129101E-3</v>
      </c>
      <c r="G4620" s="2871">
        <v>2.99476379451361E-3</v>
      </c>
    </row>
    <row r="4621" spans="1:7" x14ac:dyDescent="0.25">
      <c r="A4621" s="6" t="s">
        <v>6830</v>
      </c>
      <c r="B4621" s="6"/>
      <c r="C4621" s="2864">
        <v>1</v>
      </c>
      <c r="D4621" s="2864">
        <v>31805.219740577199</v>
      </c>
      <c r="E4621" s="2865">
        <v>31694.244013531501</v>
      </c>
      <c r="F4621" s="2866">
        <v>2.9657702124655798E-3</v>
      </c>
      <c r="G4621" s="2867">
        <v>2.94826059726461E-3</v>
      </c>
    </row>
    <row r="4622" spans="1:7" x14ac:dyDescent="0.25">
      <c r="A4622" s="11" t="s">
        <v>1203</v>
      </c>
      <c r="B4622" s="11"/>
      <c r="C4622" s="2868">
        <v>1</v>
      </c>
      <c r="D4622" s="2868">
        <v>29581.090241798302</v>
      </c>
      <c r="E4622" s="2869">
        <v>29574.390607194699</v>
      </c>
      <c r="F4622" s="2870">
        <v>2.7583747890115901E-3</v>
      </c>
      <c r="G4622" s="2871">
        <v>2.7514914379733698E-3</v>
      </c>
    </row>
    <row r="4623" spans="1:7" x14ac:dyDescent="0.25">
      <c r="A4623" s="6" t="s">
        <v>3178</v>
      </c>
      <c r="B4623" s="6"/>
      <c r="C4623" s="2864">
        <v>2</v>
      </c>
      <c r="D4623" s="2864">
        <v>22760.357983960399</v>
      </c>
      <c r="E4623" s="2865">
        <v>22834.190500047302</v>
      </c>
      <c r="F4623" s="2866">
        <v>2.12235577318662E-3</v>
      </c>
      <c r="G4623" s="2867">
        <v>2.1174424196682101E-3</v>
      </c>
    </row>
    <row r="4624" spans="1:7" x14ac:dyDescent="0.25">
      <c r="A4624" s="11" t="s">
        <v>6831</v>
      </c>
      <c r="B4624" s="11"/>
      <c r="C4624" s="2868">
        <v>1</v>
      </c>
      <c r="D4624" s="2868">
        <v>20779.831518266801</v>
      </c>
      <c r="E4624" s="2869">
        <v>21035.316549564799</v>
      </c>
      <c r="F4624" s="2870">
        <v>1.9376758230129E-3</v>
      </c>
      <c r="G4624" s="2871">
        <v>1.9610840616385E-3</v>
      </c>
    </row>
    <row r="4625" spans="1:7" x14ac:dyDescent="0.25">
      <c r="A4625" s="6" t="s">
        <v>3236</v>
      </c>
      <c r="B4625" s="6"/>
      <c r="C4625" s="2864">
        <v>1</v>
      </c>
      <c r="D4625" s="2864">
        <v>16518.895361343901</v>
      </c>
      <c r="E4625" s="2865">
        <v>16514.854250530501</v>
      </c>
      <c r="F4625" s="2866">
        <v>1.5403524391628899E-3</v>
      </c>
      <c r="G4625" s="2867">
        <v>1.5434911015216699E-3</v>
      </c>
    </row>
    <row r="4626" spans="1:7" x14ac:dyDescent="0.25">
      <c r="A4626" s="11" t="s">
        <v>1088</v>
      </c>
      <c r="B4626" s="11" t="s">
        <v>1089</v>
      </c>
      <c r="C4626" s="2868">
        <v>182433</v>
      </c>
      <c r="D4626" s="2868">
        <v>30714776944.1105</v>
      </c>
      <c r="E4626" s="2869">
        <v>281777075.28335798</v>
      </c>
      <c r="F4626" s="2870">
        <v>99.847530175996098</v>
      </c>
      <c r="G4626" s="2871">
        <v>2.9158564680279601E-2</v>
      </c>
    </row>
    <row r="4627" spans="1:7" x14ac:dyDescent="0.25">
      <c r="A4627" s="6" t="s">
        <v>1102</v>
      </c>
      <c r="B4627" s="6" t="s">
        <v>1103</v>
      </c>
      <c r="C4627" s="2864">
        <v>105</v>
      </c>
      <c r="D4627" s="2864">
        <v>41850948.385996297</v>
      </c>
      <c r="E4627" s="2865">
        <v>7960808.07355865</v>
      </c>
      <c r="F4627" s="2866">
        <v>0.13604897211099801</v>
      </c>
      <c r="G4627" s="2867">
        <v>2.59399433826051E-2</v>
      </c>
    </row>
    <row r="4628" spans="1:7" x14ac:dyDescent="0.25">
      <c r="A4628" s="11" t="s">
        <v>1084</v>
      </c>
      <c r="B4628" s="11" t="s">
        <v>1153</v>
      </c>
      <c r="C4628" s="2868">
        <v>11</v>
      </c>
      <c r="D4628" s="2868">
        <v>3730672.8070754502</v>
      </c>
      <c r="E4628" s="2869">
        <v>2163279.9693195499</v>
      </c>
      <c r="F4628" s="2870">
        <v>1.21276630580467E-2</v>
      </c>
      <c r="G4628" s="2871">
        <v>7.0026916262293896E-3</v>
      </c>
    </row>
    <row r="4629" spans="1:7" x14ac:dyDescent="0.25">
      <c r="A4629" s="6" t="s">
        <v>1086</v>
      </c>
      <c r="B4629" s="6" t="s">
        <v>1147</v>
      </c>
      <c r="C4629" s="2864">
        <v>3</v>
      </c>
      <c r="D4629" s="2864">
        <v>1320656.97777239</v>
      </c>
      <c r="E4629" s="2865">
        <v>1317173.49969576</v>
      </c>
      <c r="F4629" s="2866">
        <v>4.2931888348143599E-3</v>
      </c>
      <c r="G4629" s="2867">
        <v>4.2789893400915604E-3</v>
      </c>
    </row>
    <row r="4630" spans="1:7" x14ac:dyDescent="0.25">
      <c r="A4630" s="11" t="s">
        <v>6417</v>
      </c>
      <c r="B4630" s="11" t="s">
        <v>6418</v>
      </c>
      <c r="C4630" s="2868">
        <v>3154</v>
      </c>
      <c r="D4630" s="2868">
        <v>1072410114.8125</v>
      </c>
      <c r="E4630" s="2869">
        <v>54698031.836780697</v>
      </c>
      <c r="F4630" s="2870">
        <v>3.3687475820547701</v>
      </c>
      <c r="G4630" s="2871">
        <v>0.162255295784072</v>
      </c>
    </row>
    <row r="4631" spans="1:7" x14ac:dyDescent="0.25">
      <c r="A4631" s="6" t="s">
        <v>6417</v>
      </c>
      <c r="B4631" s="6" t="s">
        <v>6419</v>
      </c>
      <c r="C4631" s="2864">
        <v>185706</v>
      </c>
      <c r="D4631" s="2864">
        <v>31834089337.0938</v>
      </c>
      <c r="E4631" s="2865">
        <v>0</v>
      </c>
      <c r="F4631" s="2866">
        <v>100</v>
      </c>
      <c r="G4631" s="2867">
        <v>0</v>
      </c>
    </row>
    <row r="4632" spans="1:7" x14ac:dyDescent="0.25">
      <c r="A4632" s="3729" t="s">
        <v>191</v>
      </c>
      <c r="B4632" s="3730"/>
      <c r="C4632" s="3730"/>
      <c r="D4632" s="3730"/>
      <c r="E4632" s="3730"/>
      <c r="F4632" s="3730"/>
      <c r="G4632" s="3730"/>
    </row>
    <row r="4633" spans="1:7" x14ac:dyDescent="0.25">
      <c r="A4633" s="11" t="s">
        <v>1090</v>
      </c>
      <c r="B4633" s="11" t="s">
        <v>1273</v>
      </c>
      <c r="C4633" s="2876">
        <v>191</v>
      </c>
      <c r="D4633" s="2876">
        <v>40843566.051321097</v>
      </c>
      <c r="E4633" s="2877">
        <v>4306659.6183080897</v>
      </c>
      <c r="F4633" s="2878">
        <v>56.796705377206997</v>
      </c>
      <c r="G4633" s="2879">
        <v>4.4029704043299498</v>
      </c>
    </row>
    <row r="4634" spans="1:7" x14ac:dyDescent="0.25">
      <c r="A4634" s="6" t="s">
        <v>1092</v>
      </c>
      <c r="B4634" s="6" t="s">
        <v>1274</v>
      </c>
      <c r="C4634" s="2872">
        <v>95</v>
      </c>
      <c r="D4634" s="2872">
        <v>26808886.929402001</v>
      </c>
      <c r="E4634" s="2873">
        <v>4493557.0867353696</v>
      </c>
      <c r="F4634" s="2874">
        <v>37.280203459875302</v>
      </c>
      <c r="G4634" s="2875">
        <v>5.43177339810281</v>
      </c>
    </row>
    <row r="4635" spans="1:7" x14ac:dyDescent="0.25">
      <c r="A4635" s="11" t="s">
        <v>1094</v>
      </c>
      <c r="B4635" s="11" t="s">
        <v>1275</v>
      </c>
      <c r="C4635" s="2876">
        <v>17</v>
      </c>
      <c r="D4635" s="2876">
        <v>4259404.8991741501</v>
      </c>
      <c r="E4635" s="2877">
        <v>1469366.10497025</v>
      </c>
      <c r="F4635" s="2878">
        <v>5.9230911629177303</v>
      </c>
      <c r="G4635" s="2879">
        <v>2.2056475335107502</v>
      </c>
    </row>
    <row r="4636" spans="1:7" x14ac:dyDescent="0.25">
      <c r="A4636" s="6" t="s">
        <v>1088</v>
      </c>
      <c r="B4636" s="6" t="s">
        <v>1089</v>
      </c>
      <c r="C4636" s="2872">
        <v>185401</v>
      </c>
      <c r="D4636" s="2872">
        <v>31761064701.417099</v>
      </c>
      <c r="E4636" s="2873">
        <v>299393956.99534202</v>
      </c>
      <c r="F4636" s="2874">
        <v>99.996496531770504</v>
      </c>
      <c r="G4636" s="2875">
        <v>2.8810722638773498E-3</v>
      </c>
    </row>
    <row r="4637" spans="1:7" x14ac:dyDescent="0.25">
      <c r="A4637" s="11" t="s">
        <v>1102</v>
      </c>
      <c r="B4637" s="11" t="s">
        <v>1103</v>
      </c>
      <c r="C4637" s="2876">
        <v>6</v>
      </c>
      <c r="D4637" s="2876">
        <v>1112777.7969902901</v>
      </c>
      <c r="E4637" s="2877">
        <v>916264.32586369698</v>
      </c>
      <c r="F4637" s="2878">
        <v>3.5034682295271499E-3</v>
      </c>
      <c r="G4637" s="2879">
        <v>2.8810722638809398E-3</v>
      </c>
    </row>
    <row r="4638" spans="1:7" x14ac:dyDescent="0.25">
      <c r="A4638" s="6" t="s">
        <v>6417</v>
      </c>
      <c r="B4638" s="6" t="s">
        <v>6418</v>
      </c>
      <c r="C4638" s="2872">
        <v>303</v>
      </c>
      <c r="D4638" s="2872">
        <v>71911857.879897296</v>
      </c>
      <c r="E4638" s="2873">
        <v>4630923.5410188297</v>
      </c>
      <c r="F4638" s="2874">
        <v>0.22589575947474499</v>
      </c>
      <c r="G4638" s="2875">
        <v>1.5164087502806E-2</v>
      </c>
    </row>
    <row r="4639" spans="1:7" x14ac:dyDescent="0.25">
      <c r="A4639" s="11" t="s">
        <v>6417</v>
      </c>
      <c r="B4639" s="11" t="s">
        <v>6419</v>
      </c>
      <c r="C4639" s="2876">
        <v>185710</v>
      </c>
      <c r="D4639" s="2876">
        <v>31834089337.093899</v>
      </c>
      <c r="E4639" s="2877">
        <v>0</v>
      </c>
      <c r="F4639" s="2878">
        <v>100</v>
      </c>
      <c r="G4639" s="2879">
        <v>0</v>
      </c>
    </row>
    <row r="4640" spans="1:7" x14ac:dyDescent="0.25">
      <c r="A4640" s="3729" t="s">
        <v>840</v>
      </c>
      <c r="B4640" s="3730"/>
      <c r="C4640" s="3730"/>
      <c r="D4640" s="3730"/>
      <c r="E4640" s="3730"/>
      <c r="F4640" s="3730"/>
      <c r="G4640" s="3730"/>
    </row>
    <row r="4641" spans="1:7" x14ac:dyDescent="0.25">
      <c r="A4641" s="11" t="s">
        <v>6430</v>
      </c>
      <c r="B4641" s="11"/>
      <c r="C4641" s="2884">
        <v>554</v>
      </c>
      <c r="D4641" s="2884">
        <v>193593678.98207599</v>
      </c>
      <c r="E4641" s="2885">
        <v>18096010.958336402</v>
      </c>
      <c r="F4641" s="2886">
        <v>18.099220691282</v>
      </c>
      <c r="G4641" s="2887">
        <v>1.30906184055541</v>
      </c>
    </row>
    <row r="4642" spans="1:7" x14ac:dyDescent="0.25">
      <c r="A4642" s="6" t="s">
        <v>1123</v>
      </c>
      <c r="B4642" s="6"/>
      <c r="C4642" s="2880">
        <v>406</v>
      </c>
      <c r="D4642" s="2880">
        <v>152374432.327061</v>
      </c>
      <c r="E4642" s="2881">
        <v>9230953.0274990108</v>
      </c>
      <c r="F4642" s="2882">
        <v>14.245601885853</v>
      </c>
      <c r="G4642" s="2883">
        <v>0.83242625713690599</v>
      </c>
    </row>
    <row r="4643" spans="1:7" x14ac:dyDescent="0.25">
      <c r="A4643" s="11" t="s">
        <v>1133</v>
      </c>
      <c r="B4643" s="11"/>
      <c r="C4643" s="2884">
        <v>272</v>
      </c>
      <c r="D4643" s="2884">
        <v>118076558.68741</v>
      </c>
      <c r="E4643" s="2885">
        <v>14659936.259868201</v>
      </c>
      <c r="F4643" s="2886">
        <v>11.039067522180799</v>
      </c>
      <c r="G4643" s="2887">
        <v>1.27376424877898</v>
      </c>
    </row>
    <row r="4644" spans="1:7" x14ac:dyDescent="0.25">
      <c r="A4644" s="6" t="s">
        <v>6427</v>
      </c>
      <c r="B4644" s="6"/>
      <c r="C4644" s="2880">
        <v>310</v>
      </c>
      <c r="D4644" s="2880">
        <v>82199819.153205201</v>
      </c>
      <c r="E4644" s="2881">
        <v>6982506.8627297599</v>
      </c>
      <c r="F4644" s="2882">
        <v>7.6849237819127101</v>
      </c>
      <c r="G4644" s="2883">
        <v>0.57132124128834105</v>
      </c>
    </row>
    <row r="4645" spans="1:7" x14ac:dyDescent="0.25">
      <c r="A4645" s="11" t="s">
        <v>6426</v>
      </c>
      <c r="B4645" s="11"/>
      <c r="C4645" s="2884">
        <v>238</v>
      </c>
      <c r="D4645" s="2884">
        <v>74464719.442155302</v>
      </c>
      <c r="E4645" s="2885">
        <v>9280763.5157516394</v>
      </c>
      <c r="F4645" s="2886">
        <v>6.9617634107916802</v>
      </c>
      <c r="G4645" s="2887">
        <v>0.74298815766444204</v>
      </c>
    </row>
    <row r="4646" spans="1:7" x14ac:dyDescent="0.25">
      <c r="A4646" s="6" t="s">
        <v>6429</v>
      </c>
      <c r="B4646" s="6"/>
      <c r="C4646" s="2880">
        <v>185</v>
      </c>
      <c r="D4646" s="2880">
        <v>61612345.5689217</v>
      </c>
      <c r="E4646" s="2881">
        <v>6626296.9225709299</v>
      </c>
      <c r="F4646" s="2882">
        <v>5.76018517558464</v>
      </c>
      <c r="G4646" s="2883">
        <v>0.49678613686534001</v>
      </c>
    </row>
    <row r="4647" spans="1:7" x14ac:dyDescent="0.25">
      <c r="A4647" s="11" t="s">
        <v>1295</v>
      </c>
      <c r="B4647" s="11"/>
      <c r="C4647" s="2884">
        <v>130</v>
      </c>
      <c r="D4647" s="2884">
        <v>58646534.840209603</v>
      </c>
      <c r="E4647" s="2885">
        <v>7790657.6359839197</v>
      </c>
      <c r="F4647" s="2886">
        <v>5.4829092686966696</v>
      </c>
      <c r="G4647" s="2887">
        <v>0.67982154324140698</v>
      </c>
    </row>
    <row r="4648" spans="1:7" x14ac:dyDescent="0.25">
      <c r="A4648" s="6" t="s">
        <v>1297</v>
      </c>
      <c r="B4648" s="6"/>
      <c r="C4648" s="2880">
        <v>98</v>
      </c>
      <c r="D4648" s="2880">
        <v>33813294.911499999</v>
      </c>
      <c r="E4648" s="2881">
        <v>5511321.4638087796</v>
      </c>
      <c r="F4648" s="2882">
        <v>3.1612307288157999</v>
      </c>
      <c r="G4648" s="2883">
        <v>0.44907028394369403</v>
      </c>
    </row>
    <row r="4649" spans="1:7" x14ac:dyDescent="0.25">
      <c r="A4649" s="11" t="s">
        <v>1292</v>
      </c>
      <c r="B4649" s="11"/>
      <c r="C4649" s="2884">
        <v>156</v>
      </c>
      <c r="D4649" s="2884">
        <v>31572590.291526899</v>
      </c>
      <c r="E4649" s="2885">
        <v>4924792.8969516596</v>
      </c>
      <c r="F4649" s="2886">
        <v>2.9517455450323902</v>
      </c>
      <c r="G4649" s="2887">
        <v>0.38673184966574697</v>
      </c>
    </row>
    <row r="4650" spans="1:7" x14ac:dyDescent="0.25">
      <c r="A4650" s="6" t="s">
        <v>6428</v>
      </c>
      <c r="B4650" s="6"/>
      <c r="C4650" s="2880">
        <v>103</v>
      </c>
      <c r="D4650" s="2880">
        <v>29818893.306236599</v>
      </c>
      <c r="E4650" s="2881">
        <v>6011906.2126298202</v>
      </c>
      <c r="F4650" s="2882">
        <v>2.7877910764294001</v>
      </c>
      <c r="G4650" s="2883">
        <v>0.46449161765751201</v>
      </c>
    </row>
    <row r="4651" spans="1:7" x14ac:dyDescent="0.25">
      <c r="A4651" s="11" t="s">
        <v>3172</v>
      </c>
      <c r="B4651" s="11"/>
      <c r="C4651" s="2884">
        <v>55</v>
      </c>
      <c r="D4651" s="2884">
        <v>28423418.394400802</v>
      </c>
      <c r="E4651" s="2885">
        <v>7274047.4521131599</v>
      </c>
      <c r="F4651" s="2886">
        <v>2.6573270626699301</v>
      </c>
      <c r="G4651" s="2887">
        <v>0.60519633055843702</v>
      </c>
    </row>
    <row r="4652" spans="1:7" x14ac:dyDescent="0.25">
      <c r="A4652" s="6" t="s">
        <v>6432</v>
      </c>
      <c r="B4652" s="6"/>
      <c r="C4652" s="2880">
        <v>83</v>
      </c>
      <c r="D4652" s="2880">
        <v>25717806.888177399</v>
      </c>
      <c r="E4652" s="2881">
        <v>3350832.0382147301</v>
      </c>
      <c r="F4652" s="2882">
        <v>2.40437737953207</v>
      </c>
      <c r="G4652" s="2883">
        <v>0.40176946318614498</v>
      </c>
    </row>
    <row r="4653" spans="1:7" x14ac:dyDescent="0.25">
      <c r="A4653" s="11" t="s">
        <v>6433</v>
      </c>
      <c r="B4653" s="11"/>
      <c r="C4653" s="2884">
        <v>71</v>
      </c>
      <c r="D4653" s="2884">
        <v>24063805.9109561</v>
      </c>
      <c r="E4653" s="2885">
        <v>7160617.8929958502</v>
      </c>
      <c r="F4653" s="2886">
        <v>2.2497435667560999</v>
      </c>
      <c r="G4653" s="2887">
        <v>0.64182270256301299</v>
      </c>
    </row>
    <row r="4654" spans="1:7" x14ac:dyDescent="0.25">
      <c r="A4654" s="6" t="s">
        <v>6431</v>
      </c>
      <c r="B4654" s="6"/>
      <c r="C4654" s="2880">
        <v>68</v>
      </c>
      <c r="D4654" s="2880">
        <v>21464195.517482501</v>
      </c>
      <c r="E4654" s="2881">
        <v>2668186.72032469</v>
      </c>
      <c r="F4654" s="2882">
        <v>2.0067040084904399</v>
      </c>
      <c r="G4654" s="2883">
        <v>0.3043845212772</v>
      </c>
    </row>
    <row r="4655" spans="1:7" x14ac:dyDescent="0.25">
      <c r="A4655" s="11" t="s">
        <v>1299</v>
      </c>
      <c r="B4655" s="11"/>
      <c r="C4655" s="2884">
        <v>46</v>
      </c>
      <c r="D4655" s="2884">
        <v>19784101.725751799</v>
      </c>
      <c r="E4655" s="2885">
        <v>4786172.2988468297</v>
      </c>
      <c r="F4655" s="2886">
        <v>1.84963075858643</v>
      </c>
      <c r="G4655" s="2887">
        <v>0.40420584133700999</v>
      </c>
    </row>
    <row r="4656" spans="1:7" x14ac:dyDescent="0.25">
      <c r="A4656" s="6" t="s">
        <v>1127</v>
      </c>
      <c r="B4656" s="6"/>
      <c r="C4656" s="2880">
        <v>54</v>
      </c>
      <c r="D4656" s="2880">
        <v>17539264.4709832</v>
      </c>
      <c r="E4656" s="2881">
        <v>2803005.4879590799</v>
      </c>
      <c r="F4656" s="2882">
        <v>1.6397592116242501</v>
      </c>
      <c r="G4656" s="2883">
        <v>0.27448043962531199</v>
      </c>
    </row>
    <row r="4657" spans="1:7" x14ac:dyDescent="0.25">
      <c r="A4657" s="11" t="s">
        <v>3201</v>
      </c>
      <c r="B4657" s="11"/>
      <c r="C4657" s="2884">
        <v>44</v>
      </c>
      <c r="D4657" s="2884">
        <v>15674706.7915849</v>
      </c>
      <c r="E4657" s="2885">
        <v>2999340.75309618</v>
      </c>
      <c r="F4657" s="2886">
        <v>1.46544029218174</v>
      </c>
      <c r="G4657" s="2887">
        <v>0.28530905656191502</v>
      </c>
    </row>
    <row r="4658" spans="1:7" x14ac:dyDescent="0.25">
      <c r="A4658" s="6" t="s">
        <v>1303</v>
      </c>
      <c r="B4658" s="6"/>
      <c r="C4658" s="2880">
        <v>37</v>
      </c>
      <c r="D4658" s="2880">
        <v>9690528.8376609199</v>
      </c>
      <c r="E4658" s="2881">
        <v>2893644.8363779802</v>
      </c>
      <c r="F4658" s="2882">
        <v>0.90597493146610597</v>
      </c>
      <c r="G4658" s="2883">
        <v>0.26746149055268797</v>
      </c>
    </row>
    <row r="4659" spans="1:7" x14ac:dyDescent="0.25">
      <c r="A4659" s="11" t="s">
        <v>3187</v>
      </c>
      <c r="B4659" s="11"/>
      <c r="C4659" s="2884">
        <v>30</v>
      </c>
      <c r="D4659" s="2884">
        <v>9241973.8750378694</v>
      </c>
      <c r="E4659" s="2885">
        <v>1396537.40948462</v>
      </c>
      <c r="F4659" s="2886">
        <v>0.86403918592228501</v>
      </c>
      <c r="G4659" s="2887">
        <v>0.141416154242894</v>
      </c>
    </row>
    <row r="4660" spans="1:7" x14ac:dyDescent="0.25">
      <c r="A4660" s="6" t="s">
        <v>1301</v>
      </c>
      <c r="B4660" s="6"/>
      <c r="C4660" s="2880">
        <v>17</v>
      </c>
      <c r="D4660" s="2880">
        <v>7653941.9679448102</v>
      </c>
      <c r="E4660" s="2881">
        <v>2159402.1011421098</v>
      </c>
      <c r="F4660" s="2882">
        <v>0.71557287182359097</v>
      </c>
      <c r="G4660" s="2883">
        <v>0.209132256949766</v>
      </c>
    </row>
    <row r="4661" spans="1:7" x14ac:dyDescent="0.25">
      <c r="A4661" s="11" t="s">
        <v>1139</v>
      </c>
      <c r="B4661" s="11"/>
      <c r="C4661" s="2884">
        <v>14</v>
      </c>
      <c r="D4661" s="2884">
        <v>5846891.2915705899</v>
      </c>
      <c r="E4661" s="2885">
        <v>1817283.75979255</v>
      </c>
      <c r="F4661" s="2886">
        <v>0.54663032595123595</v>
      </c>
      <c r="G4661" s="2887">
        <v>0.17884990551014099</v>
      </c>
    </row>
    <row r="4662" spans="1:7" x14ac:dyDescent="0.25">
      <c r="A4662" s="6" t="s">
        <v>1125</v>
      </c>
      <c r="B4662" s="6"/>
      <c r="C4662" s="2880">
        <v>13</v>
      </c>
      <c r="D4662" s="2880">
        <v>4904281.3960047904</v>
      </c>
      <c r="E4662" s="2881">
        <v>1225168.8018900801</v>
      </c>
      <c r="F4662" s="2882">
        <v>0.45850500793808302</v>
      </c>
      <c r="G4662" s="2883">
        <v>0.13157132643225999</v>
      </c>
    </row>
    <row r="4663" spans="1:7" x14ac:dyDescent="0.25">
      <c r="A4663" s="11" t="s">
        <v>3215</v>
      </c>
      <c r="B4663" s="11"/>
      <c r="C4663" s="2884">
        <v>12</v>
      </c>
      <c r="D4663" s="2884">
        <v>4750755.9091513902</v>
      </c>
      <c r="E4663" s="2885">
        <v>1866354.3421523401</v>
      </c>
      <c r="F4663" s="2886">
        <v>0.44415179308671499</v>
      </c>
      <c r="G4663" s="2887">
        <v>0.18863589738188699</v>
      </c>
    </row>
    <row r="4664" spans="1:7" x14ac:dyDescent="0.25">
      <c r="A4664" s="6" t="s">
        <v>6524</v>
      </c>
      <c r="B4664" s="6"/>
      <c r="C4664" s="2880">
        <v>12</v>
      </c>
      <c r="D4664" s="2880">
        <v>3402749.5279013598</v>
      </c>
      <c r="E4664" s="2881">
        <v>1527678.11177076</v>
      </c>
      <c r="F4664" s="2882">
        <v>0.31812564845334901</v>
      </c>
      <c r="G4664" s="2883">
        <v>0.14161689089021101</v>
      </c>
    </row>
    <row r="4665" spans="1:7" x14ac:dyDescent="0.25">
      <c r="A4665" s="11" t="s">
        <v>1309</v>
      </c>
      <c r="B4665" s="11"/>
      <c r="C4665" s="2884">
        <v>18</v>
      </c>
      <c r="D4665" s="2884">
        <v>3174491.7141572302</v>
      </c>
      <c r="E4665" s="2885">
        <v>1830001.73521733</v>
      </c>
      <c r="F4665" s="2886">
        <v>0.29678565136673402</v>
      </c>
      <c r="G4665" s="2887">
        <v>0.17113042739881101</v>
      </c>
    </row>
    <row r="4666" spans="1:7" x14ac:dyDescent="0.25">
      <c r="A4666" s="6" t="s">
        <v>1197</v>
      </c>
      <c r="B4666" s="6"/>
      <c r="C4666" s="2880">
        <v>5</v>
      </c>
      <c r="D4666" s="2880">
        <v>3152593.1546308398</v>
      </c>
      <c r="E4666" s="2881">
        <v>2433246.8604807202</v>
      </c>
      <c r="F4666" s="2882">
        <v>0.294738338335786</v>
      </c>
      <c r="G4666" s="2883">
        <v>0.22420812850074501</v>
      </c>
    </row>
    <row r="4667" spans="1:7" x14ac:dyDescent="0.25">
      <c r="A4667" s="11" t="s">
        <v>6434</v>
      </c>
      <c r="B4667" s="11"/>
      <c r="C4667" s="2884">
        <v>12</v>
      </c>
      <c r="D4667" s="2884">
        <v>2970063.76370198</v>
      </c>
      <c r="E4667" s="2885">
        <v>1169051.62393834</v>
      </c>
      <c r="F4667" s="2886">
        <v>0.27767352637272202</v>
      </c>
      <c r="G4667" s="2887">
        <v>0.10945440168024401</v>
      </c>
    </row>
    <row r="4668" spans="1:7" x14ac:dyDescent="0.25">
      <c r="A4668" s="6" t="s">
        <v>1129</v>
      </c>
      <c r="B4668" s="6"/>
      <c r="C4668" s="2880">
        <v>8</v>
      </c>
      <c r="D4668" s="2880">
        <v>2951149.36475083</v>
      </c>
      <c r="E4668" s="2881">
        <v>1582017.0130718399</v>
      </c>
      <c r="F4668" s="2882">
        <v>0.27590520478980701</v>
      </c>
      <c r="G4668" s="2883">
        <v>0.15167743158162</v>
      </c>
    </row>
    <row r="4669" spans="1:7" x14ac:dyDescent="0.25">
      <c r="A4669" s="11" t="s">
        <v>1137</v>
      </c>
      <c r="B4669" s="11"/>
      <c r="C4669" s="2884">
        <v>10</v>
      </c>
      <c r="D4669" s="2884">
        <v>2702399.3850625302</v>
      </c>
      <c r="E4669" s="2885">
        <v>897236.74927309202</v>
      </c>
      <c r="F4669" s="2886">
        <v>0.252649379480825</v>
      </c>
      <c r="G4669" s="2887">
        <v>8.5844966765199399E-2</v>
      </c>
    </row>
    <row r="4670" spans="1:7" x14ac:dyDescent="0.25">
      <c r="A4670" s="6" t="s">
        <v>1305</v>
      </c>
      <c r="B4670" s="6"/>
      <c r="C4670" s="2880">
        <v>3</v>
      </c>
      <c r="D4670" s="2880">
        <v>1850166.3348686299</v>
      </c>
      <c r="E4670" s="2881">
        <v>1450635.3724599101</v>
      </c>
      <c r="F4670" s="2882">
        <v>0.172973461666938</v>
      </c>
      <c r="G4670" s="2883">
        <v>0.13439185032543199</v>
      </c>
    </row>
    <row r="4671" spans="1:7" x14ac:dyDescent="0.25">
      <c r="A4671" s="11" t="s">
        <v>3180</v>
      </c>
      <c r="B4671" s="11"/>
      <c r="C4671" s="2884">
        <v>3</v>
      </c>
      <c r="D4671" s="2884">
        <v>1770231.68306698</v>
      </c>
      <c r="E4671" s="2885">
        <v>1398477.8382561</v>
      </c>
      <c r="F4671" s="2886">
        <v>0.16550031010824201</v>
      </c>
      <c r="G4671" s="2887">
        <v>0.12829159637644599</v>
      </c>
    </row>
    <row r="4672" spans="1:7" x14ac:dyDescent="0.25">
      <c r="A4672" s="6" t="s">
        <v>6525</v>
      </c>
      <c r="B4672" s="6"/>
      <c r="C4672" s="2880">
        <v>12</v>
      </c>
      <c r="D4672" s="2880">
        <v>1726068.2708697</v>
      </c>
      <c r="E4672" s="2881">
        <v>1329785.3636183799</v>
      </c>
      <c r="F4672" s="2882">
        <v>0.161371439020913</v>
      </c>
      <c r="G4672" s="2883">
        <v>0.126360138366715</v>
      </c>
    </row>
    <row r="4673" spans="1:7" x14ac:dyDescent="0.25">
      <c r="A4673" s="11" t="s">
        <v>3323</v>
      </c>
      <c r="B4673" s="11"/>
      <c r="C4673" s="2884">
        <v>6</v>
      </c>
      <c r="D4673" s="2884">
        <v>1510716.3018976499</v>
      </c>
      <c r="E4673" s="2885">
        <v>857199.127513599</v>
      </c>
      <c r="F4673" s="2886">
        <v>0.14123801920461701</v>
      </c>
      <c r="G4673" s="2887">
        <v>7.9325294661979906E-2</v>
      </c>
    </row>
    <row r="4674" spans="1:7" x14ac:dyDescent="0.25">
      <c r="A4674" s="6" t="s">
        <v>1213</v>
      </c>
      <c r="B4674" s="6"/>
      <c r="C4674" s="2880">
        <v>2</v>
      </c>
      <c r="D4674" s="2880">
        <v>1431041.44042983</v>
      </c>
      <c r="E4674" s="2881">
        <v>1403655.0446198599</v>
      </c>
      <c r="F4674" s="2882">
        <v>0.13378915564235799</v>
      </c>
      <c r="G4674" s="2883">
        <v>0.13255757724219999</v>
      </c>
    </row>
    <row r="4675" spans="1:7" x14ac:dyDescent="0.25">
      <c r="A4675" s="11" t="s">
        <v>3234</v>
      </c>
      <c r="B4675" s="11"/>
      <c r="C4675" s="2884">
        <v>6</v>
      </c>
      <c r="D4675" s="2884">
        <v>1151249.3487438201</v>
      </c>
      <c r="E4675" s="2885">
        <v>767283.14475969097</v>
      </c>
      <c r="F4675" s="2886">
        <v>0.107631179608598</v>
      </c>
      <c r="G4675" s="2887">
        <v>7.2577219596657305E-2</v>
      </c>
    </row>
    <row r="4676" spans="1:7" x14ac:dyDescent="0.25">
      <c r="A4676" s="6" t="s">
        <v>1131</v>
      </c>
      <c r="B4676" s="6"/>
      <c r="C4676" s="2880">
        <v>4</v>
      </c>
      <c r="D4676" s="2880">
        <v>1005692.98393899</v>
      </c>
      <c r="E4676" s="2881">
        <v>556066.94436678803</v>
      </c>
      <c r="F4676" s="2882">
        <v>9.4023004055163298E-2</v>
      </c>
      <c r="G4676" s="2883">
        <v>5.1231539831786299E-2</v>
      </c>
    </row>
    <row r="4677" spans="1:7" x14ac:dyDescent="0.25">
      <c r="A4677" s="11" t="s">
        <v>1135</v>
      </c>
      <c r="B4677" s="11"/>
      <c r="C4677" s="2884">
        <v>2</v>
      </c>
      <c r="D4677" s="2884">
        <v>937257.02143262897</v>
      </c>
      <c r="E4677" s="2885">
        <v>938870.62035700795</v>
      </c>
      <c r="F4677" s="2886">
        <v>8.7624873728100294E-2</v>
      </c>
      <c r="G4677" s="2887">
        <v>8.7798553906691501E-2</v>
      </c>
    </row>
    <row r="4678" spans="1:7" x14ac:dyDescent="0.25">
      <c r="A4678" s="6" t="s">
        <v>3344</v>
      </c>
      <c r="B4678" s="6"/>
      <c r="C4678" s="2880">
        <v>3</v>
      </c>
      <c r="D4678" s="2880">
        <v>886039.89949283795</v>
      </c>
      <c r="E4678" s="2881">
        <v>883365.53581237094</v>
      </c>
      <c r="F4678" s="2882">
        <v>8.2836545937468198E-2</v>
      </c>
      <c r="G4678" s="2883">
        <v>8.2976446670670403E-2</v>
      </c>
    </row>
    <row r="4679" spans="1:7" x14ac:dyDescent="0.25">
      <c r="A4679" s="11" t="s">
        <v>1233</v>
      </c>
      <c r="B4679" s="11"/>
      <c r="C4679" s="2884">
        <v>1</v>
      </c>
      <c r="D4679" s="2884">
        <v>757178.40648958704</v>
      </c>
      <c r="E4679" s="2885">
        <v>768953.56413416297</v>
      </c>
      <c r="F4679" s="2886">
        <v>7.0789186681023297E-2</v>
      </c>
      <c r="G4679" s="2887">
        <v>7.2126089282623707E-2</v>
      </c>
    </row>
    <row r="4680" spans="1:7" x14ac:dyDescent="0.25">
      <c r="A4680" s="6" t="s">
        <v>1193</v>
      </c>
      <c r="B4680" s="6"/>
      <c r="C4680" s="2880">
        <v>1</v>
      </c>
      <c r="D4680" s="2880">
        <v>695994.263901336</v>
      </c>
      <c r="E4680" s="2881">
        <v>704658.05642689695</v>
      </c>
      <c r="F4680" s="2882">
        <v>6.5069034528668399E-2</v>
      </c>
      <c r="G4680" s="2883">
        <v>6.62793278472074E-2</v>
      </c>
    </row>
    <row r="4681" spans="1:7" x14ac:dyDescent="0.25">
      <c r="A4681" s="11" t="s">
        <v>1111</v>
      </c>
      <c r="B4681" s="11"/>
      <c r="C4681" s="2884">
        <v>1</v>
      </c>
      <c r="D4681" s="2884">
        <v>669606.22145757405</v>
      </c>
      <c r="E4681" s="2885">
        <v>675492.40900331398</v>
      </c>
      <c r="F4681" s="2886">
        <v>6.2601996315892999E-2</v>
      </c>
      <c r="G4681" s="2887">
        <v>6.2990771859301201E-2</v>
      </c>
    </row>
    <row r="4682" spans="1:7" x14ac:dyDescent="0.25">
      <c r="A4682" s="6" t="s">
        <v>1195</v>
      </c>
      <c r="B4682" s="6"/>
      <c r="C4682" s="2880">
        <v>1</v>
      </c>
      <c r="D4682" s="2880">
        <v>599601.62695081404</v>
      </c>
      <c r="E4682" s="2881">
        <v>609746.06440546503</v>
      </c>
      <c r="F4682" s="2882">
        <v>5.6057213386803299E-2</v>
      </c>
      <c r="G4682" s="2883">
        <v>5.6557431654362202E-2</v>
      </c>
    </row>
    <row r="4683" spans="1:7" x14ac:dyDescent="0.25">
      <c r="A4683" s="11" t="s">
        <v>3178</v>
      </c>
      <c r="B4683" s="11"/>
      <c r="C4683" s="2884">
        <v>2</v>
      </c>
      <c r="D4683" s="2884">
        <v>517930.327614729</v>
      </c>
      <c r="E4683" s="2885">
        <v>361768.368221501</v>
      </c>
      <c r="F4683" s="2886">
        <v>4.8421701325666103E-2</v>
      </c>
      <c r="G4683" s="2887">
        <v>3.5000889983732499E-2</v>
      </c>
    </row>
    <row r="4684" spans="1:7" x14ac:dyDescent="0.25">
      <c r="A4684" s="6" t="s">
        <v>3195</v>
      </c>
      <c r="B4684" s="6"/>
      <c r="C4684" s="2880">
        <v>2</v>
      </c>
      <c r="D4684" s="2880">
        <v>470448.28136906802</v>
      </c>
      <c r="E4684" s="2881">
        <v>336104.09734880098</v>
      </c>
      <c r="F4684" s="2882">
        <v>4.3982568610215003E-2</v>
      </c>
      <c r="G4684" s="2883">
        <v>3.1146871025198E-2</v>
      </c>
    </row>
    <row r="4685" spans="1:7" x14ac:dyDescent="0.25">
      <c r="A4685" s="11" t="s">
        <v>1141</v>
      </c>
      <c r="B4685" s="11"/>
      <c r="C4685" s="2884">
        <v>3</v>
      </c>
      <c r="D4685" s="2884">
        <v>443186.21965763101</v>
      </c>
      <c r="E4685" s="2885">
        <v>368609.11995089299</v>
      </c>
      <c r="F4685" s="2886">
        <v>4.14338176695382E-2</v>
      </c>
      <c r="G4685" s="2887">
        <v>3.4551184599813101E-2</v>
      </c>
    </row>
    <row r="4686" spans="1:7" x14ac:dyDescent="0.25">
      <c r="A4686" s="6" t="s">
        <v>1205</v>
      </c>
      <c r="B4686" s="6"/>
      <c r="C4686" s="2880">
        <v>1</v>
      </c>
      <c r="D4686" s="2880">
        <v>435243.34279247402</v>
      </c>
      <c r="E4686" s="2881">
        <v>436526.78349182598</v>
      </c>
      <c r="F4686" s="2882">
        <v>4.0691232053819498E-2</v>
      </c>
      <c r="G4686" s="2883">
        <v>4.0920326597670399E-2</v>
      </c>
    </row>
    <row r="4687" spans="1:7" x14ac:dyDescent="0.25">
      <c r="A4687" s="11" t="s">
        <v>6526</v>
      </c>
      <c r="B4687" s="11"/>
      <c r="C4687" s="2884">
        <v>2</v>
      </c>
      <c r="D4687" s="2884">
        <v>381871.18073188001</v>
      </c>
      <c r="E4687" s="2885">
        <v>275474.39932922501</v>
      </c>
      <c r="F4687" s="2886">
        <v>3.5701427918762997E-2</v>
      </c>
      <c r="G4687" s="2887">
        <v>2.5661168471171801E-2</v>
      </c>
    </row>
    <row r="4688" spans="1:7" x14ac:dyDescent="0.25">
      <c r="A4688" s="6" t="s">
        <v>6522</v>
      </c>
      <c r="B4688" s="6"/>
      <c r="C4688" s="2880">
        <v>1</v>
      </c>
      <c r="D4688" s="2880">
        <v>345921.98174070899</v>
      </c>
      <c r="E4688" s="2881">
        <v>351586.512195541</v>
      </c>
      <c r="F4688" s="2882">
        <v>3.2340509888602299E-2</v>
      </c>
      <c r="G4688" s="2883">
        <v>3.2870875556045398E-2</v>
      </c>
    </row>
    <row r="4689" spans="1:7" x14ac:dyDescent="0.25">
      <c r="A4689" s="11" t="s">
        <v>6533</v>
      </c>
      <c r="B4689" s="11"/>
      <c r="C4689" s="2884">
        <v>1</v>
      </c>
      <c r="D4689" s="2884">
        <v>270075.93526580901</v>
      </c>
      <c r="E4689" s="2885">
        <v>272447.18304353597</v>
      </c>
      <c r="F4689" s="2886">
        <v>2.5249605160057101E-2</v>
      </c>
      <c r="G4689" s="2887">
        <v>2.5676050196646601E-2</v>
      </c>
    </row>
    <row r="4690" spans="1:7" x14ac:dyDescent="0.25">
      <c r="A4690" s="6" t="s">
        <v>1307</v>
      </c>
      <c r="B4690" s="6"/>
      <c r="C4690" s="2880">
        <v>3</v>
      </c>
      <c r="D4690" s="2880">
        <v>260482.63834227601</v>
      </c>
      <c r="E4690" s="2881">
        <v>171397.06435492399</v>
      </c>
      <c r="F4690" s="2882">
        <v>2.4352720514396301E-2</v>
      </c>
      <c r="G4690" s="2883">
        <v>1.6242166998651199E-2</v>
      </c>
    </row>
    <row r="4691" spans="1:7" x14ac:dyDescent="0.25">
      <c r="A4691" s="11" t="s">
        <v>3209</v>
      </c>
      <c r="B4691" s="11"/>
      <c r="C4691" s="2884">
        <v>1</v>
      </c>
      <c r="D4691" s="2884">
        <v>218534.62030968501</v>
      </c>
      <c r="E4691" s="2885">
        <v>223368.34771185199</v>
      </c>
      <c r="F4691" s="2886">
        <v>2.0430968317083902E-2</v>
      </c>
      <c r="G4691" s="2887">
        <v>2.07663600371772E-2</v>
      </c>
    </row>
    <row r="4692" spans="1:7" x14ac:dyDescent="0.25">
      <c r="A4692" s="6" t="s">
        <v>3174</v>
      </c>
      <c r="B4692" s="6"/>
      <c r="C4692" s="2880">
        <v>1</v>
      </c>
      <c r="D4692" s="2880">
        <v>208202.478421092</v>
      </c>
      <c r="E4692" s="2881">
        <v>210842.00182738801</v>
      </c>
      <c r="F4692" s="2882">
        <v>1.9465008492163201E-2</v>
      </c>
      <c r="G4692" s="2883">
        <v>1.9714510164198298E-2</v>
      </c>
    </row>
    <row r="4693" spans="1:7" x14ac:dyDescent="0.25">
      <c r="A4693" s="11" t="s">
        <v>3203</v>
      </c>
      <c r="B4693" s="11"/>
      <c r="C4693" s="2884">
        <v>1</v>
      </c>
      <c r="D4693" s="2884">
        <v>199691.66772473801</v>
      </c>
      <c r="E4693" s="2885">
        <v>201481.38506977001</v>
      </c>
      <c r="F4693" s="2886">
        <v>1.8669326309433999E-2</v>
      </c>
      <c r="G4693" s="2887">
        <v>1.8860086455728599E-2</v>
      </c>
    </row>
    <row r="4694" spans="1:7" x14ac:dyDescent="0.25">
      <c r="A4694" s="6" t="s">
        <v>1217</v>
      </c>
      <c r="B4694" s="6"/>
      <c r="C4694" s="2880">
        <v>1</v>
      </c>
      <c r="D4694" s="2880">
        <v>193506.97407190001</v>
      </c>
      <c r="E4694" s="2881">
        <v>193098.14095152001</v>
      </c>
      <c r="F4694" s="2882">
        <v>1.8091114583104601E-2</v>
      </c>
      <c r="G4694" s="2883">
        <v>1.80443663461511E-2</v>
      </c>
    </row>
    <row r="4695" spans="1:7" x14ac:dyDescent="0.25">
      <c r="A4695" s="11" t="s">
        <v>1187</v>
      </c>
      <c r="B4695" s="11"/>
      <c r="C4695" s="2884">
        <v>1</v>
      </c>
      <c r="D4695" s="2884">
        <v>184744.638755541</v>
      </c>
      <c r="E4695" s="2885">
        <v>185460.906799955</v>
      </c>
      <c r="F4695" s="2886">
        <v>1.7271917171827099E-2</v>
      </c>
      <c r="G4695" s="2887">
        <v>1.73509936727675E-2</v>
      </c>
    </row>
    <row r="4696" spans="1:7" x14ac:dyDescent="0.25">
      <c r="A4696" s="6" t="s">
        <v>3327</v>
      </c>
      <c r="B4696" s="6"/>
      <c r="C4696" s="2880">
        <v>1</v>
      </c>
      <c r="D4696" s="2880">
        <v>180077.56393882999</v>
      </c>
      <c r="E4696" s="2881">
        <v>179114.268267587</v>
      </c>
      <c r="F4696" s="2882">
        <v>1.6835588787891601E-2</v>
      </c>
      <c r="G4696" s="2883">
        <v>1.6711776595233499E-2</v>
      </c>
    </row>
    <row r="4697" spans="1:7" x14ac:dyDescent="0.25">
      <c r="A4697" s="11" t="s">
        <v>6531</v>
      </c>
      <c r="B4697" s="11"/>
      <c r="C4697" s="2884">
        <v>3</v>
      </c>
      <c r="D4697" s="2884">
        <v>155910.615555984</v>
      </c>
      <c r="E4697" s="2885">
        <v>156586.68958451899</v>
      </c>
      <c r="F4697" s="2886">
        <v>1.45762023527775E-2</v>
      </c>
      <c r="G4697" s="2887">
        <v>1.46534158526807E-2</v>
      </c>
    </row>
    <row r="4698" spans="1:7" x14ac:dyDescent="0.25">
      <c r="A4698" s="6" t="s">
        <v>6532</v>
      </c>
      <c r="B4698" s="6"/>
      <c r="C4698" s="2880">
        <v>1</v>
      </c>
      <c r="D4698" s="2880">
        <v>155910.615555984</v>
      </c>
      <c r="E4698" s="2881">
        <v>156586.68958451899</v>
      </c>
      <c r="F4698" s="2882">
        <v>1.45762023527775E-2</v>
      </c>
      <c r="G4698" s="2883">
        <v>1.46534158526807E-2</v>
      </c>
    </row>
    <row r="4699" spans="1:7" x14ac:dyDescent="0.25">
      <c r="A4699" s="11" t="s">
        <v>3314</v>
      </c>
      <c r="B4699" s="11"/>
      <c r="C4699" s="2884">
        <v>1</v>
      </c>
      <c r="D4699" s="2884">
        <v>155888.83094200099</v>
      </c>
      <c r="E4699" s="2885">
        <v>159730.554828533</v>
      </c>
      <c r="F4699" s="2886">
        <v>1.45741656926023E-2</v>
      </c>
      <c r="G4699" s="2887">
        <v>1.4846500273712799E-2</v>
      </c>
    </row>
    <row r="4700" spans="1:7" x14ac:dyDescent="0.25">
      <c r="A4700" s="6" t="s">
        <v>1201</v>
      </c>
      <c r="B4700" s="6"/>
      <c r="C4700" s="2880">
        <v>1</v>
      </c>
      <c r="D4700" s="2880">
        <v>145817.98268855599</v>
      </c>
      <c r="E4700" s="2881">
        <v>148029.70788878799</v>
      </c>
      <c r="F4700" s="2882">
        <v>1.3632634408905799E-2</v>
      </c>
      <c r="G4700" s="2883">
        <v>1.3806585481562401E-2</v>
      </c>
    </row>
    <row r="4701" spans="1:7" x14ac:dyDescent="0.25">
      <c r="A4701" s="11" t="s">
        <v>1199</v>
      </c>
      <c r="B4701" s="11"/>
      <c r="C4701" s="2884">
        <v>1</v>
      </c>
      <c r="D4701" s="2884">
        <v>99514.817243696903</v>
      </c>
      <c r="E4701" s="2885">
        <v>100290.701465484</v>
      </c>
      <c r="F4701" s="2886">
        <v>9.3037161585891801E-3</v>
      </c>
      <c r="G4701" s="2887">
        <v>9.3907435540353003E-3</v>
      </c>
    </row>
    <row r="4702" spans="1:7" x14ac:dyDescent="0.25">
      <c r="A4702" s="6" t="s">
        <v>1189</v>
      </c>
      <c r="B4702" s="6"/>
      <c r="C4702" s="2880">
        <v>4</v>
      </c>
      <c r="D4702" s="2880">
        <v>42976.122372792197</v>
      </c>
      <c r="E4702" s="2881">
        <v>43137.821468487797</v>
      </c>
      <c r="F4702" s="2882">
        <v>4.0178704561563902E-3</v>
      </c>
      <c r="G4702" s="2883">
        <v>4.0409209121813902E-3</v>
      </c>
    </row>
    <row r="4703" spans="1:7" x14ac:dyDescent="0.25">
      <c r="A4703" s="11" t="s">
        <v>1191</v>
      </c>
      <c r="B4703" s="11"/>
      <c r="C4703" s="2884">
        <v>1</v>
      </c>
      <c r="D4703" s="2884">
        <v>42976.122372792197</v>
      </c>
      <c r="E4703" s="2885">
        <v>43137.821468487797</v>
      </c>
      <c r="F4703" s="2886">
        <v>4.0178704561563902E-3</v>
      </c>
      <c r="G4703" s="2887">
        <v>4.0409209121813902E-3</v>
      </c>
    </row>
    <row r="4704" spans="1:7" x14ac:dyDescent="0.25">
      <c r="A4704" s="6" t="s">
        <v>6530</v>
      </c>
      <c r="B4704" s="6"/>
      <c r="C4704" s="2880">
        <v>1</v>
      </c>
      <c r="D4704" s="2880">
        <v>40541.120767320397</v>
      </c>
      <c r="E4704" s="2881">
        <v>40835.234085203301</v>
      </c>
      <c r="F4704" s="2882">
        <v>3.7902202990190799E-3</v>
      </c>
      <c r="G4704" s="2883">
        <v>3.8090939604629001E-3</v>
      </c>
    </row>
    <row r="4705" spans="1:7" x14ac:dyDescent="0.25">
      <c r="A4705" s="11" t="s">
        <v>1311</v>
      </c>
      <c r="B4705" s="11"/>
      <c r="C4705" s="2884">
        <v>3</v>
      </c>
      <c r="D4705" s="2884">
        <v>37749.834738541402</v>
      </c>
      <c r="E4705" s="2885">
        <v>37657.5185363235</v>
      </c>
      <c r="F4705" s="2886">
        <v>3.5292608394282502E-3</v>
      </c>
      <c r="G4705" s="2887">
        <v>3.5176488874357902E-3</v>
      </c>
    </row>
    <row r="4706" spans="1:7" x14ac:dyDescent="0.25">
      <c r="A4706" s="6" t="s">
        <v>3176</v>
      </c>
      <c r="B4706" s="6"/>
      <c r="C4706" s="2880">
        <v>3</v>
      </c>
      <c r="D4706" s="2880">
        <v>36088.832887450299</v>
      </c>
      <c r="E4706" s="2881">
        <v>36390.558317246701</v>
      </c>
      <c r="F4706" s="2882">
        <v>3.3739725096150201E-3</v>
      </c>
      <c r="G4706" s="2883">
        <v>3.4099078484262101E-3</v>
      </c>
    </row>
    <row r="4707" spans="1:7" x14ac:dyDescent="0.25">
      <c r="A4707" s="11" t="s">
        <v>3236</v>
      </c>
      <c r="B4707" s="11"/>
      <c r="C4707" s="2884">
        <v>2</v>
      </c>
      <c r="D4707" s="2884">
        <v>33037.790722687801</v>
      </c>
      <c r="E4707" s="2885">
        <v>33029.708501060901</v>
      </c>
      <c r="F4707" s="2886">
        <v>3.0887282507693799E-3</v>
      </c>
      <c r="G4707" s="2887">
        <v>3.0944647095037E-3</v>
      </c>
    </row>
    <row r="4708" spans="1:7" x14ac:dyDescent="0.25">
      <c r="A4708" s="6" t="s">
        <v>1221</v>
      </c>
      <c r="B4708" s="6"/>
      <c r="C4708" s="2880">
        <v>1</v>
      </c>
      <c r="D4708" s="2880">
        <v>32264.1434756743</v>
      </c>
      <c r="E4708" s="2881">
        <v>32039.6794138974</v>
      </c>
      <c r="F4708" s="2882">
        <v>3.0163993796278898E-3</v>
      </c>
      <c r="G4708" s="2883">
        <v>3.0022931003113001E-3</v>
      </c>
    </row>
    <row r="4709" spans="1:7" x14ac:dyDescent="0.25">
      <c r="A4709" s="11" t="s">
        <v>3217</v>
      </c>
      <c r="B4709" s="11"/>
      <c r="C4709" s="2884">
        <v>1</v>
      </c>
      <c r="D4709" s="2884">
        <v>31482.2479908327</v>
      </c>
      <c r="E4709" s="2885">
        <v>31232.808594040798</v>
      </c>
      <c r="F4709" s="2886">
        <v>2.9432993744413901E-3</v>
      </c>
      <c r="G4709" s="2887">
        <v>2.9293460728974799E-3</v>
      </c>
    </row>
    <row r="4710" spans="1:7" x14ac:dyDescent="0.25">
      <c r="A4710" s="6" t="s">
        <v>1227</v>
      </c>
      <c r="B4710" s="6"/>
      <c r="C4710" s="2880">
        <v>1</v>
      </c>
      <c r="D4710" s="2880">
        <v>31482.2479908327</v>
      </c>
      <c r="E4710" s="2881">
        <v>31232.808594040798</v>
      </c>
      <c r="F4710" s="2882">
        <v>2.9432993744413901E-3</v>
      </c>
      <c r="G4710" s="2883">
        <v>2.9293460728974799E-3</v>
      </c>
    </row>
    <row r="4711" spans="1:7" x14ac:dyDescent="0.25">
      <c r="A4711" s="11" t="s">
        <v>1088</v>
      </c>
      <c r="B4711" s="11" t="s">
        <v>1089</v>
      </c>
      <c r="C4711" s="2884">
        <v>182499</v>
      </c>
      <c r="D4711" s="2884">
        <v>30746370843.443001</v>
      </c>
      <c r="E4711" s="2885">
        <v>281037419.27670401</v>
      </c>
      <c r="F4711" s="2886">
        <v>99.941185054557707</v>
      </c>
      <c r="G4711" s="2887">
        <v>1.12841062783716E-2</v>
      </c>
    </row>
    <row r="4712" spans="1:7" x14ac:dyDescent="0.25">
      <c r="A4712" s="6" t="s">
        <v>1102</v>
      </c>
      <c r="B4712" s="6" t="s">
        <v>1103</v>
      </c>
      <c r="C4712" s="2880">
        <v>40</v>
      </c>
      <c r="D4712" s="2880">
        <v>13399440.7931381</v>
      </c>
      <c r="E4712" s="2881">
        <v>3622126.7837420399</v>
      </c>
      <c r="F4712" s="2882">
        <v>4.3554928767152098E-2</v>
      </c>
      <c r="G4712" s="2883">
        <v>1.15873956111877E-2</v>
      </c>
    </row>
    <row r="4713" spans="1:7" x14ac:dyDescent="0.25">
      <c r="A4713" s="11" t="s">
        <v>1084</v>
      </c>
      <c r="B4713" s="11" t="s">
        <v>1153</v>
      </c>
      <c r="C4713" s="2884">
        <v>18</v>
      </c>
      <c r="D4713" s="2884">
        <v>4694662.4809033098</v>
      </c>
      <c r="E4713" s="2885">
        <v>1734804.88887705</v>
      </c>
      <c r="F4713" s="2886">
        <v>1.5260016675194299E-2</v>
      </c>
      <c r="G4713" s="2887">
        <v>5.6147383505606996E-3</v>
      </c>
    </row>
    <row r="4714" spans="1:7" x14ac:dyDescent="0.25">
      <c r="A4714" s="6" t="s">
        <v>6417</v>
      </c>
      <c r="B4714" s="6" t="s">
        <v>6418</v>
      </c>
      <c r="C4714" s="2880">
        <v>3151</v>
      </c>
      <c r="D4714" s="2880">
        <v>1069624390.3767999</v>
      </c>
      <c r="E4714" s="2881">
        <v>53997160.507847302</v>
      </c>
      <c r="F4714" s="2882">
        <v>3.3599968230611301</v>
      </c>
      <c r="G4714" s="2883">
        <v>0.16054384247107301</v>
      </c>
    </row>
    <row r="4715" spans="1:7" x14ac:dyDescent="0.25">
      <c r="A4715" s="11" t="s">
        <v>6417</v>
      </c>
      <c r="B4715" s="11" t="s">
        <v>6419</v>
      </c>
      <c r="C4715" s="2884">
        <v>185708</v>
      </c>
      <c r="D4715" s="2884">
        <v>31834089337.0938</v>
      </c>
      <c r="E4715" s="2885">
        <v>0</v>
      </c>
      <c r="F4715" s="2886">
        <v>100</v>
      </c>
      <c r="G4715" s="2887">
        <v>0</v>
      </c>
    </row>
    <row r="4716" spans="1:7" x14ac:dyDescent="0.25">
      <c r="A4716" s="3729" t="s">
        <v>963</v>
      </c>
      <c r="B4716" s="3730"/>
      <c r="C4716" s="3730"/>
      <c r="D4716" s="3730"/>
      <c r="E4716" s="3730"/>
      <c r="F4716" s="3730"/>
      <c r="G4716" s="3730"/>
    </row>
    <row r="4717" spans="1:7" x14ac:dyDescent="0.25">
      <c r="A4717" s="11" t="s">
        <v>1090</v>
      </c>
      <c r="B4717" s="11" t="s">
        <v>6270</v>
      </c>
      <c r="C4717" s="2892">
        <v>95298</v>
      </c>
      <c r="D4717" s="2892">
        <v>14051274036.754801</v>
      </c>
      <c r="E4717" s="2893">
        <v>175314438.34395999</v>
      </c>
      <c r="F4717" s="2894">
        <v>54.878586323376801</v>
      </c>
      <c r="G4717" s="2895">
        <v>0.52064381096030798</v>
      </c>
    </row>
    <row r="4718" spans="1:7" x14ac:dyDescent="0.25">
      <c r="A4718" s="6" t="s">
        <v>1092</v>
      </c>
      <c r="B4718" s="6" t="s">
        <v>3137</v>
      </c>
      <c r="C4718" s="2888">
        <v>45046</v>
      </c>
      <c r="D4718" s="2888">
        <v>7702885559.4507504</v>
      </c>
      <c r="E4718" s="2889">
        <v>178135354.81051299</v>
      </c>
      <c r="F4718" s="2890">
        <v>30.084351711287201</v>
      </c>
      <c r="G4718" s="2891">
        <v>0.69476920586438096</v>
      </c>
    </row>
    <row r="4719" spans="1:7" x14ac:dyDescent="0.25">
      <c r="A4719" s="11" t="s">
        <v>1094</v>
      </c>
      <c r="B4719" s="11" t="s">
        <v>3138</v>
      </c>
      <c r="C4719" s="2892">
        <v>5922</v>
      </c>
      <c r="D4719" s="2892">
        <v>1781981298.71545</v>
      </c>
      <c r="E4719" s="2893">
        <v>71826139.624307603</v>
      </c>
      <c r="F4719" s="2894">
        <v>6.9596973393584296</v>
      </c>
      <c r="G4719" s="2895">
        <v>0.26429648662620697</v>
      </c>
    </row>
    <row r="4720" spans="1:7" x14ac:dyDescent="0.25">
      <c r="A4720" s="6" t="s">
        <v>1111</v>
      </c>
      <c r="B4720" s="6" t="s">
        <v>6271</v>
      </c>
      <c r="C4720" s="2888">
        <v>7078</v>
      </c>
      <c r="D4720" s="2888">
        <v>1210675767.20257</v>
      </c>
      <c r="E4720" s="2889">
        <v>57842745.430015303</v>
      </c>
      <c r="F4720" s="2890">
        <v>4.72840928347527</v>
      </c>
      <c r="G4720" s="2891">
        <v>0.218975005278047</v>
      </c>
    </row>
    <row r="4721" spans="1:7" x14ac:dyDescent="0.25">
      <c r="A4721" s="11" t="s">
        <v>1096</v>
      </c>
      <c r="B4721" s="11" t="s">
        <v>3139</v>
      </c>
      <c r="C4721" s="2892">
        <v>1452</v>
      </c>
      <c r="D4721" s="2892">
        <v>663548703.34532797</v>
      </c>
      <c r="E4721" s="2893">
        <v>78416069.872275203</v>
      </c>
      <c r="F4721" s="2894">
        <v>2.5915525311832401</v>
      </c>
      <c r="G4721" s="2895">
        <v>0.30209700435486397</v>
      </c>
    </row>
    <row r="4722" spans="1:7" x14ac:dyDescent="0.25">
      <c r="A4722" s="6" t="s">
        <v>1098</v>
      </c>
      <c r="B4722" s="6" t="s">
        <v>3140</v>
      </c>
      <c r="C4722" s="2888">
        <v>423</v>
      </c>
      <c r="D4722" s="2888">
        <v>149476976.67258799</v>
      </c>
      <c r="E4722" s="2889">
        <v>37055831.892967999</v>
      </c>
      <c r="F4722" s="2890">
        <v>0.58379654017327298</v>
      </c>
      <c r="G4722" s="2891">
        <v>0.14531375539284599</v>
      </c>
    </row>
    <row r="4723" spans="1:7" x14ac:dyDescent="0.25">
      <c r="A4723" s="11" t="s">
        <v>1100</v>
      </c>
      <c r="B4723" s="11" t="s">
        <v>3141</v>
      </c>
      <c r="C4723" s="2892">
        <v>82</v>
      </c>
      <c r="D4723" s="2892">
        <v>33221151.740990002</v>
      </c>
      <c r="E4723" s="2893">
        <v>7937391.8417661302</v>
      </c>
      <c r="F4723" s="2894">
        <v>0.12974836579309701</v>
      </c>
      <c r="G4723" s="2895">
        <v>3.0882538582248601E-2</v>
      </c>
    </row>
    <row r="4724" spans="1:7" x14ac:dyDescent="0.25">
      <c r="A4724" s="6" t="s">
        <v>1121</v>
      </c>
      <c r="B4724" s="6" t="s">
        <v>3144</v>
      </c>
      <c r="C4724" s="2888">
        <v>5</v>
      </c>
      <c r="D4724" s="2888">
        <v>4615248.8349222597</v>
      </c>
      <c r="E4724" s="2889">
        <v>4659982.20053274</v>
      </c>
      <c r="F4724" s="2890">
        <v>1.8025293003938899E-2</v>
      </c>
      <c r="G4724" s="2891">
        <v>1.81724475598838E-2</v>
      </c>
    </row>
    <row r="4725" spans="1:7" x14ac:dyDescent="0.25">
      <c r="A4725" s="11" t="s">
        <v>1119</v>
      </c>
      <c r="B4725" s="11" t="s">
        <v>3143</v>
      </c>
      <c r="C4725" s="2892">
        <v>9</v>
      </c>
      <c r="D4725" s="2892">
        <v>3438958.3781595798</v>
      </c>
      <c r="E4725" s="2893">
        <v>3464471.7639014199</v>
      </c>
      <c r="F4725" s="2894">
        <v>1.3431178818708501E-2</v>
      </c>
      <c r="G4725" s="2895">
        <v>1.3511438428927601E-2</v>
      </c>
    </row>
    <row r="4726" spans="1:7" x14ac:dyDescent="0.25">
      <c r="A4726" s="6" t="s">
        <v>1109</v>
      </c>
      <c r="B4726" s="6" t="s">
        <v>3142</v>
      </c>
      <c r="C4726" s="2888">
        <v>40</v>
      </c>
      <c r="D4726" s="2888">
        <v>3175299.3772909399</v>
      </c>
      <c r="E4726" s="2889">
        <v>2684717.9555151099</v>
      </c>
      <c r="F4726" s="2890">
        <v>1.24014335300424E-2</v>
      </c>
      <c r="G4726" s="2891">
        <v>1.04913660140761E-2</v>
      </c>
    </row>
    <row r="4727" spans="1:7" x14ac:dyDescent="0.25">
      <c r="A4727" s="11" t="s">
        <v>1088</v>
      </c>
      <c r="B4727" s="11" t="s">
        <v>1089</v>
      </c>
      <c r="C4727" s="2892">
        <v>30356</v>
      </c>
      <c r="D4727" s="2892">
        <v>6229796336.6212196</v>
      </c>
      <c r="E4727" s="2893">
        <v>167983082.61131999</v>
      </c>
      <c r="F4727" s="2894">
        <v>100</v>
      </c>
      <c r="G4727" s="2895">
        <v>0</v>
      </c>
    </row>
    <row r="4728" spans="1:7" x14ac:dyDescent="0.25">
      <c r="A4728" s="6" t="s">
        <v>6417</v>
      </c>
      <c r="B4728" s="6" t="s">
        <v>6418</v>
      </c>
      <c r="C4728" s="2888">
        <v>155355</v>
      </c>
      <c r="D4728" s="2888">
        <v>25604293000.4729</v>
      </c>
      <c r="E4728" s="2889">
        <v>197937817.84505299</v>
      </c>
      <c r="F4728" s="2890">
        <v>80.430423906104807</v>
      </c>
      <c r="G4728" s="2891">
        <v>0.40192838841574502</v>
      </c>
    </row>
    <row r="4729" spans="1:7" x14ac:dyDescent="0.25">
      <c r="A4729" s="11" t="s">
        <v>6417</v>
      </c>
      <c r="B4729" s="11" t="s">
        <v>6419</v>
      </c>
      <c r="C4729" s="2892">
        <v>185711</v>
      </c>
      <c r="D4729" s="2892">
        <v>31834089337.094101</v>
      </c>
      <c r="E4729" s="2893">
        <v>0</v>
      </c>
      <c r="F4729" s="2894">
        <v>100</v>
      </c>
      <c r="G4729" s="2895">
        <v>0</v>
      </c>
    </row>
    <row r="4730" spans="1:7" x14ac:dyDescent="0.25">
      <c r="A4730" s="3729" t="s">
        <v>971</v>
      </c>
      <c r="B4730" s="3730"/>
      <c r="C4730" s="3730"/>
      <c r="D4730" s="3730"/>
      <c r="E4730" s="3730"/>
      <c r="F4730" s="3730"/>
      <c r="G4730" s="3730"/>
    </row>
    <row r="4731" spans="1:7" x14ac:dyDescent="0.25">
      <c r="A4731" s="11" t="s">
        <v>1090</v>
      </c>
      <c r="B4731" s="11" t="s">
        <v>6272</v>
      </c>
      <c r="C4731" s="2900">
        <v>61004</v>
      </c>
      <c r="D4731" s="2900">
        <v>10718215081.9781</v>
      </c>
      <c r="E4731" s="2901">
        <v>99205251.823427305</v>
      </c>
      <c r="F4731" s="2902">
        <v>33.685433603534101</v>
      </c>
      <c r="G4731" s="2903">
        <v>0.20708781653501199</v>
      </c>
    </row>
    <row r="4732" spans="1:7" x14ac:dyDescent="0.25">
      <c r="A4732" s="6" t="s">
        <v>1094</v>
      </c>
      <c r="B4732" s="6" t="s">
        <v>6274</v>
      </c>
      <c r="C4732" s="2896">
        <v>18295</v>
      </c>
      <c r="D4732" s="2896">
        <v>4288110468.3614602</v>
      </c>
      <c r="E4732" s="2897">
        <v>63116531.544986099</v>
      </c>
      <c r="F4732" s="2898">
        <v>13.476764495003099</v>
      </c>
      <c r="G4732" s="2899">
        <v>0.12743427070787899</v>
      </c>
    </row>
    <row r="4733" spans="1:7" x14ac:dyDescent="0.25">
      <c r="A4733" s="11" t="s">
        <v>1125</v>
      </c>
      <c r="B4733" s="11" t="s">
        <v>6282</v>
      </c>
      <c r="C4733" s="2900">
        <v>26597</v>
      </c>
      <c r="D4733" s="2900">
        <v>3322485913.2315302</v>
      </c>
      <c r="E4733" s="2901">
        <v>68779264.767645001</v>
      </c>
      <c r="F4733" s="2902">
        <v>10.4419791703026</v>
      </c>
      <c r="G4733" s="2903">
        <v>0.196516556798738</v>
      </c>
    </row>
    <row r="4734" spans="1:7" x14ac:dyDescent="0.25">
      <c r="A4734" s="6" t="s">
        <v>1100</v>
      </c>
      <c r="B4734" s="6" t="s">
        <v>6277</v>
      </c>
      <c r="C4734" s="2896">
        <v>11823</v>
      </c>
      <c r="D4734" s="2896">
        <v>2992352276.1231399</v>
      </c>
      <c r="E4734" s="2897">
        <v>69854455.743091598</v>
      </c>
      <c r="F4734" s="2898">
        <v>9.4044281762189694</v>
      </c>
      <c r="G4734" s="2899">
        <v>0.232202619575474</v>
      </c>
    </row>
    <row r="4735" spans="1:7" x14ac:dyDescent="0.25">
      <c r="A4735" s="11" t="s">
        <v>1129</v>
      </c>
      <c r="B4735" s="11" t="s">
        <v>6284</v>
      </c>
      <c r="C4735" s="2900">
        <v>14668</v>
      </c>
      <c r="D4735" s="2900">
        <v>2151699678.8768902</v>
      </c>
      <c r="E4735" s="2901">
        <v>76380483.946973503</v>
      </c>
      <c r="F4735" s="2902">
        <v>6.7624073703675203</v>
      </c>
      <c r="G4735" s="2903">
        <v>0.20013923003276901</v>
      </c>
    </row>
    <row r="4736" spans="1:7" x14ac:dyDescent="0.25">
      <c r="A4736" s="6" t="s">
        <v>1119</v>
      </c>
      <c r="B4736" s="6" t="s">
        <v>6279</v>
      </c>
      <c r="C4736" s="2896">
        <v>4328</v>
      </c>
      <c r="D4736" s="2896">
        <v>1599069578.8396399</v>
      </c>
      <c r="E4736" s="2897">
        <v>35670732.2179019</v>
      </c>
      <c r="F4736" s="2898">
        <v>5.0255897752979903</v>
      </c>
      <c r="G4736" s="2899">
        <v>0.10320762226571099</v>
      </c>
    </row>
    <row r="4737" spans="1:7" x14ac:dyDescent="0.25">
      <c r="A4737" s="11" t="s">
        <v>1135</v>
      </c>
      <c r="B4737" s="11" t="s">
        <v>6287</v>
      </c>
      <c r="C4737" s="2900">
        <v>7963</v>
      </c>
      <c r="D4737" s="2900">
        <v>1152903843.7759399</v>
      </c>
      <c r="E4737" s="2901">
        <v>34001205.587491699</v>
      </c>
      <c r="F4737" s="2902">
        <v>3.62337064368801</v>
      </c>
      <c r="G4737" s="2903">
        <v>9.9331423847708794E-2</v>
      </c>
    </row>
    <row r="4738" spans="1:7" x14ac:dyDescent="0.25">
      <c r="A4738" s="6" t="s">
        <v>1133</v>
      </c>
      <c r="B4738" s="6" t="s">
        <v>6286</v>
      </c>
      <c r="C4738" s="2896">
        <v>7352</v>
      </c>
      <c r="D4738" s="2896">
        <v>913387537.49879301</v>
      </c>
      <c r="E4738" s="2897">
        <v>46368310.743800603</v>
      </c>
      <c r="F4738" s="2898">
        <v>2.8706137181782201</v>
      </c>
      <c r="G4738" s="2899">
        <v>0.13475100858796299</v>
      </c>
    </row>
    <row r="4739" spans="1:7" x14ac:dyDescent="0.25">
      <c r="A4739" s="11" t="s">
        <v>1137</v>
      </c>
      <c r="B4739" s="11" t="s">
        <v>6288</v>
      </c>
      <c r="C4739" s="2900">
        <v>7636</v>
      </c>
      <c r="D4739" s="2900">
        <v>818677363.40582895</v>
      </c>
      <c r="E4739" s="2901">
        <v>27351002.499210399</v>
      </c>
      <c r="F4739" s="2902">
        <v>2.5729565750264598</v>
      </c>
      <c r="G4739" s="2903">
        <v>8.5623680107001096E-2</v>
      </c>
    </row>
    <row r="4740" spans="1:7" x14ac:dyDescent="0.25">
      <c r="A4740" s="6" t="s">
        <v>1131</v>
      </c>
      <c r="B4740" s="6" t="s">
        <v>6285</v>
      </c>
      <c r="C4740" s="2896">
        <v>5359</v>
      </c>
      <c r="D4740" s="2896">
        <v>689385331.72346699</v>
      </c>
      <c r="E4740" s="2897">
        <v>24754444.4973788</v>
      </c>
      <c r="F4740" s="2898">
        <v>2.1666148366501501</v>
      </c>
      <c r="G4740" s="2899">
        <v>8.2716659202170001E-2</v>
      </c>
    </row>
    <row r="4741" spans="1:7" x14ac:dyDescent="0.25">
      <c r="A4741" s="11" t="s">
        <v>1127</v>
      </c>
      <c r="B4741" s="11" t="s">
        <v>6283</v>
      </c>
      <c r="C4741" s="2900">
        <v>4580</v>
      </c>
      <c r="D4741" s="2900">
        <v>685625165.14582098</v>
      </c>
      <c r="E4741" s="2901">
        <v>25982419.821672302</v>
      </c>
      <c r="F4741" s="2902">
        <v>2.1547973054081702</v>
      </c>
      <c r="G4741" s="2903">
        <v>8.3268795969043005E-2</v>
      </c>
    </row>
    <row r="4742" spans="1:7" x14ac:dyDescent="0.25">
      <c r="A4742" s="6" t="s">
        <v>1139</v>
      </c>
      <c r="B4742" s="6" t="s">
        <v>6289</v>
      </c>
      <c r="C4742" s="2896">
        <v>3224</v>
      </c>
      <c r="D4742" s="2896">
        <v>562387102.06525195</v>
      </c>
      <c r="E4742" s="2897">
        <v>24262308.513651501</v>
      </c>
      <c r="F4742" s="2898">
        <v>1.7674821079077201</v>
      </c>
      <c r="G4742" s="2899">
        <v>6.9311613255042107E-2</v>
      </c>
    </row>
    <row r="4743" spans="1:7" x14ac:dyDescent="0.25">
      <c r="A4743" s="11" t="s">
        <v>1092</v>
      </c>
      <c r="B4743" s="11" t="s">
        <v>6273</v>
      </c>
      <c r="C4743" s="2900">
        <v>2107</v>
      </c>
      <c r="D4743" s="2900">
        <v>438703625.31948602</v>
      </c>
      <c r="E4743" s="2901">
        <v>22787836.650838599</v>
      </c>
      <c r="F4743" s="2902">
        <v>1.3787670548967801</v>
      </c>
      <c r="G4743" s="2903">
        <v>7.1607933405581706E-2</v>
      </c>
    </row>
    <row r="4744" spans="1:7" x14ac:dyDescent="0.25">
      <c r="A4744" s="6" t="s">
        <v>1096</v>
      </c>
      <c r="B4744" s="6" t="s">
        <v>6275</v>
      </c>
      <c r="C4744" s="2896">
        <v>2317</v>
      </c>
      <c r="D4744" s="2896">
        <v>411836033.25793999</v>
      </c>
      <c r="E4744" s="2897">
        <v>23418915.813414101</v>
      </c>
      <c r="F4744" s="2898">
        <v>1.2943270169283501</v>
      </c>
      <c r="G4744" s="2899">
        <v>6.8670469938325401E-2</v>
      </c>
    </row>
    <row r="4745" spans="1:7" x14ac:dyDescent="0.25">
      <c r="A4745" s="11" t="s">
        <v>1109</v>
      </c>
      <c r="B4745" s="11" t="s">
        <v>6278</v>
      </c>
      <c r="C4745" s="2900">
        <v>2238</v>
      </c>
      <c r="D4745" s="2900">
        <v>354478814.249708</v>
      </c>
      <c r="E4745" s="2901">
        <v>25135627.424660198</v>
      </c>
      <c r="F4745" s="2902">
        <v>1.11406353296134</v>
      </c>
      <c r="G4745" s="2903">
        <v>7.7044675900750703E-2</v>
      </c>
    </row>
    <row r="4746" spans="1:7" x14ac:dyDescent="0.25">
      <c r="A4746" s="6" t="s">
        <v>1141</v>
      </c>
      <c r="B4746" s="6" t="s">
        <v>6290</v>
      </c>
      <c r="C4746" s="2896">
        <v>3302</v>
      </c>
      <c r="D4746" s="2896">
        <v>310327375.969423</v>
      </c>
      <c r="E4746" s="2897">
        <v>32254096.781330001</v>
      </c>
      <c r="F4746" s="2898">
        <v>0.97530345665051499</v>
      </c>
      <c r="G4746" s="2899">
        <v>9.8929476220438406E-2</v>
      </c>
    </row>
    <row r="4747" spans="1:7" x14ac:dyDescent="0.25">
      <c r="A4747" s="11" t="s">
        <v>1098</v>
      </c>
      <c r="B4747" s="11" t="s">
        <v>6276</v>
      </c>
      <c r="C4747" s="2900">
        <v>1757</v>
      </c>
      <c r="D4747" s="2900">
        <v>186112831.30004001</v>
      </c>
      <c r="E4747" s="2901">
        <v>16561292.571924699</v>
      </c>
      <c r="F4747" s="2902">
        <v>0.58491935210971802</v>
      </c>
      <c r="G4747" s="2903">
        <v>5.1396429493017502E-2</v>
      </c>
    </row>
    <row r="4748" spans="1:7" x14ac:dyDescent="0.25">
      <c r="A4748" s="6" t="s">
        <v>1111</v>
      </c>
      <c r="B4748" s="6" t="s">
        <v>1143</v>
      </c>
      <c r="C4748" s="2896">
        <v>598</v>
      </c>
      <c r="D4748" s="2896">
        <v>100542796.167024</v>
      </c>
      <c r="E4748" s="2897">
        <v>12351953.0475838</v>
      </c>
      <c r="F4748" s="2898">
        <v>0.31598803146735299</v>
      </c>
      <c r="G4748" s="2899">
        <v>4.0165633849283802E-2</v>
      </c>
    </row>
    <row r="4749" spans="1:7" x14ac:dyDescent="0.25">
      <c r="A4749" s="11" t="s">
        <v>1121</v>
      </c>
      <c r="B4749" s="11" t="s">
        <v>6280</v>
      </c>
      <c r="C4749" s="2900">
        <v>373</v>
      </c>
      <c r="D4749" s="2900">
        <v>96655141.641003504</v>
      </c>
      <c r="E4749" s="2901">
        <v>9885420.5605660696</v>
      </c>
      <c r="F4749" s="2902">
        <v>0.30376982839826699</v>
      </c>
      <c r="G4749" s="2903">
        <v>3.2149687049439803E-2</v>
      </c>
    </row>
    <row r="4750" spans="1:7" x14ac:dyDescent="0.25">
      <c r="A4750" s="6" t="s">
        <v>1123</v>
      </c>
      <c r="B4750" s="6" t="s">
        <v>6281</v>
      </c>
      <c r="C4750" s="2896">
        <v>137</v>
      </c>
      <c r="D4750" s="2896">
        <v>25589730.9596802</v>
      </c>
      <c r="E4750" s="2897">
        <v>7717990.1903087199</v>
      </c>
      <c r="F4750" s="2898">
        <v>8.0423949004717998E-2</v>
      </c>
      <c r="G4750" s="2899">
        <v>2.4178133382745201E-2</v>
      </c>
    </row>
    <row r="4751" spans="1:7" x14ac:dyDescent="0.25">
      <c r="A4751" s="11" t="s">
        <v>1086</v>
      </c>
      <c r="B4751" s="11" t="s">
        <v>1087</v>
      </c>
      <c r="C4751" s="2900">
        <v>37</v>
      </c>
      <c r="D4751" s="2900">
        <v>11149884.884506</v>
      </c>
      <c r="E4751" s="2901">
        <v>4244880.0864866897</v>
      </c>
      <c r="F4751" s="2902">
        <v>71.732745464209401</v>
      </c>
      <c r="G4751" s="2903">
        <v>14.9905443357564</v>
      </c>
    </row>
    <row r="4752" spans="1:7" x14ac:dyDescent="0.25">
      <c r="A4752" s="6" t="s">
        <v>1084</v>
      </c>
      <c r="B4752" s="6" t="s">
        <v>1085</v>
      </c>
      <c r="C4752" s="2896">
        <v>11</v>
      </c>
      <c r="D4752" s="2896">
        <v>3743595.3990931301</v>
      </c>
      <c r="E4752" s="2897">
        <v>1845443.8068255801</v>
      </c>
      <c r="F4752" s="2898">
        <v>24.0844079257981</v>
      </c>
      <c r="G4752" s="2899">
        <v>13.691309552810001</v>
      </c>
    </row>
    <row r="4753" spans="1:7" x14ac:dyDescent="0.25">
      <c r="A4753" s="11" t="s">
        <v>1102</v>
      </c>
      <c r="B4753" s="11" t="s">
        <v>1103</v>
      </c>
      <c r="C4753" s="2900">
        <v>5</v>
      </c>
      <c r="D4753" s="2900">
        <v>650166.92013038695</v>
      </c>
      <c r="E4753" s="2901">
        <v>287912.27208650898</v>
      </c>
      <c r="F4753" s="2902">
        <v>4.1828466099924499</v>
      </c>
      <c r="G4753" s="2903">
        <v>2.6734540263420201</v>
      </c>
    </row>
    <row r="4754" spans="1:7" x14ac:dyDescent="0.25">
      <c r="A4754" s="6" t="s">
        <v>6417</v>
      </c>
      <c r="B4754" s="6" t="s">
        <v>6418</v>
      </c>
      <c r="C4754" s="2896">
        <v>185658</v>
      </c>
      <c r="D4754" s="2896">
        <v>31818545689.890202</v>
      </c>
      <c r="E4754" s="2897">
        <v>300615788.20906502</v>
      </c>
      <c r="F4754" s="2898">
        <v>99.951172948473101</v>
      </c>
      <c r="G4754" s="2899">
        <v>1.1857441877353001E-2</v>
      </c>
    </row>
    <row r="4755" spans="1:7" x14ac:dyDescent="0.25">
      <c r="A4755" s="11" t="s">
        <v>6417</v>
      </c>
      <c r="B4755" s="11" t="s">
        <v>6419</v>
      </c>
      <c r="C4755" s="2900">
        <v>185711</v>
      </c>
      <c r="D4755" s="2900">
        <v>31834089337.093899</v>
      </c>
      <c r="E4755" s="2901">
        <v>0</v>
      </c>
      <c r="F4755" s="2902">
        <v>100</v>
      </c>
      <c r="G4755" s="2903">
        <v>0</v>
      </c>
    </row>
    <row r="4756" spans="1:7" x14ac:dyDescent="0.25">
      <c r="A4756" s="3729" t="s">
        <v>974</v>
      </c>
      <c r="B4756" s="3730"/>
      <c r="C4756" s="3730"/>
      <c r="D4756" s="3730"/>
      <c r="E4756" s="3730"/>
      <c r="F4756" s="3730"/>
      <c r="G4756" s="3730"/>
    </row>
    <row r="4757" spans="1:7" x14ac:dyDescent="0.25">
      <c r="A4757" s="11" t="s">
        <v>6832</v>
      </c>
      <c r="B4757" s="11"/>
      <c r="C4757" s="2908">
        <v>403</v>
      </c>
      <c r="D4757" s="2908">
        <v>79824689.703645602</v>
      </c>
      <c r="E4757" s="2909">
        <v>9151190.1322271209</v>
      </c>
      <c r="F4757" s="2910">
        <v>80.265652558926604</v>
      </c>
      <c r="G4757" s="2911">
        <v>2.71867795812088</v>
      </c>
    </row>
    <row r="4758" spans="1:7" x14ac:dyDescent="0.25">
      <c r="A4758" s="6" t="s">
        <v>6833</v>
      </c>
      <c r="B4758" s="6"/>
      <c r="C4758" s="2904">
        <v>158</v>
      </c>
      <c r="D4758" s="2904">
        <v>19171962.119826499</v>
      </c>
      <c r="E4758" s="2905">
        <v>4287913.4944165004</v>
      </c>
      <c r="F4758" s="2906">
        <v>19.277870745204002</v>
      </c>
      <c r="G4758" s="2907">
        <v>2.7193850475808001</v>
      </c>
    </row>
    <row r="4759" spans="1:7" x14ac:dyDescent="0.25">
      <c r="A4759" s="11" t="s">
        <v>6834</v>
      </c>
      <c r="B4759" s="11"/>
      <c r="C4759" s="2908">
        <v>3</v>
      </c>
      <c r="D4759" s="2908">
        <v>413374.44738202501</v>
      </c>
      <c r="E4759" s="2909">
        <v>273755.23604504397</v>
      </c>
      <c r="F4759" s="2910">
        <v>0.41565798618805799</v>
      </c>
      <c r="G4759" s="2911">
        <v>0.26731021318991399</v>
      </c>
    </row>
    <row r="4760" spans="1:7" x14ac:dyDescent="0.25">
      <c r="A4760" s="6" t="s">
        <v>6835</v>
      </c>
      <c r="B4760" s="6"/>
      <c r="C4760" s="2904">
        <v>27</v>
      </c>
      <c r="D4760" s="2904">
        <v>40594.460152380998</v>
      </c>
      <c r="E4760" s="2905">
        <v>40805.178390810899</v>
      </c>
      <c r="F4760" s="2906">
        <v>4.0818709681240302E-2</v>
      </c>
      <c r="G4760" s="2907">
        <v>4.0952943670825803E-2</v>
      </c>
    </row>
    <row r="4761" spans="1:7" x14ac:dyDescent="0.25">
      <c r="A4761" s="11" t="s">
        <v>1088</v>
      </c>
      <c r="B4761" s="11" t="s">
        <v>1089</v>
      </c>
      <c r="C4761" s="2908">
        <v>185113</v>
      </c>
      <c r="D4761" s="2908">
        <v>31733546540.926899</v>
      </c>
      <c r="E4761" s="2909">
        <v>303819482.25286502</v>
      </c>
      <c r="F4761" s="2910">
        <v>99.996558412257997</v>
      </c>
      <c r="G4761" s="2911">
        <v>2.3809253307421701E-3</v>
      </c>
    </row>
    <row r="4762" spans="1:7" x14ac:dyDescent="0.25">
      <c r="A4762" s="6" t="s">
        <v>1102</v>
      </c>
      <c r="B4762" s="6" t="s">
        <v>1103</v>
      </c>
      <c r="C4762" s="2904">
        <v>6</v>
      </c>
      <c r="D4762" s="2904">
        <v>1092175.4360179</v>
      </c>
      <c r="E4762" s="2905">
        <v>759998.72783512902</v>
      </c>
      <c r="F4762" s="2906">
        <v>3.4415877419608299E-3</v>
      </c>
      <c r="G4762" s="2907">
        <v>2.3809253307451898E-3</v>
      </c>
    </row>
    <row r="4763" spans="1:7" x14ac:dyDescent="0.25">
      <c r="A4763" s="11" t="s">
        <v>6417</v>
      </c>
      <c r="B4763" s="11" t="s">
        <v>6418</v>
      </c>
      <c r="C4763" s="2908">
        <v>591</v>
      </c>
      <c r="D4763" s="2908">
        <v>99450620.731006607</v>
      </c>
      <c r="E4763" s="2909">
        <v>12493174.323104501</v>
      </c>
      <c r="F4763" s="2910">
        <v>0.31240290770662599</v>
      </c>
      <c r="G4763" s="2911">
        <v>4.06341650083962E-2</v>
      </c>
    </row>
    <row r="4764" spans="1:7" x14ac:dyDescent="0.25">
      <c r="A4764" s="6" t="s">
        <v>6417</v>
      </c>
      <c r="B4764" s="6" t="s">
        <v>6419</v>
      </c>
      <c r="C4764" s="2904">
        <v>185710</v>
      </c>
      <c r="D4764" s="2904">
        <v>31834089337.093899</v>
      </c>
      <c r="E4764" s="2905">
        <v>0</v>
      </c>
      <c r="F4764" s="2906">
        <v>100</v>
      </c>
      <c r="G4764" s="2907">
        <v>0</v>
      </c>
    </row>
    <row r="4765" spans="1:7" x14ac:dyDescent="0.25">
      <c r="A4765" s="3729" t="s">
        <v>976</v>
      </c>
      <c r="B4765" s="3730"/>
      <c r="C4765" s="3730"/>
      <c r="D4765" s="3730"/>
      <c r="E4765" s="3730"/>
      <c r="F4765" s="3730"/>
      <c r="G4765" s="3730"/>
    </row>
    <row r="4766" spans="1:7" x14ac:dyDescent="0.25">
      <c r="A4766" s="11" t="s">
        <v>1090</v>
      </c>
      <c r="B4766" s="11" t="s">
        <v>6272</v>
      </c>
      <c r="C4766" s="2916">
        <v>62220</v>
      </c>
      <c r="D4766" s="2916">
        <v>10910925274.6782</v>
      </c>
      <c r="E4766" s="2917">
        <v>116420492.900355</v>
      </c>
      <c r="F4766" s="2918">
        <v>34.291467175821303</v>
      </c>
      <c r="G4766" s="2919">
        <v>0.16169687319131201</v>
      </c>
    </row>
    <row r="4767" spans="1:7" x14ac:dyDescent="0.25">
      <c r="A4767" s="6" t="s">
        <v>1094</v>
      </c>
      <c r="B4767" s="6" t="s">
        <v>6274</v>
      </c>
      <c r="C4767" s="2912">
        <v>18108</v>
      </c>
      <c r="D4767" s="2912">
        <v>4247233388.1215</v>
      </c>
      <c r="E4767" s="2913">
        <v>56341511.042214602</v>
      </c>
      <c r="F4767" s="2914">
        <v>13.3484430192944</v>
      </c>
      <c r="G4767" s="2915">
        <v>0.10604470799181601</v>
      </c>
    </row>
    <row r="4768" spans="1:7" x14ac:dyDescent="0.25">
      <c r="A4768" s="11" t="s">
        <v>1125</v>
      </c>
      <c r="B4768" s="11" t="s">
        <v>6282</v>
      </c>
      <c r="C4768" s="2916">
        <v>26526</v>
      </c>
      <c r="D4768" s="2916">
        <v>3317874216.4510899</v>
      </c>
      <c r="E4768" s="2917">
        <v>70986827.210774004</v>
      </c>
      <c r="F4768" s="2918">
        <v>10.4276009525042</v>
      </c>
      <c r="G4768" s="2919">
        <v>0.207593665369837</v>
      </c>
    </row>
    <row r="4769" spans="1:7" x14ac:dyDescent="0.25">
      <c r="A4769" s="6" t="s">
        <v>1100</v>
      </c>
      <c r="B4769" s="6" t="s">
        <v>6277</v>
      </c>
      <c r="C4769" s="2912">
        <v>11790</v>
      </c>
      <c r="D4769" s="2912">
        <v>2977650905.4634299</v>
      </c>
      <c r="E4769" s="2913">
        <v>67905556.527557805</v>
      </c>
      <c r="F4769" s="2914">
        <v>9.3583280716552792</v>
      </c>
      <c r="G4769" s="2915">
        <v>0.22933323967289801</v>
      </c>
    </row>
    <row r="4770" spans="1:7" x14ac:dyDescent="0.25">
      <c r="A4770" s="11" t="s">
        <v>1129</v>
      </c>
      <c r="B4770" s="11" t="s">
        <v>6284</v>
      </c>
      <c r="C4770" s="2916">
        <v>14662</v>
      </c>
      <c r="D4770" s="2916">
        <v>2154442599.9215002</v>
      </c>
      <c r="E4770" s="2917">
        <v>75708125.214553595</v>
      </c>
      <c r="F4770" s="2918">
        <v>6.7711028934325004</v>
      </c>
      <c r="G4770" s="2919">
        <v>0.19828559499350801</v>
      </c>
    </row>
    <row r="4771" spans="1:7" x14ac:dyDescent="0.25">
      <c r="A4771" s="6" t="s">
        <v>1119</v>
      </c>
      <c r="B4771" s="6" t="s">
        <v>6279</v>
      </c>
      <c r="C4771" s="2912">
        <v>4228</v>
      </c>
      <c r="D4771" s="2912">
        <v>1562350976.3659201</v>
      </c>
      <c r="E4771" s="2913">
        <v>35165138.076366499</v>
      </c>
      <c r="F4771" s="2914">
        <v>4.9102441703547104</v>
      </c>
      <c r="G4771" s="2915">
        <v>0.107316719990334</v>
      </c>
    </row>
    <row r="4772" spans="1:7" x14ac:dyDescent="0.25">
      <c r="A4772" s="11" t="s">
        <v>1135</v>
      </c>
      <c r="B4772" s="11" t="s">
        <v>6287</v>
      </c>
      <c r="C4772" s="2916">
        <v>7869</v>
      </c>
      <c r="D4772" s="2916">
        <v>1136698805.27321</v>
      </c>
      <c r="E4772" s="2917">
        <v>33465320.603478201</v>
      </c>
      <c r="F4772" s="2918">
        <v>3.5724806823013799</v>
      </c>
      <c r="G4772" s="2919">
        <v>9.8211108552499704E-2</v>
      </c>
    </row>
    <row r="4773" spans="1:7" x14ac:dyDescent="0.25">
      <c r="A4773" s="6" t="s">
        <v>1133</v>
      </c>
      <c r="B4773" s="6" t="s">
        <v>6286</v>
      </c>
      <c r="C4773" s="2912">
        <v>7330</v>
      </c>
      <c r="D4773" s="2912">
        <v>926429247.88572598</v>
      </c>
      <c r="E4773" s="2913">
        <v>42092141.279797599</v>
      </c>
      <c r="F4773" s="2914">
        <v>2.9116337381873598</v>
      </c>
      <c r="G4773" s="2915">
        <v>0.121695468823439</v>
      </c>
    </row>
    <row r="4774" spans="1:7" x14ac:dyDescent="0.25">
      <c r="A4774" s="11" t="s">
        <v>1137</v>
      </c>
      <c r="B4774" s="11" t="s">
        <v>6288</v>
      </c>
      <c r="C4774" s="2916">
        <v>7773</v>
      </c>
      <c r="D4774" s="2916">
        <v>873695630.631024</v>
      </c>
      <c r="E4774" s="2917">
        <v>30760361.797906298</v>
      </c>
      <c r="F4774" s="2918">
        <v>2.74589957177816</v>
      </c>
      <c r="G4774" s="2919">
        <v>9.9209456978814198E-2</v>
      </c>
    </row>
    <row r="4775" spans="1:7" x14ac:dyDescent="0.25">
      <c r="A4775" s="6" t="s">
        <v>1131</v>
      </c>
      <c r="B4775" s="6" t="s">
        <v>6285</v>
      </c>
      <c r="C4775" s="2912">
        <v>5341</v>
      </c>
      <c r="D4775" s="2912">
        <v>685055707.39370799</v>
      </c>
      <c r="E4775" s="2913">
        <v>22762522.2779608</v>
      </c>
      <c r="F4775" s="2914">
        <v>2.1530314535485902</v>
      </c>
      <c r="G4775" s="2915">
        <v>7.7119226644808303E-2</v>
      </c>
    </row>
    <row r="4776" spans="1:7" x14ac:dyDescent="0.25">
      <c r="A4776" s="11" t="s">
        <v>1127</v>
      </c>
      <c r="B4776" s="11" t="s">
        <v>6283</v>
      </c>
      <c r="C4776" s="2916">
        <v>4568</v>
      </c>
      <c r="D4776" s="2916">
        <v>682718193.69559896</v>
      </c>
      <c r="E4776" s="2917">
        <v>25121805.101551499</v>
      </c>
      <c r="F4776" s="2918">
        <v>2.1456849845522501</v>
      </c>
      <c r="G4776" s="2919">
        <v>8.0804760573675097E-2</v>
      </c>
    </row>
    <row r="4777" spans="1:7" x14ac:dyDescent="0.25">
      <c r="A4777" s="6" t="s">
        <v>1139</v>
      </c>
      <c r="B4777" s="6" t="s">
        <v>6289</v>
      </c>
      <c r="C4777" s="2912">
        <v>3152</v>
      </c>
      <c r="D4777" s="2912">
        <v>554835295.27725399</v>
      </c>
      <c r="E4777" s="2913">
        <v>23953035.9029296</v>
      </c>
      <c r="F4777" s="2914">
        <v>1.7437674474906799</v>
      </c>
      <c r="G4777" s="2915">
        <v>6.8534871545528897E-2</v>
      </c>
    </row>
    <row r="4778" spans="1:7" x14ac:dyDescent="0.25">
      <c r="A4778" s="11" t="s">
        <v>1096</v>
      </c>
      <c r="B4778" s="11" t="s">
        <v>6275</v>
      </c>
      <c r="C4778" s="2916">
        <v>2269</v>
      </c>
      <c r="D4778" s="2916">
        <v>402193437.43674999</v>
      </c>
      <c r="E4778" s="2917">
        <v>20617951.423334599</v>
      </c>
      <c r="F4778" s="2918">
        <v>1.2640360657771801</v>
      </c>
      <c r="G4778" s="2919">
        <v>5.9496463138474301E-2</v>
      </c>
    </row>
    <row r="4779" spans="1:7" x14ac:dyDescent="0.25">
      <c r="A4779" s="6" t="s">
        <v>1109</v>
      </c>
      <c r="B4779" s="6" t="s">
        <v>6278</v>
      </c>
      <c r="C4779" s="2912">
        <v>2222</v>
      </c>
      <c r="D4779" s="2912">
        <v>359347163.76436102</v>
      </c>
      <c r="E4779" s="2913">
        <v>24160484.469707601</v>
      </c>
      <c r="F4779" s="2914">
        <v>1.12937639666069</v>
      </c>
      <c r="G4779" s="2915">
        <v>7.4403026445630696E-2</v>
      </c>
    </row>
    <row r="4780" spans="1:7" x14ac:dyDescent="0.25">
      <c r="A4780" s="11" t="s">
        <v>1092</v>
      </c>
      <c r="B4780" s="11" t="s">
        <v>6273</v>
      </c>
      <c r="C4780" s="2916">
        <v>1549</v>
      </c>
      <c r="D4780" s="2916">
        <v>323937633.46483898</v>
      </c>
      <c r="E4780" s="2917">
        <v>16547475.1740392</v>
      </c>
      <c r="F4780" s="2918">
        <v>1.0180893412177101</v>
      </c>
      <c r="G4780" s="2919">
        <v>5.4331604780152101E-2</v>
      </c>
    </row>
    <row r="4781" spans="1:7" x14ac:dyDescent="0.25">
      <c r="A4781" s="6" t="s">
        <v>1141</v>
      </c>
      <c r="B4781" s="6" t="s">
        <v>6290</v>
      </c>
      <c r="C4781" s="2912">
        <v>3264</v>
      </c>
      <c r="D4781" s="2912">
        <v>306590760.56414199</v>
      </c>
      <c r="E4781" s="2913">
        <v>31490625.709502701</v>
      </c>
      <c r="F4781" s="2914">
        <v>0.96357061730545701</v>
      </c>
      <c r="G4781" s="2915">
        <v>9.6497732082715101E-2</v>
      </c>
    </row>
    <row r="4782" spans="1:7" x14ac:dyDescent="0.25">
      <c r="A4782" s="11" t="s">
        <v>1098</v>
      </c>
      <c r="B4782" s="11" t="s">
        <v>6276</v>
      </c>
      <c r="C4782" s="2916">
        <v>1692</v>
      </c>
      <c r="D4782" s="2916">
        <v>176265166.429407</v>
      </c>
      <c r="E4782" s="2917">
        <v>14610837.28466</v>
      </c>
      <c r="F4782" s="2918">
        <v>0.553976039308268</v>
      </c>
      <c r="G4782" s="2919">
        <v>4.5110950473027898E-2</v>
      </c>
    </row>
    <row r="4783" spans="1:7" x14ac:dyDescent="0.25">
      <c r="A4783" s="6" t="s">
        <v>1111</v>
      </c>
      <c r="B4783" s="6" t="s">
        <v>1143</v>
      </c>
      <c r="C4783" s="2912">
        <v>598</v>
      </c>
      <c r="D4783" s="2912">
        <v>100236408.641366</v>
      </c>
      <c r="E4783" s="2913">
        <v>12418278.243453201</v>
      </c>
      <c r="F4783" s="2914">
        <v>0.31502860025306001</v>
      </c>
      <c r="G4783" s="2915">
        <v>4.0372987131157799E-2</v>
      </c>
    </row>
    <row r="4784" spans="1:7" x14ac:dyDescent="0.25">
      <c r="A4784" s="11" t="s">
        <v>1121</v>
      </c>
      <c r="B4784" s="11" t="s">
        <v>6280</v>
      </c>
      <c r="C4784" s="2916">
        <v>362</v>
      </c>
      <c r="D4784" s="2916">
        <v>92770160.249017805</v>
      </c>
      <c r="E4784" s="2917">
        <v>10022848.723389899</v>
      </c>
      <c r="F4784" s="2918">
        <v>0.29156325655146698</v>
      </c>
      <c r="G4784" s="2919">
        <v>3.2409502251429197E-2</v>
      </c>
    </row>
    <row r="4785" spans="1:7" x14ac:dyDescent="0.25">
      <c r="A4785" s="6" t="s">
        <v>1123</v>
      </c>
      <c r="B4785" s="6" t="s">
        <v>6281</v>
      </c>
      <c r="C4785" s="2912">
        <v>136</v>
      </c>
      <c r="D4785" s="2912">
        <v>26942221.1787544</v>
      </c>
      <c r="E4785" s="2913">
        <v>9038640.2025595997</v>
      </c>
      <c r="F4785" s="2914">
        <v>8.4675522005371304E-2</v>
      </c>
      <c r="G4785" s="2915">
        <v>2.8334566124647201E-2</v>
      </c>
    </row>
    <row r="4786" spans="1:7" x14ac:dyDescent="0.25">
      <c r="A4786" s="11" t="s">
        <v>1086</v>
      </c>
      <c r="B4786" s="11" t="s">
        <v>1087</v>
      </c>
      <c r="C4786" s="2916">
        <v>41</v>
      </c>
      <c r="D4786" s="2916">
        <v>14133432.338338001</v>
      </c>
      <c r="E4786" s="2917">
        <v>5752299.5512152202</v>
      </c>
      <c r="F4786" s="2918">
        <v>88.911072736986796</v>
      </c>
      <c r="G4786" s="2919">
        <v>8.9982676611023908</v>
      </c>
    </row>
    <row r="4787" spans="1:7" x14ac:dyDescent="0.25">
      <c r="A4787" s="6" t="s">
        <v>1084</v>
      </c>
      <c r="B4787" s="6" t="s">
        <v>1085</v>
      </c>
      <c r="C4787" s="2912">
        <v>9</v>
      </c>
      <c r="D4787" s="2912">
        <v>1641211.42857678</v>
      </c>
      <c r="E4787" s="2913">
        <v>1173584.19198033</v>
      </c>
      <c r="F4787" s="2914">
        <v>10.3245881969619</v>
      </c>
      <c r="G4787" s="2915">
        <v>8.7251374937842492</v>
      </c>
    </row>
    <row r="4788" spans="1:7" x14ac:dyDescent="0.25">
      <c r="A4788" s="11" t="s">
        <v>1102</v>
      </c>
      <c r="B4788" s="11" t="s">
        <v>1103</v>
      </c>
      <c r="C4788" s="2916">
        <v>2</v>
      </c>
      <c r="D4788" s="2916">
        <v>121500.440170601</v>
      </c>
      <c r="E4788" s="2917">
        <v>102428.971912384</v>
      </c>
      <c r="F4788" s="2918">
        <v>0.76433906605128099</v>
      </c>
      <c r="G4788" s="2919">
        <v>0.76128770563992099</v>
      </c>
    </row>
    <row r="4789" spans="1:7" x14ac:dyDescent="0.25">
      <c r="A4789" s="6" t="s">
        <v>6417</v>
      </c>
      <c r="B4789" s="6" t="s">
        <v>6418</v>
      </c>
      <c r="C4789" s="2912">
        <v>185659</v>
      </c>
      <c r="D4789" s="2912">
        <v>31818193192.886799</v>
      </c>
      <c r="E4789" s="2913">
        <v>301170044.71045202</v>
      </c>
      <c r="F4789" s="2914">
        <v>99.950065654340705</v>
      </c>
      <c r="G4789" s="2915">
        <v>1.7739515328022801E-2</v>
      </c>
    </row>
    <row r="4790" spans="1:7" x14ac:dyDescent="0.25">
      <c r="A4790" s="11" t="s">
        <v>6417</v>
      </c>
      <c r="B4790" s="11" t="s">
        <v>6419</v>
      </c>
      <c r="C4790" s="2916">
        <v>185711</v>
      </c>
      <c r="D4790" s="2916">
        <v>31834089337.093899</v>
      </c>
      <c r="E4790" s="2917">
        <v>0</v>
      </c>
      <c r="F4790" s="2918">
        <v>100</v>
      </c>
      <c r="G4790" s="2919">
        <v>0</v>
      </c>
    </row>
    <row r="4791" spans="1:7" x14ac:dyDescent="0.25">
      <c r="A4791" s="3729" t="s">
        <v>982</v>
      </c>
      <c r="B4791" s="3730"/>
      <c r="C4791" s="3730"/>
      <c r="D4791" s="3730"/>
      <c r="E4791" s="3730"/>
      <c r="F4791" s="3730"/>
      <c r="G4791" s="3730"/>
    </row>
    <row r="4792" spans="1:7" x14ac:dyDescent="0.25">
      <c r="A4792" s="11" t="s">
        <v>6832</v>
      </c>
      <c r="B4792" s="11"/>
      <c r="C4792" s="2924">
        <v>402</v>
      </c>
      <c r="D4792" s="2924">
        <v>79824689.703645602</v>
      </c>
      <c r="E4792" s="2925">
        <v>9151190.1322271209</v>
      </c>
      <c r="F4792" s="2926">
        <v>80.373695263586797</v>
      </c>
      <c r="G4792" s="2927">
        <v>2.8151563796532999</v>
      </c>
    </row>
    <row r="4793" spans="1:7" x14ac:dyDescent="0.25">
      <c r="A4793" s="6" t="s">
        <v>6833</v>
      </c>
      <c r="B4793" s="6"/>
      <c r="C4793" s="2920">
        <v>161</v>
      </c>
      <c r="D4793" s="2920">
        <v>19270728.409397501</v>
      </c>
      <c r="E4793" s="2921">
        <v>4275811.6431563403</v>
      </c>
      <c r="F4793" s="2922">
        <v>19.403265561501101</v>
      </c>
      <c r="G4793" s="2923">
        <v>2.7011566995024898</v>
      </c>
    </row>
    <row r="4794" spans="1:7" x14ac:dyDescent="0.25">
      <c r="A4794" s="11" t="s">
        <v>6834</v>
      </c>
      <c r="B4794" s="11"/>
      <c r="C4794" s="2924">
        <v>1</v>
      </c>
      <c r="D4794" s="2924">
        <v>180921.20950451199</v>
      </c>
      <c r="E4794" s="2925">
        <v>182209.25754557</v>
      </c>
      <c r="F4794" s="2926">
        <v>0.18216552063554201</v>
      </c>
      <c r="G4794" s="2927">
        <v>0.18176842344331601</v>
      </c>
    </row>
    <row r="4795" spans="1:7" x14ac:dyDescent="0.25">
      <c r="A4795" s="6" t="s">
        <v>6835</v>
      </c>
      <c r="B4795" s="6"/>
      <c r="C4795" s="2920">
        <v>28</v>
      </c>
      <c r="D4795" s="2920">
        <v>40594.460152380998</v>
      </c>
      <c r="E4795" s="2921">
        <v>40805.178390810899</v>
      </c>
      <c r="F4795" s="2922">
        <v>4.08736542765199E-2</v>
      </c>
      <c r="G4795" s="2923">
        <v>4.1007208483277699E-2</v>
      </c>
    </row>
    <row r="4796" spans="1:7" x14ac:dyDescent="0.25">
      <c r="A4796" s="11" t="s">
        <v>1088</v>
      </c>
      <c r="B4796" s="11" t="s">
        <v>1089</v>
      </c>
      <c r="C4796" s="2924">
        <v>185113</v>
      </c>
      <c r="D4796" s="2924">
        <v>31733852928.452599</v>
      </c>
      <c r="E4796" s="2925">
        <v>303822059.74597198</v>
      </c>
      <c r="F4796" s="2926">
        <v>99.9971026265858</v>
      </c>
      <c r="G4796" s="2927">
        <v>2.26546427973498E-3</v>
      </c>
    </row>
    <row r="4797" spans="1:7" x14ac:dyDescent="0.25">
      <c r="A4797" s="6" t="s">
        <v>1102</v>
      </c>
      <c r="B4797" s="6" t="s">
        <v>1103</v>
      </c>
      <c r="C4797" s="2920">
        <v>5</v>
      </c>
      <c r="D4797" s="2920">
        <v>919474.858665618</v>
      </c>
      <c r="E4797" s="2921">
        <v>721556.635943047</v>
      </c>
      <c r="F4797" s="2922">
        <v>2.89737341418487E-3</v>
      </c>
      <c r="G4797" s="2923">
        <v>2.26546427973771E-3</v>
      </c>
    </row>
    <row r="4798" spans="1:7" x14ac:dyDescent="0.25">
      <c r="A4798" s="11" t="s">
        <v>6417</v>
      </c>
      <c r="B4798" s="11" t="s">
        <v>6418</v>
      </c>
      <c r="C4798" s="2924">
        <v>592</v>
      </c>
      <c r="D4798" s="2924">
        <v>99316933.782700107</v>
      </c>
      <c r="E4798" s="2925">
        <v>12533025.4506115</v>
      </c>
      <c r="F4798" s="2926">
        <v>0.31198295867999998</v>
      </c>
      <c r="G4798" s="2927">
        <v>4.0726641103303998E-2</v>
      </c>
    </row>
    <row r="4799" spans="1:7" x14ac:dyDescent="0.25">
      <c r="A4799" s="6" t="s">
        <v>6417</v>
      </c>
      <c r="B4799" s="6" t="s">
        <v>6419</v>
      </c>
      <c r="C4799" s="2920">
        <v>185710</v>
      </c>
      <c r="D4799" s="2920">
        <v>31834089337.093899</v>
      </c>
      <c r="E4799" s="2921">
        <v>0</v>
      </c>
      <c r="F4799" s="2922">
        <v>100</v>
      </c>
      <c r="G4799" s="2923">
        <v>0</v>
      </c>
    </row>
    <row r="4800" spans="1:7" x14ac:dyDescent="0.25">
      <c r="A4800" s="3729" t="s">
        <v>399</v>
      </c>
      <c r="B4800" s="3730"/>
      <c r="C4800" s="3730"/>
      <c r="D4800" s="3730"/>
      <c r="E4800" s="3730"/>
      <c r="F4800" s="3730"/>
      <c r="G4800" s="3730"/>
    </row>
    <row r="4801" spans="1:7" x14ac:dyDescent="0.25">
      <c r="A4801" s="11" t="s">
        <v>1092</v>
      </c>
      <c r="B4801" s="11"/>
      <c r="C4801" s="2932">
        <v>181193</v>
      </c>
      <c r="D4801" s="2932">
        <v>31256131145.207802</v>
      </c>
      <c r="E4801" s="2933">
        <v>305990384.74852198</v>
      </c>
      <c r="F4801" s="2934">
        <v>98.184467644837696</v>
      </c>
      <c r="G4801" s="2935">
        <v>9.4527713346872794E-2</v>
      </c>
    </row>
    <row r="4802" spans="1:7" x14ac:dyDescent="0.25">
      <c r="A4802" s="6" t="s">
        <v>1090</v>
      </c>
      <c r="B4802" s="6"/>
      <c r="C4802" s="2928">
        <v>4518</v>
      </c>
      <c r="D4802" s="2928">
        <v>577958191.88621795</v>
      </c>
      <c r="E4802" s="2929">
        <v>28421673.547221601</v>
      </c>
      <c r="F4802" s="2930">
        <v>1.8155323551623099</v>
      </c>
      <c r="G4802" s="2931">
        <v>9.4527713346867506E-2</v>
      </c>
    </row>
    <row r="4803" spans="1:7" x14ac:dyDescent="0.25">
      <c r="A4803" s="11" t="s">
        <v>6417</v>
      </c>
      <c r="B4803" s="11" t="s">
        <v>6418</v>
      </c>
      <c r="C4803" s="2932">
        <v>185711</v>
      </c>
      <c r="D4803" s="2932">
        <v>31834089337.094002</v>
      </c>
      <c r="E4803" s="2933">
        <v>298177412.67090899</v>
      </c>
      <c r="F4803" s="2934">
        <v>100</v>
      </c>
      <c r="G4803" s="2935">
        <v>1.01233138679652E-13</v>
      </c>
    </row>
    <row r="4804" spans="1:7" x14ac:dyDescent="0.25">
      <c r="A4804" s="6" t="s">
        <v>6417</v>
      </c>
      <c r="B4804" s="6" t="s">
        <v>6419</v>
      </c>
      <c r="C4804" s="2928">
        <v>185711</v>
      </c>
      <c r="D4804" s="2928">
        <v>31834089337.094002</v>
      </c>
      <c r="E4804" s="2929">
        <v>0</v>
      </c>
      <c r="F4804" s="2930">
        <v>100</v>
      </c>
      <c r="G4804" s="2931">
        <v>0</v>
      </c>
    </row>
    <row r="4805" spans="1:7" x14ac:dyDescent="0.25">
      <c r="A4805" s="3729" t="s">
        <v>851</v>
      </c>
      <c r="B4805" s="3730"/>
      <c r="C4805" s="3730"/>
      <c r="D4805" s="3730"/>
      <c r="E4805" s="3730"/>
      <c r="F4805" s="3730"/>
      <c r="G4805" s="3730"/>
    </row>
    <row r="4806" spans="1:7" x14ac:dyDescent="0.25">
      <c r="A4806" s="11" t="s">
        <v>1090</v>
      </c>
      <c r="B4806" s="11" t="s">
        <v>1179</v>
      </c>
      <c r="C4806" s="2940">
        <v>146719</v>
      </c>
      <c r="D4806" s="2940">
        <v>24269938036.300499</v>
      </c>
      <c r="E4806" s="2941">
        <v>210950868.74915701</v>
      </c>
      <c r="F4806" s="2942">
        <v>76.238832464482002</v>
      </c>
      <c r="G4806" s="2943">
        <v>0.41586338473971302</v>
      </c>
    </row>
    <row r="4807" spans="1:7" x14ac:dyDescent="0.25">
      <c r="A4807" s="6" t="s">
        <v>1092</v>
      </c>
      <c r="B4807" s="6" t="s">
        <v>1180</v>
      </c>
      <c r="C4807" s="2936">
        <v>38992</v>
      </c>
      <c r="D4807" s="2936">
        <v>7564151300.7933598</v>
      </c>
      <c r="E4807" s="2937">
        <v>174086676.013203</v>
      </c>
      <c r="F4807" s="2938">
        <v>23.761167535517998</v>
      </c>
      <c r="G4807" s="2939">
        <v>0.41586338473970402</v>
      </c>
    </row>
    <row r="4808" spans="1:7" x14ac:dyDescent="0.25">
      <c r="A4808" s="11" t="s">
        <v>6417</v>
      </c>
      <c r="B4808" s="11" t="s">
        <v>6418</v>
      </c>
      <c r="C4808" s="2940">
        <v>185711</v>
      </c>
      <c r="D4808" s="2940">
        <v>31834089337.093899</v>
      </c>
      <c r="E4808" s="2941">
        <v>298177412.67027599</v>
      </c>
      <c r="F4808" s="2942">
        <v>100</v>
      </c>
      <c r="G4808" s="2943">
        <v>0</v>
      </c>
    </row>
    <row r="4809" spans="1:7" x14ac:dyDescent="0.25">
      <c r="A4809" s="6" t="s">
        <v>6417</v>
      </c>
      <c r="B4809" s="6" t="s">
        <v>6419</v>
      </c>
      <c r="C4809" s="2936">
        <v>185711</v>
      </c>
      <c r="D4809" s="2936">
        <v>31834089337.093899</v>
      </c>
      <c r="E4809" s="2937">
        <v>0</v>
      </c>
      <c r="F4809" s="2938">
        <v>100</v>
      </c>
      <c r="G4809" s="2939">
        <v>0</v>
      </c>
    </row>
    <row r="4810" spans="1:7" x14ac:dyDescent="0.25">
      <c r="A4810" s="3729" t="s">
        <v>277</v>
      </c>
      <c r="B4810" s="3730"/>
      <c r="C4810" s="3730"/>
      <c r="D4810" s="3730"/>
      <c r="E4810" s="3730"/>
      <c r="F4810" s="3730"/>
      <c r="G4810" s="3730"/>
    </row>
    <row r="4811" spans="1:7" x14ac:dyDescent="0.25">
      <c r="A4811" s="11" t="s">
        <v>1090</v>
      </c>
      <c r="B4811" s="11" t="s">
        <v>1179</v>
      </c>
      <c r="C4811" s="2948">
        <v>148277</v>
      </c>
      <c r="D4811" s="2948">
        <v>24393617233.27</v>
      </c>
      <c r="E4811" s="2949">
        <v>190507462.12180001</v>
      </c>
      <c r="F4811" s="2950">
        <v>95.271218223648006</v>
      </c>
      <c r="G4811" s="2951">
        <v>0.21893612451643901</v>
      </c>
    </row>
    <row r="4812" spans="1:7" x14ac:dyDescent="0.25">
      <c r="A4812" s="6" t="s">
        <v>1092</v>
      </c>
      <c r="B4812" s="6" t="s">
        <v>1180</v>
      </c>
      <c r="C4812" s="2944">
        <v>7079</v>
      </c>
      <c r="D4812" s="2944">
        <v>1210775875.26178</v>
      </c>
      <c r="E4812" s="2945">
        <v>57827991.781380199</v>
      </c>
      <c r="F4812" s="2946">
        <v>4.7287817763520001</v>
      </c>
      <c r="G4812" s="2947">
        <v>0.21893612451644001</v>
      </c>
    </row>
    <row r="4813" spans="1:7" x14ac:dyDescent="0.25">
      <c r="A4813" s="11" t="s">
        <v>1088</v>
      </c>
      <c r="B4813" s="11"/>
      <c r="C4813" s="2948">
        <v>30355</v>
      </c>
      <c r="D4813" s="2948">
        <v>6229696228.5620098</v>
      </c>
      <c r="E4813" s="2949">
        <v>167997233.442963</v>
      </c>
      <c r="F4813" s="2950">
        <v>100</v>
      </c>
      <c r="G4813" s="2951">
        <v>0</v>
      </c>
    </row>
    <row r="4814" spans="1:7" x14ac:dyDescent="0.25">
      <c r="A4814" s="6" t="s">
        <v>6417</v>
      </c>
      <c r="B4814" s="6" t="s">
        <v>6418</v>
      </c>
      <c r="C4814" s="2944">
        <v>155356</v>
      </c>
      <c r="D4814" s="2944">
        <v>25604393108.531799</v>
      </c>
      <c r="E4814" s="2945">
        <v>197907198.32534</v>
      </c>
      <c r="F4814" s="2946">
        <v>80.430738374214997</v>
      </c>
      <c r="G4814" s="2947">
        <v>0.401947798074343</v>
      </c>
    </row>
    <row r="4815" spans="1:7" x14ac:dyDescent="0.25">
      <c r="A4815" s="11" t="s">
        <v>6417</v>
      </c>
      <c r="B4815" s="11" t="s">
        <v>6419</v>
      </c>
      <c r="C4815" s="2948">
        <v>185711</v>
      </c>
      <c r="D4815" s="2948">
        <v>31834089337.0938</v>
      </c>
      <c r="E4815" s="2949">
        <v>0</v>
      </c>
      <c r="F4815" s="2950">
        <v>100</v>
      </c>
      <c r="G4815" s="2951">
        <v>0</v>
      </c>
    </row>
    <row r="4816" spans="1:7" x14ac:dyDescent="0.25">
      <c r="A4816" s="3729" t="s">
        <v>279</v>
      </c>
      <c r="B4816" s="3730"/>
      <c r="C4816" s="3730"/>
      <c r="D4816" s="3730"/>
      <c r="E4816" s="3730"/>
      <c r="F4816" s="3730"/>
      <c r="G4816" s="3730"/>
    </row>
    <row r="4817" spans="1:7" x14ac:dyDescent="0.25">
      <c r="A4817" s="11" t="s">
        <v>1090</v>
      </c>
      <c r="B4817" s="11"/>
      <c r="C4817" s="2956">
        <v>116147</v>
      </c>
      <c r="D4817" s="2956">
        <v>19432030444.579899</v>
      </c>
      <c r="E4817" s="2957">
        <v>303589326.07152998</v>
      </c>
      <c r="F4817" s="2958">
        <v>61.041577909809099</v>
      </c>
      <c r="G4817" s="2959">
        <v>0.57713033219492205</v>
      </c>
    </row>
    <row r="4818" spans="1:7" x14ac:dyDescent="0.25">
      <c r="A4818" s="6" t="s">
        <v>1092</v>
      </c>
      <c r="B4818" s="6"/>
      <c r="C4818" s="2952">
        <v>48524</v>
      </c>
      <c r="D4818" s="2952">
        <v>7421264784.5345898</v>
      </c>
      <c r="E4818" s="2953">
        <v>105025752.919221</v>
      </c>
      <c r="F4818" s="2954">
        <v>23.3123200288546</v>
      </c>
      <c r="G4818" s="2955">
        <v>0.43485734962453199</v>
      </c>
    </row>
    <row r="4819" spans="1:7" x14ac:dyDescent="0.25">
      <c r="A4819" s="11" t="s">
        <v>1094</v>
      </c>
      <c r="B4819" s="11"/>
      <c r="C4819" s="2956">
        <v>11987</v>
      </c>
      <c r="D4819" s="2956">
        <v>3008804683.77951</v>
      </c>
      <c r="E4819" s="2957">
        <v>115919529.87220301</v>
      </c>
      <c r="F4819" s="2958">
        <v>9.4515179998369003</v>
      </c>
      <c r="G4819" s="2959">
        <v>0.32049669188341801</v>
      </c>
    </row>
    <row r="4820" spans="1:7" x14ac:dyDescent="0.25">
      <c r="A4820" s="6" t="s">
        <v>1096</v>
      </c>
      <c r="B4820" s="6"/>
      <c r="C4820" s="2952">
        <v>6463</v>
      </c>
      <c r="D4820" s="2952">
        <v>1324363523.69171</v>
      </c>
      <c r="E4820" s="2953">
        <v>123902341.48458999</v>
      </c>
      <c r="F4820" s="2954">
        <v>4.1602054629801097</v>
      </c>
      <c r="G4820" s="2955">
        <v>0.38787619391834199</v>
      </c>
    </row>
    <row r="4821" spans="1:7" x14ac:dyDescent="0.25">
      <c r="A4821" s="11" t="s">
        <v>1098</v>
      </c>
      <c r="B4821" s="11"/>
      <c r="C4821" s="2956">
        <v>1914</v>
      </c>
      <c r="D4821" s="2956">
        <v>465692875.32937503</v>
      </c>
      <c r="E4821" s="2957">
        <v>52456036.451286398</v>
      </c>
      <c r="F4821" s="2958">
        <v>1.4628748144736501</v>
      </c>
      <c r="G4821" s="2959">
        <v>0.16056631282558101</v>
      </c>
    </row>
    <row r="4822" spans="1:7" x14ac:dyDescent="0.25">
      <c r="A4822" s="6" t="s">
        <v>1109</v>
      </c>
      <c r="B4822" s="6"/>
      <c r="C4822" s="2952">
        <v>244</v>
      </c>
      <c r="D4822" s="2952">
        <v>70167092.753052503</v>
      </c>
      <c r="E4822" s="2953">
        <v>29330256.184698898</v>
      </c>
      <c r="F4822" s="2954">
        <v>0.22041495206616099</v>
      </c>
      <c r="G4822" s="2955">
        <v>9.2352929757067798E-2</v>
      </c>
    </row>
    <row r="4823" spans="1:7" x14ac:dyDescent="0.25">
      <c r="A4823" s="11" t="s">
        <v>1100</v>
      </c>
      <c r="B4823" s="11"/>
      <c r="C4823" s="2956">
        <v>366</v>
      </c>
      <c r="D4823" s="2956">
        <v>55985904.3749457</v>
      </c>
      <c r="E4823" s="2957">
        <v>8253933.6795937298</v>
      </c>
      <c r="F4823" s="2958">
        <v>0.17586777426584299</v>
      </c>
      <c r="G4823" s="2959">
        <v>2.6131527435460801E-2</v>
      </c>
    </row>
    <row r="4824" spans="1:7" x14ac:dyDescent="0.25">
      <c r="A4824" s="6" t="s">
        <v>1121</v>
      </c>
      <c r="B4824" s="6"/>
      <c r="C4824" s="2952">
        <v>28</v>
      </c>
      <c r="D4824" s="2952">
        <v>31371026.933288399</v>
      </c>
      <c r="E4824" s="2953">
        <v>31710972.952534001</v>
      </c>
      <c r="F4824" s="2954">
        <v>9.8545388250622798E-2</v>
      </c>
      <c r="G4824" s="2955">
        <v>9.9640903424640104E-2</v>
      </c>
    </row>
    <row r="4825" spans="1:7" x14ac:dyDescent="0.25">
      <c r="A4825" s="11" t="s">
        <v>1119</v>
      </c>
      <c r="B4825" s="11"/>
      <c r="C4825" s="2956">
        <v>38</v>
      </c>
      <c r="D4825" s="2956">
        <v>24409001.116693299</v>
      </c>
      <c r="E4825" s="2957">
        <v>23652680.184419401</v>
      </c>
      <c r="F4825" s="2958">
        <v>7.6675669463087195E-2</v>
      </c>
      <c r="G4825" s="2959">
        <v>7.4274526879699099E-2</v>
      </c>
    </row>
    <row r="4826" spans="1:7" x14ac:dyDescent="0.25">
      <c r="A4826" s="6" t="s">
        <v>6417</v>
      </c>
      <c r="B4826" s="6" t="s">
        <v>6418</v>
      </c>
      <c r="C4826" s="2952">
        <v>185711</v>
      </c>
      <c r="D4826" s="2952">
        <v>31834089337.092999</v>
      </c>
      <c r="E4826" s="2953">
        <v>298177412.67136699</v>
      </c>
      <c r="F4826" s="2954">
        <v>100</v>
      </c>
      <c r="G4826" s="2955">
        <v>1.45362315675074E-14</v>
      </c>
    </row>
    <row r="4827" spans="1:7" x14ac:dyDescent="0.25">
      <c r="A4827" s="11" t="s">
        <v>6417</v>
      </c>
      <c r="B4827" s="11" t="s">
        <v>6419</v>
      </c>
      <c r="C4827" s="2956">
        <v>185711</v>
      </c>
      <c r="D4827" s="2956">
        <v>31834089337.092999</v>
      </c>
      <c r="E4827" s="2957">
        <v>0</v>
      </c>
      <c r="F4827" s="2958">
        <v>100</v>
      </c>
      <c r="G4827" s="2959">
        <v>0</v>
      </c>
    </row>
    <row r="4828" spans="1:7" x14ac:dyDescent="0.25">
      <c r="A4828" s="3729" t="s">
        <v>444</v>
      </c>
      <c r="B4828" s="3730"/>
      <c r="C4828" s="3730"/>
      <c r="D4828" s="3730"/>
      <c r="E4828" s="3730"/>
      <c r="F4828" s="3730"/>
      <c r="G4828" s="3730"/>
    </row>
    <row r="4829" spans="1:7" x14ac:dyDescent="0.25">
      <c r="A4829" s="11" t="s">
        <v>1292</v>
      </c>
      <c r="B4829" s="11"/>
      <c r="C4829" s="2964">
        <v>151055</v>
      </c>
      <c r="D4829" s="2964">
        <v>26440070872.105202</v>
      </c>
      <c r="E4829" s="2965">
        <v>267747246.138991</v>
      </c>
      <c r="F4829" s="2966">
        <v>83.056102965537903</v>
      </c>
      <c r="G4829" s="2967">
        <v>0.38377371732253401</v>
      </c>
    </row>
    <row r="4830" spans="1:7" x14ac:dyDescent="0.25">
      <c r="A4830" s="6" t="s">
        <v>1090</v>
      </c>
      <c r="B4830" s="6"/>
      <c r="C4830" s="2960">
        <v>24497</v>
      </c>
      <c r="D4830" s="2960">
        <v>3909185708.1954198</v>
      </c>
      <c r="E4830" s="2961">
        <v>113209623.40615</v>
      </c>
      <c r="F4830" s="2962">
        <v>12.2799115124095</v>
      </c>
      <c r="G4830" s="2963">
        <v>0.32218594135805001</v>
      </c>
    </row>
    <row r="4831" spans="1:7" x14ac:dyDescent="0.25">
      <c r="A4831" s="11" t="s">
        <v>1092</v>
      </c>
      <c r="B4831" s="11"/>
      <c r="C4831" s="2964">
        <v>6120</v>
      </c>
      <c r="D4831" s="2964">
        <v>872011230.05942094</v>
      </c>
      <c r="E4831" s="2965">
        <v>49813329.685401902</v>
      </c>
      <c r="F4831" s="2966">
        <v>2.7392458538124198</v>
      </c>
      <c r="G4831" s="2967">
        <v>0.14908973075169901</v>
      </c>
    </row>
    <row r="4832" spans="1:7" x14ac:dyDescent="0.25">
      <c r="A4832" s="6" t="s">
        <v>1094</v>
      </c>
      <c r="B4832" s="6"/>
      <c r="C4832" s="2960">
        <v>2260</v>
      </c>
      <c r="D4832" s="2960">
        <v>319060646.862252</v>
      </c>
      <c r="E4832" s="2961">
        <v>30017851.639444701</v>
      </c>
      <c r="F4832" s="2962">
        <v>1.0022641038379501</v>
      </c>
      <c r="G4832" s="2963">
        <v>9.5387207999170803E-2</v>
      </c>
    </row>
    <row r="4833" spans="1:7" x14ac:dyDescent="0.25">
      <c r="A4833" s="11" t="s">
        <v>1096</v>
      </c>
      <c r="B4833" s="11"/>
      <c r="C4833" s="2964">
        <v>836</v>
      </c>
      <c r="D4833" s="2964">
        <v>115291447.78678399</v>
      </c>
      <c r="E4833" s="2965">
        <v>15727603.7033825</v>
      </c>
      <c r="F4833" s="2966">
        <v>0.36216462522903298</v>
      </c>
      <c r="G4833" s="2967">
        <v>4.9767286642886002E-2</v>
      </c>
    </row>
    <row r="4834" spans="1:7" x14ac:dyDescent="0.25">
      <c r="A4834" s="6" t="s">
        <v>1098</v>
      </c>
      <c r="B4834" s="6"/>
      <c r="C4834" s="2960">
        <v>367</v>
      </c>
      <c r="D4834" s="2960">
        <v>72010325.994167402</v>
      </c>
      <c r="E4834" s="2961">
        <v>13669255.229017301</v>
      </c>
      <c r="F4834" s="2962">
        <v>0.226205787393085</v>
      </c>
      <c r="G4834" s="2963">
        <v>4.3735051918220497E-2</v>
      </c>
    </row>
    <row r="4835" spans="1:7" x14ac:dyDescent="0.25">
      <c r="A4835" s="11" t="s">
        <v>1100</v>
      </c>
      <c r="B4835" s="11"/>
      <c r="C4835" s="2964">
        <v>191</v>
      </c>
      <c r="D4835" s="2964">
        <v>30319024.304850802</v>
      </c>
      <c r="E4835" s="2965">
        <v>7344167.6382922996</v>
      </c>
      <c r="F4835" s="2966">
        <v>9.5241045935889196E-2</v>
      </c>
      <c r="G4835" s="2967">
        <v>2.2860448250812598E-2</v>
      </c>
    </row>
    <row r="4836" spans="1:7" x14ac:dyDescent="0.25">
      <c r="A4836" s="6" t="s">
        <v>1119</v>
      </c>
      <c r="B4836" s="6"/>
      <c r="C4836" s="2960">
        <v>67</v>
      </c>
      <c r="D4836" s="2960">
        <v>15750161.9905836</v>
      </c>
      <c r="E4836" s="2961">
        <v>5985180.8659479301</v>
      </c>
      <c r="F4836" s="2962">
        <v>4.9475929256828699E-2</v>
      </c>
      <c r="G4836" s="2963">
        <v>1.86507073615844E-2</v>
      </c>
    </row>
    <row r="4837" spans="1:7" x14ac:dyDescent="0.25">
      <c r="A4837" s="11" t="s">
        <v>1123</v>
      </c>
      <c r="B4837" s="11"/>
      <c r="C4837" s="2964">
        <v>34</v>
      </c>
      <c r="D4837" s="2964">
        <v>9585417.4630320091</v>
      </c>
      <c r="E4837" s="2965">
        <v>3967423.0553667299</v>
      </c>
      <c r="F4837" s="2966">
        <v>3.01106386449661E-2</v>
      </c>
      <c r="G4837" s="2967">
        <v>1.25258514885068E-2</v>
      </c>
    </row>
    <row r="4838" spans="1:7" x14ac:dyDescent="0.25">
      <c r="A4838" s="6" t="s">
        <v>1109</v>
      </c>
      <c r="B4838" s="6"/>
      <c r="C4838" s="2960">
        <v>66</v>
      </c>
      <c r="D4838" s="2960">
        <v>8105583.5044320496</v>
      </c>
      <c r="E4838" s="2961">
        <v>2386898.50191129</v>
      </c>
      <c r="F4838" s="2962">
        <v>2.5462041361248199E-2</v>
      </c>
      <c r="G4838" s="2963">
        <v>7.5757689693335996E-3</v>
      </c>
    </row>
    <row r="4839" spans="1:7" x14ac:dyDescent="0.25">
      <c r="A4839" s="11" t="s">
        <v>1133</v>
      </c>
      <c r="B4839" s="11"/>
      <c r="C4839" s="2964">
        <v>27</v>
      </c>
      <c r="D4839" s="2964">
        <v>7408007.7463569902</v>
      </c>
      <c r="E4839" s="2965">
        <v>2150925.1171431202</v>
      </c>
      <c r="F4839" s="2966">
        <v>2.3270749050830399E-2</v>
      </c>
      <c r="G4839" s="2967">
        <v>6.6418557569440399E-3</v>
      </c>
    </row>
    <row r="4840" spans="1:7" x14ac:dyDescent="0.25">
      <c r="A4840" s="6" t="s">
        <v>1125</v>
      </c>
      <c r="B4840" s="6"/>
      <c r="C4840" s="2960">
        <v>16</v>
      </c>
      <c r="D4840" s="2960">
        <v>5984168.4525412098</v>
      </c>
      <c r="E4840" s="2961">
        <v>2707131.9764075498</v>
      </c>
      <c r="F4840" s="2962">
        <v>1.8798047613471199E-2</v>
      </c>
      <c r="G4840" s="2963">
        <v>8.5245020960940908E-3</v>
      </c>
    </row>
    <row r="4841" spans="1:7" x14ac:dyDescent="0.25">
      <c r="A4841" s="11" t="s">
        <v>1299</v>
      </c>
      <c r="B4841" s="11"/>
      <c r="C4841" s="2964">
        <v>13</v>
      </c>
      <c r="D4841" s="2964">
        <v>5710465.7636201503</v>
      </c>
      <c r="E4841" s="2965">
        <v>3821126.7426177398</v>
      </c>
      <c r="F4841" s="2966">
        <v>1.7938266305662601E-2</v>
      </c>
      <c r="G4841" s="2967">
        <v>1.20201639685456E-2</v>
      </c>
    </row>
    <row r="4842" spans="1:7" x14ac:dyDescent="0.25">
      <c r="A4842" s="6" t="s">
        <v>1295</v>
      </c>
      <c r="B4842" s="6"/>
      <c r="C4842" s="2960">
        <v>10</v>
      </c>
      <c r="D4842" s="2960">
        <v>3053177.2262202902</v>
      </c>
      <c r="E4842" s="2961">
        <v>1757957.66381436</v>
      </c>
      <c r="F4842" s="2962">
        <v>9.5909350356744097E-3</v>
      </c>
      <c r="G4842" s="2963">
        <v>5.5352997039556599E-3</v>
      </c>
    </row>
    <row r="4843" spans="1:7" x14ac:dyDescent="0.25">
      <c r="A4843" s="11" t="s">
        <v>3187</v>
      </c>
      <c r="B4843" s="11"/>
      <c r="C4843" s="2964">
        <v>7</v>
      </c>
      <c r="D4843" s="2964">
        <v>2335409.4653923898</v>
      </c>
      <c r="E4843" s="2965">
        <v>2209271.4251585598</v>
      </c>
      <c r="F4843" s="2966">
        <v>7.3362136570127396E-3</v>
      </c>
      <c r="G4843" s="2967">
        <v>6.9383726322619398E-3</v>
      </c>
    </row>
    <row r="4844" spans="1:7" x14ac:dyDescent="0.25">
      <c r="A4844" s="6" t="s">
        <v>1121</v>
      </c>
      <c r="B4844" s="6"/>
      <c r="C4844" s="2960">
        <v>22</v>
      </c>
      <c r="D4844" s="2960">
        <v>2165302.3196754698</v>
      </c>
      <c r="E4844" s="2961">
        <v>1187836.42868603</v>
      </c>
      <c r="F4844" s="2962">
        <v>6.8018566699161497E-3</v>
      </c>
      <c r="G4844" s="2963">
        <v>3.7202148422121198E-3</v>
      </c>
    </row>
    <row r="4845" spans="1:7" x14ac:dyDescent="0.25">
      <c r="A4845" s="11" t="s">
        <v>1297</v>
      </c>
      <c r="B4845" s="11"/>
      <c r="C4845" s="2964">
        <v>16</v>
      </c>
      <c r="D4845" s="2964">
        <v>1994937.0277923299</v>
      </c>
      <c r="E4845" s="2965">
        <v>861218.02975428</v>
      </c>
      <c r="F4845" s="2966">
        <v>6.2666887691625699E-3</v>
      </c>
      <c r="G4845" s="2967">
        <v>2.6700702795625802E-3</v>
      </c>
    </row>
    <row r="4846" spans="1:7" x14ac:dyDescent="0.25">
      <c r="A4846" s="6" t="s">
        <v>1127</v>
      </c>
      <c r="B4846" s="6"/>
      <c r="C4846" s="2960">
        <v>11</v>
      </c>
      <c r="D4846" s="2960">
        <v>1610775.1693834399</v>
      </c>
      <c r="E4846" s="2961">
        <v>870859.23635395197</v>
      </c>
      <c r="F4846" s="2962">
        <v>5.0599224551923601E-3</v>
      </c>
      <c r="G4846" s="2963">
        <v>2.7442878419620901E-3</v>
      </c>
    </row>
    <row r="4847" spans="1:7" x14ac:dyDescent="0.25">
      <c r="A4847" s="11" t="s">
        <v>3209</v>
      </c>
      <c r="B4847" s="11"/>
      <c r="C4847" s="2964">
        <v>3</v>
      </c>
      <c r="D4847" s="2964">
        <v>1430869.76297549</v>
      </c>
      <c r="E4847" s="2965">
        <v>1445931.18486699</v>
      </c>
      <c r="F4847" s="2966">
        <v>4.4947862257566302E-3</v>
      </c>
      <c r="G4847" s="2967">
        <v>4.5327263501086304E-3</v>
      </c>
    </row>
    <row r="4848" spans="1:7" x14ac:dyDescent="0.25">
      <c r="A4848" s="6" t="s">
        <v>3180</v>
      </c>
      <c r="B4848" s="6"/>
      <c r="C4848" s="2960">
        <v>2</v>
      </c>
      <c r="D4848" s="2960">
        <v>1183792.82768769</v>
      </c>
      <c r="E4848" s="2961">
        <v>1184337.01052319</v>
      </c>
      <c r="F4848" s="2962">
        <v>3.71864430552739E-3</v>
      </c>
      <c r="G4848" s="2963">
        <v>3.7160322664685102E-3</v>
      </c>
    </row>
    <row r="4849" spans="1:7" x14ac:dyDescent="0.25">
      <c r="A4849" s="11" t="s">
        <v>1307</v>
      </c>
      <c r="B4849" s="11"/>
      <c r="C4849" s="2964">
        <v>2</v>
      </c>
      <c r="D4849" s="2964">
        <v>969616.85267920594</v>
      </c>
      <c r="E4849" s="2965">
        <v>980830.19459135097</v>
      </c>
      <c r="F4849" s="2966">
        <v>3.0458540577593001E-3</v>
      </c>
      <c r="G4849" s="2967">
        <v>3.0794851268931499E-3</v>
      </c>
    </row>
    <row r="4850" spans="1:7" x14ac:dyDescent="0.25">
      <c r="A4850" s="6" t="s">
        <v>3201</v>
      </c>
      <c r="B4850" s="6"/>
      <c r="C4850" s="2960">
        <v>2</v>
      </c>
      <c r="D4850" s="2960">
        <v>875594.080641996</v>
      </c>
      <c r="E4850" s="2961">
        <v>695063.01766445104</v>
      </c>
      <c r="F4850" s="2962">
        <v>2.7505006499260898E-3</v>
      </c>
      <c r="G4850" s="2963">
        <v>2.1846138532095102E-3</v>
      </c>
    </row>
    <row r="4851" spans="1:7" x14ac:dyDescent="0.25">
      <c r="A4851" s="11" t="s">
        <v>3361</v>
      </c>
      <c r="B4851" s="11"/>
      <c r="C4851" s="2964">
        <v>10</v>
      </c>
      <c r="D4851" s="2964">
        <v>871406.57551571005</v>
      </c>
      <c r="E4851" s="2965">
        <v>612886.53974045103</v>
      </c>
      <c r="F4851" s="2966">
        <v>2.73734645459054E-3</v>
      </c>
      <c r="G4851" s="2967">
        <v>1.9255987832369E-3</v>
      </c>
    </row>
    <row r="4852" spans="1:7" x14ac:dyDescent="0.25">
      <c r="A4852" s="6" t="s">
        <v>1301</v>
      </c>
      <c r="B4852" s="6"/>
      <c r="C4852" s="2960">
        <v>11</v>
      </c>
      <c r="D4852" s="2960">
        <v>802868.88454567897</v>
      </c>
      <c r="E4852" s="2961">
        <v>481475.18947660102</v>
      </c>
      <c r="F4852" s="2962">
        <v>2.52204924355951E-3</v>
      </c>
      <c r="G4852" s="2963">
        <v>1.5055978891843E-3</v>
      </c>
    </row>
    <row r="4853" spans="1:7" x14ac:dyDescent="0.25">
      <c r="A4853" s="11" t="s">
        <v>3178</v>
      </c>
      <c r="B4853" s="11"/>
      <c r="C4853" s="2964">
        <v>1</v>
      </c>
      <c r="D4853" s="2964">
        <v>780481.97389645898</v>
      </c>
      <c r="E4853" s="2965">
        <v>797876.27585943602</v>
      </c>
      <c r="F4853" s="2966">
        <v>2.4517253187502299E-3</v>
      </c>
      <c r="G4853" s="2967">
        <v>2.5010186583014401E-3</v>
      </c>
    </row>
    <row r="4854" spans="1:7" x14ac:dyDescent="0.25">
      <c r="A4854" s="6" t="s">
        <v>3172</v>
      </c>
      <c r="B4854" s="6"/>
      <c r="C4854" s="2960">
        <v>6</v>
      </c>
      <c r="D4854" s="2960">
        <v>670505.63453146606</v>
      </c>
      <c r="E4854" s="2961">
        <v>347759.22625225602</v>
      </c>
      <c r="F4854" s="2962">
        <v>2.1062570251796299E-3</v>
      </c>
      <c r="G4854" s="2963">
        <v>1.08679223917933E-3</v>
      </c>
    </row>
    <row r="4855" spans="1:7" x14ac:dyDescent="0.25">
      <c r="A4855" s="11" t="s">
        <v>3236</v>
      </c>
      <c r="B4855" s="11"/>
      <c r="C4855" s="2964">
        <v>1</v>
      </c>
      <c r="D4855" s="2964">
        <v>628997.26185607805</v>
      </c>
      <c r="E4855" s="2965">
        <v>635315.05456255504</v>
      </c>
      <c r="F4855" s="2966">
        <v>1.9758669179996899E-3</v>
      </c>
      <c r="G4855" s="2967">
        <v>1.9945999751950702E-3</v>
      </c>
    </row>
    <row r="4856" spans="1:7" x14ac:dyDescent="0.25">
      <c r="A4856" s="6" t="s">
        <v>3479</v>
      </c>
      <c r="B4856" s="6"/>
      <c r="C4856" s="2960">
        <v>1</v>
      </c>
      <c r="D4856" s="2960">
        <v>628997.26185607805</v>
      </c>
      <c r="E4856" s="2961">
        <v>635315.05456255504</v>
      </c>
      <c r="F4856" s="2962">
        <v>1.9758669179996899E-3</v>
      </c>
      <c r="G4856" s="2963">
        <v>1.9945999751950702E-3</v>
      </c>
    </row>
    <row r="4857" spans="1:7" x14ac:dyDescent="0.25">
      <c r="A4857" s="11" t="s">
        <v>1191</v>
      </c>
      <c r="B4857" s="11"/>
      <c r="C4857" s="2964">
        <v>11</v>
      </c>
      <c r="D4857" s="2964">
        <v>530761.86846340401</v>
      </c>
      <c r="E4857" s="2965">
        <v>371283.08177160798</v>
      </c>
      <c r="F4857" s="2966">
        <v>1.66728041730729E-3</v>
      </c>
      <c r="G4857" s="2967">
        <v>1.16179428473911E-3</v>
      </c>
    </row>
    <row r="4858" spans="1:7" x14ac:dyDescent="0.25">
      <c r="A4858" s="6" t="s">
        <v>1141</v>
      </c>
      <c r="B4858" s="6"/>
      <c r="C4858" s="2960">
        <v>1</v>
      </c>
      <c r="D4858" s="2960">
        <v>413616.08129506098</v>
      </c>
      <c r="E4858" s="2961">
        <v>419204.221385082</v>
      </c>
      <c r="F4858" s="2962">
        <v>1.29929076220777E-3</v>
      </c>
      <c r="G4858" s="2963">
        <v>1.31582312420757E-3</v>
      </c>
    </row>
    <row r="4859" spans="1:7" x14ac:dyDescent="0.25">
      <c r="A4859" s="11" t="s">
        <v>1197</v>
      </c>
      <c r="B4859" s="11"/>
      <c r="C4859" s="2964">
        <v>1</v>
      </c>
      <c r="D4859" s="2964">
        <v>358202.26236728003</v>
      </c>
      <c r="E4859" s="2965">
        <v>363503.31265898002</v>
      </c>
      <c r="F4859" s="2966">
        <v>1.12521952492394E-3</v>
      </c>
      <c r="G4859" s="2967">
        <v>1.1412926627874199E-3</v>
      </c>
    </row>
    <row r="4860" spans="1:7" x14ac:dyDescent="0.25">
      <c r="A4860" s="6" t="s">
        <v>3191</v>
      </c>
      <c r="B4860" s="6"/>
      <c r="C4860" s="2960">
        <v>2</v>
      </c>
      <c r="D4860" s="2960">
        <v>328369.72320944199</v>
      </c>
      <c r="E4860" s="2961">
        <v>330074.40864796698</v>
      </c>
      <c r="F4860" s="2962">
        <v>1.0315066730937699E-3</v>
      </c>
      <c r="G4860" s="2963">
        <v>1.0359825281973799E-3</v>
      </c>
    </row>
    <row r="4861" spans="1:7" x14ac:dyDescent="0.25">
      <c r="A4861" s="11" t="s">
        <v>1135</v>
      </c>
      <c r="B4861" s="11"/>
      <c r="C4861" s="2964">
        <v>5</v>
      </c>
      <c r="D4861" s="2964">
        <v>282803.59574145899</v>
      </c>
      <c r="E4861" s="2965">
        <v>192213.539290088</v>
      </c>
      <c r="F4861" s="2966">
        <v>8.8836995485166905E-4</v>
      </c>
      <c r="G4861" s="2967">
        <v>6.0536991417795396E-4</v>
      </c>
    </row>
    <row r="4862" spans="1:7" x14ac:dyDescent="0.25">
      <c r="A4862" s="6" t="s">
        <v>3176</v>
      </c>
      <c r="B4862" s="6"/>
      <c r="C4862" s="2960">
        <v>1</v>
      </c>
      <c r="D4862" s="2960">
        <v>254414.909754872</v>
      </c>
      <c r="E4862" s="2961">
        <v>259764.22889620901</v>
      </c>
      <c r="F4862" s="2962">
        <v>7.9919267398265701E-4</v>
      </c>
      <c r="G4862" s="2963">
        <v>8.1545950437828603E-4</v>
      </c>
    </row>
    <row r="4863" spans="1:7" x14ac:dyDescent="0.25">
      <c r="A4863" s="11" t="s">
        <v>1209</v>
      </c>
      <c r="B4863" s="11"/>
      <c r="C4863" s="2964">
        <v>2</v>
      </c>
      <c r="D4863" s="2964">
        <v>224881.49144737201</v>
      </c>
      <c r="E4863" s="2965">
        <v>227331.93622638201</v>
      </c>
      <c r="F4863" s="2966">
        <v>7.0641944944263102E-4</v>
      </c>
      <c r="G4863" s="2967">
        <v>7.1370671563065699E-4</v>
      </c>
    </row>
    <row r="4864" spans="1:7" x14ac:dyDescent="0.25">
      <c r="A4864" s="6" t="s">
        <v>1139</v>
      </c>
      <c r="B4864" s="6"/>
      <c r="C4864" s="2960">
        <v>1</v>
      </c>
      <c r="D4864" s="2960">
        <v>187084.505613216</v>
      </c>
      <c r="E4864" s="2961">
        <v>189030.47310106899</v>
      </c>
      <c r="F4864" s="2962">
        <v>5.8768790888005904E-4</v>
      </c>
      <c r="G4864" s="2963">
        <v>5.9277231788184496E-4</v>
      </c>
    </row>
    <row r="4865" spans="1:7" x14ac:dyDescent="0.25">
      <c r="A4865" s="11" t="s">
        <v>3195</v>
      </c>
      <c r="B4865" s="11"/>
      <c r="C4865" s="2964">
        <v>2</v>
      </c>
      <c r="D4865" s="2964">
        <v>179424.23812370101</v>
      </c>
      <c r="E4865" s="2965">
        <v>180513.46486112001</v>
      </c>
      <c r="F4865" s="2966">
        <v>5.6362473717260604E-4</v>
      </c>
      <c r="G4865" s="2967">
        <v>5.6681176084094902E-4</v>
      </c>
    </row>
    <row r="4866" spans="1:7" x14ac:dyDescent="0.25">
      <c r="A4866" s="6" t="s">
        <v>6829</v>
      </c>
      <c r="B4866" s="6"/>
      <c r="C4866" s="2960">
        <v>1</v>
      </c>
      <c r="D4866" s="2960">
        <v>144991.61649471399</v>
      </c>
      <c r="E4866" s="2961">
        <v>145911.63578892799</v>
      </c>
      <c r="F4866" s="2962">
        <v>4.5546166222382498E-4</v>
      </c>
      <c r="G4866" s="2963">
        <v>4.5752309795616899E-4</v>
      </c>
    </row>
    <row r="4867" spans="1:7" x14ac:dyDescent="0.25">
      <c r="A4867" s="11" t="s">
        <v>1193</v>
      </c>
      <c r="B4867" s="11"/>
      <c r="C4867" s="2964">
        <v>1</v>
      </c>
      <c r="D4867" s="2964">
        <v>102689.30289874801</v>
      </c>
      <c r="E4867" s="2965">
        <v>103425.69869668099</v>
      </c>
      <c r="F4867" s="2966">
        <v>3.2257755118258698E-4</v>
      </c>
      <c r="G4867" s="2967">
        <v>3.2484464830332701E-4</v>
      </c>
    </row>
    <row r="4868" spans="1:7" x14ac:dyDescent="0.25">
      <c r="A4868" s="6" t="s">
        <v>3174</v>
      </c>
      <c r="B4868" s="6"/>
      <c r="C4868" s="2960">
        <v>1</v>
      </c>
      <c r="D4868" s="2960">
        <v>102689.30289874801</v>
      </c>
      <c r="E4868" s="2961">
        <v>103425.69869668099</v>
      </c>
      <c r="F4868" s="2962">
        <v>3.2257755118258698E-4</v>
      </c>
      <c r="G4868" s="2963">
        <v>3.2484464830332701E-4</v>
      </c>
    </row>
    <row r="4869" spans="1:7" x14ac:dyDescent="0.25">
      <c r="A4869" s="11" t="s">
        <v>1211</v>
      </c>
      <c r="B4869" s="11"/>
      <c r="C4869" s="2964">
        <v>2</v>
      </c>
      <c r="D4869" s="2964">
        <v>85973.444943605005</v>
      </c>
      <c r="E4869" s="2965">
        <v>86717.360253566003</v>
      </c>
      <c r="F4869" s="2966">
        <v>2.7006808454025602E-4</v>
      </c>
      <c r="G4869" s="2967">
        <v>2.72161285260804E-4</v>
      </c>
    </row>
    <row r="4870" spans="1:7" x14ac:dyDescent="0.25">
      <c r="A4870" s="6" t="s">
        <v>3215</v>
      </c>
      <c r="B4870" s="6"/>
      <c r="C4870" s="2960">
        <v>1</v>
      </c>
      <c r="D4870" s="2960">
        <v>81361.309942154199</v>
      </c>
      <c r="E4870" s="2961">
        <v>81527.879181703596</v>
      </c>
      <c r="F4870" s="2962">
        <v>2.5558000084999601E-4</v>
      </c>
      <c r="G4870" s="2963">
        <v>2.5579090883801297E-4</v>
      </c>
    </row>
    <row r="4871" spans="1:7" x14ac:dyDescent="0.25">
      <c r="A4871" s="11" t="s">
        <v>6525</v>
      </c>
      <c r="B4871" s="11"/>
      <c r="C4871" s="2964">
        <v>2</v>
      </c>
      <c r="D4871" s="2964">
        <v>56345.816099584597</v>
      </c>
      <c r="E4871" s="2965">
        <v>56584.8099155952</v>
      </c>
      <c r="F4871" s="2966">
        <v>1.7699891676847701E-4</v>
      </c>
      <c r="G4871" s="2967">
        <v>1.7760303410002399E-4</v>
      </c>
    </row>
    <row r="4872" spans="1:7" x14ac:dyDescent="0.25">
      <c r="A4872" s="6" t="s">
        <v>1131</v>
      </c>
      <c r="B4872" s="6"/>
      <c r="C4872" s="2960">
        <v>2</v>
      </c>
      <c r="D4872" s="2960">
        <v>49688.321669372002</v>
      </c>
      <c r="E4872" s="2961">
        <v>49268.109122020003</v>
      </c>
      <c r="F4872" s="2962">
        <v>1.5608575259569801E-4</v>
      </c>
      <c r="G4872" s="2963">
        <v>1.54522917129504E-4</v>
      </c>
    </row>
    <row r="4873" spans="1:7" x14ac:dyDescent="0.25">
      <c r="A4873" s="11" t="s">
        <v>1137</v>
      </c>
      <c r="B4873" s="11"/>
      <c r="C4873" s="2964">
        <v>2</v>
      </c>
      <c r="D4873" s="2964">
        <v>46640.697506584002</v>
      </c>
      <c r="E4873" s="2965">
        <v>46799.7767184607</v>
      </c>
      <c r="F4873" s="2966">
        <v>1.4651226137893199E-4</v>
      </c>
      <c r="G4873" s="2967">
        <v>1.4693265863551799E-4</v>
      </c>
    </row>
    <row r="4874" spans="1:7" x14ac:dyDescent="0.25">
      <c r="A4874" s="6" t="s">
        <v>1207</v>
      </c>
      <c r="B4874" s="6"/>
      <c r="C4874" s="2960">
        <v>1</v>
      </c>
      <c r="D4874" s="2960">
        <v>35267.284116709103</v>
      </c>
      <c r="E4874" s="2961">
        <v>35290.207013938903</v>
      </c>
      <c r="F4874" s="2962">
        <v>1.1078499732777201E-4</v>
      </c>
      <c r="G4874" s="2963">
        <v>1.1077114788697E-4</v>
      </c>
    </row>
    <row r="4875" spans="1:7" x14ac:dyDescent="0.25">
      <c r="A4875" s="11" t="s">
        <v>1129</v>
      </c>
      <c r="B4875" s="11"/>
      <c r="C4875" s="2964">
        <v>1</v>
      </c>
      <c r="D4875" s="2964">
        <v>28230.7086547709</v>
      </c>
      <c r="E4875" s="2965">
        <v>28497.461117110099</v>
      </c>
      <c r="F4875" s="2966">
        <v>8.8681027224268806E-5</v>
      </c>
      <c r="G4875" s="2967">
        <v>8.9351591926282206E-5</v>
      </c>
    </row>
    <row r="4876" spans="1:7" x14ac:dyDescent="0.25">
      <c r="A4876" s="6" t="s">
        <v>1102</v>
      </c>
      <c r="B4876" s="6" t="s">
        <v>1103</v>
      </c>
      <c r="C4876" s="2960">
        <v>1</v>
      </c>
      <c r="D4876" s="2960">
        <v>100108.05920866699</v>
      </c>
      <c r="E4876" s="2961">
        <v>99856.0720760064</v>
      </c>
      <c r="F4876" s="2962">
        <v>100</v>
      </c>
      <c r="G4876" s="2963" t="e">
        <v>#NUM!</v>
      </c>
    </row>
    <row r="4877" spans="1:7" x14ac:dyDescent="0.25">
      <c r="A4877" s="11" t="s">
        <v>6417</v>
      </c>
      <c r="B4877" s="11" t="s">
        <v>6418</v>
      </c>
      <c r="C4877" s="2964">
        <v>185694</v>
      </c>
      <c r="D4877" s="2964">
        <v>31833989229.0345</v>
      </c>
      <c r="E4877" s="2965">
        <v>298205724.93414801</v>
      </c>
      <c r="F4877" s="2966">
        <v>99.999685531889597</v>
      </c>
      <c r="G4877" s="2967">
        <v>3.1380394212919701E-4</v>
      </c>
    </row>
    <row r="4878" spans="1:7" x14ac:dyDescent="0.25">
      <c r="A4878" s="6" t="s">
        <v>6417</v>
      </c>
      <c r="B4878" s="6" t="s">
        <v>6419</v>
      </c>
      <c r="C4878" s="2960">
        <v>185695</v>
      </c>
      <c r="D4878" s="2960">
        <v>31834089337.0937</v>
      </c>
      <c r="E4878" s="2961">
        <v>0</v>
      </c>
      <c r="F4878" s="2962">
        <v>100</v>
      </c>
      <c r="G4878" s="2963">
        <v>0</v>
      </c>
    </row>
    <row r="4879" spans="1:7" x14ac:dyDescent="0.25">
      <c r="A4879" s="3729" t="s">
        <v>448</v>
      </c>
      <c r="B4879" s="3730"/>
      <c r="C4879" s="3730"/>
      <c r="D4879" s="3730"/>
      <c r="E4879" s="3730"/>
      <c r="F4879" s="3730"/>
      <c r="G4879" s="3730"/>
    </row>
    <row r="4880" spans="1:7" x14ac:dyDescent="0.25">
      <c r="A4880" s="11" t="s">
        <v>6427</v>
      </c>
      <c r="B4880" s="11"/>
      <c r="C4880" s="2972">
        <v>94273</v>
      </c>
      <c r="D4880" s="2972">
        <v>16138817265.8487</v>
      </c>
      <c r="E4880" s="2973">
        <v>277623518.19856501</v>
      </c>
      <c r="F4880" s="2974">
        <v>50.696810725590801</v>
      </c>
      <c r="G4880" s="2975">
        <v>0.67472798573192605</v>
      </c>
    </row>
    <row r="4881" spans="1:7" x14ac:dyDescent="0.25">
      <c r="A4881" s="6" t="s">
        <v>6426</v>
      </c>
      <c r="B4881" s="6"/>
      <c r="C4881" s="2968">
        <v>55100</v>
      </c>
      <c r="D4881" s="2968">
        <v>8531685085.9905996</v>
      </c>
      <c r="E4881" s="2969">
        <v>123684995.88139699</v>
      </c>
      <c r="F4881" s="2970">
        <v>26.800552782147498</v>
      </c>
      <c r="G4881" s="2971">
        <v>0.354774122601759</v>
      </c>
    </row>
    <row r="4882" spans="1:7" x14ac:dyDescent="0.25">
      <c r="A4882" s="11" t="s">
        <v>6429</v>
      </c>
      <c r="B4882" s="11"/>
      <c r="C4882" s="2972">
        <v>19464</v>
      </c>
      <c r="D4882" s="2972">
        <v>3897385837.4623699</v>
      </c>
      <c r="E4882" s="2973">
        <v>106433027.86073001</v>
      </c>
      <c r="F4882" s="2974">
        <v>12.2428446193847</v>
      </c>
      <c r="G4882" s="2975">
        <v>0.28255184788490101</v>
      </c>
    </row>
    <row r="4883" spans="1:7" x14ac:dyDescent="0.25">
      <c r="A4883" s="6" t="s">
        <v>6428</v>
      </c>
      <c r="B4883" s="6"/>
      <c r="C4883" s="2968">
        <v>10325</v>
      </c>
      <c r="D4883" s="2968">
        <v>1896669000.5780399</v>
      </c>
      <c r="E4883" s="2969">
        <v>105694048.76732101</v>
      </c>
      <c r="F4883" s="2970">
        <v>5.9579997559594302</v>
      </c>
      <c r="G4883" s="2971">
        <v>0.336537101752236</v>
      </c>
    </row>
    <row r="4884" spans="1:7" x14ac:dyDescent="0.25">
      <c r="A4884" s="11" t="s">
        <v>6430</v>
      </c>
      <c r="B4884" s="11"/>
      <c r="C4884" s="2972">
        <v>4002</v>
      </c>
      <c r="D4884" s="2972">
        <v>879276955.81582606</v>
      </c>
      <c r="E4884" s="2973">
        <v>88299709.128595099</v>
      </c>
      <c r="F4884" s="2974">
        <v>2.7620696529414799</v>
      </c>
      <c r="G4884" s="2975">
        <v>0.26638034490151302</v>
      </c>
    </row>
    <row r="4885" spans="1:7" x14ac:dyDescent="0.25">
      <c r="A4885" s="6" t="s">
        <v>6431</v>
      </c>
      <c r="B4885" s="6"/>
      <c r="C4885" s="2968">
        <v>1328</v>
      </c>
      <c r="D4885" s="2968">
        <v>185221444.55019501</v>
      </c>
      <c r="E4885" s="2969">
        <v>29488671.435900498</v>
      </c>
      <c r="F4885" s="2970">
        <v>0.58183548162182697</v>
      </c>
      <c r="G4885" s="2971">
        <v>9.4522674886510297E-2</v>
      </c>
    </row>
    <row r="4886" spans="1:7" x14ac:dyDescent="0.25">
      <c r="A4886" s="11" t="s">
        <v>6432</v>
      </c>
      <c r="B4886" s="11"/>
      <c r="C4886" s="2972">
        <v>566</v>
      </c>
      <c r="D4886" s="2972">
        <v>135478697.68931901</v>
      </c>
      <c r="E4886" s="2973">
        <v>27975791.112608898</v>
      </c>
      <c r="F4886" s="2974">
        <v>0.42557876336074502</v>
      </c>
      <c r="G4886" s="2975">
        <v>9.0174281693645303E-2</v>
      </c>
    </row>
    <row r="4887" spans="1:7" x14ac:dyDescent="0.25">
      <c r="A4887" s="6" t="s">
        <v>6433</v>
      </c>
      <c r="B4887" s="6"/>
      <c r="C4887" s="2968">
        <v>239</v>
      </c>
      <c r="D4887" s="2968">
        <v>62198020.3090818</v>
      </c>
      <c r="E4887" s="2969">
        <v>25448196.994162399</v>
      </c>
      <c r="F4887" s="2970">
        <v>0.19538242556277899</v>
      </c>
      <c r="G4887" s="2971">
        <v>7.9891443205446402E-2</v>
      </c>
    </row>
    <row r="4888" spans="1:7" x14ac:dyDescent="0.25">
      <c r="A4888" s="11" t="s">
        <v>1123</v>
      </c>
      <c r="B4888" s="11"/>
      <c r="C4888" s="2972">
        <v>75</v>
      </c>
      <c r="D4888" s="2972">
        <v>33914023.837693602</v>
      </c>
      <c r="E4888" s="2973">
        <v>31476622.9433969</v>
      </c>
      <c r="F4888" s="2974">
        <v>0.106534005504914</v>
      </c>
      <c r="G4888" s="2975">
        <v>9.8936612596729298E-2</v>
      </c>
    </row>
    <row r="4889" spans="1:7" x14ac:dyDescent="0.25">
      <c r="A4889" s="6" t="s">
        <v>6434</v>
      </c>
      <c r="B4889" s="6"/>
      <c r="C4889" s="2968">
        <v>95</v>
      </c>
      <c r="D4889" s="2968">
        <v>18432649.645960599</v>
      </c>
      <c r="E4889" s="2969">
        <v>6392380.1809511799</v>
      </c>
      <c r="F4889" s="2970">
        <v>5.7902418428755299E-2</v>
      </c>
      <c r="G4889" s="2971">
        <v>2.0119965176163799E-2</v>
      </c>
    </row>
    <row r="4890" spans="1:7" x14ac:dyDescent="0.25">
      <c r="A4890" s="11" t="s">
        <v>1125</v>
      </c>
      <c r="B4890" s="11"/>
      <c r="C4890" s="2972">
        <v>45</v>
      </c>
      <c r="D4890" s="2972">
        <v>14416701.989283299</v>
      </c>
      <c r="E4890" s="2973">
        <v>5852692.9632969899</v>
      </c>
      <c r="F4890" s="2974">
        <v>4.5287135977712299E-2</v>
      </c>
      <c r="G4890" s="2975">
        <v>1.8311745090538602E-2</v>
      </c>
    </row>
    <row r="4891" spans="1:7" x14ac:dyDescent="0.25">
      <c r="A4891" s="6" t="s">
        <v>1135</v>
      </c>
      <c r="B4891" s="6"/>
      <c r="C4891" s="2968">
        <v>29</v>
      </c>
      <c r="D4891" s="2968">
        <v>7457696.0680263601</v>
      </c>
      <c r="E4891" s="2969">
        <v>2170626.32342041</v>
      </c>
      <c r="F4891" s="2970">
        <v>2.3426834803425899E-2</v>
      </c>
      <c r="G4891" s="2971">
        <v>6.7018130410296303E-3</v>
      </c>
    </row>
    <row r="4892" spans="1:7" x14ac:dyDescent="0.25">
      <c r="A4892" s="11" t="s">
        <v>1203</v>
      </c>
      <c r="B4892" s="11"/>
      <c r="C4892" s="2972">
        <v>13</v>
      </c>
      <c r="D4892" s="2972">
        <v>5710465.7636201503</v>
      </c>
      <c r="E4892" s="2973">
        <v>3821126.7426177398</v>
      </c>
      <c r="F4892" s="2974">
        <v>1.7938266305662399E-2</v>
      </c>
      <c r="G4892" s="2975">
        <v>1.2020163968546001E-2</v>
      </c>
    </row>
    <row r="4893" spans="1:7" x14ac:dyDescent="0.25">
      <c r="A4893" s="6" t="s">
        <v>1129</v>
      </c>
      <c r="B4893" s="6"/>
      <c r="C4893" s="2968">
        <v>22</v>
      </c>
      <c r="D4893" s="2968">
        <v>3837881.24890773</v>
      </c>
      <c r="E4893" s="2969">
        <v>1550378.65020513</v>
      </c>
      <c r="F4893" s="2970">
        <v>1.2055923061654299E-2</v>
      </c>
      <c r="G4893" s="2971">
        <v>4.91684771659539E-3</v>
      </c>
    </row>
    <row r="4894" spans="1:7" x14ac:dyDescent="0.25">
      <c r="A4894" s="11" t="s">
        <v>1127</v>
      </c>
      <c r="B4894" s="11"/>
      <c r="C4894" s="2972">
        <v>8</v>
      </c>
      <c r="D4894" s="2972">
        <v>3817099.2419293802</v>
      </c>
      <c r="E4894" s="2973">
        <v>2721461.3048143601</v>
      </c>
      <c r="F4894" s="2974">
        <v>1.1990640615182201E-2</v>
      </c>
      <c r="G4894" s="2975">
        <v>8.5375025881229607E-3</v>
      </c>
    </row>
    <row r="4895" spans="1:7" x14ac:dyDescent="0.25">
      <c r="A4895" s="6" t="s">
        <v>1187</v>
      </c>
      <c r="B4895" s="6"/>
      <c r="C4895" s="2968">
        <v>10</v>
      </c>
      <c r="D4895" s="2968">
        <v>3053177.2262202902</v>
      </c>
      <c r="E4895" s="2969">
        <v>1757957.66381436</v>
      </c>
      <c r="F4895" s="2970">
        <v>9.5909350356743403E-3</v>
      </c>
      <c r="G4895" s="2971">
        <v>5.5352997039555098E-3</v>
      </c>
    </row>
    <row r="4896" spans="1:7" x14ac:dyDescent="0.25">
      <c r="A4896" s="11" t="s">
        <v>3189</v>
      </c>
      <c r="B4896" s="11"/>
      <c r="C4896" s="2972">
        <v>9</v>
      </c>
      <c r="D4896" s="2972">
        <v>2335409.4653923898</v>
      </c>
      <c r="E4896" s="2973">
        <v>2209271.4251585598</v>
      </c>
      <c r="F4896" s="2974">
        <v>7.3362136570126902E-3</v>
      </c>
      <c r="G4896" s="2975">
        <v>6.93837263226203E-3</v>
      </c>
    </row>
    <row r="4897" spans="1:7" x14ac:dyDescent="0.25">
      <c r="A4897" s="6" t="s">
        <v>1195</v>
      </c>
      <c r="B4897" s="6"/>
      <c r="C4897" s="2968">
        <v>16</v>
      </c>
      <c r="D4897" s="2968">
        <v>1994937.0277923299</v>
      </c>
      <c r="E4897" s="2969">
        <v>861218.02975428</v>
      </c>
      <c r="F4897" s="2970">
        <v>6.26668876916253E-3</v>
      </c>
      <c r="G4897" s="2971">
        <v>2.6700702795626201E-3</v>
      </c>
    </row>
    <row r="4898" spans="1:7" x14ac:dyDescent="0.25">
      <c r="A4898" s="11" t="s">
        <v>1301</v>
      </c>
      <c r="B4898" s="11"/>
      <c r="C4898" s="2972">
        <v>3</v>
      </c>
      <c r="D4898" s="2972">
        <v>1430869.76297549</v>
      </c>
      <c r="E4898" s="2973">
        <v>1445931.18486699</v>
      </c>
      <c r="F4898" s="2974">
        <v>4.4947862257565903E-3</v>
      </c>
      <c r="G4898" s="2975">
        <v>4.5327263501086703E-3</v>
      </c>
    </row>
    <row r="4899" spans="1:7" x14ac:dyDescent="0.25">
      <c r="A4899" s="6" t="s">
        <v>1297</v>
      </c>
      <c r="B4899" s="6"/>
      <c r="C4899" s="2968">
        <v>2</v>
      </c>
      <c r="D4899" s="2968">
        <v>1183792.82768769</v>
      </c>
      <c r="E4899" s="2969">
        <v>1184337.01052319</v>
      </c>
      <c r="F4899" s="2970">
        <v>3.71864430552736E-3</v>
      </c>
      <c r="G4899" s="2971">
        <v>3.7160322664685401E-3</v>
      </c>
    </row>
    <row r="4900" spans="1:7" x14ac:dyDescent="0.25">
      <c r="A4900" s="11" t="s">
        <v>1235</v>
      </c>
      <c r="B4900" s="11"/>
      <c r="C4900" s="2972">
        <v>2</v>
      </c>
      <c r="D4900" s="2972">
        <v>969616.85267920594</v>
      </c>
      <c r="E4900" s="2973">
        <v>980830.19459135097</v>
      </c>
      <c r="F4900" s="2974">
        <v>3.0458540577592802E-3</v>
      </c>
      <c r="G4900" s="2975">
        <v>3.0794851268931599E-3</v>
      </c>
    </row>
    <row r="4901" spans="1:7" x14ac:dyDescent="0.25">
      <c r="A4901" s="6" t="s">
        <v>3203</v>
      </c>
      <c r="B4901" s="6"/>
      <c r="C4901" s="2968">
        <v>2</v>
      </c>
      <c r="D4901" s="2968">
        <v>875594.080641996</v>
      </c>
      <c r="E4901" s="2969">
        <v>695063.01766445104</v>
      </c>
      <c r="F4901" s="2970">
        <v>2.7505006499260699E-3</v>
      </c>
      <c r="G4901" s="2971">
        <v>2.1846138532095301E-3</v>
      </c>
    </row>
    <row r="4902" spans="1:7" x14ac:dyDescent="0.25">
      <c r="A4902" s="11" t="s">
        <v>4437</v>
      </c>
      <c r="B4902" s="11"/>
      <c r="C4902" s="2972">
        <v>10</v>
      </c>
      <c r="D4902" s="2972">
        <v>871406.57551571005</v>
      </c>
      <c r="E4902" s="2973">
        <v>612886.53974045103</v>
      </c>
      <c r="F4902" s="2974">
        <v>2.7373464545905201E-3</v>
      </c>
      <c r="G4902" s="2975">
        <v>1.9255987832369199E-3</v>
      </c>
    </row>
    <row r="4903" spans="1:7" x14ac:dyDescent="0.25">
      <c r="A4903" s="6" t="s">
        <v>1211</v>
      </c>
      <c r="B4903" s="6"/>
      <c r="C4903" s="2968">
        <v>11</v>
      </c>
      <c r="D4903" s="2968">
        <v>802868.88454567897</v>
      </c>
      <c r="E4903" s="2969">
        <v>481475.18947660102</v>
      </c>
      <c r="F4903" s="2970">
        <v>2.52204924355949E-3</v>
      </c>
      <c r="G4903" s="2971">
        <v>1.5055978891843299E-3</v>
      </c>
    </row>
    <row r="4904" spans="1:7" x14ac:dyDescent="0.25">
      <c r="A4904" s="11" t="s">
        <v>3180</v>
      </c>
      <c r="B4904" s="11"/>
      <c r="C4904" s="2972">
        <v>1</v>
      </c>
      <c r="D4904" s="2972">
        <v>780481.97389645898</v>
      </c>
      <c r="E4904" s="2973">
        <v>797876.27585943602</v>
      </c>
      <c r="F4904" s="2974">
        <v>2.4517253187502099E-3</v>
      </c>
      <c r="G4904" s="2975">
        <v>2.50101865830148E-3</v>
      </c>
    </row>
    <row r="4905" spans="1:7" x14ac:dyDescent="0.25">
      <c r="A4905" s="6" t="s">
        <v>3174</v>
      </c>
      <c r="B4905" s="6"/>
      <c r="C4905" s="2968">
        <v>6</v>
      </c>
      <c r="D4905" s="2968">
        <v>670505.63453146606</v>
      </c>
      <c r="E4905" s="2969">
        <v>347759.22625225602</v>
      </c>
      <c r="F4905" s="2970">
        <v>2.1062570251796199E-3</v>
      </c>
      <c r="G4905" s="2971">
        <v>1.08679223917935E-3</v>
      </c>
    </row>
    <row r="4906" spans="1:7" x14ac:dyDescent="0.25">
      <c r="A4906" s="11" t="s">
        <v>6836</v>
      </c>
      <c r="B4906" s="11"/>
      <c r="C4906" s="2972">
        <v>1</v>
      </c>
      <c r="D4906" s="2972">
        <v>628997.26185607805</v>
      </c>
      <c r="E4906" s="2973">
        <v>635315.05456255504</v>
      </c>
      <c r="F4906" s="2974">
        <v>1.9758669179996799E-3</v>
      </c>
      <c r="G4906" s="2975">
        <v>1.9945999751950802E-3</v>
      </c>
    </row>
    <row r="4907" spans="1:7" x14ac:dyDescent="0.25">
      <c r="A4907" s="6" t="s">
        <v>6837</v>
      </c>
      <c r="B4907" s="6"/>
      <c r="C4907" s="2968">
        <v>1</v>
      </c>
      <c r="D4907" s="2968">
        <v>628997.26185607805</v>
      </c>
      <c r="E4907" s="2969">
        <v>635315.05456255504</v>
      </c>
      <c r="F4907" s="2970">
        <v>1.9758669179996799E-3</v>
      </c>
      <c r="G4907" s="2971">
        <v>1.9945999751950802E-3</v>
      </c>
    </row>
    <row r="4908" spans="1:7" x14ac:dyDescent="0.25">
      <c r="A4908" s="11" t="s">
        <v>3178</v>
      </c>
      <c r="B4908" s="11"/>
      <c r="C4908" s="2972">
        <v>11</v>
      </c>
      <c r="D4908" s="2972">
        <v>598092.27260506002</v>
      </c>
      <c r="E4908" s="2973">
        <v>403362.068584322</v>
      </c>
      <c r="F4908" s="2974">
        <v>1.87878518240987E-3</v>
      </c>
      <c r="G4908" s="2975">
        <v>1.2680491195576E-3</v>
      </c>
    </row>
    <row r="4909" spans="1:7" x14ac:dyDescent="0.25">
      <c r="A4909" s="6" t="s">
        <v>1295</v>
      </c>
      <c r="B4909" s="6"/>
      <c r="C4909" s="2968">
        <v>1</v>
      </c>
      <c r="D4909" s="2968">
        <v>413616.08129506098</v>
      </c>
      <c r="E4909" s="2969">
        <v>419204.221385082</v>
      </c>
      <c r="F4909" s="2970">
        <v>1.2992907622077601E-3</v>
      </c>
      <c r="G4909" s="2971">
        <v>1.31582312420758E-3</v>
      </c>
    </row>
    <row r="4910" spans="1:7" x14ac:dyDescent="0.25">
      <c r="A4910" s="11" t="s">
        <v>1199</v>
      </c>
      <c r="B4910" s="11"/>
      <c r="C4910" s="2972">
        <v>1</v>
      </c>
      <c r="D4910" s="2972">
        <v>358202.26236728003</v>
      </c>
      <c r="E4910" s="2973">
        <v>363503.31265898002</v>
      </c>
      <c r="F4910" s="2974">
        <v>1.1252195249239301E-3</v>
      </c>
      <c r="G4910" s="2975">
        <v>1.1412926627874301E-3</v>
      </c>
    </row>
    <row r="4911" spans="1:7" x14ac:dyDescent="0.25">
      <c r="A4911" s="6" t="s">
        <v>3193</v>
      </c>
      <c r="B4911" s="6"/>
      <c r="C4911" s="2968">
        <v>2</v>
      </c>
      <c r="D4911" s="2968">
        <v>328369.72320944199</v>
      </c>
      <c r="E4911" s="2969">
        <v>330074.40864796698</v>
      </c>
      <c r="F4911" s="2970">
        <v>1.0315066730937599E-3</v>
      </c>
      <c r="G4911" s="2971">
        <v>1.0359825281973901E-3</v>
      </c>
    </row>
    <row r="4912" spans="1:7" x14ac:dyDescent="0.25">
      <c r="A4912" s="11" t="s">
        <v>1137</v>
      </c>
      <c r="B4912" s="11"/>
      <c r="C4912" s="2972">
        <v>3</v>
      </c>
      <c r="D4912" s="2972">
        <v>282803.59574145899</v>
      </c>
      <c r="E4912" s="2973">
        <v>192213.539290088</v>
      </c>
      <c r="F4912" s="2974">
        <v>8.8836995485166298E-4</v>
      </c>
      <c r="G4912" s="2975">
        <v>6.0536991417794203E-4</v>
      </c>
    </row>
    <row r="4913" spans="1:7" x14ac:dyDescent="0.25">
      <c r="A4913" s="6" t="s">
        <v>3201</v>
      </c>
      <c r="B4913" s="6"/>
      <c r="C4913" s="2968">
        <v>2</v>
      </c>
      <c r="D4913" s="2968">
        <v>224881.49144737201</v>
      </c>
      <c r="E4913" s="2969">
        <v>227331.93622638201</v>
      </c>
      <c r="F4913" s="2970">
        <v>7.0641944944262603E-4</v>
      </c>
      <c r="G4913" s="2971">
        <v>7.1370671563065796E-4</v>
      </c>
    </row>
    <row r="4914" spans="1:7" x14ac:dyDescent="0.25">
      <c r="A4914" s="11" t="s">
        <v>1141</v>
      </c>
      <c r="B4914" s="11"/>
      <c r="C4914" s="2972">
        <v>1</v>
      </c>
      <c r="D4914" s="2972">
        <v>187084.505613216</v>
      </c>
      <c r="E4914" s="2973">
        <v>189030.47310106899</v>
      </c>
      <c r="F4914" s="2974">
        <v>5.8768790888005502E-4</v>
      </c>
      <c r="G4914" s="2975">
        <v>5.9277231788185201E-4</v>
      </c>
    </row>
    <row r="4915" spans="1:7" x14ac:dyDescent="0.25">
      <c r="A4915" s="6" t="s">
        <v>1193</v>
      </c>
      <c r="B4915" s="6"/>
      <c r="C4915" s="2968">
        <v>1</v>
      </c>
      <c r="D4915" s="2968">
        <v>187084.505613216</v>
      </c>
      <c r="E4915" s="2969">
        <v>189030.47310106899</v>
      </c>
      <c r="F4915" s="2970">
        <v>5.8768790888005502E-4</v>
      </c>
      <c r="G4915" s="2971">
        <v>5.9277231788185201E-4</v>
      </c>
    </row>
    <row r="4916" spans="1:7" x14ac:dyDescent="0.25">
      <c r="A4916" s="11" t="s">
        <v>1299</v>
      </c>
      <c r="B4916" s="11"/>
      <c r="C4916" s="2972">
        <v>2</v>
      </c>
      <c r="D4916" s="2972">
        <v>179424.23812370101</v>
      </c>
      <c r="E4916" s="2973">
        <v>180513.46486112001</v>
      </c>
      <c r="F4916" s="2974">
        <v>5.6362473717260202E-4</v>
      </c>
      <c r="G4916" s="2975">
        <v>5.6681176084095498E-4</v>
      </c>
    </row>
    <row r="4917" spans="1:7" x14ac:dyDescent="0.25">
      <c r="A4917" s="6" t="s">
        <v>6661</v>
      </c>
      <c r="B4917" s="6"/>
      <c r="C4917" s="2968">
        <v>1</v>
      </c>
      <c r="D4917" s="2968">
        <v>144991.61649471399</v>
      </c>
      <c r="E4917" s="2969">
        <v>145911.63578892799</v>
      </c>
      <c r="F4917" s="2970">
        <v>4.55461662223822E-4</v>
      </c>
      <c r="G4917" s="2971">
        <v>4.57523097956173E-4</v>
      </c>
    </row>
    <row r="4918" spans="1:7" x14ac:dyDescent="0.25">
      <c r="A4918" s="11" t="s">
        <v>3172</v>
      </c>
      <c r="B4918" s="11"/>
      <c r="C4918" s="2972">
        <v>1</v>
      </c>
      <c r="D4918" s="2972">
        <v>102689.30289874801</v>
      </c>
      <c r="E4918" s="2973">
        <v>103425.69869668099</v>
      </c>
      <c r="F4918" s="2974">
        <v>3.2257755118258498E-4</v>
      </c>
      <c r="G4918" s="2975">
        <v>3.2484464830333102E-4</v>
      </c>
    </row>
    <row r="4919" spans="1:7" x14ac:dyDescent="0.25">
      <c r="A4919" s="6" t="s">
        <v>3176</v>
      </c>
      <c r="B4919" s="6"/>
      <c r="C4919" s="2968">
        <v>1</v>
      </c>
      <c r="D4919" s="2968">
        <v>102689.30289874801</v>
      </c>
      <c r="E4919" s="2969">
        <v>103425.69869668099</v>
      </c>
      <c r="F4919" s="2970">
        <v>3.2257755118258498E-4</v>
      </c>
      <c r="G4919" s="2971">
        <v>3.2484464830333102E-4</v>
      </c>
    </row>
    <row r="4920" spans="1:7" x14ac:dyDescent="0.25">
      <c r="A4920" s="11" t="s">
        <v>1213</v>
      </c>
      <c r="B4920" s="11"/>
      <c r="C4920" s="2972">
        <v>2</v>
      </c>
      <c r="D4920" s="2972">
        <v>85973.444943605005</v>
      </c>
      <c r="E4920" s="2973">
        <v>86717.360253566003</v>
      </c>
      <c r="F4920" s="2974">
        <v>2.7006808454025499E-4</v>
      </c>
      <c r="G4920" s="2975">
        <v>2.7216128526080699E-4</v>
      </c>
    </row>
    <row r="4921" spans="1:7" x14ac:dyDescent="0.25">
      <c r="A4921" s="6" t="s">
        <v>3217</v>
      </c>
      <c r="B4921" s="6"/>
      <c r="C4921" s="2968">
        <v>1</v>
      </c>
      <c r="D4921" s="2968">
        <v>81361.309942154199</v>
      </c>
      <c r="E4921" s="2969">
        <v>81527.879181703596</v>
      </c>
      <c r="F4921" s="2970">
        <v>2.5558000084999498E-4</v>
      </c>
      <c r="G4921" s="2971">
        <v>2.5579090883801498E-4</v>
      </c>
    </row>
    <row r="4922" spans="1:7" x14ac:dyDescent="0.25">
      <c r="A4922" s="11" t="s">
        <v>6838</v>
      </c>
      <c r="B4922" s="11"/>
      <c r="C4922" s="2972">
        <v>2</v>
      </c>
      <c r="D4922" s="2972">
        <v>56345.816099584597</v>
      </c>
      <c r="E4922" s="2973">
        <v>56584.8099155952</v>
      </c>
      <c r="F4922" s="2974">
        <v>1.7699891676847501E-4</v>
      </c>
      <c r="G4922" s="2975">
        <v>1.77603034100026E-4</v>
      </c>
    </row>
    <row r="4923" spans="1:7" x14ac:dyDescent="0.25">
      <c r="A4923" s="6" t="s">
        <v>1139</v>
      </c>
      <c r="B4923" s="6"/>
      <c r="C4923" s="2968">
        <v>4</v>
      </c>
      <c r="D4923" s="2968">
        <v>46640.697506584002</v>
      </c>
      <c r="E4923" s="2969">
        <v>46799.7767184607</v>
      </c>
      <c r="F4923" s="2970">
        <v>1.4651226137893099E-4</v>
      </c>
      <c r="G4923" s="2971">
        <v>1.4693265863551899E-4</v>
      </c>
    </row>
    <row r="4924" spans="1:7" x14ac:dyDescent="0.25">
      <c r="A4924" s="11" t="s">
        <v>1209</v>
      </c>
      <c r="B4924" s="11"/>
      <c r="C4924" s="2972">
        <v>1</v>
      </c>
      <c r="D4924" s="2972">
        <v>35267.284116709103</v>
      </c>
      <c r="E4924" s="2973">
        <v>35290.207013938903</v>
      </c>
      <c r="F4924" s="2974">
        <v>1.10784997327771E-4</v>
      </c>
      <c r="G4924" s="2975">
        <v>1.1077114788697099E-4</v>
      </c>
    </row>
    <row r="4925" spans="1:7" x14ac:dyDescent="0.25">
      <c r="A4925" s="6" t="s">
        <v>1131</v>
      </c>
      <c r="B4925" s="6"/>
      <c r="C4925" s="2968">
        <v>1</v>
      </c>
      <c r="D4925" s="2968">
        <v>28230.7086547709</v>
      </c>
      <c r="E4925" s="2969">
        <v>28497.461117110099</v>
      </c>
      <c r="F4925" s="2970">
        <v>8.8681027224268196E-5</v>
      </c>
      <c r="G4925" s="2971">
        <v>8.9351591926283195E-5</v>
      </c>
    </row>
    <row r="4926" spans="1:7" x14ac:dyDescent="0.25">
      <c r="A4926" s="11" t="s">
        <v>1102</v>
      </c>
      <c r="B4926" s="11" t="s">
        <v>1103</v>
      </c>
      <c r="C4926" s="2972">
        <v>1</v>
      </c>
      <c r="D4926" s="2972">
        <v>100108.05920866699</v>
      </c>
      <c r="E4926" s="2973">
        <v>99856.0720760064</v>
      </c>
      <c r="F4926" s="2974">
        <v>100</v>
      </c>
      <c r="G4926" s="2975" t="e">
        <v>#NUM!</v>
      </c>
    </row>
    <row r="4927" spans="1:7" x14ac:dyDescent="0.25">
      <c r="A4927" s="6" t="s">
        <v>6417</v>
      </c>
      <c r="B4927" s="6" t="s">
        <v>6418</v>
      </c>
      <c r="C4927" s="2968">
        <v>185696</v>
      </c>
      <c r="D4927" s="2968">
        <v>31833989229.034698</v>
      </c>
      <c r="E4927" s="2969">
        <v>298205724.93379903</v>
      </c>
      <c r="F4927" s="2970">
        <v>99.999685531889597</v>
      </c>
      <c r="G4927" s="2971">
        <v>3.13803942140197E-4</v>
      </c>
    </row>
    <row r="4928" spans="1:7" x14ac:dyDescent="0.25">
      <c r="A4928" s="11" t="s">
        <v>6417</v>
      </c>
      <c r="B4928" s="11" t="s">
        <v>6419</v>
      </c>
      <c r="C4928" s="2972">
        <v>185697</v>
      </c>
      <c r="D4928" s="2972">
        <v>31834089337.093899</v>
      </c>
      <c r="E4928" s="2973">
        <v>0</v>
      </c>
      <c r="F4928" s="2974">
        <v>100</v>
      </c>
      <c r="G4928" s="2975">
        <v>0</v>
      </c>
    </row>
    <row r="4929" spans="1:7" x14ac:dyDescent="0.25">
      <c r="A4929" s="3729" t="s">
        <v>539</v>
      </c>
      <c r="B4929" s="3730"/>
      <c r="C4929" s="3730"/>
      <c r="D4929" s="3730"/>
      <c r="E4929" s="3730"/>
      <c r="F4929" s="3730"/>
      <c r="G4929" s="3730"/>
    </row>
    <row r="4930" spans="1:7" x14ac:dyDescent="0.25">
      <c r="A4930" s="11" t="s">
        <v>1092</v>
      </c>
      <c r="B4930" s="11" t="s">
        <v>1180</v>
      </c>
      <c r="C4930" s="2980">
        <v>116546</v>
      </c>
      <c r="D4930" s="2980">
        <v>18855302509.8964</v>
      </c>
      <c r="E4930" s="2981">
        <v>205589780.108713</v>
      </c>
      <c r="F4930" s="2982">
        <v>73.641176147878497</v>
      </c>
      <c r="G4930" s="2983">
        <v>0.49480588973114997</v>
      </c>
    </row>
    <row r="4931" spans="1:7" x14ac:dyDescent="0.25">
      <c r="A4931" s="6" t="s">
        <v>1090</v>
      </c>
      <c r="B4931" s="6" t="s">
        <v>1179</v>
      </c>
      <c r="C4931" s="2976">
        <v>38809</v>
      </c>
      <c r="D4931" s="2976">
        <v>6748990490.5754404</v>
      </c>
      <c r="E4931" s="2977">
        <v>130565645.86578199</v>
      </c>
      <c r="F4931" s="2978">
        <v>26.3588238521215</v>
      </c>
      <c r="G4931" s="2979">
        <v>0.49480588973114698</v>
      </c>
    </row>
    <row r="4932" spans="1:7" x14ac:dyDescent="0.25">
      <c r="A4932" s="11" t="s">
        <v>1088</v>
      </c>
      <c r="B4932" s="11" t="s">
        <v>1089</v>
      </c>
      <c r="C4932" s="2980">
        <v>30356</v>
      </c>
      <c r="D4932" s="2980">
        <v>6229796336.6212196</v>
      </c>
      <c r="E4932" s="2981">
        <v>167983082.61131999</v>
      </c>
      <c r="F4932" s="2982">
        <v>100</v>
      </c>
      <c r="G4932" s="2983">
        <v>0</v>
      </c>
    </row>
    <row r="4933" spans="1:7" x14ac:dyDescent="0.25">
      <c r="A4933" s="6" t="s">
        <v>6417</v>
      </c>
      <c r="B4933" s="6" t="s">
        <v>6418</v>
      </c>
      <c r="C4933" s="2976">
        <v>155355</v>
      </c>
      <c r="D4933" s="2976">
        <v>25604293000.471802</v>
      </c>
      <c r="E4933" s="2977">
        <v>197937817.845624</v>
      </c>
      <c r="F4933" s="2978">
        <v>80.430423906104096</v>
      </c>
      <c r="G4933" s="2979">
        <v>0.40192838841587603</v>
      </c>
    </row>
    <row r="4934" spans="1:7" x14ac:dyDescent="0.25">
      <c r="A4934" s="11" t="s">
        <v>6417</v>
      </c>
      <c r="B4934" s="11" t="s">
        <v>6419</v>
      </c>
      <c r="C4934" s="2980">
        <v>185711</v>
      </c>
      <c r="D4934" s="2980">
        <v>31834089337.093102</v>
      </c>
      <c r="E4934" s="2981">
        <v>0</v>
      </c>
      <c r="F4934" s="2982">
        <v>100</v>
      </c>
      <c r="G4934" s="2983">
        <v>0</v>
      </c>
    </row>
    <row r="4935" spans="1:7" x14ac:dyDescent="0.25">
      <c r="A4935" s="3729" t="s">
        <v>582</v>
      </c>
      <c r="B4935" s="3730"/>
      <c r="C4935" s="3730"/>
      <c r="D4935" s="3730"/>
      <c r="E4935" s="3730"/>
      <c r="F4935" s="3730"/>
      <c r="G4935" s="3730"/>
    </row>
    <row r="4936" spans="1:7" x14ac:dyDescent="0.25">
      <c r="A4936" s="11" t="s">
        <v>1092</v>
      </c>
      <c r="B4936" s="11" t="s">
        <v>1180</v>
      </c>
      <c r="C4936" s="2988">
        <v>182934</v>
      </c>
      <c r="D4936" s="2988">
        <v>30822356893.932201</v>
      </c>
      <c r="E4936" s="2989">
        <v>283813874.16169</v>
      </c>
      <c r="F4936" s="2990">
        <v>96.821858378142295</v>
      </c>
      <c r="G4936" s="2991">
        <v>0.15044437525818199</v>
      </c>
    </row>
    <row r="4937" spans="1:7" x14ac:dyDescent="0.25">
      <c r="A4937" s="6" t="s">
        <v>1090</v>
      </c>
      <c r="B4937" s="6" t="s">
        <v>1179</v>
      </c>
      <c r="C4937" s="2984">
        <v>2777</v>
      </c>
      <c r="D4937" s="2984">
        <v>1011732443.16154</v>
      </c>
      <c r="E4937" s="2985">
        <v>50618289.188241698</v>
      </c>
      <c r="F4937" s="2986">
        <v>3.1781416218577099</v>
      </c>
      <c r="G4937" s="2987">
        <v>0.15044437525818299</v>
      </c>
    </row>
    <row r="4938" spans="1:7" x14ac:dyDescent="0.25">
      <c r="A4938" s="11" t="s">
        <v>6417</v>
      </c>
      <c r="B4938" s="11" t="s">
        <v>6418</v>
      </c>
      <c r="C4938" s="2988">
        <v>185711</v>
      </c>
      <c r="D4938" s="2988">
        <v>31834089337.0938</v>
      </c>
      <c r="E4938" s="2989">
        <v>298177412.67113501</v>
      </c>
      <c r="F4938" s="2990">
        <v>100</v>
      </c>
      <c r="G4938" s="2991">
        <v>2.0557335828564899E-14</v>
      </c>
    </row>
    <row r="4939" spans="1:7" x14ac:dyDescent="0.25">
      <c r="A4939" s="6" t="s">
        <v>6417</v>
      </c>
      <c r="B4939" s="6" t="s">
        <v>6419</v>
      </c>
      <c r="C4939" s="2984">
        <v>185711</v>
      </c>
      <c r="D4939" s="2984">
        <v>31834089337.0938</v>
      </c>
      <c r="E4939" s="2985">
        <v>0</v>
      </c>
      <c r="F4939" s="2986">
        <v>100</v>
      </c>
      <c r="G4939" s="2987">
        <v>0</v>
      </c>
    </row>
    <row r="4940" spans="1:7" x14ac:dyDescent="0.25">
      <c r="A4940" s="3729" t="s">
        <v>845</v>
      </c>
      <c r="B4940" s="3730"/>
      <c r="C4940" s="3730"/>
      <c r="D4940" s="3730"/>
      <c r="E4940" s="3730"/>
      <c r="F4940" s="3730"/>
      <c r="G4940" s="3730"/>
    </row>
    <row r="4941" spans="1:7" x14ac:dyDescent="0.25">
      <c r="A4941" s="11" t="s">
        <v>6226</v>
      </c>
      <c r="B4941" s="11" t="s">
        <v>6227</v>
      </c>
      <c r="C4941" s="2996">
        <v>69561</v>
      </c>
      <c r="D4941" s="2996">
        <v>12435102916.208401</v>
      </c>
      <c r="E4941" s="2997">
        <v>103936801.388688</v>
      </c>
      <c r="F4941" s="2998">
        <v>39.063169743163201</v>
      </c>
      <c r="G4941" s="2999">
        <v>0.132349585246538</v>
      </c>
    </row>
    <row r="4942" spans="1:7" x14ac:dyDescent="0.25">
      <c r="A4942" s="6" t="s">
        <v>6228</v>
      </c>
      <c r="B4942" s="6" t="s">
        <v>6229</v>
      </c>
      <c r="C4942" s="2992">
        <v>30956</v>
      </c>
      <c r="D4942" s="2992">
        <v>5803334377.0803404</v>
      </c>
      <c r="E4942" s="2993">
        <v>103405384.34235699</v>
      </c>
      <c r="F4942" s="2994">
        <v>18.230378741195501</v>
      </c>
      <c r="G4942" s="2995">
        <v>0.338363606083597</v>
      </c>
    </row>
    <row r="4943" spans="1:7" x14ac:dyDescent="0.25">
      <c r="A4943" s="11" t="s">
        <v>6224</v>
      </c>
      <c r="B4943" s="11" t="s">
        <v>6225</v>
      </c>
      <c r="C4943" s="2996">
        <v>38929</v>
      </c>
      <c r="D4943" s="2996">
        <v>5295911714.6083498</v>
      </c>
      <c r="E4943" s="2997">
        <v>125476363.477962</v>
      </c>
      <c r="F4943" s="2998">
        <v>16.636380064285898</v>
      </c>
      <c r="G4943" s="2999">
        <v>0.28079357878998001</v>
      </c>
    </row>
    <row r="4944" spans="1:7" x14ac:dyDescent="0.25">
      <c r="A4944" s="6" t="s">
        <v>6220</v>
      </c>
      <c r="B4944" s="6" t="s">
        <v>6221</v>
      </c>
      <c r="C4944" s="2992">
        <v>21058</v>
      </c>
      <c r="D4944" s="2992">
        <v>5065736351.2093</v>
      </c>
      <c r="E4944" s="2993">
        <v>55466795.971895598</v>
      </c>
      <c r="F4944" s="2994">
        <v>15.9133157397091</v>
      </c>
      <c r="G4944" s="2995">
        <v>0.11060282105026099</v>
      </c>
    </row>
    <row r="4945" spans="1:7" x14ac:dyDescent="0.25">
      <c r="A4945" s="11" t="s">
        <v>6222</v>
      </c>
      <c r="B4945" s="11" t="s">
        <v>6223</v>
      </c>
      <c r="C4945" s="2996">
        <v>25200</v>
      </c>
      <c r="D4945" s="2996">
        <v>3233232310.6271801</v>
      </c>
      <c r="E4945" s="2997">
        <v>68051373.433527604</v>
      </c>
      <c r="F4945" s="2998">
        <v>10.1567557116463</v>
      </c>
      <c r="G4945" s="2999">
        <v>0.18076676683474299</v>
      </c>
    </row>
    <row r="4946" spans="1:7" x14ac:dyDescent="0.25">
      <c r="A4946" s="6" t="s">
        <v>1102</v>
      </c>
      <c r="B4946" s="6" t="s">
        <v>1103</v>
      </c>
      <c r="C4946" s="2992">
        <v>7</v>
      </c>
      <c r="D4946" s="2992">
        <v>771667.36030098796</v>
      </c>
      <c r="E4946" s="2993">
        <v>332387.28062376502</v>
      </c>
      <c r="F4946" s="2994">
        <v>100</v>
      </c>
      <c r="G4946" s="2995">
        <v>0</v>
      </c>
    </row>
    <row r="4947" spans="1:7" x14ac:dyDescent="0.25">
      <c r="A4947" s="11" t="s">
        <v>6417</v>
      </c>
      <c r="B4947" s="11" t="s">
        <v>6418</v>
      </c>
      <c r="C4947" s="2996">
        <v>185704</v>
      </c>
      <c r="D4947" s="2996">
        <v>31833317669.733501</v>
      </c>
      <c r="E4947" s="2997">
        <v>298061800.12324202</v>
      </c>
      <c r="F4947" s="2998">
        <v>99.997575971619199</v>
      </c>
      <c r="G4947" s="2999">
        <v>1.03618913750554E-3</v>
      </c>
    </row>
    <row r="4948" spans="1:7" x14ac:dyDescent="0.25">
      <c r="A4948" s="6" t="s">
        <v>6417</v>
      </c>
      <c r="B4948" s="6" t="s">
        <v>6419</v>
      </c>
      <c r="C4948" s="2992">
        <v>185711</v>
      </c>
      <c r="D4948" s="2992">
        <v>31834089337.0938</v>
      </c>
      <c r="E4948" s="2993">
        <v>0</v>
      </c>
      <c r="F4948" s="2994">
        <v>100</v>
      </c>
      <c r="G4948" s="2995">
        <v>0</v>
      </c>
    </row>
    <row r="4949" spans="1:7" x14ac:dyDescent="0.25">
      <c r="A4949" s="3729" t="s">
        <v>201</v>
      </c>
      <c r="B4949" s="3730"/>
      <c r="C4949" s="3730"/>
      <c r="D4949" s="3730"/>
      <c r="E4949" s="3730"/>
      <c r="F4949" s="3730"/>
      <c r="G4949" s="3730"/>
    </row>
    <row r="4950" spans="1:7" x14ac:dyDescent="0.25">
      <c r="A4950" s="11" t="s">
        <v>1102</v>
      </c>
      <c r="B4950" s="11" t="s">
        <v>1103</v>
      </c>
      <c r="C4950" s="3004">
        <v>43871</v>
      </c>
      <c r="D4950" s="3004">
        <v>7890839832.2704</v>
      </c>
      <c r="E4950" s="3005">
        <v>47231302.462289102</v>
      </c>
      <c r="F4950" s="3006">
        <v>100</v>
      </c>
      <c r="G4950" s="3007">
        <v>0</v>
      </c>
    </row>
    <row r="4951" spans="1:7" x14ac:dyDescent="0.25">
      <c r="A4951" s="6" t="s">
        <v>6417</v>
      </c>
      <c r="B4951" s="6" t="s">
        <v>6418</v>
      </c>
      <c r="C4951" s="3000">
        <v>141823</v>
      </c>
      <c r="D4951" s="3000">
        <v>23943249504.823601</v>
      </c>
      <c r="E4951" s="3001">
        <v>268625753.54074103</v>
      </c>
      <c r="F4951" s="3002">
        <v>75.212610140300896</v>
      </c>
      <c r="G4951" s="3003">
        <v>0.171733692283146</v>
      </c>
    </row>
    <row r="4952" spans="1:7" x14ac:dyDescent="0.25">
      <c r="A4952" s="11" t="s">
        <v>6417</v>
      </c>
      <c r="B4952" s="11" t="s">
        <v>6419</v>
      </c>
      <c r="C4952" s="3004">
        <v>185694</v>
      </c>
      <c r="D4952" s="3004">
        <v>31834089337.094002</v>
      </c>
      <c r="E4952" s="3005">
        <v>0</v>
      </c>
      <c r="F4952" s="3006">
        <v>100</v>
      </c>
      <c r="G4952" s="3007">
        <v>0</v>
      </c>
    </row>
    <row r="4953" spans="1:7" x14ac:dyDescent="0.25">
      <c r="A4953" s="3729" t="s">
        <v>729</v>
      </c>
      <c r="B4953" s="3730"/>
      <c r="C4953" s="3730"/>
      <c r="D4953" s="3730"/>
      <c r="E4953" s="3730"/>
      <c r="F4953" s="3730"/>
      <c r="G4953" s="3730"/>
    </row>
    <row r="4954" spans="1:7" x14ac:dyDescent="0.25">
      <c r="A4954" s="11" t="s">
        <v>1092</v>
      </c>
      <c r="B4954" s="11" t="s">
        <v>1180</v>
      </c>
      <c r="C4954" s="3012">
        <v>132233</v>
      </c>
      <c r="D4954" s="3012">
        <v>30585152563.946899</v>
      </c>
      <c r="E4954" s="3013">
        <v>250912907.10207799</v>
      </c>
      <c r="F4954" s="3014">
        <v>96.076731581915993</v>
      </c>
      <c r="G4954" s="3015">
        <v>0.16782322991435</v>
      </c>
    </row>
    <row r="4955" spans="1:7" x14ac:dyDescent="0.25">
      <c r="A4955" s="6" t="s">
        <v>1090</v>
      </c>
      <c r="B4955" s="6" t="s">
        <v>1179</v>
      </c>
      <c r="C4955" s="3008">
        <v>53478</v>
      </c>
      <c r="D4955" s="3008">
        <v>1248936773.1468501</v>
      </c>
      <c r="E4955" s="3009">
        <v>62332693.842808299</v>
      </c>
      <c r="F4955" s="3010">
        <v>3.9232684180840098</v>
      </c>
      <c r="G4955" s="3011">
        <v>0.167823229914352</v>
      </c>
    </row>
    <row r="4956" spans="1:7" x14ac:dyDescent="0.25">
      <c r="A4956" s="11" t="s">
        <v>6417</v>
      </c>
      <c r="B4956" s="11" t="s">
        <v>6418</v>
      </c>
      <c r="C4956" s="3012">
        <v>185711</v>
      </c>
      <c r="D4956" s="3012">
        <v>31834089337.0938</v>
      </c>
      <c r="E4956" s="3013">
        <v>298177412.67110801</v>
      </c>
      <c r="F4956" s="3014">
        <v>100</v>
      </c>
      <c r="G4956" s="3015">
        <v>9.5320444878948101E-14</v>
      </c>
    </row>
    <row r="4957" spans="1:7" x14ac:dyDescent="0.25">
      <c r="A4957" s="6" t="s">
        <v>6417</v>
      </c>
      <c r="B4957" s="6" t="s">
        <v>6419</v>
      </c>
      <c r="C4957" s="3008">
        <v>185711</v>
      </c>
      <c r="D4957" s="3008">
        <v>31834089337.0938</v>
      </c>
      <c r="E4957" s="3009">
        <v>0</v>
      </c>
      <c r="F4957" s="3010">
        <v>100</v>
      </c>
      <c r="G4957" s="3011">
        <v>0</v>
      </c>
    </row>
    <row r="4958" spans="1:7" x14ac:dyDescent="0.25">
      <c r="A4958" s="3729" t="s">
        <v>918</v>
      </c>
      <c r="B4958" s="3730"/>
      <c r="C4958" s="3730"/>
      <c r="D4958" s="3730"/>
      <c r="E4958" s="3730"/>
      <c r="F4958" s="3730"/>
      <c r="G4958" s="3730"/>
    </row>
    <row r="4959" spans="1:7" x14ac:dyDescent="0.25">
      <c r="A4959" s="11" t="s">
        <v>1088</v>
      </c>
      <c r="B4959" s="11" t="s">
        <v>1089</v>
      </c>
      <c r="C4959" s="3020">
        <v>72269</v>
      </c>
      <c r="D4959" s="3020">
        <v>13487273457.374701</v>
      </c>
      <c r="E4959" s="3021">
        <v>218647054.74462599</v>
      </c>
      <c r="F4959" s="3022">
        <v>100</v>
      </c>
      <c r="G4959" s="3023">
        <v>0</v>
      </c>
    </row>
    <row r="4960" spans="1:7" x14ac:dyDescent="0.25">
      <c r="A4960" s="6" t="s">
        <v>6417</v>
      </c>
      <c r="B4960" s="6" t="s">
        <v>6418</v>
      </c>
      <c r="C4960" s="3016">
        <v>109486</v>
      </c>
      <c r="D4960" s="3016">
        <v>18346815879.7192</v>
      </c>
      <c r="E4960" s="3017">
        <v>231961982.83079901</v>
      </c>
      <c r="F4960" s="3018">
        <v>57.6326078796953</v>
      </c>
      <c r="G4960" s="3019">
        <v>0.53073508588451002</v>
      </c>
    </row>
    <row r="4961" spans="1:7" x14ac:dyDescent="0.25">
      <c r="A4961" s="11" t="s">
        <v>6417</v>
      </c>
      <c r="B4961" s="11" t="s">
        <v>6419</v>
      </c>
      <c r="C4961" s="3020">
        <v>181755</v>
      </c>
      <c r="D4961" s="3020">
        <v>31834089337.094002</v>
      </c>
      <c r="E4961" s="3021">
        <v>0</v>
      </c>
      <c r="F4961" s="3022">
        <v>100</v>
      </c>
      <c r="G4961" s="3023">
        <v>0</v>
      </c>
    </row>
    <row r="4962" spans="1:7" x14ac:dyDescent="0.25">
      <c r="A4962" s="3729" t="s">
        <v>920</v>
      </c>
      <c r="B4962" s="3730"/>
      <c r="C4962" s="3730"/>
      <c r="D4962" s="3730"/>
      <c r="E4962" s="3730"/>
      <c r="F4962" s="3730"/>
      <c r="G4962" s="3730"/>
    </row>
    <row r="4963" spans="1:7" x14ac:dyDescent="0.25">
      <c r="A4963" s="11" t="s">
        <v>1088</v>
      </c>
      <c r="B4963" s="11" t="s">
        <v>1089</v>
      </c>
      <c r="C4963" s="3028">
        <v>72269</v>
      </c>
      <c r="D4963" s="3028">
        <v>13487273457.374701</v>
      </c>
      <c r="E4963" s="3029">
        <v>218647054.74462599</v>
      </c>
      <c r="F4963" s="3030">
        <v>100</v>
      </c>
      <c r="G4963" s="3031">
        <v>0</v>
      </c>
    </row>
    <row r="4964" spans="1:7" x14ac:dyDescent="0.25">
      <c r="A4964" s="6" t="s">
        <v>6417</v>
      </c>
      <c r="B4964" s="6" t="s">
        <v>6418</v>
      </c>
      <c r="C4964" s="3024">
        <v>109483</v>
      </c>
      <c r="D4964" s="3024">
        <v>18346815879.7192</v>
      </c>
      <c r="E4964" s="3025">
        <v>231961982.83079901</v>
      </c>
      <c r="F4964" s="3026">
        <v>57.6326078796953</v>
      </c>
      <c r="G4964" s="3027">
        <v>0.53073508588451002</v>
      </c>
    </row>
    <row r="4965" spans="1:7" x14ac:dyDescent="0.25">
      <c r="A4965" s="11" t="s">
        <v>6417</v>
      </c>
      <c r="B4965" s="11" t="s">
        <v>6419</v>
      </c>
      <c r="C4965" s="3028">
        <v>181752</v>
      </c>
      <c r="D4965" s="3028">
        <v>31834089337.094002</v>
      </c>
      <c r="E4965" s="3029">
        <v>0</v>
      </c>
      <c r="F4965" s="3030">
        <v>100</v>
      </c>
      <c r="G4965" s="3031">
        <v>0</v>
      </c>
    </row>
    <row r="4966" spans="1:7" x14ac:dyDescent="0.25">
      <c r="A4966" s="3729" t="s">
        <v>199</v>
      </c>
      <c r="B4966" s="3730"/>
      <c r="C4966" s="3730"/>
      <c r="D4966" s="3730"/>
      <c r="E4966" s="3730"/>
      <c r="F4966" s="3730"/>
      <c r="G4966" s="3730"/>
    </row>
    <row r="4967" spans="1:7" x14ac:dyDescent="0.25">
      <c r="A4967" s="11" t="s">
        <v>1090</v>
      </c>
      <c r="B4967" s="11" t="s">
        <v>1179</v>
      </c>
      <c r="C4967" s="3036">
        <v>116546</v>
      </c>
      <c r="D4967" s="3036">
        <v>18855302509.8964</v>
      </c>
      <c r="E4967" s="3037">
        <v>205589780.108713</v>
      </c>
      <c r="F4967" s="3038">
        <v>73.641176147878497</v>
      </c>
      <c r="G4967" s="3039">
        <v>0.49480588973114997</v>
      </c>
    </row>
    <row r="4968" spans="1:7" x14ac:dyDescent="0.25">
      <c r="A4968" s="6" t="s">
        <v>1092</v>
      </c>
      <c r="B4968" s="6" t="s">
        <v>1180</v>
      </c>
      <c r="C4968" s="3032">
        <v>38809</v>
      </c>
      <c r="D4968" s="3032">
        <v>6748990490.5754404</v>
      </c>
      <c r="E4968" s="3033">
        <v>130565645.86578199</v>
      </c>
      <c r="F4968" s="3034">
        <v>26.3588238521215</v>
      </c>
      <c r="G4968" s="3035">
        <v>0.49480588973114698</v>
      </c>
    </row>
    <row r="4969" spans="1:7" x14ac:dyDescent="0.25">
      <c r="A4969" s="11" t="s">
        <v>1088</v>
      </c>
      <c r="B4969" s="11" t="s">
        <v>1089</v>
      </c>
      <c r="C4969" s="3036">
        <v>30356</v>
      </c>
      <c r="D4969" s="3036">
        <v>6229796336.6212196</v>
      </c>
      <c r="E4969" s="3037">
        <v>167983082.61131999</v>
      </c>
      <c r="F4969" s="3038">
        <v>100</v>
      </c>
      <c r="G4969" s="3039">
        <v>0</v>
      </c>
    </row>
    <row r="4970" spans="1:7" x14ac:dyDescent="0.25">
      <c r="A4970" s="6" t="s">
        <v>6417</v>
      </c>
      <c r="B4970" s="6" t="s">
        <v>6418</v>
      </c>
      <c r="C4970" s="3032">
        <v>155355</v>
      </c>
      <c r="D4970" s="3032">
        <v>25604293000.471802</v>
      </c>
      <c r="E4970" s="3033">
        <v>197937817.845624</v>
      </c>
      <c r="F4970" s="3034">
        <v>80.430423906104096</v>
      </c>
      <c r="G4970" s="3035">
        <v>0.40192838841587603</v>
      </c>
    </row>
    <row r="4971" spans="1:7" x14ac:dyDescent="0.25">
      <c r="A4971" s="11" t="s">
        <v>6417</v>
      </c>
      <c r="B4971" s="11" t="s">
        <v>6419</v>
      </c>
      <c r="C4971" s="3036">
        <v>185711</v>
      </c>
      <c r="D4971" s="3036">
        <v>31834089337.093102</v>
      </c>
      <c r="E4971" s="3037">
        <v>0</v>
      </c>
      <c r="F4971" s="3038">
        <v>100</v>
      </c>
      <c r="G4971" s="3039">
        <v>0</v>
      </c>
    </row>
    <row r="4972" spans="1:7" x14ac:dyDescent="0.25">
      <c r="A4972" s="3729" t="s">
        <v>978</v>
      </c>
      <c r="B4972" s="3730"/>
      <c r="C4972" s="3730"/>
      <c r="D4972" s="3730"/>
      <c r="E4972" s="3730"/>
      <c r="F4972" s="3730"/>
      <c r="G4972" s="3730"/>
    </row>
    <row r="4973" spans="1:7" x14ac:dyDescent="0.25">
      <c r="A4973" s="11" t="s">
        <v>1090</v>
      </c>
      <c r="B4973" s="11" t="s">
        <v>6291</v>
      </c>
      <c r="C4973" s="3044">
        <v>63769</v>
      </c>
      <c r="D4973" s="3044">
        <v>11234862908.143</v>
      </c>
      <c r="E4973" s="3045">
        <v>110028283.09496</v>
      </c>
      <c r="F4973" s="3046">
        <v>35.291924921037001</v>
      </c>
      <c r="G4973" s="3047">
        <v>0.13312904370773801</v>
      </c>
    </row>
    <row r="4974" spans="1:7" x14ac:dyDescent="0.25">
      <c r="A4974" s="6" t="s">
        <v>1299</v>
      </c>
      <c r="B4974" s="6" t="s">
        <v>6294</v>
      </c>
      <c r="C4974" s="3040">
        <v>36435</v>
      </c>
      <c r="D4974" s="3040">
        <v>4685648117.5403996</v>
      </c>
      <c r="E4974" s="3041">
        <v>69316002.547592998</v>
      </c>
      <c r="F4974" s="3042">
        <v>14.7189639003764</v>
      </c>
      <c r="G4974" s="3043">
        <v>0.21305324093815201</v>
      </c>
    </row>
    <row r="4975" spans="1:7" x14ac:dyDescent="0.25">
      <c r="A4975" s="11" t="s">
        <v>1123</v>
      </c>
      <c r="B4975" s="11" t="s">
        <v>1114</v>
      </c>
      <c r="C4975" s="3044">
        <v>20377</v>
      </c>
      <c r="D4975" s="3044">
        <v>4649426825.5582399</v>
      </c>
      <c r="E4975" s="3045">
        <v>69485216.576554194</v>
      </c>
      <c r="F4975" s="3046">
        <v>14.605182439255801</v>
      </c>
      <c r="G4975" s="3047">
        <v>0.134350023490271</v>
      </c>
    </row>
    <row r="4976" spans="1:7" x14ac:dyDescent="0.25">
      <c r="A4976" s="6" t="s">
        <v>1305</v>
      </c>
      <c r="B4976" s="6" t="s">
        <v>6297</v>
      </c>
      <c r="C4976" s="3040">
        <v>11790</v>
      </c>
      <c r="D4976" s="3040">
        <v>2977650905.4634299</v>
      </c>
      <c r="E4976" s="3041">
        <v>67905556.527557805</v>
      </c>
      <c r="F4976" s="3042">
        <v>9.3536550517680599</v>
      </c>
      <c r="G4976" s="3043">
        <v>0.228735461266937</v>
      </c>
    </row>
    <row r="4977" spans="1:7" x14ac:dyDescent="0.25">
      <c r="A4977" s="11" t="s">
        <v>1301</v>
      </c>
      <c r="B4977" s="11" t="s">
        <v>6295</v>
      </c>
      <c r="C4977" s="3044">
        <v>22972</v>
      </c>
      <c r="D4977" s="3044">
        <v>2936823683.7899499</v>
      </c>
      <c r="E4977" s="3045">
        <v>60188498.841347098</v>
      </c>
      <c r="F4977" s="3046">
        <v>9.2254050451755596</v>
      </c>
      <c r="G4977" s="3047">
        <v>0.159440214583946</v>
      </c>
    </row>
    <row r="4978" spans="1:7" x14ac:dyDescent="0.25">
      <c r="A4978" s="6" t="s">
        <v>1307</v>
      </c>
      <c r="B4978" s="6" t="s">
        <v>6298</v>
      </c>
      <c r="C4978" s="3040">
        <v>14662</v>
      </c>
      <c r="D4978" s="3040">
        <v>2154442599.9215002</v>
      </c>
      <c r="E4978" s="3041">
        <v>75708125.214553595</v>
      </c>
      <c r="F4978" s="3042">
        <v>6.7677217875087496</v>
      </c>
      <c r="G4978" s="3043">
        <v>0.19823931574503401</v>
      </c>
    </row>
    <row r="4979" spans="1:7" x14ac:dyDescent="0.25">
      <c r="A4979" s="11" t="s">
        <v>1295</v>
      </c>
      <c r="B4979" s="11" t="s">
        <v>6292</v>
      </c>
      <c r="C4979" s="3044">
        <v>7990</v>
      </c>
      <c r="D4979" s="3044">
        <v>1988654118.3578401</v>
      </c>
      <c r="E4979" s="3045">
        <v>53254340.158993497</v>
      </c>
      <c r="F4979" s="3046">
        <v>6.2469326428653602</v>
      </c>
      <c r="G4979" s="3047">
        <v>0.157929768471264</v>
      </c>
    </row>
    <row r="4980" spans="1:7" x14ac:dyDescent="0.25">
      <c r="A4980" s="6" t="s">
        <v>1111</v>
      </c>
      <c r="B4980" s="6" t="s">
        <v>1143</v>
      </c>
      <c r="C4980" s="3040">
        <v>4564</v>
      </c>
      <c r="D4980" s="3040">
        <v>651744883.04221904</v>
      </c>
      <c r="E4980" s="3041">
        <v>25131906.915674701</v>
      </c>
      <c r="F4980" s="3042">
        <v>2.0473175033871298</v>
      </c>
      <c r="G4980" s="3043">
        <v>8.1654525954398802E-2</v>
      </c>
    </row>
    <row r="4981" spans="1:7" x14ac:dyDescent="0.25">
      <c r="A4981" s="11" t="s">
        <v>1297</v>
      </c>
      <c r="B4981" s="11" t="s">
        <v>6293</v>
      </c>
      <c r="C4981" s="3044">
        <v>3152</v>
      </c>
      <c r="D4981" s="3044">
        <v>554835295.27725399</v>
      </c>
      <c r="E4981" s="3045">
        <v>23953035.9029296</v>
      </c>
      <c r="F4981" s="3046">
        <v>1.7428967086259499</v>
      </c>
      <c r="G4981" s="3047">
        <v>6.8604742641461103E-2</v>
      </c>
    </row>
    <row r="4982" spans="1:7" x14ac:dyDescent="0.25">
      <c r="A4982" s="6" t="s">
        <v>6417</v>
      </c>
      <c r="B4982" s="6" t="s">
        <v>6418</v>
      </c>
      <c r="C4982" s="3040">
        <v>185711</v>
      </c>
      <c r="D4982" s="3040">
        <v>31834089337.0938</v>
      </c>
      <c r="E4982" s="3041">
        <v>298177412.67040002</v>
      </c>
      <c r="F4982" s="3042">
        <v>100</v>
      </c>
      <c r="G4982" s="3043">
        <v>1.02786679142825E-14</v>
      </c>
    </row>
    <row r="4983" spans="1:7" x14ac:dyDescent="0.25">
      <c r="A4983" s="11" t="s">
        <v>6417</v>
      </c>
      <c r="B4983" s="11" t="s">
        <v>6419</v>
      </c>
      <c r="C4983" s="3044">
        <v>185711</v>
      </c>
      <c r="D4983" s="3044">
        <v>31834089337.0938</v>
      </c>
      <c r="E4983" s="3045">
        <v>0</v>
      </c>
      <c r="F4983" s="3046">
        <v>100</v>
      </c>
      <c r="G4983" s="3047">
        <v>0</v>
      </c>
    </row>
    <row r="4984" spans="1:7" x14ac:dyDescent="0.25">
      <c r="A4984" s="3729" t="s">
        <v>980</v>
      </c>
      <c r="B4984" s="3730"/>
      <c r="C4984" s="3730"/>
      <c r="D4984" s="3730"/>
      <c r="E4984" s="3730"/>
      <c r="F4984" s="3730"/>
      <c r="G4984" s="3730"/>
    </row>
    <row r="4985" spans="1:7" x14ac:dyDescent="0.25">
      <c r="A4985" s="11" t="s">
        <v>1096</v>
      </c>
      <c r="B4985" s="11" t="s">
        <v>6302</v>
      </c>
      <c r="C4985" s="3052">
        <v>33964</v>
      </c>
      <c r="D4985" s="3052">
        <v>6805894442.9688196</v>
      </c>
      <c r="E4985" s="3053">
        <v>93287446.238114804</v>
      </c>
      <c r="F4985" s="3054">
        <v>21.379265387178499</v>
      </c>
      <c r="G4985" s="3055">
        <v>0.29989570535835203</v>
      </c>
    </row>
    <row r="4986" spans="1:7" x14ac:dyDescent="0.25">
      <c r="A4986" s="6" t="s">
        <v>1090</v>
      </c>
      <c r="B4986" s="6" t="s">
        <v>6299</v>
      </c>
      <c r="C4986" s="3048">
        <v>26860</v>
      </c>
      <c r="D4986" s="3048">
        <v>6470021205.8627195</v>
      </c>
      <c r="E4986" s="3049">
        <v>60381415.600672498</v>
      </c>
      <c r="F4986" s="3050">
        <v>20.324191269777199</v>
      </c>
      <c r="G4986" s="3051">
        <v>0.13703339754478799</v>
      </c>
    </row>
    <row r="4987" spans="1:7" x14ac:dyDescent="0.25">
      <c r="A4987" s="11" t="s">
        <v>1123</v>
      </c>
      <c r="B4987" s="11" t="s">
        <v>6306</v>
      </c>
      <c r="C4987" s="3052">
        <v>42457</v>
      </c>
      <c r="D4987" s="3052">
        <v>5742211889.1267796</v>
      </c>
      <c r="E4987" s="3053">
        <v>120796894.01924101</v>
      </c>
      <c r="F4987" s="3054">
        <v>18.037933575928601</v>
      </c>
      <c r="G4987" s="3055">
        <v>0.25422733095288802</v>
      </c>
    </row>
    <row r="4988" spans="1:7" x14ac:dyDescent="0.25">
      <c r="A4988" s="6" t="s">
        <v>1094</v>
      </c>
      <c r="B4988" s="6" t="s">
        <v>6301</v>
      </c>
      <c r="C4988" s="3048">
        <v>36485</v>
      </c>
      <c r="D4988" s="3048">
        <v>4598871621.6831198</v>
      </c>
      <c r="E4988" s="3049">
        <v>107381421.45433199</v>
      </c>
      <c r="F4988" s="3050">
        <v>14.4463740519958</v>
      </c>
      <c r="G4988" s="3051">
        <v>0.30239999543129098</v>
      </c>
    </row>
    <row r="4989" spans="1:7" x14ac:dyDescent="0.25">
      <c r="A4989" s="11" t="s">
        <v>1098</v>
      </c>
      <c r="B4989" s="11" t="s">
        <v>6303</v>
      </c>
      <c r="C4989" s="3052">
        <v>14079</v>
      </c>
      <c r="D4989" s="3052">
        <v>3588477823.5493002</v>
      </c>
      <c r="E4989" s="3053">
        <v>93804413.213278696</v>
      </c>
      <c r="F4989" s="3054">
        <v>11.2724374978991</v>
      </c>
      <c r="G4989" s="3055">
        <v>0.27925445829940398</v>
      </c>
    </row>
    <row r="4990" spans="1:7" x14ac:dyDescent="0.25">
      <c r="A4990" s="6" t="s">
        <v>1125</v>
      </c>
      <c r="B4990" s="6" t="s">
        <v>3360</v>
      </c>
      <c r="C4990" s="3048">
        <v>11443</v>
      </c>
      <c r="D4990" s="3048">
        <v>1843100805.66149</v>
      </c>
      <c r="E4990" s="3049">
        <v>30178971.220433999</v>
      </c>
      <c r="F4990" s="3050">
        <v>5.7897079641409803</v>
      </c>
      <c r="G4990" s="3051">
        <v>9.6969749931404906E-2</v>
      </c>
    </row>
    <row r="4991" spans="1:7" x14ac:dyDescent="0.25">
      <c r="A4991" s="11" t="s">
        <v>1119</v>
      </c>
      <c r="B4991" s="11" t="s">
        <v>6305</v>
      </c>
      <c r="C4991" s="3052">
        <v>12103</v>
      </c>
      <c r="D4991" s="3052">
        <v>1305709329.28176</v>
      </c>
      <c r="E4991" s="3053">
        <v>46987261.130762301</v>
      </c>
      <c r="F4991" s="3054">
        <v>4.1016072910253198</v>
      </c>
      <c r="G4991" s="3055">
        <v>0.14962130332932899</v>
      </c>
    </row>
    <row r="4992" spans="1:7" x14ac:dyDescent="0.25">
      <c r="A4992" s="6" t="s">
        <v>1100</v>
      </c>
      <c r="B4992" s="6" t="s">
        <v>6304</v>
      </c>
      <c r="C4992" s="3048">
        <v>5075</v>
      </c>
      <c r="D4992" s="3048">
        <v>897613040.36519396</v>
      </c>
      <c r="E4992" s="3049">
        <v>39408986.114304997</v>
      </c>
      <c r="F4992" s="3050">
        <v>2.8196598648080999</v>
      </c>
      <c r="G4992" s="3051">
        <v>0.113043231581037</v>
      </c>
    </row>
    <row r="4993" spans="1:7" x14ac:dyDescent="0.25">
      <c r="A4993" s="11" t="s">
        <v>1092</v>
      </c>
      <c r="B4993" s="11" t="s">
        <v>6300</v>
      </c>
      <c r="C4993" s="3052">
        <v>3188</v>
      </c>
      <c r="D4993" s="3052">
        <v>564787861.81431603</v>
      </c>
      <c r="E4993" s="3053">
        <v>33123922.267781802</v>
      </c>
      <c r="F4993" s="3054">
        <v>1.7741605730690999</v>
      </c>
      <c r="G4993" s="3055">
        <v>9.58833066411586E-2</v>
      </c>
    </row>
    <row r="4994" spans="1:7" x14ac:dyDescent="0.25">
      <c r="A4994" s="6" t="s">
        <v>3361</v>
      </c>
      <c r="B4994" s="6" t="s">
        <v>6307</v>
      </c>
      <c r="C4994" s="3048">
        <v>57</v>
      </c>
      <c r="D4994" s="3048">
        <v>17401316.780496001</v>
      </c>
      <c r="E4994" s="3049">
        <v>5860544.9895497998</v>
      </c>
      <c r="F4994" s="3050">
        <v>5.4662524177248699E-2</v>
      </c>
      <c r="G4994" s="3051">
        <v>1.8673804511435198E-2</v>
      </c>
    </row>
    <row r="4995" spans="1:7" x14ac:dyDescent="0.25">
      <c r="A4995" s="11" t="s">
        <v>6417</v>
      </c>
      <c r="B4995" s="11" t="s">
        <v>6418</v>
      </c>
      <c r="C4995" s="3052">
        <v>185711</v>
      </c>
      <c r="D4995" s="3052">
        <v>31834089337.094002</v>
      </c>
      <c r="E4995" s="3053">
        <v>298177412.670223</v>
      </c>
      <c r="F4995" s="3054">
        <v>100</v>
      </c>
      <c r="G4995" s="3055">
        <v>1.45362315675074E-14</v>
      </c>
    </row>
    <row r="4996" spans="1:7" x14ac:dyDescent="0.25">
      <c r="A4996" s="6" t="s">
        <v>6417</v>
      </c>
      <c r="B4996" s="6" t="s">
        <v>6419</v>
      </c>
      <c r="C4996" s="3048">
        <v>185711</v>
      </c>
      <c r="D4996" s="3048">
        <v>31834089337.094002</v>
      </c>
      <c r="E4996" s="3049">
        <v>0</v>
      </c>
      <c r="F4996" s="3050">
        <v>100</v>
      </c>
      <c r="G4996" s="3051">
        <v>0</v>
      </c>
    </row>
    <row r="4997" spans="1:7" x14ac:dyDescent="0.25">
      <c r="A4997" s="3729" t="s">
        <v>736</v>
      </c>
      <c r="B4997" s="3730"/>
      <c r="C4997" s="3730"/>
      <c r="D4997" s="3730"/>
      <c r="E4997" s="3730"/>
      <c r="F4997" s="3730"/>
      <c r="G4997" s="3730"/>
    </row>
    <row r="4998" spans="1:7" x14ac:dyDescent="0.25">
      <c r="A4998" s="11" t="s">
        <v>1090</v>
      </c>
      <c r="B4998" s="11" t="s">
        <v>927</v>
      </c>
      <c r="C4998" s="3060">
        <v>2435</v>
      </c>
      <c r="D4998" s="3060">
        <v>862749437.52762198</v>
      </c>
      <c r="E4998" s="3061">
        <v>48359755.467316702</v>
      </c>
      <c r="F4998" s="3062">
        <v>100</v>
      </c>
      <c r="G4998" s="3063">
        <v>0</v>
      </c>
    </row>
    <row r="4999" spans="1:7" x14ac:dyDescent="0.25">
      <c r="A4999" s="6" t="s">
        <v>1088</v>
      </c>
      <c r="B4999" s="6" t="s">
        <v>1089</v>
      </c>
      <c r="C4999" s="3056">
        <v>183232</v>
      </c>
      <c r="D4999" s="3056">
        <v>30957496702.777699</v>
      </c>
      <c r="E4999" s="3057">
        <v>278464674.38112497</v>
      </c>
      <c r="F4999" s="3058">
        <v>99.955303203434397</v>
      </c>
      <c r="G4999" s="3059">
        <v>1.08018999804218E-2</v>
      </c>
    </row>
    <row r="5000" spans="1:7" x14ac:dyDescent="0.25">
      <c r="A5000" s="11" t="s">
        <v>1102</v>
      </c>
      <c r="B5000" s="11" t="s">
        <v>1103</v>
      </c>
      <c r="C5000" s="3060">
        <v>44</v>
      </c>
      <c r="D5000" s="3060">
        <v>13843196.788556499</v>
      </c>
      <c r="E5000" s="3061">
        <v>3411731.09784779</v>
      </c>
      <c r="F5000" s="3062">
        <v>4.4696796565622199E-2</v>
      </c>
      <c r="G5000" s="3063">
        <v>1.08018999804128E-2</v>
      </c>
    </row>
    <row r="5001" spans="1:7" x14ac:dyDescent="0.25">
      <c r="A5001" s="6" t="s">
        <v>6417</v>
      </c>
      <c r="B5001" s="6" t="s">
        <v>6418</v>
      </c>
      <c r="C5001" s="3056">
        <v>2435</v>
      </c>
      <c r="D5001" s="3056">
        <v>862749437.52762198</v>
      </c>
      <c r="E5001" s="3057">
        <v>48359755.467316702</v>
      </c>
      <c r="F5001" s="3058">
        <v>2.71014329447874</v>
      </c>
      <c r="G5001" s="3059">
        <v>0.14234118742568</v>
      </c>
    </row>
    <row r="5002" spans="1:7" x14ac:dyDescent="0.25">
      <c r="A5002" s="11" t="s">
        <v>6417</v>
      </c>
      <c r="B5002" s="11" t="s">
        <v>6419</v>
      </c>
      <c r="C5002" s="3060">
        <v>185711</v>
      </c>
      <c r="D5002" s="3060">
        <v>31834089337.093899</v>
      </c>
      <c r="E5002" s="3061">
        <v>0</v>
      </c>
      <c r="F5002" s="3062">
        <v>100</v>
      </c>
      <c r="G5002" s="3063">
        <v>0</v>
      </c>
    </row>
    <row r="5003" spans="1:7" x14ac:dyDescent="0.25">
      <c r="A5003" s="3729" t="s">
        <v>759</v>
      </c>
      <c r="B5003" s="3730"/>
      <c r="C5003" s="3730"/>
      <c r="D5003" s="3730"/>
      <c r="E5003" s="3730"/>
      <c r="F5003" s="3730"/>
      <c r="G5003" s="3730"/>
    </row>
    <row r="5004" spans="1:7" x14ac:dyDescent="0.25">
      <c r="A5004" s="11" t="s">
        <v>1092</v>
      </c>
      <c r="B5004" s="11" t="s">
        <v>6199</v>
      </c>
      <c r="C5004" s="3068">
        <v>105</v>
      </c>
      <c r="D5004" s="3068">
        <v>46686870.579507999</v>
      </c>
      <c r="E5004" s="3069">
        <v>8895368.1467720307</v>
      </c>
      <c r="F5004" s="3070">
        <v>100</v>
      </c>
      <c r="G5004" s="3071">
        <v>0</v>
      </c>
    </row>
    <row r="5005" spans="1:7" x14ac:dyDescent="0.25">
      <c r="A5005" s="6" t="s">
        <v>1088</v>
      </c>
      <c r="B5005" s="6" t="s">
        <v>1089</v>
      </c>
      <c r="C5005" s="3064">
        <v>185562</v>
      </c>
      <c r="D5005" s="3064">
        <v>31773559269.725899</v>
      </c>
      <c r="E5005" s="3065">
        <v>293648714.67038101</v>
      </c>
      <c r="F5005" s="3066">
        <v>99.956450682615099</v>
      </c>
      <c r="G5005" s="3067">
        <v>1.0530870513397199E-2</v>
      </c>
    </row>
    <row r="5006" spans="1:7" x14ac:dyDescent="0.25">
      <c r="A5006" s="11" t="s">
        <v>1102</v>
      </c>
      <c r="B5006" s="11" t="s">
        <v>1103</v>
      </c>
      <c r="C5006" s="3068">
        <v>44</v>
      </c>
      <c r="D5006" s="3068">
        <v>13843196.788556499</v>
      </c>
      <c r="E5006" s="3069">
        <v>3411731.09784779</v>
      </c>
      <c r="F5006" s="3070">
        <v>4.3549317384895599E-2</v>
      </c>
      <c r="G5006" s="3071">
        <v>1.05308705133951E-2</v>
      </c>
    </row>
    <row r="5007" spans="1:7" x14ac:dyDescent="0.25">
      <c r="A5007" s="6" t="s">
        <v>6417</v>
      </c>
      <c r="B5007" s="6" t="s">
        <v>6418</v>
      </c>
      <c r="C5007" s="3064">
        <v>105</v>
      </c>
      <c r="D5007" s="3064">
        <v>46686870.579507999</v>
      </c>
      <c r="E5007" s="3065">
        <v>8895368.1467720307</v>
      </c>
      <c r="F5007" s="3066">
        <v>0.14665684350237501</v>
      </c>
      <c r="G5007" s="3067">
        <v>2.75438535345282E-2</v>
      </c>
    </row>
    <row r="5008" spans="1:7" x14ac:dyDescent="0.25">
      <c r="A5008" s="11" t="s">
        <v>6417</v>
      </c>
      <c r="B5008" s="11" t="s">
        <v>6419</v>
      </c>
      <c r="C5008" s="3068">
        <v>185711</v>
      </c>
      <c r="D5008" s="3068">
        <v>31834089337.093899</v>
      </c>
      <c r="E5008" s="3069">
        <v>0</v>
      </c>
      <c r="F5008" s="3070">
        <v>100</v>
      </c>
      <c r="G5008" s="3071">
        <v>0</v>
      </c>
    </row>
    <row r="5009" spans="1:7" x14ac:dyDescent="0.25">
      <c r="A5009" s="3729" t="s">
        <v>763</v>
      </c>
      <c r="B5009" s="3730"/>
      <c r="C5009" s="3730"/>
      <c r="D5009" s="3730"/>
      <c r="E5009" s="3730"/>
      <c r="F5009" s="3730"/>
      <c r="G5009" s="3730"/>
    </row>
    <row r="5010" spans="1:7" x14ac:dyDescent="0.25">
      <c r="A5010" s="11" t="s">
        <v>1094</v>
      </c>
      <c r="B5010" s="11" t="s">
        <v>6178</v>
      </c>
      <c r="C5010" s="3076">
        <v>251</v>
      </c>
      <c r="D5010" s="3076">
        <v>61079533.569253199</v>
      </c>
      <c r="E5010" s="3077">
        <v>5043452.1314011402</v>
      </c>
      <c r="F5010" s="3078">
        <v>100</v>
      </c>
      <c r="G5010" s="3079">
        <v>0</v>
      </c>
    </row>
    <row r="5011" spans="1:7" x14ac:dyDescent="0.25">
      <c r="A5011" s="6" t="s">
        <v>1088</v>
      </c>
      <c r="B5011" s="6" t="s">
        <v>1089</v>
      </c>
      <c r="C5011" s="3072">
        <v>185416</v>
      </c>
      <c r="D5011" s="3072">
        <v>31759166606.736099</v>
      </c>
      <c r="E5011" s="3073">
        <v>296062008.032031</v>
      </c>
      <c r="F5011" s="3074">
        <v>99.956430955474005</v>
      </c>
      <c r="G5011" s="3075">
        <v>1.0527650310301799E-2</v>
      </c>
    </row>
    <row r="5012" spans="1:7" x14ac:dyDescent="0.25">
      <c r="A5012" s="11" t="s">
        <v>1102</v>
      </c>
      <c r="B5012" s="11" t="s">
        <v>1103</v>
      </c>
      <c r="C5012" s="3076">
        <v>44</v>
      </c>
      <c r="D5012" s="3076">
        <v>13843196.788556499</v>
      </c>
      <c r="E5012" s="3077">
        <v>3411731.09784779</v>
      </c>
      <c r="F5012" s="3078">
        <v>4.3569044526026703E-2</v>
      </c>
      <c r="G5012" s="3079">
        <v>1.0527650310301E-2</v>
      </c>
    </row>
    <row r="5013" spans="1:7" x14ac:dyDescent="0.25">
      <c r="A5013" s="6" t="s">
        <v>6417</v>
      </c>
      <c r="B5013" s="6" t="s">
        <v>6418</v>
      </c>
      <c r="C5013" s="3072">
        <v>251</v>
      </c>
      <c r="D5013" s="3072">
        <v>61079533.569253199</v>
      </c>
      <c r="E5013" s="3073">
        <v>5043452.1314011402</v>
      </c>
      <c r="F5013" s="3074">
        <v>0.19186832367804399</v>
      </c>
      <c r="G5013" s="3075">
        <v>1.58320262143373E-2</v>
      </c>
    </row>
    <row r="5014" spans="1:7" x14ac:dyDescent="0.25">
      <c r="A5014" s="11" t="s">
        <v>6417</v>
      </c>
      <c r="B5014" s="11" t="s">
        <v>6419</v>
      </c>
      <c r="C5014" s="3076">
        <v>185711</v>
      </c>
      <c r="D5014" s="3076">
        <v>31834089337.093899</v>
      </c>
      <c r="E5014" s="3077">
        <v>0</v>
      </c>
      <c r="F5014" s="3078">
        <v>100</v>
      </c>
      <c r="G5014" s="3079">
        <v>0</v>
      </c>
    </row>
    <row r="5015" spans="1:7" x14ac:dyDescent="0.25">
      <c r="A5015" s="3729" t="s">
        <v>765</v>
      </c>
      <c r="B5015" s="3730"/>
      <c r="C5015" s="3730"/>
      <c r="D5015" s="3730"/>
      <c r="E5015" s="3730"/>
      <c r="F5015" s="3730"/>
      <c r="G5015" s="3730"/>
    </row>
    <row r="5016" spans="1:7" x14ac:dyDescent="0.25">
      <c r="A5016" s="11" t="s">
        <v>1096</v>
      </c>
      <c r="B5016" s="11" t="s">
        <v>6179</v>
      </c>
      <c r="C5016" s="3084">
        <v>30</v>
      </c>
      <c r="D5016" s="3084">
        <v>6261631.3653193004</v>
      </c>
      <c r="E5016" s="3085">
        <v>1924060.1926373199</v>
      </c>
      <c r="F5016" s="3086">
        <v>100</v>
      </c>
      <c r="G5016" s="3087">
        <v>0</v>
      </c>
    </row>
    <row r="5017" spans="1:7" x14ac:dyDescent="0.25">
      <c r="A5017" s="6" t="s">
        <v>1088</v>
      </c>
      <c r="B5017" s="6" t="s">
        <v>1089</v>
      </c>
      <c r="C5017" s="3080">
        <v>185637</v>
      </c>
      <c r="D5017" s="3080">
        <v>31813984508.939999</v>
      </c>
      <c r="E5017" s="3081">
        <v>296791687.785941</v>
      </c>
      <c r="F5017" s="3082">
        <v>99.956505995581793</v>
      </c>
      <c r="G5017" s="3083">
        <v>1.0509774052591901E-2</v>
      </c>
    </row>
    <row r="5018" spans="1:7" x14ac:dyDescent="0.25">
      <c r="A5018" s="11" t="s">
        <v>1102</v>
      </c>
      <c r="B5018" s="11" t="s">
        <v>1103</v>
      </c>
      <c r="C5018" s="3084">
        <v>44</v>
      </c>
      <c r="D5018" s="3084">
        <v>13843196.788556499</v>
      </c>
      <c r="E5018" s="3085">
        <v>3411731.09784779</v>
      </c>
      <c r="F5018" s="3086">
        <v>4.3494004418230897E-2</v>
      </c>
      <c r="G5018" s="3087">
        <v>1.05097740525923E-2</v>
      </c>
    </row>
    <row r="5019" spans="1:7" x14ac:dyDescent="0.25">
      <c r="A5019" s="6" t="s">
        <v>6417</v>
      </c>
      <c r="B5019" s="6" t="s">
        <v>6418</v>
      </c>
      <c r="C5019" s="3080">
        <v>30</v>
      </c>
      <c r="D5019" s="3080">
        <v>6261631.3653193004</v>
      </c>
      <c r="E5019" s="3081">
        <v>1924060.1926373199</v>
      </c>
      <c r="F5019" s="3082">
        <v>1.9669579044697499E-2</v>
      </c>
      <c r="G5019" s="3083">
        <v>6.0888512560745203E-3</v>
      </c>
    </row>
    <row r="5020" spans="1:7" x14ac:dyDescent="0.25">
      <c r="A5020" s="11" t="s">
        <v>6417</v>
      </c>
      <c r="B5020" s="11" t="s">
        <v>6419</v>
      </c>
      <c r="C5020" s="3084">
        <v>185711</v>
      </c>
      <c r="D5020" s="3084">
        <v>31834089337.093899</v>
      </c>
      <c r="E5020" s="3085">
        <v>0</v>
      </c>
      <c r="F5020" s="3086">
        <v>100</v>
      </c>
      <c r="G5020" s="3087">
        <v>0</v>
      </c>
    </row>
    <row r="5021" spans="1:7" x14ac:dyDescent="0.25">
      <c r="A5021" s="3729" t="s">
        <v>767</v>
      </c>
      <c r="B5021" s="3730"/>
      <c r="C5021" s="3730"/>
      <c r="D5021" s="3730"/>
      <c r="E5021" s="3730"/>
      <c r="F5021" s="3730"/>
      <c r="G5021" s="3730"/>
    </row>
    <row r="5022" spans="1:7" x14ac:dyDescent="0.25">
      <c r="A5022" s="11" t="s">
        <v>1098</v>
      </c>
      <c r="B5022" s="11" t="s">
        <v>6200</v>
      </c>
      <c r="C5022" s="3092">
        <v>7</v>
      </c>
      <c r="D5022" s="3092">
        <v>679098.74077301705</v>
      </c>
      <c r="E5022" s="3093">
        <v>229384.53872667401</v>
      </c>
      <c r="F5022" s="3094">
        <v>100</v>
      </c>
      <c r="G5022" s="3095">
        <v>0</v>
      </c>
    </row>
    <row r="5023" spans="1:7" x14ac:dyDescent="0.25">
      <c r="A5023" s="6" t="s">
        <v>1088</v>
      </c>
      <c r="B5023" s="6" t="s">
        <v>1089</v>
      </c>
      <c r="C5023" s="3088">
        <v>185660</v>
      </c>
      <c r="D5023" s="3088">
        <v>31819567041.564602</v>
      </c>
      <c r="E5023" s="3089">
        <v>296329550.34683597</v>
      </c>
      <c r="F5023" s="3090">
        <v>99.956513622998898</v>
      </c>
      <c r="G5023" s="3091">
        <v>1.0509139295096699E-2</v>
      </c>
    </row>
    <row r="5024" spans="1:7" x14ac:dyDescent="0.25">
      <c r="A5024" s="11" t="s">
        <v>1102</v>
      </c>
      <c r="B5024" s="11" t="s">
        <v>1103</v>
      </c>
      <c r="C5024" s="3092">
        <v>44</v>
      </c>
      <c r="D5024" s="3092">
        <v>13843196.788556499</v>
      </c>
      <c r="E5024" s="3093">
        <v>3411731.09784779</v>
      </c>
      <c r="F5024" s="3094">
        <v>4.3486377001098399E-2</v>
      </c>
      <c r="G5024" s="3095">
        <v>1.0509139295095501E-2</v>
      </c>
    </row>
    <row r="5025" spans="1:7" x14ac:dyDescent="0.25">
      <c r="A5025" s="6" t="s">
        <v>6417</v>
      </c>
      <c r="B5025" s="6" t="s">
        <v>6418</v>
      </c>
      <c r="C5025" s="3088">
        <v>7</v>
      </c>
      <c r="D5025" s="3088">
        <v>679098.74077301705</v>
      </c>
      <c r="E5025" s="3089">
        <v>229384.53872667401</v>
      </c>
      <c r="F5025" s="3090">
        <v>2.1332438116321798E-3</v>
      </c>
      <c r="G5025" s="3091">
        <v>7.2527529145007105E-4</v>
      </c>
    </row>
    <row r="5026" spans="1:7" x14ac:dyDescent="0.25">
      <c r="A5026" s="11" t="s">
        <v>6417</v>
      </c>
      <c r="B5026" s="11" t="s">
        <v>6419</v>
      </c>
      <c r="C5026" s="3092">
        <v>185711</v>
      </c>
      <c r="D5026" s="3092">
        <v>31834089337.093899</v>
      </c>
      <c r="E5026" s="3093">
        <v>0</v>
      </c>
      <c r="F5026" s="3094">
        <v>100</v>
      </c>
      <c r="G5026" s="3095">
        <v>0</v>
      </c>
    </row>
    <row r="5027" spans="1:7" x14ac:dyDescent="0.25">
      <c r="A5027" s="3729" t="s">
        <v>769</v>
      </c>
      <c r="B5027" s="3730"/>
      <c r="C5027" s="3730"/>
      <c r="D5027" s="3730"/>
      <c r="E5027" s="3730"/>
      <c r="F5027" s="3730"/>
      <c r="G5027" s="3730"/>
    </row>
    <row r="5028" spans="1:7" x14ac:dyDescent="0.25">
      <c r="A5028" s="11" t="s">
        <v>1100</v>
      </c>
      <c r="B5028" s="11" t="s">
        <v>6201</v>
      </c>
      <c r="C5028" s="3100">
        <v>14</v>
      </c>
      <c r="D5028" s="3100">
        <v>2307365.7868586099</v>
      </c>
      <c r="E5028" s="3101">
        <v>1093187.15439278</v>
      </c>
      <c r="F5028" s="3102">
        <v>100</v>
      </c>
      <c r="G5028" s="3103">
        <v>0</v>
      </c>
    </row>
    <row r="5029" spans="1:7" x14ac:dyDescent="0.25">
      <c r="A5029" s="6" t="s">
        <v>1088</v>
      </c>
      <c r="B5029" s="6" t="s">
        <v>1089</v>
      </c>
      <c r="C5029" s="3096">
        <v>185653</v>
      </c>
      <c r="D5029" s="3096">
        <v>31817938774.518501</v>
      </c>
      <c r="E5029" s="3097">
        <v>296449016.31118399</v>
      </c>
      <c r="F5029" s="3098">
        <v>99.956511398573198</v>
      </c>
      <c r="G5029" s="3099">
        <v>1.05093070260413E-2</v>
      </c>
    </row>
    <row r="5030" spans="1:7" x14ac:dyDescent="0.25">
      <c r="A5030" s="11" t="s">
        <v>1102</v>
      </c>
      <c r="B5030" s="11" t="s">
        <v>1103</v>
      </c>
      <c r="C5030" s="3100">
        <v>44</v>
      </c>
      <c r="D5030" s="3100">
        <v>13843196.788556499</v>
      </c>
      <c r="E5030" s="3101">
        <v>3411731.09784779</v>
      </c>
      <c r="F5030" s="3102">
        <v>4.3488601426821399E-2</v>
      </c>
      <c r="G5030" s="3103">
        <v>1.0509307026046801E-2</v>
      </c>
    </row>
    <row r="5031" spans="1:7" x14ac:dyDescent="0.25">
      <c r="A5031" s="6" t="s">
        <v>6417</v>
      </c>
      <c r="B5031" s="6" t="s">
        <v>6418</v>
      </c>
      <c r="C5031" s="3096">
        <v>14</v>
      </c>
      <c r="D5031" s="3096">
        <v>2307365.7868586099</v>
      </c>
      <c r="E5031" s="3097">
        <v>1093187.15439278</v>
      </c>
      <c r="F5031" s="3098">
        <v>7.2480973538325997E-3</v>
      </c>
      <c r="G5031" s="3099">
        <v>3.4414156560480498E-3</v>
      </c>
    </row>
    <row r="5032" spans="1:7" x14ac:dyDescent="0.25">
      <c r="A5032" s="11" t="s">
        <v>6417</v>
      </c>
      <c r="B5032" s="11" t="s">
        <v>6419</v>
      </c>
      <c r="C5032" s="3100">
        <v>185711</v>
      </c>
      <c r="D5032" s="3100">
        <v>31834089337.093899</v>
      </c>
      <c r="E5032" s="3101">
        <v>0</v>
      </c>
      <c r="F5032" s="3102">
        <v>100</v>
      </c>
      <c r="G5032" s="3103">
        <v>0</v>
      </c>
    </row>
    <row r="5033" spans="1:7" x14ac:dyDescent="0.25">
      <c r="A5033" s="3729" t="s">
        <v>771</v>
      </c>
      <c r="B5033" s="3730"/>
      <c r="C5033" s="3730"/>
      <c r="D5033" s="3730"/>
      <c r="E5033" s="3730"/>
      <c r="F5033" s="3730"/>
      <c r="G5033" s="3730"/>
    </row>
    <row r="5034" spans="1:7" x14ac:dyDescent="0.25">
      <c r="A5034" s="11" t="s">
        <v>1109</v>
      </c>
      <c r="B5034" s="11" t="s">
        <v>6202</v>
      </c>
      <c r="C5034" s="3108">
        <v>1</v>
      </c>
      <c r="D5034" s="3108">
        <v>156300.62967110699</v>
      </c>
      <c r="E5034" s="3109">
        <v>157277.469022203</v>
      </c>
      <c r="F5034" s="3110">
        <v>100</v>
      </c>
      <c r="G5034" s="3111" t="e">
        <v>#NUM!</v>
      </c>
    </row>
    <row r="5035" spans="1:7" x14ac:dyDescent="0.25">
      <c r="A5035" s="6" t="s">
        <v>1088</v>
      </c>
      <c r="B5035" s="6" t="s">
        <v>1089</v>
      </c>
      <c r="C5035" s="3104">
        <v>185666</v>
      </c>
      <c r="D5035" s="3104">
        <v>31820089839.675701</v>
      </c>
      <c r="E5035" s="3105">
        <v>296298077.85822499</v>
      </c>
      <c r="F5035" s="3106">
        <v>99.956514337161195</v>
      </c>
      <c r="G5035" s="3107">
        <v>1.05088460145104E-2</v>
      </c>
    </row>
    <row r="5036" spans="1:7" x14ac:dyDescent="0.25">
      <c r="A5036" s="11" t="s">
        <v>1102</v>
      </c>
      <c r="B5036" s="11" t="s">
        <v>1103</v>
      </c>
      <c r="C5036" s="3108">
        <v>44</v>
      </c>
      <c r="D5036" s="3108">
        <v>13843196.788556499</v>
      </c>
      <c r="E5036" s="3109">
        <v>3411731.09784779</v>
      </c>
      <c r="F5036" s="3110">
        <v>4.34856628387695E-2</v>
      </c>
      <c r="G5036" s="3111">
        <v>1.05088460145075E-2</v>
      </c>
    </row>
    <row r="5037" spans="1:7" x14ac:dyDescent="0.25">
      <c r="A5037" s="6" t="s">
        <v>6417</v>
      </c>
      <c r="B5037" s="6" t="s">
        <v>6418</v>
      </c>
      <c r="C5037" s="3104">
        <v>1</v>
      </c>
      <c r="D5037" s="3104">
        <v>156300.62967110699</v>
      </c>
      <c r="E5037" s="3105">
        <v>157277.469022203</v>
      </c>
      <c r="F5037" s="3106">
        <v>4.9098508211127404E-4</v>
      </c>
      <c r="G5037" s="3107">
        <v>4.93545982425279E-4</v>
      </c>
    </row>
    <row r="5038" spans="1:7" x14ac:dyDescent="0.25">
      <c r="A5038" s="11" t="s">
        <v>6417</v>
      </c>
      <c r="B5038" s="11" t="s">
        <v>6419</v>
      </c>
      <c r="C5038" s="3108">
        <v>185711</v>
      </c>
      <c r="D5038" s="3108">
        <v>31834089337.093899</v>
      </c>
      <c r="E5038" s="3109">
        <v>0</v>
      </c>
      <c r="F5038" s="3110">
        <v>100</v>
      </c>
      <c r="G5038" s="3111">
        <v>0</v>
      </c>
    </row>
    <row r="5039" spans="1:7" x14ac:dyDescent="0.25">
      <c r="A5039" s="3729" t="s">
        <v>773</v>
      </c>
      <c r="B5039" s="3730"/>
      <c r="C5039" s="3730"/>
      <c r="D5039" s="3730"/>
      <c r="E5039" s="3730"/>
      <c r="F5039" s="3730"/>
      <c r="G5039" s="3730"/>
    </row>
    <row r="5040" spans="1:7" x14ac:dyDescent="0.25">
      <c r="A5040" s="11" t="s">
        <v>1119</v>
      </c>
      <c r="B5040" s="11" t="s">
        <v>6203</v>
      </c>
      <c r="C5040" s="3116">
        <v>6</v>
      </c>
      <c r="D5040" s="3116">
        <v>1085822.88457975</v>
      </c>
      <c r="E5040" s="3117">
        <v>927067.88416479703</v>
      </c>
      <c r="F5040" s="3118">
        <v>100</v>
      </c>
      <c r="G5040" s="3119">
        <v>0</v>
      </c>
    </row>
    <row r="5041" spans="1:7" x14ac:dyDescent="0.25">
      <c r="A5041" s="6" t="s">
        <v>1088</v>
      </c>
      <c r="B5041" s="6" t="s">
        <v>1089</v>
      </c>
      <c r="C5041" s="3112">
        <v>185661</v>
      </c>
      <c r="D5041" s="3112">
        <v>31819160317.420799</v>
      </c>
      <c r="E5041" s="3113">
        <v>296501719.43268698</v>
      </c>
      <c r="F5041" s="3114">
        <v>99.956513067381906</v>
      </c>
      <c r="G5041" s="3115">
        <v>1.05088168638146E-2</v>
      </c>
    </row>
    <row r="5042" spans="1:7" x14ac:dyDescent="0.25">
      <c r="A5042" s="11" t="s">
        <v>1102</v>
      </c>
      <c r="B5042" s="11" t="s">
        <v>1103</v>
      </c>
      <c r="C5042" s="3116">
        <v>44</v>
      </c>
      <c r="D5042" s="3116">
        <v>13843196.788556499</v>
      </c>
      <c r="E5042" s="3117">
        <v>3411731.09784779</v>
      </c>
      <c r="F5042" s="3118">
        <v>4.3486932618146797E-2</v>
      </c>
      <c r="G5042" s="3119">
        <v>1.05088168638095E-2</v>
      </c>
    </row>
    <row r="5043" spans="1:7" x14ac:dyDescent="0.25">
      <c r="A5043" s="6" t="s">
        <v>6417</v>
      </c>
      <c r="B5043" s="6" t="s">
        <v>6418</v>
      </c>
      <c r="C5043" s="3112">
        <v>6</v>
      </c>
      <c r="D5043" s="3112">
        <v>1085822.88457975</v>
      </c>
      <c r="E5043" s="3113">
        <v>927067.88416479703</v>
      </c>
      <c r="F5043" s="3114">
        <v>3.41088093672753E-3</v>
      </c>
      <c r="G5043" s="3115">
        <v>2.9137011320240799E-3</v>
      </c>
    </row>
    <row r="5044" spans="1:7" x14ac:dyDescent="0.25">
      <c r="A5044" s="11" t="s">
        <v>6417</v>
      </c>
      <c r="B5044" s="11" t="s">
        <v>6419</v>
      </c>
      <c r="C5044" s="3116">
        <v>185711</v>
      </c>
      <c r="D5044" s="3116">
        <v>31834089337.093899</v>
      </c>
      <c r="E5044" s="3117">
        <v>0</v>
      </c>
      <c r="F5044" s="3118">
        <v>100</v>
      </c>
      <c r="G5044" s="3119">
        <v>0</v>
      </c>
    </row>
    <row r="5045" spans="1:7" x14ac:dyDescent="0.25">
      <c r="A5045" s="3729" t="s">
        <v>775</v>
      </c>
      <c r="B5045" s="3730"/>
      <c r="C5045" s="3730"/>
      <c r="D5045" s="3730"/>
      <c r="E5045" s="3730"/>
      <c r="F5045" s="3730"/>
      <c r="G5045" s="3730"/>
    </row>
    <row r="5046" spans="1:7" x14ac:dyDescent="0.25">
      <c r="A5046" s="11" t="s">
        <v>1121</v>
      </c>
      <c r="B5046" s="11" t="s">
        <v>6204</v>
      </c>
      <c r="C5046" s="3124">
        <v>2</v>
      </c>
      <c r="D5046" s="3124">
        <v>382326.18737323402</v>
      </c>
      <c r="E5046" s="3125">
        <v>264590.23033127899</v>
      </c>
      <c r="F5046" s="3126">
        <v>100</v>
      </c>
      <c r="G5046" s="3127">
        <v>0</v>
      </c>
    </row>
    <row r="5047" spans="1:7" x14ac:dyDescent="0.25">
      <c r="A5047" s="6" t="s">
        <v>1088</v>
      </c>
      <c r="B5047" s="6" t="s">
        <v>1089</v>
      </c>
      <c r="C5047" s="3120">
        <v>185665</v>
      </c>
      <c r="D5047" s="3120">
        <v>31819863814.118</v>
      </c>
      <c r="E5047" s="3121">
        <v>296344060.82953501</v>
      </c>
      <c r="F5047" s="3122">
        <v>99.956514028404499</v>
      </c>
      <c r="G5047" s="3123">
        <v>1.05088535711654E-2</v>
      </c>
    </row>
    <row r="5048" spans="1:7" x14ac:dyDescent="0.25">
      <c r="A5048" s="11" t="s">
        <v>1102</v>
      </c>
      <c r="B5048" s="11" t="s">
        <v>1103</v>
      </c>
      <c r="C5048" s="3124">
        <v>44</v>
      </c>
      <c r="D5048" s="3124">
        <v>13843196.788556499</v>
      </c>
      <c r="E5048" s="3125">
        <v>3411731.09784779</v>
      </c>
      <c r="F5048" s="3126">
        <v>4.3485971595496803E-2</v>
      </c>
      <c r="G5048" s="3127">
        <v>1.05088535711614E-2</v>
      </c>
    </row>
    <row r="5049" spans="1:7" x14ac:dyDescent="0.25">
      <c r="A5049" s="6" t="s">
        <v>6417</v>
      </c>
      <c r="B5049" s="6" t="s">
        <v>6418</v>
      </c>
      <c r="C5049" s="3120">
        <v>2</v>
      </c>
      <c r="D5049" s="3120">
        <v>382326.18737323402</v>
      </c>
      <c r="E5049" s="3121">
        <v>264590.23033127899</v>
      </c>
      <c r="F5049" s="3122">
        <v>1.2009961501481901E-3</v>
      </c>
      <c r="G5049" s="3123">
        <v>8.3277135668947597E-4</v>
      </c>
    </row>
    <row r="5050" spans="1:7" x14ac:dyDescent="0.25">
      <c r="A5050" s="11" t="s">
        <v>6417</v>
      </c>
      <c r="B5050" s="11" t="s">
        <v>6419</v>
      </c>
      <c r="C5050" s="3124">
        <v>185711</v>
      </c>
      <c r="D5050" s="3124">
        <v>31834089337.093899</v>
      </c>
      <c r="E5050" s="3125">
        <v>0</v>
      </c>
      <c r="F5050" s="3126">
        <v>100</v>
      </c>
      <c r="G5050" s="3127">
        <v>0</v>
      </c>
    </row>
    <row r="5051" spans="1:7" x14ac:dyDescent="0.25">
      <c r="A5051" s="3729" t="s">
        <v>739</v>
      </c>
      <c r="B5051" s="3730"/>
      <c r="C5051" s="3730"/>
      <c r="D5051" s="3730"/>
      <c r="E5051" s="3730"/>
      <c r="F5051" s="3730"/>
      <c r="G5051" s="3730"/>
    </row>
    <row r="5052" spans="1:7" x14ac:dyDescent="0.25">
      <c r="A5052" s="11" t="s">
        <v>1123</v>
      </c>
      <c r="B5052" s="11" t="s">
        <v>6205</v>
      </c>
      <c r="C5052" s="3132">
        <v>6</v>
      </c>
      <c r="D5052" s="3132">
        <v>2037647.8905176099</v>
      </c>
      <c r="E5052" s="3133">
        <v>1035459.63675658</v>
      </c>
      <c r="F5052" s="3134">
        <v>100</v>
      </c>
      <c r="G5052" s="3135">
        <v>0</v>
      </c>
    </row>
    <row r="5053" spans="1:7" x14ac:dyDescent="0.25">
      <c r="A5053" s="6" t="s">
        <v>1088</v>
      </c>
      <c r="B5053" s="6" t="s">
        <v>1089</v>
      </c>
      <c r="C5053" s="3128">
        <v>185661</v>
      </c>
      <c r="D5053" s="3128">
        <v>31818208492.414799</v>
      </c>
      <c r="E5053" s="3129">
        <v>295626351.91113502</v>
      </c>
      <c r="F5053" s="3130">
        <v>99.956511767058799</v>
      </c>
      <c r="G5053" s="3131">
        <v>1.0510170808293501E-2</v>
      </c>
    </row>
    <row r="5054" spans="1:7" x14ac:dyDescent="0.25">
      <c r="A5054" s="11" t="s">
        <v>1102</v>
      </c>
      <c r="B5054" s="11" t="s">
        <v>1103</v>
      </c>
      <c r="C5054" s="3132">
        <v>44</v>
      </c>
      <c r="D5054" s="3132">
        <v>13843196.788556499</v>
      </c>
      <c r="E5054" s="3133">
        <v>3411731.09784779</v>
      </c>
      <c r="F5054" s="3134">
        <v>4.3488232941176597E-2</v>
      </c>
      <c r="G5054" s="3135">
        <v>1.05101708082875E-2</v>
      </c>
    </row>
    <row r="5055" spans="1:7" x14ac:dyDescent="0.25">
      <c r="A5055" s="6" t="s">
        <v>6417</v>
      </c>
      <c r="B5055" s="6" t="s">
        <v>6418</v>
      </c>
      <c r="C5055" s="3128">
        <v>6</v>
      </c>
      <c r="D5055" s="3128">
        <v>2037647.8905176099</v>
      </c>
      <c r="E5055" s="3129">
        <v>1035459.63675658</v>
      </c>
      <c r="F5055" s="3130">
        <v>6.4008361255155702E-3</v>
      </c>
      <c r="G5055" s="3131">
        <v>3.2169356333313398E-3</v>
      </c>
    </row>
    <row r="5056" spans="1:7" x14ac:dyDescent="0.25">
      <c r="A5056" s="11" t="s">
        <v>6417</v>
      </c>
      <c r="B5056" s="11" t="s">
        <v>6419</v>
      </c>
      <c r="C5056" s="3132">
        <v>185711</v>
      </c>
      <c r="D5056" s="3132">
        <v>31834089337.093899</v>
      </c>
      <c r="E5056" s="3133">
        <v>0</v>
      </c>
      <c r="F5056" s="3134">
        <v>100</v>
      </c>
      <c r="G5056" s="3135">
        <v>0</v>
      </c>
    </row>
    <row r="5057" spans="1:7" x14ac:dyDescent="0.25">
      <c r="A5057" s="3729" t="s">
        <v>741</v>
      </c>
      <c r="B5057" s="3730"/>
      <c r="C5057" s="3730"/>
      <c r="D5057" s="3730"/>
      <c r="E5057" s="3730"/>
      <c r="F5057" s="3730"/>
      <c r="G5057" s="3730"/>
    </row>
    <row r="5058" spans="1:7" x14ac:dyDescent="0.25">
      <c r="A5058" s="11" t="s">
        <v>1125</v>
      </c>
      <c r="B5058" s="11" t="s">
        <v>6206</v>
      </c>
      <c r="C5058" s="3140">
        <v>174</v>
      </c>
      <c r="D5058" s="3140">
        <v>73078352.230262399</v>
      </c>
      <c r="E5058" s="3141">
        <v>10725686.711514501</v>
      </c>
      <c r="F5058" s="3142">
        <v>100</v>
      </c>
      <c r="G5058" s="3143">
        <v>0</v>
      </c>
    </row>
    <row r="5059" spans="1:7" x14ac:dyDescent="0.25">
      <c r="A5059" s="6" t="s">
        <v>1088</v>
      </c>
      <c r="B5059" s="6" t="s">
        <v>1089</v>
      </c>
      <c r="C5059" s="3136">
        <v>185493</v>
      </c>
      <c r="D5059" s="3136">
        <v>31747167788.0751</v>
      </c>
      <c r="E5059" s="3137">
        <v>296771479.50106299</v>
      </c>
      <c r="F5059" s="3138">
        <v>99.9564144957629</v>
      </c>
      <c r="G5059" s="3139">
        <v>1.0527271323089799E-2</v>
      </c>
    </row>
    <row r="5060" spans="1:7" x14ac:dyDescent="0.25">
      <c r="A5060" s="11" t="s">
        <v>1102</v>
      </c>
      <c r="B5060" s="11" t="s">
        <v>1103</v>
      </c>
      <c r="C5060" s="3140">
        <v>44</v>
      </c>
      <c r="D5060" s="3140">
        <v>13843196.788556499</v>
      </c>
      <c r="E5060" s="3141">
        <v>3411731.09784779</v>
      </c>
      <c r="F5060" s="3142">
        <v>4.3585504237109302E-2</v>
      </c>
      <c r="G5060" s="3143">
        <v>1.0527271323092001E-2</v>
      </c>
    </row>
    <row r="5061" spans="1:7" x14ac:dyDescent="0.25">
      <c r="A5061" s="6" t="s">
        <v>6417</v>
      </c>
      <c r="B5061" s="6" t="s">
        <v>6418</v>
      </c>
      <c r="C5061" s="3136">
        <v>174</v>
      </c>
      <c r="D5061" s="3136">
        <v>73078352.230262399</v>
      </c>
      <c r="E5061" s="3137">
        <v>10725686.711514501</v>
      </c>
      <c r="F5061" s="3138">
        <v>0.229560052610362</v>
      </c>
      <c r="G5061" s="3139">
        <v>3.3770837273972898E-2</v>
      </c>
    </row>
    <row r="5062" spans="1:7" x14ac:dyDescent="0.25">
      <c r="A5062" s="11" t="s">
        <v>6417</v>
      </c>
      <c r="B5062" s="11" t="s">
        <v>6419</v>
      </c>
      <c r="C5062" s="3140">
        <v>185711</v>
      </c>
      <c r="D5062" s="3140">
        <v>31834089337.093899</v>
      </c>
      <c r="E5062" s="3141">
        <v>0</v>
      </c>
      <c r="F5062" s="3142">
        <v>100</v>
      </c>
      <c r="G5062" s="3143">
        <v>0</v>
      </c>
    </row>
    <row r="5063" spans="1:7" x14ac:dyDescent="0.25">
      <c r="A5063" s="3729" t="s">
        <v>743</v>
      </c>
      <c r="B5063" s="3730"/>
      <c r="C5063" s="3730"/>
      <c r="D5063" s="3730"/>
      <c r="E5063" s="3730"/>
      <c r="F5063" s="3730"/>
      <c r="G5063" s="3730"/>
    </row>
    <row r="5064" spans="1:7" x14ac:dyDescent="0.25">
      <c r="A5064" s="11" t="s">
        <v>1127</v>
      </c>
      <c r="B5064" s="11" t="s">
        <v>6186</v>
      </c>
      <c r="C5064" s="3148">
        <v>18</v>
      </c>
      <c r="D5064" s="3148">
        <v>4890953.9368883902</v>
      </c>
      <c r="E5064" s="3149">
        <v>2494894.7451582002</v>
      </c>
      <c r="F5064" s="3150">
        <v>100</v>
      </c>
      <c r="G5064" s="3151">
        <v>0</v>
      </c>
    </row>
    <row r="5065" spans="1:7" x14ac:dyDescent="0.25">
      <c r="A5065" s="6" t="s">
        <v>1088</v>
      </c>
      <c r="B5065" s="6" t="s">
        <v>1089</v>
      </c>
      <c r="C5065" s="3144">
        <v>185649</v>
      </c>
      <c r="D5065" s="3144">
        <v>31815355186.368401</v>
      </c>
      <c r="E5065" s="3145">
        <v>297006455.68001997</v>
      </c>
      <c r="F5065" s="3146">
        <v>99.956507868586897</v>
      </c>
      <c r="G5065" s="3147">
        <v>1.0508778419541899E-2</v>
      </c>
    </row>
    <row r="5066" spans="1:7" x14ac:dyDescent="0.25">
      <c r="A5066" s="11" t="s">
        <v>1102</v>
      </c>
      <c r="B5066" s="11" t="s">
        <v>1103</v>
      </c>
      <c r="C5066" s="3148">
        <v>44</v>
      </c>
      <c r="D5066" s="3148">
        <v>13843196.788556499</v>
      </c>
      <c r="E5066" s="3149">
        <v>3411731.09784779</v>
      </c>
      <c r="F5066" s="3150">
        <v>4.3492131413155201E-2</v>
      </c>
      <c r="G5066" s="3151">
        <v>1.0508778419535399E-2</v>
      </c>
    </row>
    <row r="5067" spans="1:7" x14ac:dyDescent="0.25">
      <c r="A5067" s="6" t="s">
        <v>6417</v>
      </c>
      <c r="B5067" s="6" t="s">
        <v>6418</v>
      </c>
      <c r="C5067" s="3144">
        <v>18</v>
      </c>
      <c r="D5067" s="3144">
        <v>4890953.9368883902</v>
      </c>
      <c r="E5067" s="3145">
        <v>2494894.7451582002</v>
      </c>
      <c r="F5067" s="3146">
        <v>1.5363888330832E-2</v>
      </c>
      <c r="G5067" s="3147">
        <v>7.8650824669882994E-3</v>
      </c>
    </row>
    <row r="5068" spans="1:7" x14ac:dyDescent="0.25">
      <c r="A5068" s="11" t="s">
        <v>6417</v>
      </c>
      <c r="B5068" s="11" t="s">
        <v>6419</v>
      </c>
      <c r="C5068" s="3148">
        <v>185711</v>
      </c>
      <c r="D5068" s="3148">
        <v>31834089337.093899</v>
      </c>
      <c r="E5068" s="3149">
        <v>0</v>
      </c>
      <c r="F5068" s="3150">
        <v>100</v>
      </c>
      <c r="G5068" s="3151">
        <v>0</v>
      </c>
    </row>
    <row r="5069" spans="1:7" x14ac:dyDescent="0.25">
      <c r="A5069" s="3729" t="s">
        <v>745</v>
      </c>
      <c r="B5069" s="3730"/>
      <c r="C5069" s="3730"/>
      <c r="D5069" s="3730"/>
      <c r="E5069" s="3730"/>
      <c r="F5069" s="3730"/>
      <c r="G5069" s="3730"/>
    </row>
    <row r="5070" spans="1:7" x14ac:dyDescent="0.25">
      <c r="A5070" s="11" t="s">
        <v>1129</v>
      </c>
      <c r="B5070" s="11" t="s">
        <v>6207</v>
      </c>
      <c r="C5070" s="3156">
        <v>27</v>
      </c>
      <c r="D5070" s="3156">
        <v>6711410.8386626001</v>
      </c>
      <c r="E5070" s="3157">
        <v>1968333.3310342301</v>
      </c>
      <c r="F5070" s="3158">
        <v>100</v>
      </c>
      <c r="G5070" s="3159">
        <v>0</v>
      </c>
    </row>
    <row r="5071" spans="1:7" x14ac:dyDescent="0.25">
      <c r="A5071" s="6" t="s">
        <v>1088</v>
      </c>
      <c r="B5071" s="6" t="s">
        <v>1089</v>
      </c>
      <c r="C5071" s="3152">
        <v>185640</v>
      </c>
      <c r="D5071" s="3152">
        <v>31813534729.466702</v>
      </c>
      <c r="E5071" s="3153">
        <v>296702852.88173598</v>
      </c>
      <c r="F5071" s="3154">
        <v>99.956505380931404</v>
      </c>
      <c r="G5071" s="3155">
        <v>1.05102989530481E-2</v>
      </c>
    </row>
    <row r="5072" spans="1:7" x14ac:dyDescent="0.25">
      <c r="A5072" s="11" t="s">
        <v>1102</v>
      </c>
      <c r="B5072" s="11" t="s">
        <v>1103</v>
      </c>
      <c r="C5072" s="3156">
        <v>44</v>
      </c>
      <c r="D5072" s="3156">
        <v>13843196.788556499</v>
      </c>
      <c r="E5072" s="3157">
        <v>3411731.09784779</v>
      </c>
      <c r="F5072" s="3158">
        <v>4.3494619068625499E-2</v>
      </c>
      <c r="G5072" s="3159">
        <v>1.05102989530452E-2</v>
      </c>
    </row>
    <row r="5073" spans="1:7" x14ac:dyDescent="0.25">
      <c r="A5073" s="6" t="s">
        <v>6417</v>
      </c>
      <c r="B5073" s="6" t="s">
        <v>6418</v>
      </c>
      <c r="C5073" s="3152">
        <v>27</v>
      </c>
      <c r="D5073" s="3152">
        <v>6711410.8386626001</v>
      </c>
      <c r="E5073" s="3153">
        <v>1968333.3310342301</v>
      </c>
      <c r="F5073" s="3154">
        <v>2.10824653018809E-2</v>
      </c>
      <c r="G5073" s="3155">
        <v>6.2176555890519703E-3</v>
      </c>
    </row>
    <row r="5074" spans="1:7" x14ac:dyDescent="0.25">
      <c r="A5074" s="11" t="s">
        <v>6417</v>
      </c>
      <c r="B5074" s="11" t="s">
        <v>6419</v>
      </c>
      <c r="C5074" s="3156">
        <v>185711</v>
      </c>
      <c r="D5074" s="3156">
        <v>31834089337.093899</v>
      </c>
      <c r="E5074" s="3157">
        <v>0</v>
      </c>
      <c r="F5074" s="3158">
        <v>100</v>
      </c>
      <c r="G5074" s="3159">
        <v>0</v>
      </c>
    </row>
    <row r="5075" spans="1:7" x14ac:dyDescent="0.25">
      <c r="A5075" s="3729" t="s">
        <v>747</v>
      </c>
      <c r="B5075" s="3730"/>
      <c r="C5075" s="3730"/>
      <c r="D5075" s="3730"/>
      <c r="E5075" s="3730"/>
      <c r="F5075" s="3730"/>
      <c r="G5075" s="3730"/>
    </row>
    <row r="5076" spans="1:7" x14ac:dyDescent="0.25">
      <c r="A5076" s="11" t="s">
        <v>1131</v>
      </c>
      <c r="B5076" s="11" t="s">
        <v>6188</v>
      </c>
      <c r="C5076" s="3164">
        <v>8</v>
      </c>
      <c r="D5076" s="3164">
        <v>1737405.4365358499</v>
      </c>
      <c r="E5076" s="3165">
        <v>1256291.71376699</v>
      </c>
      <c r="F5076" s="3166">
        <v>100</v>
      </c>
      <c r="G5076" s="3167">
        <v>0</v>
      </c>
    </row>
    <row r="5077" spans="1:7" x14ac:dyDescent="0.25">
      <c r="A5077" s="6" t="s">
        <v>1088</v>
      </c>
      <c r="B5077" s="6" t="s">
        <v>1089</v>
      </c>
      <c r="C5077" s="3160">
        <v>185659</v>
      </c>
      <c r="D5077" s="3160">
        <v>31818508734.868801</v>
      </c>
      <c r="E5077" s="3161">
        <v>296381584.99411899</v>
      </c>
      <c r="F5077" s="3162">
        <v>99.956512177239404</v>
      </c>
      <c r="G5077" s="3163">
        <v>1.0509155281605899E-2</v>
      </c>
    </row>
    <row r="5078" spans="1:7" x14ac:dyDescent="0.25">
      <c r="A5078" s="11" t="s">
        <v>1102</v>
      </c>
      <c r="B5078" s="11" t="s">
        <v>1103</v>
      </c>
      <c r="C5078" s="3164">
        <v>44</v>
      </c>
      <c r="D5078" s="3164">
        <v>13843196.788556499</v>
      </c>
      <c r="E5078" s="3165">
        <v>3411731.09784779</v>
      </c>
      <c r="F5078" s="3166">
        <v>4.3487822760558903E-2</v>
      </c>
      <c r="G5078" s="3167">
        <v>1.0509155281607801E-2</v>
      </c>
    </row>
    <row r="5079" spans="1:7" x14ac:dyDescent="0.25">
      <c r="A5079" s="6" t="s">
        <v>6417</v>
      </c>
      <c r="B5079" s="6" t="s">
        <v>6418</v>
      </c>
      <c r="C5079" s="3160">
        <v>8</v>
      </c>
      <c r="D5079" s="3160">
        <v>1737405.4365358499</v>
      </c>
      <c r="E5079" s="3161">
        <v>1256291.71376699</v>
      </c>
      <c r="F5079" s="3162">
        <v>5.4576885116401899E-3</v>
      </c>
      <c r="G5079" s="3163">
        <v>3.9395970216951001E-3</v>
      </c>
    </row>
    <row r="5080" spans="1:7" x14ac:dyDescent="0.25">
      <c r="A5080" s="11" t="s">
        <v>6417</v>
      </c>
      <c r="B5080" s="11" t="s">
        <v>6419</v>
      </c>
      <c r="C5080" s="3164">
        <v>185711</v>
      </c>
      <c r="D5080" s="3164">
        <v>31834089337.093899</v>
      </c>
      <c r="E5080" s="3165">
        <v>0</v>
      </c>
      <c r="F5080" s="3166">
        <v>100</v>
      </c>
      <c r="G5080" s="3167">
        <v>0</v>
      </c>
    </row>
    <row r="5081" spans="1:7" x14ac:dyDescent="0.25">
      <c r="A5081" s="3729" t="s">
        <v>749</v>
      </c>
      <c r="B5081" s="3730"/>
      <c r="C5081" s="3730"/>
      <c r="D5081" s="3730"/>
      <c r="E5081" s="3730"/>
      <c r="F5081" s="3730"/>
      <c r="G5081" s="3730"/>
    </row>
    <row r="5082" spans="1:7" x14ac:dyDescent="0.25">
      <c r="A5082" s="11" t="s">
        <v>1133</v>
      </c>
      <c r="B5082" s="11" t="s">
        <v>6189</v>
      </c>
      <c r="C5082" s="3172">
        <v>53</v>
      </c>
      <c r="D5082" s="3172">
        <v>18417590.158892501</v>
      </c>
      <c r="E5082" s="3173">
        <v>3560144.8647867101</v>
      </c>
      <c r="F5082" s="3174">
        <v>100</v>
      </c>
      <c r="G5082" s="3175">
        <v>0</v>
      </c>
    </row>
    <row r="5083" spans="1:7" x14ac:dyDescent="0.25">
      <c r="A5083" s="6" t="s">
        <v>1088</v>
      </c>
      <c r="B5083" s="6" t="s">
        <v>1089</v>
      </c>
      <c r="C5083" s="3168">
        <v>185614</v>
      </c>
      <c r="D5083" s="3168">
        <v>31801828550.1465</v>
      </c>
      <c r="E5083" s="3169">
        <v>297749025.85557503</v>
      </c>
      <c r="F5083" s="3170">
        <v>99.956489377629197</v>
      </c>
      <c r="G5083" s="3171">
        <v>1.0515358056842899E-2</v>
      </c>
    </row>
    <row r="5084" spans="1:7" x14ac:dyDescent="0.25">
      <c r="A5084" s="11" t="s">
        <v>1102</v>
      </c>
      <c r="B5084" s="11" t="s">
        <v>1103</v>
      </c>
      <c r="C5084" s="3172">
        <v>44</v>
      </c>
      <c r="D5084" s="3172">
        <v>13843196.788556499</v>
      </c>
      <c r="E5084" s="3173">
        <v>3411731.09784779</v>
      </c>
      <c r="F5084" s="3174">
        <v>4.3510622370844902E-2</v>
      </c>
      <c r="G5084" s="3175">
        <v>1.0515358056844001E-2</v>
      </c>
    </row>
    <row r="5085" spans="1:7" x14ac:dyDescent="0.25">
      <c r="A5085" s="6" t="s">
        <v>6417</v>
      </c>
      <c r="B5085" s="6" t="s">
        <v>6418</v>
      </c>
      <c r="C5085" s="3168">
        <v>53</v>
      </c>
      <c r="D5085" s="3168">
        <v>18417590.158892501</v>
      </c>
      <c r="E5085" s="3169">
        <v>3560144.8647867101</v>
      </c>
      <c r="F5085" s="3170">
        <v>5.78549301783602E-2</v>
      </c>
      <c r="G5085" s="3171">
        <v>1.1409215602208899E-2</v>
      </c>
    </row>
    <row r="5086" spans="1:7" x14ac:dyDescent="0.25">
      <c r="A5086" s="11" t="s">
        <v>6417</v>
      </c>
      <c r="B5086" s="11" t="s">
        <v>6419</v>
      </c>
      <c r="C5086" s="3172">
        <v>185711</v>
      </c>
      <c r="D5086" s="3172">
        <v>31834089337.093899</v>
      </c>
      <c r="E5086" s="3173">
        <v>0</v>
      </c>
      <c r="F5086" s="3174">
        <v>100</v>
      </c>
      <c r="G5086" s="3175">
        <v>0</v>
      </c>
    </row>
    <row r="5087" spans="1:7" x14ac:dyDescent="0.25">
      <c r="A5087" s="3729" t="s">
        <v>751</v>
      </c>
      <c r="B5087" s="3730"/>
      <c r="C5087" s="3730"/>
      <c r="D5087" s="3730"/>
      <c r="E5087" s="3730"/>
      <c r="F5087" s="3730"/>
      <c r="G5087" s="3730"/>
    </row>
    <row r="5088" spans="1:7" x14ac:dyDescent="0.25">
      <c r="A5088" s="11" t="s">
        <v>1135</v>
      </c>
      <c r="B5088" s="11" t="s">
        <v>6208</v>
      </c>
      <c r="C5088" s="3180">
        <v>107</v>
      </c>
      <c r="D5088" s="3180">
        <v>35592322.8817496</v>
      </c>
      <c r="E5088" s="3181">
        <v>6749590.5348362299</v>
      </c>
      <c r="F5088" s="3182">
        <v>100</v>
      </c>
      <c r="G5088" s="3183">
        <v>0</v>
      </c>
    </row>
    <row r="5089" spans="1:7" x14ac:dyDescent="0.25">
      <c r="A5089" s="6" t="s">
        <v>1088</v>
      </c>
      <c r="B5089" s="6" t="s">
        <v>1089</v>
      </c>
      <c r="C5089" s="3176">
        <v>185560</v>
      </c>
      <c r="D5089" s="3176">
        <v>31784653817.423599</v>
      </c>
      <c r="E5089" s="3177">
        <v>297910764.87558901</v>
      </c>
      <c r="F5089" s="3178">
        <v>99.9564658770433</v>
      </c>
      <c r="G5089" s="3179">
        <v>1.0517513900308801E-2</v>
      </c>
    </row>
    <row r="5090" spans="1:7" x14ac:dyDescent="0.25">
      <c r="A5090" s="11" t="s">
        <v>1102</v>
      </c>
      <c r="B5090" s="11" t="s">
        <v>1103</v>
      </c>
      <c r="C5090" s="3180">
        <v>44</v>
      </c>
      <c r="D5090" s="3180">
        <v>13843196.788556499</v>
      </c>
      <c r="E5090" s="3181">
        <v>3411731.09784779</v>
      </c>
      <c r="F5090" s="3182">
        <v>4.3534122956721398E-2</v>
      </c>
      <c r="G5090" s="3183">
        <v>1.0517513900303499E-2</v>
      </c>
    </row>
    <row r="5091" spans="1:7" x14ac:dyDescent="0.25">
      <c r="A5091" s="6" t="s">
        <v>6417</v>
      </c>
      <c r="B5091" s="6" t="s">
        <v>6418</v>
      </c>
      <c r="C5091" s="3176">
        <v>107</v>
      </c>
      <c r="D5091" s="3176">
        <v>35592322.8817496</v>
      </c>
      <c r="E5091" s="3177">
        <v>6749590.5348362299</v>
      </c>
      <c r="F5091" s="3178">
        <v>0.111805688879174</v>
      </c>
      <c r="G5091" s="3179">
        <v>2.14986828664087E-2</v>
      </c>
    </row>
    <row r="5092" spans="1:7" x14ac:dyDescent="0.25">
      <c r="A5092" s="11" t="s">
        <v>6417</v>
      </c>
      <c r="B5092" s="11" t="s">
        <v>6419</v>
      </c>
      <c r="C5092" s="3180">
        <v>185711</v>
      </c>
      <c r="D5092" s="3180">
        <v>31834089337.093899</v>
      </c>
      <c r="E5092" s="3181">
        <v>0</v>
      </c>
      <c r="F5092" s="3182">
        <v>100</v>
      </c>
      <c r="G5092" s="3183">
        <v>0</v>
      </c>
    </row>
    <row r="5093" spans="1:7" x14ac:dyDescent="0.25">
      <c r="A5093" s="3729" t="s">
        <v>753</v>
      </c>
      <c r="B5093" s="3730"/>
      <c r="C5093" s="3730"/>
      <c r="D5093" s="3730"/>
      <c r="E5093" s="3730"/>
      <c r="F5093" s="3730"/>
      <c r="G5093" s="3730"/>
    </row>
    <row r="5094" spans="1:7" x14ac:dyDescent="0.25">
      <c r="A5094" s="11" t="s">
        <v>1137</v>
      </c>
      <c r="B5094" s="11" t="s">
        <v>6209</v>
      </c>
      <c r="C5094" s="3188">
        <v>37</v>
      </c>
      <c r="D5094" s="3188">
        <v>8310515.22437541</v>
      </c>
      <c r="E5094" s="3189">
        <v>2773684.8134005498</v>
      </c>
      <c r="F5094" s="3190">
        <v>100</v>
      </c>
      <c r="G5094" s="3191">
        <v>0</v>
      </c>
    </row>
    <row r="5095" spans="1:7" x14ac:dyDescent="0.25">
      <c r="A5095" s="6" t="s">
        <v>1088</v>
      </c>
      <c r="B5095" s="6" t="s">
        <v>1089</v>
      </c>
      <c r="C5095" s="3184">
        <v>185630</v>
      </c>
      <c r="D5095" s="3184">
        <v>31811935625.081001</v>
      </c>
      <c r="E5095" s="3185">
        <v>296448556.09626698</v>
      </c>
      <c r="F5095" s="3186">
        <v>99.956503195519502</v>
      </c>
      <c r="G5095" s="3187">
        <v>1.0511200656246399E-2</v>
      </c>
    </row>
    <row r="5096" spans="1:7" x14ac:dyDescent="0.25">
      <c r="A5096" s="11" t="s">
        <v>1102</v>
      </c>
      <c r="B5096" s="11" t="s">
        <v>1103</v>
      </c>
      <c r="C5096" s="3188">
        <v>44</v>
      </c>
      <c r="D5096" s="3188">
        <v>13843196.788556499</v>
      </c>
      <c r="E5096" s="3189">
        <v>3411731.09784779</v>
      </c>
      <c r="F5096" s="3190">
        <v>4.3496804480536298E-2</v>
      </c>
      <c r="G5096" s="3191">
        <v>1.05112006562457E-2</v>
      </c>
    </row>
    <row r="5097" spans="1:7" x14ac:dyDescent="0.25">
      <c r="A5097" s="6" t="s">
        <v>6417</v>
      </c>
      <c r="B5097" s="6" t="s">
        <v>6418</v>
      </c>
      <c r="C5097" s="3184">
        <v>37</v>
      </c>
      <c r="D5097" s="3184">
        <v>8310515.22437541</v>
      </c>
      <c r="E5097" s="3185">
        <v>2773684.8134005498</v>
      </c>
      <c r="F5097" s="3186">
        <v>2.6105710568236001E-2</v>
      </c>
      <c r="G5097" s="3187">
        <v>8.7176200960879906E-3</v>
      </c>
    </row>
    <row r="5098" spans="1:7" x14ac:dyDescent="0.25">
      <c r="A5098" s="11" t="s">
        <v>6417</v>
      </c>
      <c r="B5098" s="11" t="s">
        <v>6419</v>
      </c>
      <c r="C5098" s="3188">
        <v>185711</v>
      </c>
      <c r="D5098" s="3188">
        <v>31834089337.093899</v>
      </c>
      <c r="E5098" s="3189">
        <v>0</v>
      </c>
      <c r="F5098" s="3190">
        <v>100</v>
      </c>
      <c r="G5098" s="3191">
        <v>0</v>
      </c>
    </row>
    <row r="5099" spans="1:7" x14ac:dyDescent="0.25">
      <c r="A5099" s="3729" t="s">
        <v>755</v>
      </c>
      <c r="B5099" s="3730"/>
      <c r="C5099" s="3730"/>
      <c r="D5099" s="3730"/>
      <c r="E5099" s="3730"/>
      <c r="F5099" s="3730"/>
      <c r="G5099" s="3730"/>
    </row>
    <row r="5100" spans="1:7" x14ac:dyDescent="0.25">
      <c r="A5100" s="11" t="s">
        <v>1139</v>
      </c>
      <c r="B5100" s="11" t="s">
        <v>1106</v>
      </c>
      <c r="C5100" s="3196">
        <v>3</v>
      </c>
      <c r="D5100" s="3196">
        <v>1575091.52652074</v>
      </c>
      <c r="E5100" s="3197">
        <v>1591130.4679560801</v>
      </c>
      <c r="F5100" s="3198">
        <v>100</v>
      </c>
      <c r="G5100" s="3199" t="e">
        <v>#NUM!</v>
      </c>
    </row>
    <row r="5101" spans="1:7" x14ac:dyDescent="0.25">
      <c r="A5101" s="6" t="s">
        <v>1088</v>
      </c>
      <c r="B5101" s="6" t="s">
        <v>1089</v>
      </c>
      <c r="C5101" s="3192">
        <v>185664</v>
      </c>
      <c r="D5101" s="3192">
        <v>31818671048.778801</v>
      </c>
      <c r="E5101" s="3193">
        <v>296608524.03269899</v>
      </c>
      <c r="F5101" s="3194">
        <v>99.956512398983705</v>
      </c>
      <c r="G5101" s="3195">
        <v>1.0509197683081299E-2</v>
      </c>
    </row>
    <row r="5102" spans="1:7" x14ac:dyDescent="0.25">
      <c r="A5102" s="11" t="s">
        <v>1102</v>
      </c>
      <c r="B5102" s="11" t="s">
        <v>1103</v>
      </c>
      <c r="C5102" s="3196">
        <v>44</v>
      </c>
      <c r="D5102" s="3196">
        <v>13843196.788556499</v>
      </c>
      <c r="E5102" s="3197">
        <v>3411731.09784779</v>
      </c>
      <c r="F5102" s="3198">
        <v>4.3487601016260098E-2</v>
      </c>
      <c r="G5102" s="3199">
        <v>1.05091976830771E-2</v>
      </c>
    </row>
    <row r="5103" spans="1:7" x14ac:dyDescent="0.25">
      <c r="A5103" s="6" t="s">
        <v>6417</v>
      </c>
      <c r="B5103" s="6" t="s">
        <v>6418</v>
      </c>
      <c r="C5103" s="3192">
        <v>3</v>
      </c>
      <c r="D5103" s="3192">
        <v>1575091.52652074</v>
      </c>
      <c r="E5103" s="3193">
        <v>1591130.4679560801</v>
      </c>
      <c r="F5103" s="3194">
        <v>4.9478139922331703E-3</v>
      </c>
      <c r="G5103" s="3195">
        <v>4.9919761564317803E-3</v>
      </c>
    </row>
    <row r="5104" spans="1:7" x14ac:dyDescent="0.25">
      <c r="A5104" s="11" t="s">
        <v>6417</v>
      </c>
      <c r="B5104" s="11" t="s">
        <v>6419</v>
      </c>
      <c r="C5104" s="3196">
        <v>185711</v>
      </c>
      <c r="D5104" s="3196">
        <v>31834089337.093899</v>
      </c>
      <c r="E5104" s="3197">
        <v>0</v>
      </c>
      <c r="F5104" s="3198">
        <v>100</v>
      </c>
      <c r="G5104" s="3199">
        <v>0</v>
      </c>
    </row>
    <row r="5105" spans="1:7" x14ac:dyDescent="0.25">
      <c r="A5105" s="3729" t="s">
        <v>757</v>
      </c>
      <c r="B5105" s="3730"/>
      <c r="C5105" s="3730"/>
      <c r="D5105" s="3730"/>
      <c r="E5105" s="3730"/>
      <c r="F5105" s="3730"/>
      <c r="G5105" s="3730"/>
    </row>
    <row r="5106" spans="1:7" x14ac:dyDescent="0.25">
      <c r="A5106" s="11" t="s">
        <v>1141</v>
      </c>
      <c r="B5106" s="11" t="s">
        <v>6210</v>
      </c>
      <c r="C5106" s="3204">
        <v>42</v>
      </c>
      <c r="D5106" s="3204">
        <v>2400947.2837489899</v>
      </c>
      <c r="E5106" s="3205">
        <v>936680.55751533306</v>
      </c>
      <c r="F5106" s="3206">
        <v>100</v>
      </c>
      <c r="G5106" s="3207">
        <v>0</v>
      </c>
    </row>
    <row r="5107" spans="1:7" x14ac:dyDescent="0.25">
      <c r="A5107" s="6" t="s">
        <v>1088</v>
      </c>
      <c r="B5107" s="6" t="s">
        <v>1089</v>
      </c>
      <c r="C5107" s="3200">
        <v>185625</v>
      </c>
      <c r="D5107" s="3200">
        <v>31817845193.021599</v>
      </c>
      <c r="E5107" s="3201">
        <v>296638752.95000798</v>
      </c>
      <c r="F5107" s="3202">
        <v>99.956511270721705</v>
      </c>
      <c r="G5107" s="3203">
        <v>1.0509727391957401E-2</v>
      </c>
    </row>
    <row r="5108" spans="1:7" x14ac:dyDescent="0.25">
      <c r="A5108" s="11" t="s">
        <v>1102</v>
      </c>
      <c r="B5108" s="11" t="s">
        <v>1103</v>
      </c>
      <c r="C5108" s="3204">
        <v>44</v>
      </c>
      <c r="D5108" s="3204">
        <v>13843196.788556499</v>
      </c>
      <c r="E5108" s="3205">
        <v>3411731.09784779</v>
      </c>
      <c r="F5108" s="3206">
        <v>4.34887292782997E-2</v>
      </c>
      <c r="G5108" s="3207">
        <v>1.05097273919525E-2</v>
      </c>
    </row>
    <row r="5109" spans="1:7" x14ac:dyDescent="0.25">
      <c r="A5109" s="6" t="s">
        <v>6417</v>
      </c>
      <c r="B5109" s="6" t="s">
        <v>6418</v>
      </c>
      <c r="C5109" s="3200">
        <v>42</v>
      </c>
      <c r="D5109" s="3200">
        <v>2400947.2837489899</v>
      </c>
      <c r="E5109" s="3201">
        <v>936680.55751533306</v>
      </c>
      <c r="F5109" s="3202">
        <v>7.5420636611437204E-3</v>
      </c>
      <c r="G5109" s="3203">
        <v>2.9652920847866699E-3</v>
      </c>
    </row>
    <row r="5110" spans="1:7" x14ac:dyDescent="0.25">
      <c r="A5110" s="11" t="s">
        <v>6417</v>
      </c>
      <c r="B5110" s="11" t="s">
        <v>6419</v>
      </c>
      <c r="C5110" s="3204">
        <v>185711</v>
      </c>
      <c r="D5110" s="3204">
        <v>31834089337.093899</v>
      </c>
      <c r="E5110" s="3205">
        <v>0</v>
      </c>
      <c r="F5110" s="3206">
        <v>100</v>
      </c>
      <c r="G5110" s="3207">
        <v>0</v>
      </c>
    </row>
    <row r="5111" spans="1:7" x14ac:dyDescent="0.25">
      <c r="A5111" s="3729" t="s">
        <v>761</v>
      </c>
      <c r="B5111" s="3730"/>
      <c r="C5111" s="3730"/>
      <c r="D5111" s="3730"/>
      <c r="E5111" s="3730"/>
      <c r="F5111" s="3730"/>
      <c r="G5111" s="3730"/>
    </row>
    <row r="5112" spans="1:7" x14ac:dyDescent="0.25">
      <c r="A5112" s="11" t="s">
        <v>1295</v>
      </c>
      <c r="B5112" s="11" t="s">
        <v>6194</v>
      </c>
      <c r="C5112" s="3212">
        <v>12</v>
      </c>
      <c r="D5112" s="3212">
        <v>3247524.6376896799</v>
      </c>
      <c r="E5112" s="3213">
        <v>3105176.6323999101</v>
      </c>
      <c r="F5112" s="3214">
        <v>100</v>
      </c>
      <c r="G5112" s="3215">
        <v>0</v>
      </c>
    </row>
    <row r="5113" spans="1:7" x14ac:dyDescent="0.25">
      <c r="A5113" s="6" t="s">
        <v>1088</v>
      </c>
      <c r="B5113" s="6" t="s">
        <v>1089</v>
      </c>
      <c r="C5113" s="3208">
        <v>185655</v>
      </c>
      <c r="D5113" s="3208">
        <v>31816998615.667702</v>
      </c>
      <c r="E5113" s="3209">
        <v>296621715.17927599</v>
      </c>
      <c r="F5113" s="3210">
        <v>99.956510114089596</v>
      </c>
      <c r="G5113" s="3211">
        <v>1.0509381393922299E-2</v>
      </c>
    </row>
    <row r="5114" spans="1:7" x14ac:dyDescent="0.25">
      <c r="A5114" s="11" t="s">
        <v>1102</v>
      </c>
      <c r="B5114" s="11" t="s">
        <v>1103</v>
      </c>
      <c r="C5114" s="3212">
        <v>44</v>
      </c>
      <c r="D5114" s="3212">
        <v>13843196.788556499</v>
      </c>
      <c r="E5114" s="3213">
        <v>3411731.09784779</v>
      </c>
      <c r="F5114" s="3214">
        <v>4.3489885910398103E-2</v>
      </c>
      <c r="G5114" s="3215">
        <v>1.05093813939193E-2</v>
      </c>
    </row>
    <row r="5115" spans="1:7" x14ac:dyDescent="0.25">
      <c r="A5115" s="6" t="s">
        <v>6417</v>
      </c>
      <c r="B5115" s="6" t="s">
        <v>6418</v>
      </c>
      <c r="C5115" s="3208">
        <v>12</v>
      </c>
      <c r="D5115" s="3208">
        <v>3247524.6376896799</v>
      </c>
      <c r="E5115" s="3209">
        <v>3105176.6323999101</v>
      </c>
      <c r="F5115" s="3210">
        <v>1.02014058052717E-2</v>
      </c>
      <c r="G5115" s="3211">
        <v>9.7460181763028494E-3</v>
      </c>
    </row>
    <row r="5116" spans="1:7" x14ac:dyDescent="0.25">
      <c r="A5116" s="11" t="s">
        <v>6417</v>
      </c>
      <c r="B5116" s="11" t="s">
        <v>6419</v>
      </c>
      <c r="C5116" s="3212">
        <v>185711</v>
      </c>
      <c r="D5116" s="3212">
        <v>31834089337.093899</v>
      </c>
      <c r="E5116" s="3213">
        <v>0</v>
      </c>
      <c r="F5116" s="3214">
        <v>100</v>
      </c>
      <c r="G5116" s="3215">
        <v>0</v>
      </c>
    </row>
    <row r="5117" spans="1:7" x14ac:dyDescent="0.25">
      <c r="A5117" s="3729" t="s">
        <v>779</v>
      </c>
      <c r="B5117" s="3730"/>
      <c r="C5117" s="3730"/>
      <c r="D5117" s="3730"/>
      <c r="E5117" s="3730"/>
      <c r="F5117" s="3730"/>
      <c r="G5117" s="3730"/>
    </row>
    <row r="5118" spans="1:7" x14ac:dyDescent="0.25">
      <c r="A5118" s="11" t="s">
        <v>1111</v>
      </c>
      <c r="B5118" s="11" t="s">
        <v>6211</v>
      </c>
      <c r="C5118" s="3220">
        <v>69</v>
      </c>
      <c r="D5118" s="3220">
        <v>14075589.5940667</v>
      </c>
      <c r="E5118" s="3221">
        <v>3892504.60962711</v>
      </c>
      <c r="F5118" s="3222">
        <v>100</v>
      </c>
      <c r="G5118" s="3223">
        <v>0</v>
      </c>
    </row>
    <row r="5119" spans="1:7" x14ac:dyDescent="0.25">
      <c r="A5119" s="6" t="s">
        <v>1088</v>
      </c>
      <c r="B5119" s="6" t="s">
        <v>1089</v>
      </c>
      <c r="C5119" s="3216">
        <v>185598</v>
      </c>
      <c r="D5119" s="3216">
        <v>31806170550.7113</v>
      </c>
      <c r="E5119" s="3217">
        <v>296836096.71438903</v>
      </c>
      <c r="F5119" s="3218">
        <v>99.956495314871901</v>
      </c>
      <c r="G5119" s="3219">
        <v>1.0515830050399E-2</v>
      </c>
    </row>
    <row r="5120" spans="1:7" x14ac:dyDescent="0.25">
      <c r="A5120" s="11" t="s">
        <v>1102</v>
      </c>
      <c r="B5120" s="11" t="s">
        <v>1103</v>
      </c>
      <c r="C5120" s="3220">
        <v>44</v>
      </c>
      <c r="D5120" s="3220">
        <v>13843196.788556499</v>
      </c>
      <c r="E5120" s="3221">
        <v>3411731.09784779</v>
      </c>
      <c r="F5120" s="3222">
        <v>4.3504685128064102E-2</v>
      </c>
      <c r="G5120" s="3223">
        <v>1.05158300503942E-2</v>
      </c>
    </row>
    <row r="5121" spans="1:7" x14ac:dyDescent="0.25">
      <c r="A5121" s="6" t="s">
        <v>6417</v>
      </c>
      <c r="B5121" s="6" t="s">
        <v>6418</v>
      </c>
      <c r="C5121" s="3216">
        <v>69</v>
      </c>
      <c r="D5121" s="3216">
        <v>14075589.5940667</v>
      </c>
      <c r="E5121" s="3217">
        <v>3892504.60962711</v>
      </c>
      <c r="F5121" s="3218">
        <v>4.4215461749256002E-2</v>
      </c>
      <c r="G5121" s="3219">
        <v>1.22750950188069E-2</v>
      </c>
    </row>
    <row r="5122" spans="1:7" x14ac:dyDescent="0.25">
      <c r="A5122" s="11" t="s">
        <v>6417</v>
      </c>
      <c r="B5122" s="11" t="s">
        <v>6419</v>
      </c>
      <c r="C5122" s="3220">
        <v>185711</v>
      </c>
      <c r="D5122" s="3220">
        <v>31834089337.093899</v>
      </c>
      <c r="E5122" s="3221">
        <v>0</v>
      </c>
      <c r="F5122" s="3222">
        <v>100</v>
      </c>
      <c r="G5122" s="3223">
        <v>0</v>
      </c>
    </row>
    <row r="5123" spans="1:7" x14ac:dyDescent="0.25">
      <c r="A5123" s="3729" t="s">
        <v>777</v>
      </c>
      <c r="B5123" s="3730"/>
      <c r="C5123" s="3730"/>
      <c r="D5123" s="3730"/>
      <c r="E5123" s="3730"/>
      <c r="F5123" s="3730"/>
      <c r="G5123" s="3730"/>
    </row>
    <row r="5124" spans="1:7" x14ac:dyDescent="0.25">
      <c r="A5124" s="11" t="s">
        <v>1088</v>
      </c>
      <c r="B5124" s="11" t="s">
        <v>1089</v>
      </c>
      <c r="C5124" s="3228">
        <v>185667</v>
      </c>
      <c r="D5124" s="3228">
        <v>31820246140.305401</v>
      </c>
      <c r="E5124" s="3229">
        <v>296261308.87688798</v>
      </c>
      <c r="F5124" s="3230">
        <v>99.956514550669397</v>
      </c>
      <c r="G5124" s="3231">
        <v>1.0508823561681899E-2</v>
      </c>
    </row>
    <row r="5125" spans="1:7" x14ac:dyDescent="0.25">
      <c r="A5125" s="6" t="s">
        <v>1102</v>
      </c>
      <c r="B5125" s="6" t="s">
        <v>1103</v>
      </c>
      <c r="C5125" s="3224">
        <v>44</v>
      </c>
      <c r="D5125" s="3224">
        <v>13843196.788556499</v>
      </c>
      <c r="E5125" s="3225">
        <v>3411731.09784779</v>
      </c>
      <c r="F5125" s="3226">
        <v>4.3485449330652098E-2</v>
      </c>
      <c r="G5125" s="3227">
        <v>1.0508823561681001E-2</v>
      </c>
    </row>
    <row r="5126" spans="1:7" x14ac:dyDescent="0.25">
      <c r="A5126" s="11" t="s">
        <v>6417</v>
      </c>
      <c r="B5126" s="11" t="s">
        <v>6418</v>
      </c>
      <c r="C5126" s="3228">
        <v>0</v>
      </c>
      <c r="D5126" s="3228">
        <v>0</v>
      </c>
      <c r="E5126" s="3229">
        <v>0</v>
      </c>
      <c r="F5126" s="3230">
        <v>0</v>
      </c>
      <c r="G5126" s="3231">
        <v>0</v>
      </c>
    </row>
    <row r="5127" spans="1:7" x14ac:dyDescent="0.25">
      <c r="A5127" s="6" t="s">
        <v>6417</v>
      </c>
      <c r="B5127" s="6" t="s">
        <v>6419</v>
      </c>
      <c r="C5127" s="3224">
        <v>185711</v>
      </c>
      <c r="D5127" s="3224">
        <v>31834089337.093899</v>
      </c>
      <c r="E5127" s="3225">
        <v>0</v>
      </c>
      <c r="F5127" s="3226">
        <v>100</v>
      </c>
      <c r="G5127" s="3227">
        <v>0</v>
      </c>
    </row>
    <row r="5128" spans="1:7" x14ac:dyDescent="0.25">
      <c r="A5128" s="3729" t="s">
        <v>781</v>
      </c>
      <c r="B5128" s="3730"/>
      <c r="C5128" s="3730"/>
      <c r="D5128" s="3730"/>
      <c r="E5128" s="3730"/>
      <c r="F5128" s="3730"/>
      <c r="G5128" s="3730"/>
    </row>
    <row r="5129" spans="1:7" x14ac:dyDescent="0.25">
      <c r="A5129" s="11" t="s">
        <v>1088</v>
      </c>
      <c r="B5129" s="11" t="s">
        <v>1089</v>
      </c>
      <c r="C5129" s="3236">
        <v>185667</v>
      </c>
      <c r="D5129" s="3236">
        <v>31820246140.305401</v>
      </c>
      <c r="E5129" s="3237">
        <v>296261308.87688798</v>
      </c>
      <c r="F5129" s="3238">
        <v>99.956514550669397</v>
      </c>
      <c r="G5129" s="3239">
        <v>1.0508823561681899E-2</v>
      </c>
    </row>
    <row r="5130" spans="1:7" x14ac:dyDescent="0.25">
      <c r="A5130" s="6" t="s">
        <v>1102</v>
      </c>
      <c r="B5130" s="6" t="s">
        <v>1103</v>
      </c>
      <c r="C5130" s="3232">
        <v>44</v>
      </c>
      <c r="D5130" s="3232">
        <v>13843196.788556499</v>
      </c>
      <c r="E5130" s="3233">
        <v>3411731.09784779</v>
      </c>
      <c r="F5130" s="3234">
        <v>4.3485449330652098E-2</v>
      </c>
      <c r="G5130" s="3235">
        <v>1.0508823561681001E-2</v>
      </c>
    </row>
    <row r="5131" spans="1:7" x14ac:dyDescent="0.25">
      <c r="A5131" s="11" t="s">
        <v>6417</v>
      </c>
      <c r="B5131" s="11" t="s">
        <v>6418</v>
      </c>
      <c r="C5131" s="3236">
        <v>0</v>
      </c>
      <c r="D5131" s="3236">
        <v>0</v>
      </c>
      <c r="E5131" s="3237">
        <v>0</v>
      </c>
      <c r="F5131" s="3238">
        <v>0</v>
      </c>
      <c r="G5131" s="3239">
        <v>0</v>
      </c>
    </row>
    <row r="5132" spans="1:7" x14ac:dyDescent="0.25">
      <c r="A5132" s="6" t="s">
        <v>6417</v>
      </c>
      <c r="B5132" s="6" t="s">
        <v>6419</v>
      </c>
      <c r="C5132" s="3232">
        <v>185711</v>
      </c>
      <c r="D5132" s="3232">
        <v>31834089337.093899</v>
      </c>
      <c r="E5132" s="3233">
        <v>0</v>
      </c>
      <c r="F5132" s="3234">
        <v>100</v>
      </c>
      <c r="G5132" s="3235">
        <v>0</v>
      </c>
    </row>
    <row r="5133" spans="1:7" x14ac:dyDescent="0.25">
      <c r="A5133" s="3729" t="s">
        <v>354</v>
      </c>
      <c r="B5133" s="3730"/>
      <c r="C5133" s="3730"/>
      <c r="D5133" s="3730"/>
      <c r="E5133" s="3730"/>
      <c r="F5133" s="3730"/>
      <c r="G5133" s="3730"/>
    </row>
    <row r="5134" spans="1:7" x14ac:dyDescent="0.25">
      <c r="A5134" s="11" t="s">
        <v>6839</v>
      </c>
      <c r="B5134" s="11"/>
      <c r="C5134" s="3244">
        <v>39</v>
      </c>
      <c r="D5134" s="3244">
        <v>8410227.3231763691</v>
      </c>
      <c r="E5134" s="3245">
        <v>3360944.8427769798</v>
      </c>
      <c r="F5134" s="3246">
        <v>59.7504443204392</v>
      </c>
      <c r="G5134" s="3247">
        <v>19.342932031319499</v>
      </c>
    </row>
    <row r="5135" spans="1:7" x14ac:dyDescent="0.25">
      <c r="A5135" s="6" t="s">
        <v>6840</v>
      </c>
      <c r="B5135" s="6"/>
      <c r="C5135" s="3240">
        <v>12</v>
      </c>
      <c r="D5135" s="3240">
        <v>2860262.0820997902</v>
      </c>
      <c r="E5135" s="3241">
        <v>2206093.4113764502</v>
      </c>
      <c r="F5135" s="3242">
        <v>20.320726623810302</v>
      </c>
      <c r="G5135" s="3243">
        <v>16.239979690902398</v>
      </c>
    </row>
    <row r="5136" spans="1:7" x14ac:dyDescent="0.25">
      <c r="A5136" s="11" t="s">
        <v>6841</v>
      </c>
      <c r="B5136" s="11"/>
      <c r="C5136" s="3244">
        <v>5</v>
      </c>
      <c r="D5136" s="3244">
        <v>1024382.87286308</v>
      </c>
      <c r="E5136" s="3245">
        <v>568410.81714232604</v>
      </c>
      <c r="F5136" s="3246">
        <v>7.2777262083208702</v>
      </c>
      <c r="G5136" s="3247">
        <v>3.82325967102771</v>
      </c>
    </row>
    <row r="5137" spans="1:7" x14ac:dyDescent="0.25">
      <c r="A5137" s="6" t="s">
        <v>6842</v>
      </c>
      <c r="B5137" s="6"/>
      <c r="C5137" s="3240">
        <v>4</v>
      </c>
      <c r="D5137" s="3240">
        <v>992723.68139746098</v>
      </c>
      <c r="E5137" s="3241">
        <v>554405.17394010304</v>
      </c>
      <c r="F5137" s="3242">
        <v>7.0528035416429304</v>
      </c>
      <c r="G5137" s="3243">
        <v>3.94482423367957</v>
      </c>
    </row>
    <row r="5138" spans="1:7" x14ac:dyDescent="0.25">
      <c r="A5138" s="11" t="s">
        <v>6843</v>
      </c>
      <c r="B5138" s="11"/>
      <c r="C5138" s="3244">
        <v>3</v>
      </c>
      <c r="D5138" s="3244">
        <v>483504.91102654801</v>
      </c>
      <c r="E5138" s="3245">
        <v>487302.535765787</v>
      </c>
      <c r="F5138" s="3246">
        <v>3.4350597379619501</v>
      </c>
      <c r="G5138" s="3247">
        <v>3.8633679080713699</v>
      </c>
    </row>
    <row r="5139" spans="1:7" x14ac:dyDescent="0.25">
      <c r="A5139" s="6" t="s">
        <v>6844</v>
      </c>
      <c r="B5139" s="6"/>
      <c r="C5139" s="3240">
        <v>5</v>
      </c>
      <c r="D5139" s="3240">
        <v>187373.424743401</v>
      </c>
      <c r="E5139" s="3241">
        <v>187828.84026172399</v>
      </c>
      <c r="F5139" s="3242">
        <v>1.3311941463708501</v>
      </c>
      <c r="G5139" s="3243">
        <v>1.4125978718171099</v>
      </c>
    </row>
    <row r="5140" spans="1:7" x14ac:dyDescent="0.25">
      <c r="A5140" s="11" t="s">
        <v>6639</v>
      </c>
      <c r="B5140" s="11"/>
      <c r="C5140" s="3244">
        <v>1</v>
      </c>
      <c r="D5140" s="3244">
        <v>117115.298760074</v>
      </c>
      <c r="E5140" s="3245">
        <v>117240.931117926</v>
      </c>
      <c r="F5140" s="3246">
        <v>0.83204542145390203</v>
      </c>
      <c r="G5140" s="3247">
        <v>0.87317445896235801</v>
      </c>
    </row>
    <row r="5141" spans="1:7" x14ac:dyDescent="0.25">
      <c r="A5141" s="6" t="s">
        <v>1088</v>
      </c>
      <c r="B5141" s="6" t="s">
        <v>1089</v>
      </c>
      <c r="C5141" s="3240">
        <v>185642</v>
      </c>
      <c r="D5141" s="3240">
        <v>31820013747.499802</v>
      </c>
      <c r="E5141" s="3241">
        <v>298727017.67105103</v>
      </c>
      <c r="F5141" s="3242">
        <v>100</v>
      </c>
      <c r="G5141" s="3243">
        <v>0</v>
      </c>
    </row>
    <row r="5142" spans="1:7" x14ac:dyDescent="0.25">
      <c r="A5142" s="11" t="s">
        <v>6417</v>
      </c>
      <c r="B5142" s="11" t="s">
        <v>6418</v>
      </c>
      <c r="C5142" s="3244">
        <v>69</v>
      </c>
      <c r="D5142" s="3244">
        <v>14075589.5940667</v>
      </c>
      <c r="E5142" s="3245">
        <v>3892504.60962711</v>
      </c>
      <c r="F5142" s="3246">
        <v>4.4215461749255898E-2</v>
      </c>
      <c r="G5142" s="3247">
        <v>1.22750950188069E-2</v>
      </c>
    </row>
    <row r="5143" spans="1:7" x14ac:dyDescent="0.25">
      <c r="A5143" s="6" t="s">
        <v>6417</v>
      </c>
      <c r="B5143" s="6" t="s">
        <v>6419</v>
      </c>
      <c r="C5143" s="3240">
        <v>185711</v>
      </c>
      <c r="D5143" s="3240">
        <v>31834089337.093899</v>
      </c>
      <c r="E5143" s="3241">
        <v>0</v>
      </c>
      <c r="F5143" s="3242">
        <v>100</v>
      </c>
      <c r="G5143" s="3243">
        <v>0</v>
      </c>
    </row>
    <row r="5144" spans="1:7" x14ac:dyDescent="0.25">
      <c r="A5144" s="3729" t="s">
        <v>793</v>
      </c>
      <c r="B5144" s="3730"/>
      <c r="C5144" s="3730"/>
      <c r="D5144" s="3730"/>
      <c r="E5144" s="3730"/>
      <c r="F5144" s="3730"/>
      <c r="G5144" s="3730"/>
    </row>
    <row r="5145" spans="1:7" x14ac:dyDescent="0.25">
      <c r="A5145" s="11" t="s">
        <v>1090</v>
      </c>
      <c r="B5145" s="11" t="s">
        <v>927</v>
      </c>
      <c r="C5145" s="3252">
        <v>2308</v>
      </c>
      <c r="D5145" s="3252">
        <v>807265860.52737796</v>
      </c>
      <c r="E5145" s="3253">
        <v>48353351.018841997</v>
      </c>
      <c r="F5145" s="3254">
        <v>100</v>
      </c>
      <c r="G5145" s="3255">
        <v>0</v>
      </c>
    </row>
    <row r="5146" spans="1:7" x14ac:dyDescent="0.25">
      <c r="A5146" s="6" t="s">
        <v>1088</v>
      </c>
      <c r="B5146" s="6" t="s">
        <v>1089</v>
      </c>
      <c r="C5146" s="3248">
        <v>183363</v>
      </c>
      <c r="D5146" s="3248">
        <v>31013424035.773399</v>
      </c>
      <c r="E5146" s="3249">
        <v>280953136.942819</v>
      </c>
      <c r="F5146" s="3250">
        <v>99.956813365689001</v>
      </c>
      <c r="G5146" s="3251">
        <v>1.14882638830925E-2</v>
      </c>
    </row>
    <row r="5147" spans="1:7" x14ac:dyDescent="0.25">
      <c r="A5147" s="11" t="s">
        <v>1102</v>
      </c>
      <c r="B5147" s="11" t="s">
        <v>1103</v>
      </c>
      <c r="C5147" s="3252">
        <v>40</v>
      </c>
      <c r="D5147" s="3252">
        <v>13399440.7931381</v>
      </c>
      <c r="E5147" s="3253">
        <v>3622126.7837420399</v>
      </c>
      <c r="F5147" s="3254">
        <v>4.318663431098E-2</v>
      </c>
      <c r="G5147" s="3255">
        <v>1.1488263883097399E-2</v>
      </c>
    </row>
    <row r="5148" spans="1:7" x14ac:dyDescent="0.25">
      <c r="A5148" s="6" t="s">
        <v>6417</v>
      </c>
      <c r="B5148" s="6" t="s">
        <v>6418</v>
      </c>
      <c r="C5148" s="3248">
        <v>2308</v>
      </c>
      <c r="D5148" s="3248">
        <v>807265860.52737796</v>
      </c>
      <c r="E5148" s="3249">
        <v>48353351.018841997</v>
      </c>
      <c r="F5148" s="3250">
        <v>2.5358534744913599</v>
      </c>
      <c r="G5148" s="3251">
        <v>0.143969894122321</v>
      </c>
    </row>
    <row r="5149" spans="1:7" x14ac:dyDescent="0.25">
      <c r="A5149" s="11" t="s">
        <v>6417</v>
      </c>
      <c r="B5149" s="11" t="s">
        <v>6419</v>
      </c>
      <c r="C5149" s="3252">
        <v>185711</v>
      </c>
      <c r="D5149" s="3252">
        <v>31834089337.093899</v>
      </c>
      <c r="E5149" s="3253">
        <v>0</v>
      </c>
      <c r="F5149" s="3254">
        <v>100</v>
      </c>
      <c r="G5149" s="3255">
        <v>0</v>
      </c>
    </row>
    <row r="5150" spans="1:7" x14ac:dyDescent="0.25">
      <c r="A5150" s="3729" t="s">
        <v>816</v>
      </c>
      <c r="B5150" s="3730"/>
      <c r="C5150" s="3730"/>
      <c r="D5150" s="3730"/>
      <c r="E5150" s="3730"/>
      <c r="F5150" s="3730"/>
      <c r="G5150" s="3730"/>
    </row>
    <row r="5151" spans="1:7" x14ac:dyDescent="0.25">
      <c r="A5151" s="11" t="s">
        <v>1092</v>
      </c>
      <c r="B5151" s="11" t="s">
        <v>6199</v>
      </c>
      <c r="C5151" s="3260">
        <v>88</v>
      </c>
      <c r="D5151" s="3260">
        <v>38116710.672463797</v>
      </c>
      <c r="E5151" s="3261">
        <v>7126527.0063037602</v>
      </c>
      <c r="F5151" s="3262">
        <v>100</v>
      </c>
      <c r="G5151" s="3263">
        <v>0</v>
      </c>
    </row>
    <row r="5152" spans="1:7" x14ac:dyDescent="0.25">
      <c r="A5152" s="6" t="s">
        <v>1088</v>
      </c>
      <c r="B5152" s="6" t="s">
        <v>1089</v>
      </c>
      <c r="C5152" s="3256">
        <v>185583</v>
      </c>
      <c r="D5152" s="3256">
        <v>31782573185.6283</v>
      </c>
      <c r="E5152" s="3257">
        <v>295687959.79845601</v>
      </c>
      <c r="F5152" s="3258">
        <v>99.957858056582893</v>
      </c>
      <c r="G5152" s="3259">
        <v>1.1219778519802199E-2</v>
      </c>
    </row>
    <row r="5153" spans="1:7" x14ac:dyDescent="0.25">
      <c r="A5153" s="11" t="s">
        <v>1102</v>
      </c>
      <c r="B5153" s="11" t="s">
        <v>1103</v>
      </c>
      <c r="C5153" s="3260">
        <v>40</v>
      </c>
      <c r="D5153" s="3260">
        <v>13399440.7931381</v>
      </c>
      <c r="E5153" s="3261">
        <v>3622126.7837420399</v>
      </c>
      <c r="F5153" s="3262">
        <v>4.2141943417084098E-2</v>
      </c>
      <c r="G5153" s="3263">
        <v>1.12197785198048E-2</v>
      </c>
    </row>
    <row r="5154" spans="1:7" x14ac:dyDescent="0.25">
      <c r="A5154" s="6" t="s">
        <v>6417</v>
      </c>
      <c r="B5154" s="6" t="s">
        <v>6418</v>
      </c>
      <c r="C5154" s="3256">
        <v>88</v>
      </c>
      <c r="D5154" s="3256">
        <v>38116710.672463797</v>
      </c>
      <c r="E5154" s="3257">
        <v>7126527.0063037602</v>
      </c>
      <c r="F5154" s="3258">
        <v>0.119735514557501</v>
      </c>
      <c r="G5154" s="3259">
        <v>2.22859936861588E-2</v>
      </c>
    </row>
    <row r="5155" spans="1:7" x14ac:dyDescent="0.25">
      <c r="A5155" s="11" t="s">
        <v>6417</v>
      </c>
      <c r="B5155" s="11" t="s">
        <v>6419</v>
      </c>
      <c r="C5155" s="3260">
        <v>185711</v>
      </c>
      <c r="D5155" s="3260">
        <v>31834089337.093899</v>
      </c>
      <c r="E5155" s="3261">
        <v>0</v>
      </c>
      <c r="F5155" s="3262">
        <v>100</v>
      </c>
      <c r="G5155" s="3263">
        <v>0</v>
      </c>
    </row>
    <row r="5156" spans="1:7" x14ac:dyDescent="0.25">
      <c r="A5156" s="3729" t="s">
        <v>820</v>
      </c>
      <c r="B5156" s="3730"/>
      <c r="C5156" s="3730"/>
      <c r="D5156" s="3730"/>
      <c r="E5156" s="3730"/>
      <c r="F5156" s="3730"/>
      <c r="G5156" s="3730"/>
    </row>
    <row r="5157" spans="1:7" x14ac:dyDescent="0.25">
      <c r="A5157" s="11" t="s">
        <v>1094</v>
      </c>
      <c r="B5157" s="11" t="s">
        <v>6219</v>
      </c>
      <c r="C5157" s="3268">
        <v>131</v>
      </c>
      <c r="D5157" s="3268">
        <v>35383636.116865396</v>
      </c>
      <c r="E5157" s="3269">
        <v>3491655.7496184502</v>
      </c>
      <c r="F5157" s="3270">
        <v>100</v>
      </c>
      <c r="G5157" s="3271">
        <v>0</v>
      </c>
    </row>
    <row r="5158" spans="1:7" x14ac:dyDescent="0.25">
      <c r="A5158" s="6" t="s">
        <v>1088</v>
      </c>
      <c r="B5158" s="6" t="s">
        <v>1089</v>
      </c>
      <c r="C5158" s="3264">
        <v>185540</v>
      </c>
      <c r="D5158" s="3264">
        <v>31785306260.183899</v>
      </c>
      <c r="E5158" s="3265">
        <v>294914058.30612701</v>
      </c>
      <c r="F5158" s="3266">
        <v>99.9578616786509</v>
      </c>
      <c r="G5158" s="3267">
        <v>1.1217885290721799E-2</v>
      </c>
    </row>
    <row r="5159" spans="1:7" x14ac:dyDescent="0.25">
      <c r="A5159" s="11" t="s">
        <v>1102</v>
      </c>
      <c r="B5159" s="11" t="s">
        <v>1103</v>
      </c>
      <c r="C5159" s="3268">
        <v>40</v>
      </c>
      <c r="D5159" s="3268">
        <v>13399440.7931381</v>
      </c>
      <c r="E5159" s="3269">
        <v>3622126.7837420399</v>
      </c>
      <c r="F5159" s="3270">
        <v>4.2138321349118199E-2</v>
      </c>
      <c r="G5159" s="3271">
        <v>1.1217885290726299E-2</v>
      </c>
    </row>
    <row r="5160" spans="1:7" x14ac:dyDescent="0.25">
      <c r="A5160" s="6" t="s">
        <v>6417</v>
      </c>
      <c r="B5160" s="6" t="s">
        <v>6418</v>
      </c>
      <c r="C5160" s="3264">
        <v>131</v>
      </c>
      <c r="D5160" s="3264">
        <v>35383636.116865396</v>
      </c>
      <c r="E5160" s="3265">
        <v>3491655.7496184502</v>
      </c>
      <c r="F5160" s="3266">
        <v>0.11115014392962499</v>
      </c>
      <c r="G5160" s="3267">
        <v>1.0559063260763E-2</v>
      </c>
    </row>
    <row r="5161" spans="1:7" x14ac:dyDescent="0.25">
      <c r="A5161" s="11" t="s">
        <v>6417</v>
      </c>
      <c r="B5161" s="11" t="s">
        <v>6419</v>
      </c>
      <c r="C5161" s="3268">
        <v>185711</v>
      </c>
      <c r="D5161" s="3268">
        <v>31834089337.093899</v>
      </c>
      <c r="E5161" s="3269">
        <v>0</v>
      </c>
      <c r="F5161" s="3270">
        <v>100</v>
      </c>
      <c r="G5161" s="3271">
        <v>0</v>
      </c>
    </row>
    <row r="5162" spans="1:7" x14ac:dyDescent="0.25">
      <c r="A5162" s="3729" t="s">
        <v>822</v>
      </c>
      <c r="B5162" s="3730"/>
      <c r="C5162" s="3730"/>
      <c r="D5162" s="3730"/>
      <c r="E5162" s="3730"/>
      <c r="F5162" s="3730"/>
      <c r="G5162" s="3730"/>
    </row>
    <row r="5163" spans="1:7" x14ac:dyDescent="0.25">
      <c r="A5163" s="11" t="s">
        <v>1096</v>
      </c>
      <c r="B5163" s="11" t="s">
        <v>6179</v>
      </c>
      <c r="C5163" s="3276">
        <v>17</v>
      </c>
      <c r="D5163" s="3276">
        <v>5534497.3344477201</v>
      </c>
      <c r="E5163" s="3277">
        <v>1873638.8246276099</v>
      </c>
      <c r="F5163" s="3278">
        <v>100</v>
      </c>
      <c r="G5163" s="3279">
        <v>0</v>
      </c>
    </row>
    <row r="5164" spans="1:7" x14ac:dyDescent="0.25">
      <c r="A5164" s="6" t="s">
        <v>1088</v>
      </c>
      <c r="B5164" s="6" t="s">
        <v>1089</v>
      </c>
      <c r="C5164" s="3272">
        <v>185654</v>
      </c>
      <c r="D5164" s="3272">
        <v>31815155398.966301</v>
      </c>
      <c r="E5164" s="3273">
        <v>296875976.941284</v>
      </c>
      <c r="F5164" s="3274">
        <v>99.957901196392399</v>
      </c>
      <c r="G5164" s="3275">
        <v>1.12054561057249E-2</v>
      </c>
    </row>
    <row r="5165" spans="1:7" x14ac:dyDescent="0.25">
      <c r="A5165" s="11" t="s">
        <v>1102</v>
      </c>
      <c r="B5165" s="11" t="s">
        <v>1103</v>
      </c>
      <c r="C5165" s="3276">
        <v>40</v>
      </c>
      <c r="D5165" s="3276">
        <v>13399440.7931381</v>
      </c>
      <c r="E5165" s="3277">
        <v>3622126.7837420399</v>
      </c>
      <c r="F5165" s="3278">
        <v>4.2098803607632899E-2</v>
      </c>
      <c r="G5165" s="3279">
        <v>1.1205456105723899E-2</v>
      </c>
    </row>
    <row r="5166" spans="1:7" x14ac:dyDescent="0.25">
      <c r="A5166" s="6" t="s">
        <v>6417</v>
      </c>
      <c r="B5166" s="6" t="s">
        <v>6418</v>
      </c>
      <c r="C5166" s="3272">
        <v>17</v>
      </c>
      <c r="D5166" s="3272">
        <v>5534497.3344477201</v>
      </c>
      <c r="E5166" s="3273">
        <v>1873638.8246276099</v>
      </c>
      <c r="F5166" s="3274">
        <v>1.7385442617322801E-2</v>
      </c>
      <c r="G5166" s="3275">
        <v>5.9263043647146E-3</v>
      </c>
    </row>
    <row r="5167" spans="1:7" x14ac:dyDescent="0.25">
      <c r="A5167" s="11" t="s">
        <v>6417</v>
      </c>
      <c r="B5167" s="11" t="s">
        <v>6419</v>
      </c>
      <c r="C5167" s="3276">
        <v>185711</v>
      </c>
      <c r="D5167" s="3276">
        <v>31834089337.093899</v>
      </c>
      <c r="E5167" s="3277">
        <v>0</v>
      </c>
      <c r="F5167" s="3278">
        <v>100</v>
      </c>
      <c r="G5167" s="3279">
        <v>0</v>
      </c>
    </row>
    <row r="5168" spans="1:7" x14ac:dyDescent="0.25">
      <c r="A5168" s="3729" t="s">
        <v>824</v>
      </c>
      <c r="B5168" s="3730"/>
      <c r="C5168" s="3730"/>
      <c r="D5168" s="3730"/>
      <c r="E5168" s="3730"/>
      <c r="F5168" s="3730"/>
      <c r="G5168" s="3730"/>
    </row>
    <row r="5169" spans="1:7" x14ac:dyDescent="0.25">
      <c r="A5169" s="11" t="s">
        <v>1098</v>
      </c>
      <c r="B5169" s="11" t="s">
        <v>6200</v>
      </c>
      <c r="C5169" s="3284">
        <v>6</v>
      </c>
      <c r="D5169" s="3284">
        <v>1497872.53152556</v>
      </c>
      <c r="E5169" s="3285">
        <v>941964.70695078198</v>
      </c>
      <c r="F5169" s="3286">
        <v>100</v>
      </c>
      <c r="G5169" s="3287">
        <v>0</v>
      </c>
    </row>
    <row r="5170" spans="1:7" x14ac:dyDescent="0.25">
      <c r="A5170" s="6" t="s">
        <v>1088</v>
      </c>
      <c r="B5170" s="6" t="s">
        <v>1089</v>
      </c>
      <c r="C5170" s="3280">
        <v>185665</v>
      </c>
      <c r="D5170" s="3280">
        <v>31819192023.769199</v>
      </c>
      <c r="E5170" s="3281">
        <v>296496182.86008501</v>
      </c>
      <c r="F5170" s="3282">
        <v>99.957906534854203</v>
      </c>
      <c r="G5170" s="3283">
        <v>1.12050433277061E-2</v>
      </c>
    </row>
    <row r="5171" spans="1:7" x14ac:dyDescent="0.25">
      <c r="A5171" s="11" t="s">
        <v>1102</v>
      </c>
      <c r="B5171" s="11" t="s">
        <v>1103</v>
      </c>
      <c r="C5171" s="3284">
        <v>40</v>
      </c>
      <c r="D5171" s="3284">
        <v>13399440.7931381</v>
      </c>
      <c r="E5171" s="3285">
        <v>3622126.7837420399</v>
      </c>
      <c r="F5171" s="3286">
        <v>4.20934651457925E-2</v>
      </c>
      <c r="G5171" s="3287">
        <v>1.12050433277025E-2</v>
      </c>
    </row>
    <row r="5172" spans="1:7" x14ac:dyDescent="0.25">
      <c r="A5172" s="6" t="s">
        <v>6417</v>
      </c>
      <c r="B5172" s="6" t="s">
        <v>6418</v>
      </c>
      <c r="C5172" s="3280">
        <v>6</v>
      </c>
      <c r="D5172" s="3280">
        <v>1497872.53152556</v>
      </c>
      <c r="E5172" s="3281">
        <v>941964.70695078198</v>
      </c>
      <c r="F5172" s="3282">
        <v>4.7052469937633899E-3</v>
      </c>
      <c r="G5172" s="3283">
        <v>2.9630107976227598E-3</v>
      </c>
    </row>
    <row r="5173" spans="1:7" x14ac:dyDescent="0.25">
      <c r="A5173" s="11" t="s">
        <v>6417</v>
      </c>
      <c r="B5173" s="11" t="s">
        <v>6419</v>
      </c>
      <c r="C5173" s="3284">
        <v>185711</v>
      </c>
      <c r="D5173" s="3284">
        <v>31834089337.093899</v>
      </c>
      <c r="E5173" s="3285">
        <v>0</v>
      </c>
      <c r="F5173" s="3286">
        <v>100</v>
      </c>
      <c r="G5173" s="3287">
        <v>0</v>
      </c>
    </row>
    <row r="5174" spans="1:7" x14ac:dyDescent="0.25">
      <c r="A5174" s="3729" t="s">
        <v>826</v>
      </c>
      <c r="B5174" s="3730"/>
      <c r="C5174" s="3730"/>
      <c r="D5174" s="3730"/>
      <c r="E5174" s="3730"/>
      <c r="F5174" s="3730"/>
      <c r="G5174" s="3730"/>
    </row>
    <row r="5175" spans="1:7" x14ac:dyDescent="0.25">
      <c r="A5175" s="11" t="s">
        <v>1100</v>
      </c>
      <c r="B5175" s="11" t="s">
        <v>6201</v>
      </c>
      <c r="C5175" s="3292">
        <v>8</v>
      </c>
      <c r="D5175" s="3292">
        <v>2259013.1117556798</v>
      </c>
      <c r="E5175" s="3293">
        <v>840213.41521546396</v>
      </c>
      <c r="F5175" s="3294">
        <v>100</v>
      </c>
      <c r="G5175" s="3295">
        <v>0</v>
      </c>
    </row>
    <row r="5176" spans="1:7" x14ac:dyDescent="0.25">
      <c r="A5176" s="6" t="s">
        <v>1088</v>
      </c>
      <c r="B5176" s="6" t="s">
        <v>1089</v>
      </c>
      <c r="C5176" s="3288">
        <v>185663</v>
      </c>
      <c r="D5176" s="3288">
        <v>31818430883.188999</v>
      </c>
      <c r="E5176" s="3289">
        <v>296046691.98651099</v>
      </c>
      <c r="F5176" s="3290">
        <v>99.957905528344597</v>
      </c>
      <c r="G5176" s="3291">
        <v>1.1205687906803499E-2</v>
      </c>
    </row>
    <row r="5177" spans="1:7" x14ac:dyDescent="0.25">
      <c r="A5177" s="11" t="s">
        <v>1102</v>
      </c>
      <c r="B5177" s="11" t="s">
        <v>1103</v>
      </c>
      <c r="C5177" s="3292">
        <v>40</v>
      </c>
      <c r="D5177" s="3292">
        <v>13399440.7931381</v>
      </c>
      <c r="E5177" s="3293">
        <v>3622126.7837420399</v>
      </c>
      <c r="F5177" s="3294">
        <v>4.2094471655445199E-2</v>
      </c>
      <c r="G5177" s="3295">
        <v>1.12056879068056E-2</v>
      </c>
    </row>
    <row r="5178" spans="1:7" x14ac:dyDescent="0.25">
      <c r="A5178" s="6" t="s">
        <v>6417</v>
      </c>
      <c r="B5178" s="6" t="s">
        <v>6418</v>
      </c>
      <c r="C5178" s="3288">
        <v>8</v>
      </c>
      <c r="D5178" s="3288">
        <v>2259013.1117556798</v>
      </c>
      <c r="E5178" s="3289">
        <v>840213.41521546396</v>
      </c>
      <c r="F5178" s="3290">
        <v>7.0962077408114003E-3</v>
      </c>
      <c r="G5178" s="3291">
        <v>2.6134571622028402E-3</v>
      </c>
    </row>
    <row r="5179" spans="1:7" x14ac:dyDescent="0.25">
      <c r="A5179" s="11" t="s">
        <v>6417</v>
      </c>
      <c r="B5179" s="11" t="s">
        <v>6419</v>
      </c>
      <c r="C5179" s="3292">
        <v>185711</v>
      </c>
      <c r="D5179" s="3292">
        <v>31834089337.093899</v>
      </c>
      <c r="E5179" s="3293">
        <v>0</v>
      </c>
      <c r="F5179" s="3294">
        <v>100</v>
      </c>
      <c r="G5179" s="3295">
        <v>0</v>
      </c>
    </row>
    <row r="5180" spans="1:7" x14ac:dyDescent="0.25">
      <c r="A5180" s="3729" t="s">
        <v>828</v>
      </c>
      <c r="B5180" s="3730"/>
      <c r="C5180" s="3730"/>
      <c r="D5180" s="3730"/>
      <c r="E5180" s="3730"/>
      <c r="F5180" s="3730"/>
      <c r="G5180" s="3730"/>
    </row>
    <row r="5181" spans="1:7" x14ac:dyDescent="0.25">
      <c r="A5181" s="11" t="s">
        <v>1088</v>
      </c>
      <c r="B5181" s="11" t="s">
        <v>1089</v>
      </c>
      <c r="C5181" s="3300">
        <v>185671</v>
      </c>
      <c r="D5181" s="3300">
        <v>31820689896.3008</v>
      </c>
      <c r="E5181" s="3301">
        <v>296354075.18137699</v>
      </c>
      <c r="F5181" s="3302">
        <v>99.957908515455699</v>
      </c>
      <c r="G5181" s="3303">
        <v>1.12044844005259E-2</v>
      </c>
    </row>
    <row r="5182" spans="1:7" x14ac:dyDescent="0.25">
      <c r="A5182" s="6" t="s">
        <v>1102</v>
      </c>
      <c r="B5182" s="6" t="s">
        <v>1103</v>
      </c>
      <c r="C5182" s="3296">
        <v>40</v>
      </c>
      <c r="D5182" s="3296">
        <v>13399440.7931381</v>
      </c>
      <c r="E5182" s="3297">
        <v>3622126.7837420399</v>
      </c>
      <c r="F5182" s="3298">
        <v>4.2091484544289098E-2</v>
      </c>
      <c r="G5182" s="3299">
        <v>1.1204484400531499E-2</v>
      </c>
    </row>
    <row r="5183" spans="1:7" x14ac:dyDescent="0.25">
      <c r="A5183" s="11" t="s">
        <v>6417</v>
      </c>
      <c r="B5183" s="11" t="s">
        <v>6418</v>
      </c>
      <c r="C5183" s="3300">
        <v>0</v>
      </c>
      <c r="D5183" s="3300">
        <v>0</v>
      </c>
      <c r="E5183" s="3301">
        <v>0</v>
      </c>
      <c r="F5183" s="3302">
        <v>0</v>
      </c>
      <c r="G5183" s="3303">
        <v>0</v>
      </c>
    </row>
    <row r="5184" spans="1:7" x14ac:dyDescent="0.25">
      <c r="A5184" s="6" t="s">
        <v>6417</v>
      </c>
      <c r="B5184" s="6" t="s">
        <v>6419</v>
      </c>
      <c r="C5184" s="3296">
        <v>185711</v>
      </c>
      <c r="D5184" s="3296">
        <v>31834089337.093899</v>
      </c>
      <c r="E5184" s="3297">
        <v>0</v>
      </c>
      <c r="F5184" s="3298">
        <v>100</v>
      </c>
      <c r="G5184" s="3299">
        <v>0</v>
      </c>
    </row>
    <row r="5185" spans="1:7" x14ac:dyDescent="0.25">
      <c r="A5185" s="3729" t="s">
        <v>830</v>
      </c>
      <c r="B5185" s="3730"/>
      <c r="C5185" s="3730"/>
      <c r="D5185" s="3730"/>
      <c r="E5185" s="3730"/>
      <c r="F5185" s="3730"/>
      <c r="G5185" s="3730"/>
    </row>
    <row r="5186" spans="1:7" x14ac:dyDescent="0.25">
      <c r="A5186" s="11" t="s">
        <v>1119</v>
      </c>
      <c r="B5186" s="11" t="s">
        <v>6203</v>
      </c>
      <c r="C5186" s="3308">
        <v>5</v>
      </c>
      <c r="D5186" s="3308">
        <v>929522.25490864005</v>
      </c>
      <c r="E5186" s="3309">
        <v>931554.00586903095</v>
      </c>
      <c r="F5186" s="3310">
        <v>100</v>
      </c>
      <c r="G5186" s="3311" t="e">
        <v>#NUM!</v>
      </c>
    </row>
    <row r="5187" spans="1:7" x14ac:dyDescent="0.25">
      <c r="A5187" s="6" t="s">
        <v>1088</v>
      </c>
      <c r="B5187" s="6" t="s">
        <v>1089</v>
      </c>
      <c r="C5187" s="3304">
        <v>185666</v>
      </c>
      <c r="D5187" s="3304">
        <v>31819760374.045898</v>
      </c>
      <c r="E5187" s="3305">
        <v>296557563.83431202</v>
      </c>
      <c r="F5187" s="3306">
        <v>99.957907286392299</v>
      </c>
      <c r="G5187" s="3307">
        <v>1.1204493446891299E-2</v>
      </c>
    </row>
    <row r="5188" spans="1:7" x14ac:dyDescent="0.25">
      <c r="A5188" s="11" t="s">
        <v>1102</v>
      </c>
      <c r="B5188" s="11" t="s">
        <v>1103</v>
      </c>
      <c r="C5188" s="3308">
        <v>40</v>
      </c>
      <c r="D5188" s="3308">
        <v>13399440.7931381</v>
      </c>
      <c r="E5188" s="3309">
        <v>3622126.7837420399</v>
      </c>
      <c r="F5188" s="3310">
        <v>4.2092713607688903E-2</v>
      </c>
      <c r="G5188" s="3311">
        <v>1.1204493446894601E-2</v>
      </c>
    </row>
    <row r="5189" spans="1:7" x14ac:dyDescent="0.25">
      <c r="A5189" s="6" t="s">
        <v>6417</v>
      </c>
      <c r="B5189" s="6" t="s">
        <v>6418</v>
      </c>
      <c r="C5189" s="3304">
        <v>5</v>
      </c>
      <c r="D5189" s="3304">
        <v>929522.25490864005</v>
      </c>
      <c r="E5189" s="3305">
        <v>931554.00586903095</v>
      </c>
      <c r="F5189" s="3306">
        <v>2.9198958546162502E-3</v>
      </c>
      <c r="G5189" s="3307">
        <v>2.92508942790248E-3</v>
      </c>
    </row>
    <row r="5190" spans="1:7" x14ac:dyDescent="0.25">
      <c r="A5190" s="11" t="s">
        <v>6417</v>
      </c>
      <c r="B5190" s="11" t="s">
        <v>6419</v>
      </c>
      <c r="C5190" s="3308">
        <v>185711</v>
      </c>
      <c r="D5190" s="3308">
        <v>31834089337.093899</v>
      </c>
      <c r="E5190" s="3309">
        <v>0</v>
      </c>
      <c r="F5190" s="3310">
        <v>100</v>
      </c>
      <c r="G5190" s="3311">
        <v>0</v>
      </c>
    </row>
    <row r="5191" spans="1:7" x14ac:dyDescent="0.25">
      <c r="A5191" s="3729" t="s">
        <v>832</v>
      </c>
      <c r="B5191" s="3730"/>
      <c r="C5191" s="3730"/>
      <c r="D5191" s="3730"/>
      <c r="E5191" s="3730"/>
      <c r="F5191" s="3730"/>
      <c r="G5191" s="3730"/>
    </row>
    <row r="5192" spans="1:7" x14ac:dyDescent="0.25">
      <c r="A5192" s="11" t="s">
        <v>1088</v>
      </c>
      <c r="B5192" s="11" t="s">
        <v>1089</v>
      </c>
      <c r="C5192" s="3316">
        <v>185671</v>
      </c>
      <c r="D5192" s="3316">
        <v>31820689896.3008</v>
      </c>
      <c r="E5192" s="3317">
        <v>296354075.18137699</v>
      </c>
      <c r="F5192" s="3318">
        <v>99.957908515455699</v>
      </c>
      <c r="G5192" s="3319">
        <v>1.12044844005259E-2</v>
      </c>
    </row>
    <row r="5193" spans="1:7" x14ac:dyDescent="0.25">
      <c r="A5193" s="6" t="s">
        <v>1102</v>
      </c>
      <c r="B5193" s="6" t="s">
        <v>1103</v>
      </c>
      <c r="C5193" s="3312">
        <v>40</v>
      </c>
      <c r="D5193" s="3312">
        <v>13399440.7931381</v>
      </c>
      <c r="E5193" s="3313">
        <v>3622126.7837420399</v>
      </c>
      <c r="F5193" s="3314">
        <v>4.2091484544289098E-2</v>
      </c>
      <c r="G5193" s="3315">
        <v>1.1204484400531499E-2</v>
      </c>
    </row>
    <row r="5194" spans="1:7" x14ac:dyDescent="0.25">
      <c r="A5194" s="11" t="s">
        <v>6417</v>
      </c>
      <c r="B5194" s="11" t="s">
        <v>6418</v>
      </c>
      <c r="C5194" s="3316">
        <v>0</v>
      </c>
      <c r="D5194" s="3316">
        <v>0</v>
      </c>
      <c r="E5194" s="3317">
        <v>0</v>
      </c>
      <c r="F5194" s="3318">
        <v>0</v>
      </c>
      <c r="G5194" s="3319">
        <v>0</v>
      </c>
    </row>
    <row r="5195" spans="1:7" x14ac:dyDescent="0.25">
      <c r="A5195" s="6" t="s">
        <v>6417</v>
      </c>
      <c r="B5195" s="6" t="s">
        <v>6419</v>
      </c>
      <c r="C5195" s="3312">
        <v>185711</v>
      </c>
      <c r="D5195" s="3312">
        <v>31834089337.093899</v>
      </c>
      <c r="E5195" s="3313">
        <v>0</v>
      </c>
      <c r="F5195" s="3314">
        <v>100</v>
      </c>
      <c r="G5195" s="3315">
        <v>0</v>
      </c>
    </row>
    <row r="5196" spans="1:7" x14ac:dyDescent="0.25">
      <c r="A5196" s="3729" t="s">
        <v>796</v>
      </c>
      <c r="B5196" s="3730"/>
      <c r="C5196" s="3730"/>
      <c r="D5196" s="3730"/>
      <c r="E5196" s="3730"/>
      <c r="F5196" s="3730"/>
      <c r="G5196" s="3730"/>
    </row>
    <row r="5197" spans="1:7" x14ac:dyDescent="0.25">
      <c r="A5197" s="11" t="s">
        <v>1123</v>
      </c>
      <c r="B5197" s="11" t="s">
        <v>6205</v>
      </c>
      <c r="C5197" s="3324">
        <v>7</v>
      </c>
      <c r="D5197" s="3324">
        <v>2291998.2850801498</v>
      </c>
      <c r="E5197" s="3325">
        <v>1188716.7475782901</v>
      </c>
      <c r="F5197" s="3326">
        <v>100</v>
      </c>
      <c r="G5197" s="3327">
        <v>0</v>
      </c>
    </row>
    <row r="5198" spans="1:7" x14ac:dyDescent="0.25">
      <c r="A5198" s="6" t="s">
        <v>1088</v>
      </c>
      <c r="B5198" s="6" t="s">
        <v>1089</v>
      </c>
      <c r="C5198" s="3320">
        <v>185664</v>
      </c>
      <c r="D5198" s="3320">
        <v>31818397898.015701</v>
      </c>
      <c r="E5198" s="3321">
        <v>295449681.92814302</v>
      </c>
      <c r="F5198" s="3322">
        <v>99.957905484724904</v>
      </c>
      <c r="G5198" s="3323">
        <v>1.1205820574469999E-2</v>
      </c>
    </row>
    <row r="5199" spans="1:7" x14ac:dyDescent="0.25">
      <c r="A5199" s="11" t="s">
        <v>1102</v>
      </c>
      <c r="B5199" s="11" t="s">
        <v>1103</v>
      </c>
      <c r="C5199" s="3324">
        <v>40</v>
      </c>
      <c r="D5199" s="3324">
        <v>13399440.7931381</v>
      </c>
      <c r="E5199" s="3325">
        <v>3622126.7837420399</v>
      </c>
      <c r="F5199" s="3326">
        <v>4.2094515275145003E-2</v>
      </c>
      <c r="G5199" s="3327">
        <v>1.12058205744689E-2</v>
      </c>
    </row>
    <row r="5200" spans="1:7" x14ac:dyDescent="0.25">
      <c r="A5200" s="6" t="s">
        <v>6417</v>
      </c>
      <c r="B5200" s="6" t="s">
        <v>6418</v>
      </c>
      <c r="C5200" s="3320">
        <v>7</v>
      </c>
      <c r="D5200" s="3320">
        <v>2291998.2850801498</v>
      </c>
      <c r="E5200" s="3321">
        <v>1188716.7475782901</v>
      </c>
      <c r="F5200" s="3322">
        <v>7.19982362557942E-3</v>
      </c>
      <c r="G5200" s="3323">
        <v>3.6879654789206298E-3</v>
      </c>
    </row>
    <row r="5201" spans="1:7" x14ac:dyDescent="0.25">
      <c r="A5201" s="11" t="s">
        <v>6417</v>
      </c>
      <c r="B5201" s="11" t="s">
        <v>6419</v>
      </c>
      <c r="C5201" s="3324">
        <v>185711</v>
      </c>
      <c r="D5201" s="3324">
        <v>31834089337.093899</v>
      </c>
      <c r="E5201" s="3325">
        <v>0</v>
      </c>
      <c r="F5201" s="3326">
        <v>100</v>
      </c>
      <c r="G5201" s="3327">
        <v>0</v>
      </c>
    </row>
    <row r="5202" spans="1:7" x14ac:dyDescent="0.25">
      <c r="A5202" s="3729" t="s">
        <v>798</v>
      </c>
      <c r="B5202" s="3730"/>
      <c r="C5202" s="3730"/>
      <c r="D5202" s="3730"/>
      <c r="E5202" s="3730"/>
      <c r="F5202" s="3730"/>
      <c r="G5202" s="3730"/>
    </row>
    <row r="5203" spans="1:7" x14ac:dyDescent="0.25">
      <c r="A5203" s="11" t="s">
        <v>1125</v>
      </c>
      <c r="B5203" s="11" t="s">
        <v>6206</v>
      </c>
      <c r="C5203" s="3332">
        <v>283</v>
      </c>
      <c r="D5203" s="3332">
        <v>114269634.762034</v>
      </c>
      <c r="E5203" s="3333">
        <v>14153521.6297566</v>
      </c>
      <c r="F5203" s="3334">
        <v>100</v>
      </c>
      <c r="G5203" s="3335">
        <v>0</v>
      </c>
    </row>
    <row r="5204" spans="1:7" x14ac:dyDescent="0.25">
      <c r="A5204" s="6" t="s">
        <v>1088</v>
      </c>
      <c r="B5204" s="6" t="s">
        <v>1089</v>
      </c>
      <c r="C5204" s="3328">
        <v>185388</v>
      </c>
      <c r="D5204" s="3328">
        <v>31706420261.5387</v>
      </c>
      <c r="E5204" s="3329">
        <v>292335370.79367501</v>
      </c>
      <c r="F5204" s="3330">
        <v>99.957756882230498</v>
      </c>
      <c r="G5204" s="3331">
        <v>1.12419955765234E-2</v>
      </c>
    </row>
    <row r="5205" spans="1:7" x14ac:dyDescent="0.25">
      <c r="A5205" s="11" t="s">
        <v>1102</v>
      </c>
      <c r="B5205" s="11" t="s">
        <v>1103</v>
      </c>
      <c r="C5205" s="3332">
        <v>40</v>
      </c>
      <c r="D5205" s="3332">
        <v>13399440.7931381</v>
      </c>
      <c r="E5205" s="3333">
        <v>3622126.7837420399</v>
      </c>
      <c r="F5205" s="3334">
        <v>4.2243117769528299E-2</v>
      </c>
      <c r="G5205" s="3335">
        <v>1.1241995576523601E-2</v>
      </c>
    </row>
    <row r="5206" spans="1:7" x14ac:dyDescent="0.25">
      <c r="A5206" s="6" t="s">
        <v>6417</v>
      </c>
      <c r="B5206" s="6" t="s">
        <v>6418</v>
      </c>
      <c r="C5206" s="3328">
        <v>283</v>
      </c>
      <c r="D5206" s="3328">
        <v>114269634.762034</v>
      </c>
      <c r="E5206" s="3329">
        <v>14153521.6297566</v>
      </c>
      <c r="F5206" s="3330">
        <v>0.35895367871850498</v>
      </c>
      <c r="G5206" s="3331">
        <v>4.3459759560779597E-2</v>
      </c>
    </row>
    <row r="5207" spans="1:7" x14ac:dyDescent="0.25">
      <c r="A5207" s="11" t="s">
        <v>6417</v>
      </c>
      <c r="B5207" s="11" t="s">
        <v>6419</v>
      </c>
      <c r="C5207" s="3332">
        <v>185711</v>
      </c>
      <c r="D5207" s="3332">
        <v>31834089337.093899</v>
      </c>
      <c r="E5207" s="3333">
        <v>0</v>
      </c>
      <c r="F5207" s="3334">
        <v>100</v>
      </c>
      <c r="G5207" s="3335">
        <v>0</v>
      </c>
    </row>
    <row r="5208" spans="1:7" x14ac:dyDescent="0.25">
      <c r="A5208" s="3729" t="s">
        <v>800</v>
      </c>
      <c r="B5208" s="3730"/>
      <c r="C5208" s="3730"/>
      <c r="D5208" s="3730"/>
      <c r="E5208" s="3730"/>
      <c r="F5208" s="3730"/>
      <c r="G5208" s="3730"/>
    </row>
    <row r="5209" spans="1:7" x14ac:dyDescent="0.25">
      <c r="A5209" s="11" t="s">
        <v>1127</v>
      </c>
      <c r="B5209" s="11" t="s">
        <v>6186</v>
      </c>
      <c r="C5209" s="3340">
        <v>22</v>
      </c>
      <c r="D5209" s="3340">
        <v>3993153.6550670201</v>
      </c>
      <c r="E5209" s="3341">
        <v>2413216.8012993899</v>
      </c>
      <c r="F5209" s="3342">
        <v>100</v>
      </c>
      <c r="G5209" s="3343">
        <v>0</v>
      </c>
    </row>
    <row r="5210" spans="1:7" x14ac:dyDescent="0.25">
      <c r="A5210" s="6" t="s">
        <v>1088</v>
      </c>
      <c r="B5210" s="6" t="s">
        <v>1089</v>
      </c>
      <c r="C5210" s="3336">
        <v>185649</v>
      </c>
      <c r="D5210" s="3336">
        <v>31816696742.645699</v>
      </c>
      <c r="E5210" s="3337">
        <v>296951695.705697</v>
      </c>
      <c r="F5210" s="3338">
        <v>99.957903234988905</v>
      </c>
      <c r="G5210" s="3339">
        <v>1.12049628291309E-2</v>
      </c>
    </row>
    <row r="5211" spans="1:7" x14ac:dyDescent="0.25">
      <c r="A5211" s="11" t="s">
        <v>1102</v>
      </c>
      <c r="B5211" s="11" t="s">
        <v>1103</v>
      </c>
      <c r="C5211" s="3340">
        <v>40</v>
      </c>
      <c r="D5211" s="3340">
        <v>13399440.7931381</v>
      </c>
      <c r="E5211" s="3341">
        <v>3622126.7837420399</v>
      </c>
      <c r="F5211" s="3342">
        <v>4.2096765011064602E-2</v>
      </c>
      <c r="G5211" s="3343">
        <v>1.1204962829134E-2</v>
      </c>
    </row>
    <row r="5212" spans="1:7" x14ac:dyDescent="0.25">
      <c r="A5212" s="6" t="s">
        <v>6417</v>
      </c>
      <c r="B5212" s="6" t="s">
        <v>6418</v>
      </c>
      <c r="C5212" s="3336">
        <v>22</v>
      </c>
      <c r="D5212" s="3336">
        <v>3993153.6550670201</v>
      </c>
      <c r="E5212" s="3337">
        <v>2413216.8012993899</v>
      </c>
      <c r="F5212" s="3338">
        <v>1.2543640286936299E-2</v>
      </c>
      <c r="G5212" s="3339">
        <v>7.5917565778618797E-3</v>
      </c>
    </row>
    <row r="5213" spans="1:7" x14ac:dyDescent="0.25">
      <c r="A5213" s="11" t="s">
        <v>6417</v>
      </c>
      <c r="B5213" s="11" t="s">
        <v>6419</v>
      </c>
      <c r="C5213" s="3340">
        <v>185711</v>
      </c>
      <c r="D5213" s="3340">
        <v>31834089337.093899</v>
      </c>
      <c r="E5213" s="3341">
        <v>0</v>
      </c>
      <c r="F5213" s="3342">
        <v>100</v>
      </c>
      <c r="G5213" s="3343">
        <v>0</v>
      </c>
    </row>
    <row r="5214" spans="1:7" x14ac:dyDescent="0.25">
      <c r="A5214" s="3729" t="s">
        <v>802</v>
      </c>
      <c r="B5214" s="3730"/>
      <c r="C5214" s="3730"/>
      <c r="D5214" s="3730"/>
      <c r="E5214" s="3730"/>
      <c r="F5214" s="3730"/>
      <c r="G5214" s="3730"/>
    </row>
    <row r="5215" spans="1:7" x14ac:dyDescent="0.25">
      <c r="A5215" s="11" t="s">
        <v>1129</v>
      </c>
      <c r="B5215" s="11" t="s">
        <v>6207</v>
      </c>
      <c r="C5215" s="3348">
        <v>44</v>
      </c>
      <c r="D5215" s="3348">
        <v>9878476.1396276001</v>
      </c>
      <c r="E5215" s="3349">
        <v>2588675.5345841302</v>
      </c>
      <c r="F5215" s="3350">
        <v>100</v>
      </c>
      <c r="G5215" s="3351">
        <v>0</v>
      </c>
    </row>
    <row r="5216" spans="1:7" x14ac:dyDescent="0.25">
      <c r="A5216" s="6" t="s">
        <v>1088</v>
      </c>
      <c r="B5216" s="6" t="s">
        <v>1089</v>
      </c>
      <c r="C5216" s="3344">
        <v>185627</v>
      </c>
      <c r="D5216" s="3344">
        <v>31810811420.161098</v>
      </c>
      <c r="E5216" s="3345">
        <v>296463639.347444</v>
      </c>
      <c r="F5216" s="3346">
        <v>99.957895449940096</v>
      </c>
      <c r="G5216" s="3347">
        <v>1.1207266242563799E-2</v>
      </c>
    </row>
    <row r="5217" spans="1:7" x14ac:dyDescent="0.25">
      <c r="A5217" s="11" t="s">
        <v>1102</v>
      </c>
      <c r="B5217" s="11" t="s">
        <v>1103</v>
      </c>
      <c r="C5217" s="3348">
        <v>40</v>
      </c>
      <c r="D5217" s="3348">
        <v>13399440.7931381</v>
      </c>
      <c r="E5217" s="3349">
        <v>3622126.7837420399</v>
      </c>
      <c r="F5217" s="3350">
        <v>4.2104550059961103E-2</v>
      </c>
      <c r="G5217" s="3351">
        <v>1.12072662425614E-2</v>
      </c>
    </row>
    <row r="5218" spans="1:7" x14ac:dyDescent="0.25">
      <c r="A5218" s="6" t="s">
        <v>6417</v>
      </c>
      <c r="B5218" s="6" t="s">
        <v>6418</v>
      </c>
      <c r="C5218" s="3344">
        <v>44</v>
      </c>
      <c r="D5218" s="3344">
        <v>9878476.1396276001</v>
      </c>
      <c r="E5218" s="3345">
        <v>2588675.5345841302</v>
      </c>
      <c r="F5218" s="3346">
        <v>3.1031125266451201E-2</v>
      </c>
      <c r="G5218" s="3347">
        <v>8.1454674281213908E-3</v>
      </c>
    </row>
    <row r="5219" spans="1:7" x14ac:dyDescent="0.25">
      <c r="A5219" s="11" t="s">
        <v>6417</v>
      </c>
      <c r="B5219" s="11" t="s">
        <v>6419</v>
      </c>
      <c r="C5219" s="3348">
        <v>185711</v>
      </c>
      <c r="D5219" s="3348">
        <v>31834089337.093899</v>
      </c>
      <c r="E5219" s="3349">
        <v>0</v>
      </c>
      <c r="F5219" s="3350">
        <v>100</v>
      </c>
      <c r="G5219" s="3351">
        <v>0</v>
      </c>
    </row>
    <row r="5220" spans="1:7" x14ac:dyDescent="0.25">
      <c r="A5220" s="3729" t="s">
        <v>804</v>
      </c>
      <c r="B5220" s="3730"/>
      <c r="C5220" s="3730"/>
      <c r="D5220" s="3730"/>
      <c r="E5220" s="3730"/>
      <c r="F5220" s="3730"/>
      <c r="G5220" s="3730"/>
    </row>
    <row r="5221" spans="1:7" x14ac:dyDescent="0.25">
      <c r="A5221" s="11" t="s">
        <v>1131</v>
      </c>
      <c r="B5221" s="11" t="s">
        <v>6188</v>
      </c>
      <c r="C5221" s="3356">
        <v>6</v>
      </c>
      <c r="D5221" s="3356">
        <v>1575927.21008785</v>
      </c>
      <c r="E5221" s="3357">
        <v>1154006.6420183899</v>
      </c>
      <c r="F5221" s="3358">
        <v>100</v>
      </c>
      <c r="G5221" s="3359">
        <v>0</v>
      </c>
    </row>
    <row r="5222" spans="1:7" x14ac:dyDescent="0.25">
      <c r="A5222" s="6" t="s">
        <v>1088</v>
      </c>
      <c r="B5222" s="6" t="s">
        <v>1089</v>
      </c>
      <c r="C5222" s="3352">
        <v>185665</v>
      </c>
      <c r="D5222" s="3352">
        <v>31819113969.090698</v>
      </c>
      <c r="E5222" s="3353">
        <v>296479675.60248202</v>
      </c>
      <c r="F5222" s="3354">
        <v>99.957906431639202</v>
      </c>
      <c r="G5222" s="3355">
        <v>1.12047923875021E-2</v>
      </c>
    </row>
    <row r="5223" spans="1:7" x14ac:dyDescent="0.25">
      <c r="A5223" s="11" t="s">
        <v>1102</v>
      </c>
      <c r="B5223" s="11" t="s">
        <v>1103</v>
      </c>
      <c r="C5223" s="3356">
        <v>40</v>
      </c>
      <c r="D5223" s="3356">
        <v>13399440.7931381</v>
      </c>
      <c r="E5223" s="3357">
        <v>3622126.7837420399</v>
      </c>
      <c r="F5223" s="3358">
        <v>4.2093568360761703E-2</v>
      </c>
      <c r="G5223" s="3359">
        <v>1.12047923875044E-2</v>
      </c>
    </row>
    <row r="5224" spans="1:7" x14ac:dyDescent="0.25">
      <c r="A5224" s="6" t="s">
        <v>6417</v>
      </c>
      <c r="B5224" s="6" t="s">
        <v>6418</v>
      </c>
      <c r="C5224" s="3352">
        <v>6</v>
      </c>
      <c r="D5224" s="3352">
        <v>1575927.21008785</v>
      </c>
      <c r="E5224" s="3353">
        <v>1154006.6420183899</v>
      </c>
      <c r="F5224" s="3354">
        <v>4.9504391138701096E-3</v>
      </c>
      <c r="G5224" s="3355">
        <v>3.61998286082214E-3</v>
      </c>
    </row>
    <row r="5225" spans="1:7" x14ac:dyDescent="0.25">
      <c r="A5225" s="11" t="s">
        <v>6417</v>
      </c>
      <c r="B5225" s="11" t="s">
        <v>6419</v>
      </c>
      <c r="C5225" s="3356">
        <v>185711</v>
      </c>
      <c r="D5225" s="3356">
        <v>31834089337.093899</v>
      </c>
      <c r="E5225" s="3357">
        <v>0</v>
      </c>
      <c r="F5225" s="3358">
        <v>100</v>
      </c>
      <c r="G5225" s="3359">
        <v>0</v>
      </c>
    </row>
    <row r="5226" spans="1:7" x14ac:dyDescent="0.25">
      <c r="A5226" s="3729" t="s">
        <v>806</v>
      </c>
      <c r="B5226" s="3730"/>
      <c r="C5226" s="3730"/>
      <c r="D5226" s="3730"/>
      <c r="E5226" s="3730"/>
      <c r="F5226" s="3730"/>
      <c r="G5226" s="3730"/>
    </row>
    <row r="5227" spans="1:7" x14ac:dyDescent="0.25">
      <c r="A5227" s="11" t="s">
        <v>1133</v>
      </c>
      <c r="B5227" s="11" t="s">
        <v>6189</v>
      </c>
      <c r="C5227" s="3364">
        <v>101</v>
      </c>
      <c r="D5227" s="3364">
        <v>34080920.267153203</v>
      </c>
      <c r="E5227" s="3365">
        <v>6801367.8456143402</v>
      </c>
      <c r="F5227" s="3366">
        <v>100</v>
      </c>
      <c r="G5227" s="3367">
        <v>0</v>
      </c>
    </row>
    <row r="5228" spans="1:7" x14ac:dyDescent="0.25">
      <c r="A5228" s="6" t="s">
        <v>1088</v>
      </c>
      <c r="B5228" s="6" t="s">
        <v>1089</v>
      </c>
      <c r="C5228" s="3360">
        <v>185570</v>
      </c>
      <c r="D5228" s="3360">
        <v>31786608976.033699</v>
      </c>
      <c r="E5228" s="3361">
        <v>297903059.94582802</v>
      </c>
      <c r="F5228" s="3362">
        <v>99.957863404885003</v>
      </c>
      <c r="G5228" s="3363">
        <v>1.12168453766343E-2</v>
      </c>
    </row>
    <row r="5229" spans="1:7" x14ac:dyDescent="0.25">
      <c r="A5229" s="11" t="s">
        <v>1102</v>
      </c>
      <c r="B5229" s="11" t="s">
        <v>1103</v>
      </c>
      <c r="C5229" s="3364">
        <v>40</v>
      </c>
      <c r="D5229" s="3364">
        <v>13399440.7931381</v>
      </c>
      <c r="E5229" s="3365">
        <v>3622126.7837420399</v>
      </c>
      <c r="F5229" s="3366">
        <v>4.2136595115012103E-2</v>
      </c>
      <c r="G5229" s="3367">
        <v>1.1216845376637301E-2</v>
      </c>
    </row>
    <row r="5230" spans="1:7" x14ac:dyDescent="0.25">
      <c r="A5230" s="6" t="s">
        <v>6417</v>
      </c>
      <c r="B5230" s="6" t="s">
        <v>6418</v>
      </c>
      <c r="C5230" s="3360">
        <v>101</v>
      </c>
      <c r="D5230" s="3360">
        <v>34080920.267153203</v>
      </c>
      <c r="E5230" s="3361">
        <v>6801367.8456143402</v>
      </c>
      <c r="F5230" s="3362">
        <v>0.10705794001602301</v>
      </c>
      <c r="G5230" s="3363">
        <v>2.1553333715791601E-2</v>
      </c>
    </row>
    <row r="5231" spans="1:7" x14ac:dyDescent="0.25">
      <c r="A5231" s="11" t="s">
        <v>6417</v>
      </c>
      <c r="B5231" s="11" t="s">
        <v>6419</v>
      </c>
      <c r="C5231" s="3364">
        <v>185711</v>
      </c>
      <c r="D5231" s="3364">
        <v>31834089337.093899</v>
      </c>
      <c r="E5231" s="3365">
        <v>0</v>
      </c>
      <c r="F5231" s="3366">
        <v>100</v>
      </c>
      <c r="G5231" s="3367">
        <v>0</v>
      </c>
    </row>
    <row r="5232" spans="1:7" x14ac:dyDescent="0.25">
      <c r="A5232" s="3729" t="s">
        <v>808</v>
      </c>
      <c r="B5232" s="3730"/>
      <c r="C5232" s="3730"/>
      <c r="D5232" s="3730"/>
      <c r="E5232" s="3730"/>
      <c r="F5232" s="3730"/>
      <c r="G5232" s="3730"/>
    </row>
    <row r="5233" spans="1:7" x14ac:dyDescent="0.25">
      <c r="A5233" s="11" t="s">
        <v>1135</v>
      </c>
      <c r="B5233" s="11" t="s">
        <v>6190</v>
      </c>
      <c r="C5233" s="3372">
        <v>174</v>
      </c>
      <c r="D5233" s="3372">
        <v>59735818.795314997</v>
      </c>
      <c r="E5233" s="3373">
        <v>8773485.0666001309</v>
      </c>
      <c r="F5233" s="3374">
        <v>100</v>
      </c>
      <c r="G5233" s="3375">
        <v>0</v>
      </c>
    </row>
    <row r="5234" spans="1:7" x14ac:dyDescent="0.25">
      <c r="A5234" s="6" t="s">
        <v>1088</v>
      </c>
      <c r="B5234" s="6" t="s">
        <v>1089</v>
      </c>
      <c r="C5234" s="3368">
        <v>185497</v>
      </c>
      <c r="D5234" s="3368">
        <v>31760954077.505402</v>
      </c>
      <c r="E5234" s="3369">
        <v>298274471.391164</v>
      </c>
      <c r="F5234" s="3370">
        <v>99.957829383419494</v>
      </c>
      <c r="G5234" s="3371">
        <v>1.12208040407299E-2</v>
      </c>
    </row>
    <row r="5235" spans="1:7" x14ac:dyDescent="0.25">
      <c r="A5235" s="11" t="s">
        <v>1102</v>
      </c>
      <c r="B5235" s="11" t="s">
        <v>1103</v>
      </c>
      <c r="C5235" s="3372">
        <v>40</v>
      </c>
      <c r="D5235" s="3372">
        <v>13399440.7931381</v>
      </c>
      <c r="E5235" s="3373">
        <v>3622126.7837420399</v>
      </c>
      <c r="F5235" s="3374">
        <v>4.2170616580511897E-2</v>
      </c>
      <c r="G5235" s="3375">
        <v>1.1220804040730401E-2</v>
      </c>
    </row>
    <row r="5236" spans="1:7" x14ac:dyDescent="0.25">
      <c r="A5236" s="6" t="s">
        <v>6417</v>
      </c>
      <c r="B5236" s="6" t="s">
        <v>6418</v>
      </c>
      <c r="C5236" s="3368">
        <v>174</v>
      </c>
      <c r="D5236" s="3368">
        <v>59735818.795314997</v>
      </c>
      <c r="E5236" s="3369">
        <v>8773485.0666001309</v>
      </c>
      <c r="F5236" s="3370">
        <v>0.187647330390913</v>
      </c>
      <c r="G5236" s="3371">
        <v>2.7967931065985802E-2</v>
      </c>
    </row>
    <row r="5237" spans="1:7" x14ac:dyDescent="0.25">
      <c r="A5237" s="11" t="s">
        <v>6417</v>
      </c>
      <c r="B5237" s="11" t="s">
        <v>6419</v>
      </c>
      <c r="C5237" s="3372">
        <v>185711</v>
      </c>
      <c r="D5237" s="3372">
        <v>31834089337.093899</v>
      </c>
      <c r="E5237" s="3373">
        <v>0</v>
      </c>
      <c r="F5237" s="3374">
        <v>100</v>
      </c>
      <c r="G5237" s="3375">
        <v>0</v>
      </c>
    </row>
    <row r="5238" spans="1:7" x14ac:dyDescent="0.25">
      <c r="A5238" s="3729" t="s">
        <v>810</v>
      </c>
      <c r="B5238" s="3730"/>
      <c r="C5238" s="3730"/>
      <c r="D5238" s="3730"/>
      <c r="E5238" s="3730"/>
      <c r="F5238" s="3730"/>
      <c r="G5238" s="3730"/>
    </row>
    <row r="5239" spans="1:7" x14ac:dyDescent="0.25">
      <c r="A5239" s="11" t="s">
        <v>1137</v>
      </c>
      <c r="B5239" s="11" t="s">
        <v>6191</v>
      </c>
      <c r="C5239" s="3380">
        <v>42</v>
      </c>
      <c r="D5239" s="3380">
        <v>11025876.8043835</v>
      </c>
      <c r="E5239" s="3381">
        <v>2602276.5225991802</v>
      </c>
      <c r="F5239" s="3382">
        <v>100</v>
      </c>
      <c r="G5239" s="3383">
        <v>0</v>
      </c>
    </row>
    <row r="5240" spans="1:7" x14ac:dyDescent="0.25">
      <c r="A5240" s="6" t="s">
        <v>1088</v>
      </c>
      <c r="B5240" s="6" t="s">
        <v>1089</v>
      </c>
      <c r="C5240" s="3376">
        <v>185629</v>
      </c>
      <c r="D5240" s="3376">
        <v>31809664019.496399</v>
      </c>
      <c r="E5240" s="3377">
        <v>296339429.68154299</v>
      </c>
      <c r="F5240" s="3378">
        <v>99.957893931833894</v>
      </c>
      <c r="G5240" s="3379">
        <v>1.12090425265265E-2</v>
      </c>
    </row>
    <row r="5241" spans="1:7" x14ac:dyDescent="0.25">
      <c r="A5241" s="11" t="s">
        <v>1102</v>
      </c>
      <c r="B5241" s="11" t="s">
        <v>1103</v>
      </c>
      <c r="C5241" s="3380">
        <v>40</v>
      </c>
      <c r="D5241" s="3380">
        <v>13399440.7931381</v>
      </c>
      <c r="E5241" s="3381">
        <v>3622126.7837420399</v>
      </c>
      <c r="F5241" s="3382">
        <v>4.2106068166123001E-2</v>
      </c>
      <c r="G5241" s="3383">
        <v>1.1209042526524399E-2</v>
      </c>
    </row>
    <row r="5242" spans="1:7" x14ac:dyDescent="0.25">
      <c r="A5242" s="6" t="s">
        <v>6417</v>
      </c>
      <c r="B5242" s="6" t="s">
        <v>6418</v>
      </c>
      <c r="C5242" s="3376">
        <v>42</v>
      </c>
      <c r="D5242" s="3376">
        <v>11025876.8043835</v>
      </c>
      <c r="E5242" s="3377">
        <v>2602276.5225991802</v>
      </c>
      <c r="F5242" s="3378">
        <v>3.4635439662273802E-2</v>
      </c>
      <c r="G5242" s="3379">
        <v>8.1626933102983898E-3</v>
      </c>
    </row>
    <row r="5243" spans="1:7" x14ac:dyDescent="0.25">
      <c r="A5243" s="11" t="s">
        <v>6417</v>
      </c>
      <c r="B5243" s="11" t="s">
        <v>6419</v>
      </c>
      <c r="C5243" s="3380">
        <v>185711</v>
      </c>
      <c r="D5243" s="3380">
        <v>31834089337.093899</v>
      </c>
      <c r="E5243" s="3381">
        <v>0</v>
      </c>
      <c r="F5243" s="3382">
        <v>100</v>
      </c>
      <c r="G5243" s="3383">
        <v>0</v>
      </c>
    </row>
    <row r="5244" spans="1:7" x14ac:dyDescent="0.25">
      <c r="A5244" s="3729" t="s">
        <v>812</v>
      </c>
      <c r="B5244" s="3730"/>
      <c r="C5244" s="3730"/>
      <c r="D5244" s="3730"/>
      <c r="E5244" s="3730"/>
      <c r="F5244" s="3730"/>
      <c r="G5244" s="3730"/>
    </row>
    <row r="5245" spans="1:7" x14ac:dyDescent="0.25">
      <c r="A5245" s="11" t="s">
        <v>1088</v>
      </c>
      <c r="B5245" s="11" t="s">
        <v>1089</v>
      </c>
      <c r="C5245" s="3388">
        <v>185671</v>
      </c>
      <c r="D5245" s="3388">
        <v>31820689896.3008</v>
      </c>
      <c r="E5245" s="3389">
        <v>296354075.18137699</v>
      </c>
      <c r="F5245" s="3390">
        <v>99.957908515455699</v>
      </c>
      <c r="G5245" s="3391">
        <v>1.12044844005259E-2</v>
      </c>
    </row>
    <row r="5246" spans="1:7" x14ac:dyDescent="0.25">
      <c r="A5246" s="6" t="s">
        <v>1102</v>
      </c>
      <c r="B5246" s="6" t="s">
        <v>1103</v>
      </c>
      <c r="C5246" s="3384">
        <v>40</v>
      </c>
      <c r="D5246" s="3384">
        <v>13399440.7931381</v>
      </c>
      <c r="E5246" s="3385">
        <v>3622126.7837420399</v>
      </c>
      <c r="F5246" s="3386">
        <v>4.2091484544289098E-2</v>
      </c>
      <c r="G5246" s="3387">
        <v>1.1204484400531499E-2</v>
      </c>
    </row>
    <row r="5247" spans="1:7" x14ac:dyDescent="0.25">
      <c r="A5247" s="11" t="s">
        <v>6417</v>
      </c>
      <c r="B5247" s="11" t="s">
        <v>6418</v>
      </c>
      <c r="C5247" s="3388">
        <v>0</v>
      </c>
      <c r="D5247" s="3388">
        <v>0</v>
      </c>
      <c r="E5247" s="3389">
        <v>0</v>
      </c>
      <c r="F5247" s="3390">
        <v>0</v>
      </c>
      <c r="G5247" s="3391">
        <v>0</v>
      </c>
    </row>
    <row r="5248" spans="1:7" x14ac:dyDescent="0.25">
      <c r="A5248" s="6" t="s">
        <v>6417</v>
      </c>
      <c r="B5248" s="6" t="s">
        <v>6419</v>
      </c>
      <c r="C5248" s="3384">
        <v>185711</v>
      </c>
      <c r="D5248" s="3384">
        <v>31834089337.093899</v>
      </c>
      <c r="E5248" s="3385">
        <v>0</v>
      </c>
      <c r="F5248" s="3386">
        <v>100</v>
      </c>
      <c r="G5248" s="3387">
        <v>0</v>
      </c>
    </row>
    <row r="5249" spans="1:7" x14ac:dyDescent="0.25">
      <c r="A5249" s="3729" t="s">
        <v>814</v>
      </c>
      <c r="B5249" s="3730"/>
      <c r="C5249" s="3730"/>
      <c r="D5249" s="3730"/>
      <c r="E5249" s="3730"/>
      <c r="F5249" s="3730"/>
      <c r="G5249" s="3730"/>
    </row>
    <row r="5250" spans="1:7" x14ac:dyDescent="0.25">
      <c r="A5250" s="11" t="s">
        <v>1141</v>
      </c>
      <c r="B5250" s="11" t="s">
        <v>6193</v>
      </c>
      <c r="C5250" s="3396">
        <v>44</v>
      </c>
      <c r="D5250" s="3396">
        <v>2654034.9743495099</v>
      </c>
      <c r="E5250" s="3397">
        <v>847177.89767185994</v>
      </c>
      <c r="F5250" s="3398">
        <v>100</v>
      </c>
      <c r="G5250" s="3399">
        <v>0</v>
      </c>
    </row>
    <row r="5251" spans="1:7" x14ac:dyDescent="0.25">
      <c r="A5251" s="6" t="s">
        <v>1088</v>
      </c>
      <c r="B5251" s="6" t="s">
        <v>1089</v>
      </c>
      <c r="C5251" s="3392">
        <v>185627</v>
      </c>
      <c r="D5251" s="3392">
        <v>31818035861.326401</v>
      </c>
      <c r="E5251" s="3393">
        <v>296671658.56402302</v>
      </c>
      <c r="F5251" s="3394">
        <v>99.957905005960399</v>
      </c>
      <c r="G5251" s="3395">
        <v>1.12052065624994E-2</v>
      </c>
    </row>
    <row r="5252" spans="1:7" x14ac:dyDescent="0.25">
      <c r="A5252" s="11" t="s">
        <v>1102</v>
      </c>
      <c r="B5252" s="11" t="s">
        <v>1103</v>
      </c>
      <c r="C5252" s="3396">
        <v>40</v>
      </c>
      <c r="D5252" s="3396">
        <v>13399440.7931381</v>
      </c>
      <c r="E5252" s="3397">
        <v>3622126.7837420399</v>
      </c>
      <c r="F5252" s="3398">
        <v>4.2094994039574E-2</v>
      </c>
      <c r="G5252" s="3399">
        <v>1.1205206562502699E-2</v>
      </c>
    </row>
    <row r="5253" spans="1:7" x14ac:dyDescent="0.25">
      <c r="A5253" s="6" t="s">
        <v>6417</v>
      </c>
      <c r="B5253" s="6" t="s">
        <v>6418</v>
      </c>
      <c r="C5253" s="3392">
        <v>44</v>
      </c>
      <c r="D5253" s="3392">
        <v>2654034.9743495099</v>
      </c>
      <c r="E5253" s="3393">
        <v>847177.89767185994</v>
      </c>
      <c r="F5253" s="3394">
        <v>8.3370846461028204E-3</v>
      </c>
      <c r="G5253" s="3395">
        <v>2.6870810356312501E-3</v>
      </c>
    </row>
    <row r="5254" spans="1:7" x14ac:dyDescent="0.25">
      <c r="A5254" s="11" t="s">
        <v>6417</v>
      </c>
      <c r="B5254" s="11" t="s">
        <v>6419</v>
      </c>
      <c r="C5254" s="3396">
        <v>185711</v>
      </c>
      <c r="D5254" s="3396">
        <v>31834089337.093899</v>
      </c>
      <c r="E5254" s="3397">
        <v>0</v>
      </c>
      <c r="F5254" s="3398">
        <v>100</v>
      </c>
      <c r="G5254" s="3399">
        <v>0</v>
      </c>
    </row>
    <row r="5255" spans="1:7" x14ac:dyDescent="0.25">
      <c r="A5255" s="3729" t="s">
        <v>818</v>
      </c>
      <c r="B5255" s="3730"/>
      <c r="C5255" s="3730"/>
      <c r="D5255" s="3730"/>
      <c r="E5255" s="3730"/>
      <c r="F5255" s="3730"/>
      <c r="G5255" s="3730"/>
    </row>
    <row r="5256" spans="1:7" x14ac:dyDescent="0.25">
      <c r="A5256" s="11" t="s">
        <v>1295</v>
      </c>
      <c r="B5256" s="11" t="s">
        <v>6194</v>
      </c>
      <c r="C5256" s="3404">
        <v>21</v>
      </c>
      <c r="D5256" s="3404">
        <v>11667208.427774999</v>
      </c>
      <c r="E5256" s="3405">
        <v>4291608.8013395304</v>
      </c>
      <c r="F5256" s="3406">
        <v>100</v>
      </c>
      <c r="G5256" s="3407">
        <v>0</v>
      </c>
    </row>
    <row r="5257" spans="1:7" x14ac:dyDescent="0.25">
      <c r="A5257" s="6" t="s">
        <v>1088</v>
      </c>
      <c r="B5257" s="6" t="s">
        <v>1089</v>
      </c>
      <c r="C5257" s="3400">
        <v>185650</v>
      </c>
      <c r="D5257" s="3400">
        <v>31809022687.873001</v>
      </c>
      <c r="E5257" s="3401">
        <v>296492629.13595802</v>
      </c>
      <c r="F5257" s="3402">
        <v>99.957893083251307</v>
      </c>
      <c r="G5257" s="3403">
        <v>1.12108618515391E-2</v>
      </c>
    </row>
    <row r="5258" spans="1:7" x14ac:dyDescent="0.25">
      <c r="A5258" s="11" t="s">
        <v>1102</v>
      </c>
      <c r="B5258" s="11" t="s">
        <v>1103</v>
      </c>
      <c r="C5258" s="3404">
        <v>40</v>
      </c>
      <c r="D5258" s="3404">
        <v>13399440.7931381</v>
      </c>
      <c r="E5258" s="3405">
        <v>3622126.7837420399</v>
      </c>
      <c r="F5258" s="3406">
        <v>4.21069167487024E-2</v>
      </c>
      <c r="G5258" s="3407">
        <v>1.12108618515388E-2</v>
      </c>
    </row>
    <row r="5259" spans="1:7" x14ac:dyDescent="0.25">
      <c r="A5259" s="6" t="s">
        <v>6417</v>
      </c>
      <c r="B5259" s="6" t="s">
        <v>6418</v>
      </c>
      <c r="C5259" s="3400">
        <v>21</v>
      </c>
      <c r="D5259" s="3400">
        <v>11667208.427774999</v>
      </c>
      <c r="E5259" s="3401">
        <v>4291608.8013395304</v>
      </c>
      <c r="F5259" s="3402">
        <v>3.6650046132087798E-2</v>
      </c>
      <c r="G5259" s="3403">
        <v>1.3489171496452399E-2</v>
      </c>
    </row>
    <row r="5260" spans="1:7" x14ac:dyDescent="0.25">
      <c r="A5260" s="11" t="s">
        <v>6417</v>
      </c>
      <c r="B5260" s="11" t="s">
        <v>6419</v>
      </c>
      <c r="C5260" s="3404">
        <v>185711</v>
      </c>
      <c r="D5260" s="3404">
        <v>31834089337.093899</v>
      </c>
      <c r="E5260" s="3405">
        <v>0</v>
      </c>
      <c r="F5260" s="3406">
        <v>100</v>
      </c>
      <c r="G5260" s="3407">
        <v>0</v>
      </c>
    </row>
    <row r="5261" spans="1:7" x14ac:dyDescent="0.25">
      <c r="A5261" s="3729" t="s">
        <v>836</v>
      </c>
      <c r="B5261" s="3730"/>
      <c r="C5261" s="3730"/>
      <c r="D5261" s="3730"/>
      <c r="E5261" s="3730"/>
      <c r="F5261" s="3730"/>
      <c r="G5261" s="3730"/>
    </row>
    <row r="5262" spans="1:7" x14ac:dyDescent="0.25">
      <c r="A5262" s="11" t="s">
        <v>1111</v>
      </c>
      <c r="B5262" s="11" t="s">
        <v>1112</v>
      </c>
      <c r="C5262" s="3412">
        <v>53</v>
      </c>
      <c r="D5262" s="3412">
        <v>10875715.599918401</v>
      </c>
      <c r="E5262" s="3413">
        <v>3221112.4908231702</v>
      </c>
      <c r="F5262" s="3414">
        <v>100</v>
      </c>
      <c r="G5262" s="3415">
        <v>0</v>
      </c>
    </row>
    <row r="5263" spans="1:7" x14ac:dyDescent="0.25">
      <c r="A5263" s="6" t="s">
        <v>1088</v>
      </c>
      <c r="B5263" s="6" t="s">
        <v>1089</v>
      </c>
      <c r="C5263" s="3408">
        <v>185618</v>
      </c>
      <c r="D5263" s="3408">
        <v>31809814180.700802</v>
      </c>
      <c r="E5263" s="3409">
        <v>296397561.80498803</v>
      </c>
      <c r="F5263" s="3410">
        <v>99.957894130515797</v>
      </c>
      <c r="G5263" s="3411">
        <v>1.1209557212004E-2</v>
      </c>
    </row>
    <row r="5264" spans="1:7" x14ac:dyDescent="0.25">
      <c r="A5264" s="11" t="s">
        <v>1102</v>
      </c>
      <c r="B5264" s="11" t="s">
        <v>1103</v>
      </c>
      <c r="C5264" s="3412">
        <v>40</v>
      </c>
      <c r="D5264" s="3412">
        <v>13399440.7931381</v>
      </c>
      <c r="E5264" s="3413">
        <v>3622126.7837420399</v>
      </c>
      <c r="F5264" s="3414">
        <v>4.2105869484180103E-2</v>
      </c>
      <c r="G5264" s="3415">
        <v>1.1209557212007001E-2</v>
      </c>
    </row>
    <row r="5265" spans="1:7" x14ac:dyDescent="0.25">
      <c r="A5265" s="6" t="s">
        <v>6417</v>
      </c>
      <c r="B5265" s="6" t="s">
        <v>6418</v>
      </c>
      <c r="C5265" s="3408">
        <v>53</v>
      </c>
      <c r="D5265" s="3408">
        <v>10875715.599918401</v>
      </c>
      <c r="E5265" s="3409">
        <v>3221112.4908231702</v>
      </c>
      <c r="F5265" s="3410">
        <v>3.4163740274629803E-2</v>
      </c>
      <c r="G5265" s="3411">
        <v>1.0110516257570999E-2</v>
      </c>
    </row>
    <row r="5266" spans="1:7" x14ac:dyDescent="0.25">
      <c r="A5266" s="11" t="s">
        <v>6417</v>
      </c>
      <c r="B5266" s="11" t="s">
        <v>6419</v>
      </c>
      <c r="C5266" s="3412">
        <v>185711</v>
      </c>
      <c r="D5266" s="3412">
        <v>31834089337.093899</v>
      </c>
      <c r="E5266" s="3413">
        <v>0</v>
      </c>
      <c r="F5266" s="3414">
        <v>100</v>
      </c>
      <c r="G5266" s="3415">
        <v>0</v>
      </c>
    </row>
    <row r="5267" spans="1:7" x14ac:dyDescent="0.25">
      <c r="A5267" s="3729" t="s">
        <v>834</v>
      </c>
      <c r="B5267" s="3730"/>
      <c r="C5267" s="3730"/>
      <c r="D5267" s="3730"/>
      <c r="E5267" s="3730"/>
      <c r="F5267" s="3730"/>
      <c r="G5267" s="3730"/>
    </row>
    <row r="5268" spans="1:7" x14ac:dyDescent="0.25">
      <c r="A5268" s="11" t="s">
        <v>1088</v>
      </c>
      <c r="B5268" s="11" t="s">
        <v>1089</v>
      </c>
      <c r="C5268" s="3420">
        <v>185670</v>
      </c>
      <c r="D5268" s="3420">
        <v>31820568346.530201</v>
      </c>
      <c r="E5268" s="3421">
        <v>296383945.20848</v>
      </c>
      <c r="F5268" s="3422">
        <v>99.957526692783503</v>
      </c>
      <c r="G5268" s="3423">
        <v>1.11700714065624E-2</v>
      </c>
    </row>
    <row r="5269" spans="1:7" x14ac:dyDescent="0.25">
      <c r="A5269" s="6" t="s">
        <v>1102</v>
      </c>
      <c r="B5269" s="6" t="s">
        <v>1103</v>
      </c>
      <c r="C5269" s="3416">
        <v>40</v>
      </c>
      <c r="D5269" s="3416">
        <v>13399440.7931381</v>
      </c>
      <c r="E5269" s="3417">
        <v>3622126.7837420399</v>
      </c>
      <c r="F5269" s="3418">
        <v>4.2091484544289098E-2</v>
      </c>
      <c r="G5269" s="3419">
        <v>1.1204484400531499E-2</v>
      </c>
    </row>
    <row r="5270" spans="1:7" x14ac:dyDescent="0.25">
      <c r="A5270" s="11" t="s">
        <v>1084</v>
      </c>
      <c r="B5270" s="11" t="s">
        <v>1085</v>
      </c>
      <c r="C5270" s="3420">
        <v>1</v>
      </c>
      <c r="D5270" s="3420">
        <v>121549.77059398001</v>
      </c>
      <c r="E5270" s="3421">
        <v>121284.876835642</v>
      </c>
      <c r="F5270" s="3422">
        <v>3.8182267225199699E-4</v>
      </c>
      <c r="G5270" s="3423">
        <v>3.8065385309369503E-4</v>
      </c>
    </row>
    <row r="5271" spans="1:7" x14ac:dyDescent="0.25">
      <c r="A5271" s="6" t="s">
        <v>6417</v>
      </c>
      <c r="B5271" s="6" t="s">
        <v>6418</v>
      </c>
      <c r="C5271" s="3416">
        <v>0</v>
      </c>
      <c r="D5271" s="3416">
        <v>0</v>
      </c>
      <c r="E5271" s="3417">
        <v>0</v>
      </c>
      <c r="F5271" s="3418">
        <v>0</v>
      </c>
      <c r="G5271" s="3419">
        <v>0</v>
      </c>
    </row>
    <row r="5272" spans="1:7" x14ac:dyDescent="0.25">
      <c r="A5272" s="11" t="s">
        <v>6417</v>
      </c>
      <c r="B5272" s="11" t="s">
        <v>6419</v>
      </c>
      <c r="C5272" s="3420">
        <v>185711</v>
      </c>
      <c r="D5272" s="3420">
        <v>31834089337.093899</v>
      </c>
      <c r="E5272" s="3421">
        <v>0</v>
      </c>
      <c r="F5272" s="3422">
        <v>100</v>
      </c>
      <c r="G5272" s="3423">
        <v>0</v>
      </c>
    </row>
    <row r="5273" spans="1:7" x14ac:dyDescent="0.25">
      <c r="A5273" s="3729" t="s">
        <v>838</v>
      </c>
      <c r="B5273" s="3730"/>
      <c r="C5273" s="3730"/>
      <c r="D5273" s="3730"/>
      <c r="E5273" s="3730"/>
      <c r="F5273" s="3730"/>
      <c r="G5273" s="3730"/>
    </row>
    <row r="5274" spans="1:7" x14ac:dyDescent="0.25">
      <c r="A5274" s="11" t="s">
        <v>1088</v>
      </c>
      <c r="B5274" s="11" t="s">
        <v>1089</v>
      </c>
      <c r="C5274" s="3428">
        <v>185671</v>
      </c>
      <c r="D5274" s="3428">
        <v>31820689896.3008</v>
      </c>
      <c r="E5274" s="3429">
        <v>296354075.18137699</v>
      </c>
      <c r="F5274" s="3430">
        <v>99.957908515455699</v>
      </c>
      <c r="G5274" s="3431">
        <v>1.12044844005259E-2</v>
      </c>
    </row>
    <row r="5275" spans="1:7" x14ac:dyDescent="0.25">
      <c r="A5275" s="6" t="s">
        <v>1102</v>
      </c>
      <c r="B5275" s="6" t="s">
        <v>1103</v>
      </c>
      <c r="C5275" s="3424">
        <v>40</v>
      </c>
      <c r="D5275" s="3424">
        <v>13399440.7931381</v>
      </c>
      <c r="E5275" s="3425">
        <v>3622126.7837420399</v>
      </c>
      <c r="F5275" s="3426">
        <v>4.2091484544289098E-2</v>
      </c>
      <c r="G5275" s="3427">
        <v>1.1204484400531499E-2</v>
      </c>
    </row>
    <row r="5276" spans="1:7" x14ac:dyDescent="0.25">
      <c r="A5276" s="11" t="s">
        <v>6417</v>
      </c>
      <c r="B5276" s="11" t="s">
        <v>6418</v>
      </c>
      <c r="C5276" s="3428">
        <v>0</v>
      </c>
      <c r="D5276" s="3428">
        <v>0</v>
      </c>
      <c r="E5276" s="3429">
        <v>0</v>
      </c>
      <c r="F5276" s="3430">
        <v>0</v>
      </c>
      <c r="G5276" s="3431">
        <v>0</v>
      </c>
    </row>
    <row r="5277" spans="1:7" x14ac:dyDescent="0.25">
      <c r="A5277" s="6" t="s">
        <v>6417</v>
      </c>
      <c r="B5277" s="6" t="s">
        <v>6419</v>
      </c>
      <c r="C5277" s="3424">
        <v>185711</v>
      </c>
      <c r="D5277" s="3424">
        <v>31834089337.093899</v>
      </c>
      <c r="E5277" s="3425">
        <v>0</v>
      </c>
      <c r="F5277" s="3426">
        <v>100</v>
      </c>
      <c r="G5277" s="3427">
        <v>0</v>
      </c>
    </row>
    <row r="5278" spans="1:7" x14ac:dyDescent="0.25">
      <c r="A5278" s="3729" t="s">
        <v>351</v>
      </c>
      <c r="B5278" s="3730"/>
      <c r="C5278" s="3730"/>
      <c r="D5278" s="3730"/>
      <c r="E5278" s="3730"/>
      <c r="F5278" s="3730"/>
      <c r="G5278" s="3730"/>
    </row>
    <row r="5279" spans="1:7" x14ac:dyDescent="0.25">
      <c r="A5279" s="11" t="s">
        <v>6845</v>
      </c>
      <c r="B5279" s="11"/>
      <c r="C5279" s="3436">
        <v>23</v>
      </c>
      <c r="D5279" s="3436">
        <v>4923398.8639020799</v>
      </c>
      <c r="E5279" s="3437">
        <v>1204358.89960465</v>
      </c>
      <c r="F5279" s="3438">
        <v>45.2696543842967</v>
      </c>
      <c r="G5279" s="3439">
        <v>15.184643228792201</v>
      </c>
    </row>
    <row r="5280" spans="1:7" x14ac:dyDescent="0.25">
      <c r="A5280" s="6" t="s">
        <v>6840</v>
      </c>
      <c r="B5280" s="6"/>
      <c r="C5280" s="3432">
        <v>13</v>
      </c>
      <c r="D5280" s="3432">
        <v>3555475.8657274898</v>
      </c>
      <c r="E5280" s="3433">
        <v>2481395.0647808299</v>
      </c>
      <c r="F5280" s="3434">
        <v>32.691879748622497</v>
      </c>
      <c r="G5280" s="3435">
        <v>18.539731962535701</v>
      </c>
    </row>
    <row r="5281" spans="1:7" x14ac:dyDescent="0.25">
      <c r="A5281" s="11" t="s">
        <v>6841</v>
      </c>
      <c r="B5281" s="11"/>
      <c r="C5281" s="3436">
        <v>6</v>
      </c>
      <c r="D5281" s="3436">
        <v>1553424.4649542901</v>
      </c>
      <c r="E5281" s="3437">
        <v>1033358.84930285</v>
      </c>
      <c r="F5281" s="3438">
        <v>14.2834230141688</v>
      </c>
      <c r="G5281" s="3439">
        <v>8.2510256158589108</v>
      </c>
    </row>
    <row r="5282" spans="1:7" x14ac:dyDescent="0.25">
      <c r="A5282" s="6" t="s">
        <v>6846</v>
      </c>
      <c r="B5282" s="6"/>
      <c r="C5282" s="3432">
        <v>3</v>
      </c>
      <c r="D5282" s="3432">
        <v>483504.91102654801</v>
      </c>
      <c r="E5282" s="3433">
        <v>487302.535765787</v>
      </c>
      <c r="F5282" s="3434">
        <v>4.4457296311626298</v>
      </c>
      <c r="G5282" s="3435">
        <v>5.1339407686843197</v>
      </c>
    </row>
    <row r="5283" spans="1:7" x14ac:dyDescent="0.25">
      <c r="A5283" s="11" t="s">
        <v>6844</v>
      </c>
      <c r="B5283" s="11"/>
      <c r="C5283" s="3436">
        <v>5</v>
      </c>
      <c r="D5283" s="3436">
        <v>187373.424743401</v>
      </c>
      <c r="E5283" s="3437">
        <v>187828.84026172399</v>
      </c>
      <c r="F5283" s="3438">
        <v>1.72286065245038</v>
      </c>
      <c r="G5283" s="3439">
        <v>1.9778278456721501</v>
      </c>
    </row>
    <row r="5284" spans="1:7" x14ac:dyDescent="0.25">
      <c r="A5284" s="6" t="s">
        <v>6842</v>
      </c>
      <c r="B5284" s="6"/>
      <c r="C5284" s="3432">
        <v>2</v>
      </c>
      <c r="D5284" s="3432">
        <v>172538.06956455699</v>
      </c>
      <c r="E5284" s="3433">
        <v>173217.36239574899</v>
      </c>
      <c r="F5284" s="3434">
        <v>1.5864525692989999</v>
      </c>
      <c r="G5284" s="3435">
        <v>1.7642225344962501</v>
      </c>
    </row>
    <row r="5285" spans="1:7" x14ac:dyDescent="0.25">
      <c r="A5285" s="11" t="s">
        <v>1088</v>
      </c>
      <c r="B5285" s="11" t="s">
        <v>1089</v>
      </c>
      <c r="C5285" s="3436">
        <v>185658</v>
      </c>
      <c r="D5285" s="3436">
        <v>31823213621.493999</v>
      </c>
      <c r="E5285" s="3437">
        <v>298206659.44859397</v>
      </c>
      <c r="F5285" s="3438">
        <v>100</v>
      </c>
      <c r="G5285" s="3439">
        <v>0</v>
      </c>
    </row>
    <row r="5286" spans="1:7" x14ac:dyDescent="0.25">
      <c r="A5286" s="6" t="s">
        <v>6417</v>
      </c>
      <c r="B5286" s="6" t="s">
        <v>6418</v>
      </c>
      <c r="C5286" s="3432">
        <v>52</v>
      </c>
      <c r="D5286" s="3432">
        <v>10875715.599918401</v>
      </c>
      <c r="E5286" s="3433">
        <v>3221112.4908231702</v>
      </c>
      <c r="F5286" s="3434">
        <v>3.4163740274629803E-2</v>
      </c>
      <c r="G5286" s="3435">
        <v>1.0110516257570999E-2</v>
      </c>
    </row>
    <row r="5287" spans="1:7" x14ac:dyDescent="0.25">
      <c r="A5287" s="11" t="s">
        <v>6417</v>
      </c>
      <c r="B5287" s="11" t="s">
        <v>6419</v>
      </c>
      <c r="C5287" s="3436">
        <v>185710</v>
      </c>
      <c r="D5287" s="3436">
        <v>31834089337.093899</v>
      </c>
      <c r="E5287" s="3437">
        <v>0</v>
      </c>
      <c r="F5287" s="3438">
        <v>100</v>
      </c>
      <c r="G5287" s="3439">
        <v>0</v>
      </c>
    </row>
    <row r="5288" spans="1:7" x14ac:dyDescent="0.25">
      <c r="A5288" s="3729" t="s">
        <v>478</v>
      </c>
      <c r="B5288" s="3730"/>
      <c r="C5288" s="3730"/>
      <c r="D5288" s="3730"/>
      <c r="E5288" s="3730"/>
      <c r="F5288" s="3730"/>
      <c r="G5288" s="3730"/>
    </row>
    <row r="5289" spans="1:7" x14ac:dyDescent="0.25">
      <c r="A5289" s="11" t="s">
        <v>1090</v>
      </c>
      <c r="B5289" s="11" t="s">
        <v>1179</v>
      </c>
      <c r="C5289" s="3444">
        <v>134869</v>
      </c>
      <c r="D5289" s="3444">
        <v>20071393188.721802</v>
      </c>
      <c r="E5289" s="3445">
        <v>185528970.42408499</v>
      </c>
      <c r="F5289" s="3446">
        <v>63.049999565512003</v>
      </c>
      <c r="G5289" s="3447">
        <v>0.55734303919386996</v>
      </c>
    </row>
    <row r="5290" spans="1:7" x14ac:dyDescent="0.25">
      <c r="A5290" s="6" t="s">
        <v>1092</v>
      </c>
      <c r="B5290" s="6" t="s">
        <v>1180</v>
      </c>
      <c r="C5290" s="3440">
        <v>50842</v>
      </c>
      <c r="D5290" s="3440">
        <v>11762696148.371099</v>
      </c>
      <c r="E5290" s="3441">
        <v>250512074.07257301</v>
      </c>
      <c r="F5290" s="3442">
        <v>36.950000434487997</v>
      </c>
      <c r="G5290" s="3443">
        <v>0.55734303919386596</v>
      </c>
    </row>
    <row r="5291" spans="1:7" x14ac:dyDescent="0.25">
      <c r="A5291" s="11" t="s">
        <v>6417</v>
      </c>
      <c r="B5291" s="11" t="s">
        <v>6418</v>
      </c>
      <c r="C5291" s="3444">
        <v>185711</v>
      </c>
      <c r="D5291" s="3444">
        <v>31834089337.092899</v>
      </c>
      <c r="E5291" s="3445">
        <v>298177412.671157</v>
      </c>
      <c r="F5291" s="3446">
        <v>100</v>
      </c>
      <c r="G5291" s="3447">
        <v>9.4205547521026494E-14</v>
      </c>
    </row>
    <row r="5292" spans="1:7" x14ac:dyDescent="0.25">
      <c r="A5292" s="6" t="s">
        <v>6417</v>
      </c>
      <c r="B5292" s="6" t="s">
        <v>6419</v>
      </c>
      <c r="C5292" s="3440">
        <v>185711</v>
      </c>
      <c r="D5292" s="3440">
        <v>31834089337.092899</v>
      </c>
      <c r="E5292" s="3441">
        <v>0</v>
      </c>
      <c r="F5292" s="3442">
        <v>100</v>
      </c>
      <c r="G5292" s="3443">
        <v>0</v>
      </c>
    </row>
    <row r="5293" spans="1:7" x14ac:dyDescent="0.25">
      <c r="A5293" s="3729" t="s">
        <v>492</v>
      </c>
      <c r="B5293" s="3730"/>
      <c r="C5293" s="3730"/>
      <c r="D5293" s="3730"/>
      <c r="E5293" s="3730"/>
      <c r="F5293" s="3730"/>
      <c r="G5293" s="3730"/>
    </row>
    <row r="5294" spans="1:7" x14ac:dyDescent="0.25">
      <c r="A5294" s="11" t="s">
        <v>1092</v>
      </c>
      <c r="B5294" s="11" t="s">
        <v>1180</v>
      </c>
      <c r="C5294" s="3452">
        <v>68242</v>
      </c>
      <c r="D5294" s="3452">
        <v>15226722554.003099</v>
      </c>
      <c r="E5294" s="3453">
        <v>197418787.62812901</v>
      </c>
      <c r="F5294" s="3454">
        <v>53.224740049817498</v>
      </c>
      <c r="G5294" s="3455">
        <v>0.41283283621470102</v>
      </c>
    </row>
    <row r="5295" spans="1:7" x14ac:dyDescent="0.25">
      <c r="A5295" s="6" t="s">
        <v>1090</v>
      </c>
      <c r="B5295" s="6" t="s">
        <v>1179</v>
      </c>
      <c r="C5295" s="3448">
        <v>85157</v>
      </c>
      <c r="D5295" s="3448">
        <v>13381632394.750299</v>
      </c>
      <c r="E5295" s="3449">
        <v>157128309.64387599</v>
      </c>
      <c r="F5295" s="3450">
        <v>46.775259950182502</v>
      </c>
      <c r="G5295" s="3451">
        <v>0.41283283621469902</v>
      </c>
    </row>
    <row r="5296" spans="1:7" x14ac:dyDescent="0.25">
      <c r="A5296" s="11" t="s">
        <v>1088</v>
      </c>
      <c r="B5296" s="11" t="s">
        <v>1089</v>
      </c>
      <c r="C5296" s="3452">
        <v>32312</v>
      </c>
      <c r="D5296" s="3452">
        <v>3225734388.3399901</v>
      </c>
      <c r="E5296" s="3453">
        <v>72266533.129629999</v>
      </c>
      <c r="F5296" s="3454">
        <v>100</v>
      </c>
      <c r="G5296" s="3455">
        <v>0</v>
      </c>
    </row>
    <row r="5297" spans="1:7" x14ac:dyDescent="0.25">
      <c r="A5297" s="6" t="s">
        <v>6417</v>
      </c>
      <c r="B5297" s="6" t="s">
        <v>6418</v>
      </c>
      <c r="C5297" s="3448">
        <v>153399</v>
      </c>
      <c r="D5297" s="3448">
        <v>28608354948.753399</v>
      </c>
      <c r="E5297" s="3449">
        <v>264164300.543576</v>
      </c>
      <c r="F5297" s="3450">
        <v>89.8670436142135</v>
      </c>
      <c r="G5297" s="3451">
        <v>0.189923989758256</v>
      </c>
    </row>
    <row r="5298" spans="1:7" x14ac:dyDescent="0.25">
      <c r="A5298" s="11" t="s">
        <v>6417</v>
      </c>
      <c r="B5298" s="11" t="s">
        <v>6419</v>
      </c>
      <c r="C5298" s="3452">
        <v>185711</v>
      </c>
      <c r="D5298" s="3452">
        <v>31834089337.093399</v>
      </c>
      <c r="E5298" s="3453">
        <v>0</v>
      </c>
      <c r="F5298" s="3454">
        <v>100</v>
      </c>
      <c r="G5298" s="3455">
        <v>0</v>
      </c>
    </row>
    <row r="5299" spans="1:7" x14ac:dyDescent="0.25">
      <c r="A5299" s="3729" t="s">
        <v>494</v>
      </c>
      <c r="B5299" s="3730"/>
      <c r="C5299" s="3730"/>
      <c r="D5299" s="3730"/>
      <c r="E5299" s="3730"/>
      <c r="F5299" s="3730"/>
      <c r="G5299" s="3730"/>
    </row>
    <row r="5300" spans="1:7" x14ac:dyDescent="0.25">
      <c r="A5300" s="11" t="s">
        <v>1092</v>
      </c>
      <c r="B5300" s="11" t="s">
        <v>1180</v>
      </c>
      <c r="C5300" s="3460">
        <v>43847</v>
      </c>
      <c r="D5300" s="3460">
        <v>12643884651.192301</v>
      </c>
      <c r="E5300" s="3461">
        <v>169403743.73852399</v>
      </c>
      <c r="F5300" s="3462">
        <v>60.111392497768698</v>
      </c>
      <c r="G5300" s="3463">
        <v>0.45546569910728102</v>
      </c>
    </row>
    <row r="5301" spans="1:7" x14ac:dyDescent="0.25">
      <c r="A5301" s="6" t="s">
        <v>1090</v>
      </c>
      <c r="B5301" s="6" t="s">
        <v>1179</v>
      </c>
      <c r="C5301" s="3456">
        <v>34384</v>
      </c>
      <c r="D5301" s="3456">
        <v>8390205769.6237698</v>
      </c>
      <c r="E5301" s="3457">
        <v>129883890.10188299</v>
      </c>
      <c r="F5301" s="3458">
        <v>39.888607502231302</v>
      </c>
      <c r="G5301" s="3459">
        <v>0.45546569910728202</v>
      </c>
    </row>
    <row r="5302" spans="1:7" x14ac:dyDescent="0.25">
      <c r="A5302" s="11" t="s">
        <v>1088</v>
      </c>
      <c r="B5302" s="11" t="s">
        <v>1089</v>
      </c>
      <c r="C5302" s="3460">
        <v>107480</v>
      </c>
      <c r="D5302" s="3460">
        <v>10799998916.277399</v>
      </c>
      <c r="E5302" s="3461">
        <v>148893344.73511699</v>
      </c>
      <c r="F5302" s="3462">
        <v>100</v>
      </c>
      <c r="G5302" s="3463">
        <v>0</v>
      </c>
    </row>
    <row r="5303" spans="1:7" x14ac:dyDescent="0.25">
      <c r="A5303" s="6" t="s">
        <v>6417</v>
      </c>
      <c r="B5303" s="6" t="s">
        <v>6418</v>
      </c>
      <c r="C5303" s="3456">
        <v>78231</v>
      </c>
      <c r="D5303" s="3456">
        <v>21034090420.816101</v>
      </c>
      <c r="E5303" s="3457">
        <v>227270368.87039101</v>
      </c>
      <c r="F5303" s="3458">
        <v>66.074107533231398</v>
      </c>
      <c r="G5303" s="3459">
        <v>0.34714410465730999</v>
      </c>
    </row>
    <row r="5304" spans="1:7" x14ac:dyDescent="0.25">
      <c r="A5304" s="11" t="s">
        <v>6417</v>
      </c>
      <c r="B5304" s="11" t="s">
        <v>6419</v>
      </c>
      <c r="C5304" s="3460">
        <v>185711</v>
      </c>
      <c r="D5304" s="3460">
        <v>31834089337.093498</v>
      </c>
      <c r="E5304" s="3461">
        <v>0</v>
      </c>
      <c r="F5304" s="3462">
        <v>100</v>
      </c>
      <c r="G5304" s="3463">
        <v>0</v>
      </c>
    </row>
    <row r="5305" spans="1:7" x14ac:dyDescent="0.25">
      <c r="A5305" s="3729" t="s">
        <v>496</v>
      </c>
      <c r="B5305" s="3730"/>
      <c r="C5305" s="3730"/>
      <c r="D5305" s="3730"/>
      <c r="E5305" s="3730"/>
      <c r="F5305" s="3730"/>
      <c r="G5305" s="3730"/>
    </row>
    <row r="5306" spans="1:7" x14ac:dyDescent="0.25">
      <c r="A5306" s="11" t="s">
        <v>1092</v>
      </c>
      <c r="B5306" s="11" t="s">
        <v>1180</v>
      </c>
      <c r="C5306" s="3468">
        <v>26109</v>
      </c>
      <c r="D5306" s="3468">
        <v>9084697571.2601299</v>
      </c>
      <c r="E5306" s="3469">
        <v>119310607.241348</v>
      </c>
      <c r="F5306" s="3470">
        <v>60.3856933740378</v>
      </c>
      <c r="G5306" s="3471">
        <v>0.83661682383636005</v>
      </c>
    </row>
    <row r="5307" spans="1:7" x14ac:dyDescent="0.25">
      <c r="A5307" s="6" t="s">
        <v>1090</v>
      </c>
      <c r="B5307" s="6" t="s">
        <v>1179</v>
      </c>
      <c r="C5307" s="3464">
        <v>21731</v>
      </c>
      <c r="D5307" s="3464">
        <v>5959755946.8740196</v>
      </c>
      <c r="E5307" s="3465">
        <v>181709828.764797</v>
      </c>
      <c r="F5307" s="3466">
        <v>39.6143066259622</v>
      </c>
      <c r="G5307" s="3467">
        <v>0.83661682383636304</v>
      </c>
    </row>
    <row r="5308" spans="1:7" x14ac:dyDescent="0.25">
      <c r="A5308" s="11" t="s">
        <v>1088</v>
      </c>
      <c r="B5308" s="11" t="s">
        <v>1089</v>
      </c>
      <c r="C5308" s="3468">
        <v>137871</v>
      </c>
      <c r="D5308" s="3468">
        <v>16789635818.959801</v>
      </c>
      <c r="E5308" s="3469">
        <v>193132362.79282999</v>
      </c>
      <c r="F5308" s="3470">
        <v>100</v>
      </c>
      <c r="G5308" s="3471">
        <v>0</v>
      </c>
    </row>
    <row r="5309" spans="1:7" x14ac:dyDescent="0.25">
      <c r="A5309" s="6" t="s">
        <v>6417</v>
      </c>
      <c r="B5309" s="6" t="s">
        <v>6418</v>
      </c>
      <c r="C5309" s="3464">
        <v>47840</v>
      </c>
      <c r="D5309" s="3464">
        <v>15044453518.1341</v>
      </c>
      <c r="E5309" s="3465">
        <v>201488988.97776201</v>
      </c>
      <c r="F5309" s="3466">
        <v>47.258941064175303</v>
      </c>
      <c r="G5309" s="3467">
        <v>0.40744554573255198</v>
      </c>
    </row>
    <row r="5310" spans="1:7" x14ac:dyDescent="0.25">
      <c r="A5310" s="11" t="s">
        <v>6417</v>
      </c>
      <c r="B5310" s="11" t="s">
        <v>6419</v>
      </c>
      <c r="C5310" s="3468">
        <v>185711</v>
      </c>
      <c r="D5310" s="3468">
        <v>31834089337.093899</v>
      </c>
      <c r="E5310" s="3469">
        <v>0</v>
      </c>
      <c r="F5310" s="3470">
        <v>100</v>
      </c>
      <c r="G5310" s="3471">
        <v>0</v>
      </c>
    </row>
    <row r="5311" spans="1:7" x14ac:dyDescent="0.25">
      <c r="A5311" s="3729" t="s">
        <v>498</v>
      </c>
      <c r="B5311" s="3730"/>
      <c r="C5311" s="3730"/>
      <c r="D5311" s="3730"/>
      <c r="E5311" s="3730"/>
      <c r="F5311" s="3730"/>
      <c r="G5311" s="3730"/>
    </row>
    <row r="5312" spans="1:7" x14ac:dyDescent="0.25">
      <c r="A5312" s="11" t="s">
        <v>1092</v>
      </c>
      <c r="B5312" s="11" t="s">
        <v>1180</v>
      </c>
      <c r="C5312" s="3476">
        <v>10571</v>
      </c>
      <c r="D5312" s="3476">
        <v>4022725438.72402</v>
      </c>
      <c r="E5312" s="3477">
        <v>162908251.06819001</v>
      </c>
      <c r="F5312" s="3478">
        <v>62.578956257730702</v>
      </c>
      <c r="G5312" s="3479">
        <v>1.32567184632605</v>
      </c>
    </row>
    <row r="5313" spans="1:7" x14ac:dyDescent="0.25">
      <c r="A5313" s="6" t="s">
        <v>1090</v>
      </c>
      <c r="B5313" s="6" t="s">
        <v>1179</v>
      </c>
      <c r="C5313" s="3472">
        <v>8004</v>
      </c>
      <c r="D5313" s="3472">
        <v>2405514466.9664402</v>
      </c>
      <c r="E5313" s="3473">
        <v>156077116.33816701</v>
      </c>
      <c r="F5313" s="3474">
        <v>37.421043742269298</v>
      </c>
      <c r="G5313" s="3475">
        <v>1.32567184632605</v>
      </c>
    </row>
    <row r="5314" spans="1:7" x14ac:dyDescent="0.25">
      <c r="A5314" s="11" t="s">
        <v>1088</v>
      </c>
      <c r="B5314" s="11" t="s">
        <v>1089</v>
      </c>
      <c r="C5314" s="3476">
        <v>167136</v>
      </c>
      <c r="D5314" s="3476">
        <v>25405849431.403099</v>
      </c>
      <c r="E5314" s="3477">
        <v>410834987.30049598</v>
      </c>
      <c r="F5314" s="3478">
        <v>100</v>
      </c>
      <c r="G5314" s="3479">
        <v>0</v>
      </c>
    </row>
    <row r="5315" spans="1:7" x14ac:dyDescent="0.25">
      <c r="A5315" s="6" t="s">
        <v>6417</v>
      </c>
      <c r="B5315" s="6" t="s">
        <v>6418</v>
      </c>
      <c r="C5315" s="3472">
        <v>18575</v>
      </c>
      <c r="D5315" s="3472">
        <v>6428239905.6904602</v>
      </c>
      <c r="E5315" s="3473">
        <v>275761278.74238199</v>
      </c>
      <c r="F5315" s="3474">
        <v>20.1929442291292</v>
      </c>
      <c r="G5315" s="3475">
        <v>0.88890539175788597</v>
      </c>
    </row>
    <row r="5316" spans="1:7" x14ac:dyDescent="0.25">
      <c r="A5316" s="11" t="s">
        <v>6417</v>
      </c>
      <c r="B5316" s="11" t="s">
        <v>6419</v>
      </c>
      <c r="C5316" s="3476">
        <v>185711</v>
      </c>
      <c r="D5316" s="3476">
        <v>31834089337.093601</v>
      </c>
      <c r="E5316" s="3477">
        <v>0</v>
      </c>
      <c r="F5316" s="3478">
        <v>100</v>
      </c>
      <c r="G5316" s="3479">
        <v>0</v>
      </c>
    </row>
    <row r="5317" spans="1:7" x14ac:dyDescent="0.25">
      <c r="A5317" s="3729" t="s">
        <v>500</v>
      </c>
      <c r="B5317" s="3730"/>
      <c r="C5317" s="3730"/>
      <c r="D5317" s="3730"/>
      <c r="E5317" s="3730"/>
      <c r="F5317" s="3730"/>
      <c r="G5317" s="3730"/>
    </row>
    <row r="5318" spans="1:7" x14ac:dyDescent="0.25">
      <c r="A5318" s="11" t="s">
        <v>1092</v>
      </c>
      <c r="B5318" s="11" t="s">
        <v>1180</v>
      </c>
      <c r="C5318" s="3484">
        <v>4143</v>
      </c>
      <c r="D5318" s="3484">
        <v>1701117306.9943199</v>
      </c>
      <c r="E5318" s="3485">
        <v>127749002.50491901</v>
      </c>
      <c r="F5318" s="3486">
        <v>62.626989505906202</v>
      </c>
      <c r="G5318" s="3487">
        <v>1.87214116149346</v>
      </c>
    </row>
    <row r="5319" spans="1:7" x14ac:dyDescent="0.25">
      <c r="A5319" s="6" t="s">
        <v>1090</v>
      </c>
      <c r="B5319" s="6" t="s">
        <v>1179</v>
      </c>
      <c r="C5319" s="3480">
        <v>2929</v>
      </c>
      <c r="D5319" s="3480">
        <v>1015151382.2964</v>
      </c>
      <c r="E5319" s="3481">
        <v>116071757.237662</v>
      </c>
      <c r="F5319" s="3482">
        <v>37.373010494093798</v>
      </c>
      <c r="G5319" s="3483">
        <v>1.87214116149347</v>
      </c>
    </row>
    <row r="5320" spans="1:7" x14ac:dyDescent="0.25">
      <c r="A5320" s="11" t="s">
        <v>1088</v>
      </c>
      <c r="B5320" s="11" t="s">
        <v>1089</v>
      </c>
      <c r="C5320" s="3484">
        <v>178639</v>
      </c>
      <c r="D5320" s="3484">
        <v>29117820647.803299</v>
      </c>
      <c r="E5320" s="3485">
        <v>398612480.72630501</v>
      </c>
      <c r="F5320" s="3486">
        <v>100</v>
      </c>
      <c r="G5320" s="3487">
        <v>0</v>
      </c>
    </row>
    <row r="5321" spans="1:7" x14ac:dyDescent="0.25">
      <c r="A5321" s="6" t="s">
        <v>6417</v>
      </c>
      <c r="B5321" s="6" t="s">
        <v>6418</v>
      </c>
      <c r="C5321" s="3480">
        <v>7072</v>
      </c>
      <c r="D5321" s="3480">
        <v>2716268689.29072</v>
      </c>
      <c r="E5321" s="3481">
        <v>225920255.39752099</v>
      </c>
      <c r="F5321" s="3482">
        <v>8.5325785843216995</v>
      </c>
      <c r="G5321" s="3483">
        <v>0.723493802946378</v>
      </c>
    </row>
    <row r="5322" spans="1:7" x14ac:dyDescent="0.25">
      <c r="A5322" s="11" t="s">
        <v>6417</v>
      </c>
      <c r="B5322" s="11" t="s">
        <v>6419</v>
      </c>
      <c r="C5322" s="3484">
        <v>185711</v>
      </c>
      <c r="D5322" s="3484">
        <v>31834089337.094002</v>
      </c>
      <c r="E5322" s="3485">
        <v>0</v>
      </c>
      <c r="F5322" s="3486">
        <v>100</v>
      </c>
      <c r="G5322" s="3487">
        <v>0</v>
      </c>
    </row>
    <row r="5323" spans="1:7" x14ac:dyDescent="0.25">
      <c r="A5323" s="3729" t="s">
        <v>502</v>
      </c>
      <c r="B5323" s="3730"/>
      <c r="C5323" s="3730"/>
      <c r="D5323" s="3730"/>
      <c r="E5323" s="3730"/>
      <c r="F5323" s="3730"/>
      <c r="G5323" s="3730"/>
    </row>
    <row r="5324" spans="1:7" x14ac:dyDescent="0.25">
      <c r="A5324" s="11" t="s">
        <v>1092</v>
      </c>
      <c r="B5324" s="11" t="s">
        <v>1180</v>
      </c>
      <c r="C5324" s="3492">
        <v>1846</v>
      </c>
      <c r="D5324" s="3492">
        <v>826513399.31721997</v>
      </c>
      <c r="E5324" s="3493">
        <v>64897299.718241103</v>
      </c>
      <c r="F5324" s="3494">
        <v>59.3332143560744</v>
      </c>
      <c r="G5324" s="3495">
        <v>4.5390902546779701</v>
      </c>
    </row>
    <row r="5325" spans="1:7" x14ac:dyDescent="0.25">
      <c r="A5325" s="6" t="s">
        <v>1090</v>
      </c>
      <c r="B5325" s="6" t="s">
        <v>1179</v>
      </c>
      <c r="C5325" s="3488">
        <v>1329</v>
      </c>
      <c r="D5325" s="3488">
        <v>566489505.18934</v>
      </c>
      <c r="E5325" s="3489">
        <v>78732026.529606804</v>
      </c>
      <c r="F5325" s="3490">
        <v>40.6667856439256</v>
      </c>
      <c r="G5325" s="3491">
        <v>4.5390902546779701</v>
      </c>
    </row>
    <row r="5326" spans="1:7" x14ac:dyDescent="0.25">
      <c r="A5326" s="11" t="s">
        <v>1088</v>
      </c>
      <c r="B5326" s="11" t="s">
        <v>1089</v>
      </c>
      <c r="C5326" s="3492">
        <v>182536</v>
      </c>
      <c r="D5326" s="3492">
        <v>30441086432.587299</v>
      </c>
      <c r="E5326" s="3493">
        <v>333103136.90988302</v>
      </c>
      <c r="F5326" s="3494">
        <v>100</v>
      </c>
      <c r="G5326" s="3495">
        <v>0</v>
      </c>
    </row>
    <row r="5327" spans="1:7" x14ac:dyDescent="0.25">
      <c r="A5327" s="6" t="s">
        <v>6417</v>
      </c>
      <c r="B5327" s="6" t="s">
        <v>6418</v>
      </c>
      <c r="C5327" s="3488">
        <v>3175</v>
      </c>
      <c r="D5327" s="3488">
        <v>1393002904.5065601</v>
      </c>
      <c r="E5327" s="3489">
        <v>79208850.680420607</v>
      </c>
      <c r="F5327" s="3490">
        <v>4.3758214339224004</v>
      </c>
      <c r="G5327" s="3491">
        <v>0.26484150541636903</v>
      </c>
    </row>
    <row r="5328" spans="1:7" x14ac:dyDescent="0.25">
      <c r="A5328" s="11" t="s">
        <v>6417</v>
      </c>
      <c r="B5328" s="11" t="s">
        <v>6419</v>
      </c>
      <c r="C5328" s="3492">
        <v>185711</v>
      </c>
      <c r="D5328" s="3492">
        <v>31834089337.093899</v>
      </c>
      <c r="E5328" s="3493">
        <v>0</v>
      </c>
      <c r="F5328" s="3494">
        <v>100</v>
      </c>
      <c r="G5328" s="3495">
        <v>0</v>
      </c>
    </row>
    <row r="5329" spans="1:7" x14ac:dyDescent="0.25">
      <c r="A5329" s="3729" t="s">
        <v>504</v>
      </c>
      <c r="B5329" s="3730"/>
      <c r="C5329" s="3730"/>
      <c r="D5329" s="3730"/>
      <c r="E5329" s="3730"/>
      <c r="F5329" s="3730"/>
      <c r="G5329" s="3730"/>
    </row>
    <row r="5330" spans="1:7" x14ac:dyDescent="0.25">
      <c r="A5330" s="11" t="s">
        <v>1092</v>
      </c>
      <c r="B5330" s="11" t="s">
        <v>1180</v>
      </c>
      <c r="C5330" s="3500">
        <v>760</v>
      </c>
      <c r="D5330" s="3500">
        <v>333092786.90931702</v>
      </c>
      <c r="E5330" s="3501">
        <v>51621853.266319104</v>
      </c>
      <c r="F5330" s="3502">
        <v>57.269323208520802</v>
      </c>
      <c r="G5330" s="3503">
        <v>5.7984821398787396</v>
      </c>
    </row>
    <row r="5331" spans="1:7" x14ac:dyDescent="0.25">
      <c r="A5331" s="6" t="s">
        <v>1090</v>
      </c>
      <c r="B5331" s="6" t="s">
        <v>1179</v>
      </c>
      <c r="C5331" s="3496">
        <v>404</v>
      </c>
      <c r="D5331" s="3496">
        <v>248532362.90519601</v>
      </c>
      <c r="E5331" s="3497">
        <v>82148197.058534205</v>
      </c>
      <c r="F5331" s="3498">
        <v>42.730676791479198</v>
      </c>
      <c r="G5331" s="3499">
        <v>5.7984821398787298</v>
      </c>
    </row>
    <row r="5332" spans="1:7" x14ac:dyDescent="0.25">
      <c r="A5332" s="11" t="s">
        <v>1088</v>
      </c>
      <c r="B5332" s="11" t="s">
        <v>1089</v>
      </c>
      <c r="C5332" s="3500">
        <v>184547</v>
      </c>
      <c r="D5332" s="3500">
        <v>31252464187.279301</v>
      </c>
      <c r="E5332" s="3501">
        <v>395050258.73762298</v>
      </c>
      <c r="F5332" s="3502">
        <v>100</v>
      </c>
      <c r="G5332" s="3503">
        <v>0</v>
      </c>
    </row>
    <row r="5333" spans="1:7" x14ac:dyDescent="0.25">
      <c r="A5333" s="6" t="s">
        <v>6417</v>
      </c>
      <c r="B5333" s="6" t="s">
        <v>6418</v>
      </c>
      <c r="C5333" s="3496">
        <v>1164</v>
      </c>
      <c r="D5333" s="3496">
        <v>581625149.81451404</v>
      </c>
      <c r="E5333" s="3497">
        <v>128375221.849903</v>
      </c>
      <c r="F5333" s="3498">
        <v>1.8270513211659201</v>
      </c>
      <c r="G5333" s="3499">
        <v>0.414664322270833</v>
      </c>
    </row>
    <row r="5334" spans="1:7" x14ac:dyDescent="0.25">
      <c r="A5334" s="11" t="s">
        <v>6417</v>
      </c>
      <c r="B5334" s="11" t="s">
        <v>6419</v>
      </c>
      <c r="C5334" s="3500">
        <v>185711</v>
      </c>
      <c r="D5334" s="3500">
        <v>31834089337.0938</v>
      </c>
      <c r="E5334" s="3501">
        <v>0</v>
      </c>
      <c r="F5334" s="3502">
        <v>100</v>
      </c>
      <c r="G5334" s="3503">
        <v>0</v>
      </c>
    </row>
    <row r="5335" spans="1:7" x14ac:dyDescent="0.25">
      <c r="A5335" s="3729" t="s">
        <v>506</v>
      </c>
      <c r="B5335" s="3730"/>
      <c r="C5335" s="3730"/>
      <c r="D5335" s="3730"/>
      <c r="E5335" s="3730"/>
      <c r="F5335" s="3730"/>
      <c r="G5335" s="3730"/>
    </row>
    <row r="5336" spans="1:7" x14ac:dyDescent="0.25">
      <c r="A5336" s="11" t="s">
        <v>1090</v>
      </c>
      <c r="B5336" s="11" t="s">
        <v>1179</v>
      </c>
      <c r="C5336" s="3508">
        <v>206</v>
      </c>
      <c r="D5336" s="3508">
        <v>163978656.33087999</v>
      </c>
      <c r="E5336" s="3509">
        <v>77514603.845966995</v>
      </c>
      <c r="F5336" s="3510">
        <v>55.692699288348798</v>
      </c>
      <c r="G5336" s="3511">
        <v>9.0724510885257796</v>
      </c>
    </row>
    <row r="5337" spans="1:7" x14ac:dyDescent="0.25">
      <c r="A5337" s="6" t="s">
        <v>1092</v>
      </c>
      <c r="B5337" s="6" t="s">
        <v>1180</v>
      </c>
      <c r="C5337" s="3504">
        <v>219</v>
      </c>
      <c r="D5337" s="3504">
        <v>130456087.22838099</v>
      </c>
      <c r="E5337" s="3505">
        <v>32878518.8297088</v>
      </c>
      <c r="F5337" s="3506">
        <v>44.307300711651202</v>
      </c>
      <c r="G5337" s="3507">
        <v>9.0724510885257796</v>
      </c>
    </row>
    <row r="5338" spans="1:7" x14ac:dyDescent="0.25">
      <c r="A5338" s="11" t="s">
        <v>1088</v>
      </c>
      <c r="B5338" s="11" t="s">
        <v>1089</v>
      </c>
      <c r="C5338" s="3508">
        <v>185286</v>
      </c>
      <c r="D5338" s="3508">
        <v>31539654593.534599</v>
      </c>
      <c r="E5338" s="3509">
        <v>355336642.77625299</v>
      </c>
      <c r="F5338" s="3510">
        <v>100</v>
      </c>
      <c r="G5338" s="3511">
        <v>0</v>
      </c>
    </row>
    <row r="5339" spans="1:7" x14ac:dyDescent="0.25">
      <c r="A5339" s="6" t="s">
        <v>6417</v>
      </c>
      <c r="B5339" s="6" t="s">
        <v>6418</v>
      </c>
      <c r="C5339" s="3504">
        <v>425</v>
      </c>
      <c r="D5339" s="3504">
        <v>294434743.55926102</v>
      </c>
      <c r="E5339" s="3505">
        <v>104420559.038665</v>
      </c>
      <c r="F5339" s="3506">
        <v>0.924903930630671</v>
      </c>
      <c r="G5339" s="3507">
        <v>0.33109043399350702</v>
      </c>
    </row>
    <row r="5340" spans="1:7" x14ac:dyDescent="0.25">
      <c r="A5340" s="11" t="s">
        <v>6417</v>
      </c>
      <c r="B5340" s="11" t="s">
        <v>6419</v>
      </c>
      <c r="C5340" s="3508">
        <v>185711</v>
      </c>
      <c r="D5340" s="3508">
        <v>31834089337.093899</v>
      </c>
      <c r="E5340" s="3509">
        <v>0</v>
      </c>
      <c r="F5340" s="3510">
        <v>100</v>
      </c>
      <c r="G5340" s="3511">
        <v>0</v>
      </c>
    </row>
    <row r="5341" spans="1:7" x14ac:dyDescent="0.25">
      <c r="A5341" s="3729" t="s">
        <v>480</v>
      </c>
      <c r="B5341" s="3730"/>
      <c r="C5341" s="3730"/>
      <c r="D5341" s="3730"/>
      <c r="E5341" s="3730"/>
      <c r="F5341" s="3730"/>
      <c r="G5341" s="3730"/>
    </row>
    <row r="5342" spans="1:7" x14ac:dyDescent="0.25">
      <c r="A5342" s="11" t="s">
        <v>1092</v>
      </c>
      <c r="B5342" s="11" t="s">
        <v>1180</v>
      </c>
      <c r="C5342" s="3516">
        <v>89</v>
      </c>
      <c r="D5342" s="3516">
        <v>67820400.167678297</v>
      </c>
      <c r="E5342" s="3517">
        <v>29952678.8648731</v>
      </c>
      <c r="F5342" s="3518">
        <v>71.302359496467204</v>
      </c>
      <c r="G5342" s="3519">
        <v>15.102317265688599</v>
      </c>
    </row>
    <row r="5343" spans="1:7" x14ac:dyDescent="0.25">
      <c r="A5343" s="6" t="s">
        <v>1090</v>
      </c>
      <c r="B5343" s="6" t="s">
        <v>1179</v>
      </c>
      <c r="C5343" s="3512">
        <v>23</v>
      </c>
      <c r="D5343" s="3512">
        <v>27296228.0149257</v>
      </c>
      <c r="E5343" s="3513">
        <v>19104517.356507801</v>
      </c>
      <c r="F5343" s="3514">
        <v>28.697640503532799</v>
      </c>
      <c r="G5343" s="3515">
        <v>15.102317265688599</v>
      </c>
    </row>
    <row r="5344" spans="1:7" x14ac:dyDescent="0.25">
      <c r="A5344" s="11" t="s">
        <v>1088</v>
      </c>
      <c r="B5344" s="11" t="s">
        <v>1089</v>
      </c>
      <c r="C5344" s="3516">
        <v>185599</v>
      </c>
      <c r="D5344" s="3516">
        <v>31738972708.911301</v>
      </c>
      <c r="E5344" s="3517">
        <v>318129249.56901097</v>
      </c>
      <c r="F5344" s="3518">
        <v>100</v>
      </c>
      <c r="G5344" s="3519">
        <v>0</v>
      </c>
    </row>
    <row r="5345" spans="1:7" x14ac:dyDescent="0.25">
      <c r="A5345" s="6" t="s">
        <v>6417</v>
      </c>
      <c r="B5345" s="6" t="s">
        <v>6418</v>
      </c>
      <c r="C5345" s="3512">
        <v>112</v>
      </c>
      <c r="D5345" s="3512">
        <v>95116628.182604</v>
      </c>
      <c r="E5345" s="3513">
        <v>45751245.327630103</v>
      </c>
      <c r="F5345" s="3514">
        <v>0.29878859475264402</v>
      </c>
      <c r="G5345" s="3515">
        <v>0.14444822836710899</v>
      </c>
    </row>
    <row r="5346" spans="1:7" x14ac:dyDescent="0.25">
      <c r="A5346" s="11" t="s">
        <v>6417</v>
      </c>
      <c r="B5346" s="11" t="s">
        <v>6419</v>
      </c>
      <c r="C5346" s="3516">
        <v>185711</v>
      </c>
      <c r="D5346" s="3516">
        <v>31834089337.093899</v>
      </c>
      <c r="E5346" s="3517">
        <v>0</v>
      </c>
      <c r="F5346" s="3518">
        <v>100</v>
      </c>
      <c r="G5346" s="3519">
        <v>0</v>
      </c>
    </row>
    <row r="5347" spans="1:7" x14ac:dyDescent="0.25">
      <c r="A5347" s="3729" t="s">
        <v>482</v>
      </c>
      <c r="B5347" s="3730"/>
      <c r="C5347" s="3730"/>
      <c r="D5347" s="3730"/>
      <c r="E5347" s="3730"/>
      <c r="F5347" s="3730"/>
      <c r="G5347" s="3730"/>
    </row>
    <row r="5348" spans="1:7" x14ac:dyDescent="0.25">
      <c r="A5348" s="11" t="s">
        <v>1088</v>
      </c>
      <c r="B5348" s="11" t="s">
        <v>1089</v>
      </c>
      <c r="C5348" s="3524">
        <v>185709</v>
      </c>
      <c r="D5348" s="3524">
        <v>31834089337.093899</v>
      </c>
      <c r="E5348" s="3525">
        <v>298177412.67102498</v>
      </c>
      <c r="F5348" s="3526">
        <v>100</v>
      </c>
      <c r="G5348" s="3527">
        <v>0</v>
      </c>
    </row>
    <row r="5349" spans="1:7" x14ac:dyDescent="0.25">
      <c r="A5349" s="6" t="s">
        <v>6417</v>
      </c>
      <c r="B5349" s="6" t="s">
        <v>6418</v>
      </c>
      <c r="C5349" s="3520">
        <v>0</v>
      </c>
      <c r="D5349" s="3520">
        <v>0</v>
      </c>
      <c r="E5349" s="3521">
        <v>0</v>
      </c>
      <c r="F5349" s="3522">
        <v>0</v>
      </c>
      <c r="G5349" s="3523">
        <v>0</v>
      </c>
    </row>
    <row r="5350" spans="1:7" x14ac:dyDescent="0.25">
      <c r="A5350" s="11" t="s">
        <v>6417</v>
      </c>
      <c r="B5350" s="11" t="s">
        <v>6419</v>
      </c>
      <c r="C5350" s="3524">
        <v>185709</v>
      </c>
      <c r="D5350" s="3524">
        <v>31834089337.093899</v>
      </c>
      <c r="E5350" s="3525">
        <v>0</v>
      </c>
      <c r="F5350" s="3526">
        <v>100</v>
      </c>
      <c r="G5350" s="3527">
        <v>0</v>
      </c>
    </row>
    <row r="5351" spans="1:7" x14ac:dyDescent="0.25">
      <c r="A5351" s="3729" t="s">
        <v>484</v>
      </c>
      <c r="B5351" s="3730"/>
      <c r="C5351" s="3730"/>
      <c r="D5351" s="3730"/>
      <c r="E5351" s="3730"/>
      <c r="F5351" s="3730"/>
      <c r="G5351" s="3730"/>
    </row>
    <row r="5352" spans="1:7" x14ac:dyDescent="0.25">
      <c r="A5352" s="11" t="s">
        <v>1088</v>
      </c>
      <c r="B5352" s="11" t="s">
        <v>1089</v>
      </c>
      <c r="C5352" s="3532">
        <v>185711</v>
      </c>
      <c r="D5352" s="3532">
        <v>31834089337.093899</v>
      </c>
      <c r="E5352" s="3533">
        <v>298177412.67102498</v>
      </c>
      <c r="F5352" s="3534">
        <v>100</v>
      </c>
      <c r="G5352" s="3535">
        <v>0</v>
      </c>
    </row>
    <row r="5353" spans="1:7" x14ac:dyDescent="0.25">
      <c r="A5353" s="6" t="s">
        <v>6417</v>
      </c>
      <c r="B5353" s="6" t="s">
        <v>6418</v>
      </c>
      <c r="C5353" s="3528">
        <v>0</v>
      </c>
      <c r="D5353" s="3528">
        <v>0</v>
      </c>
      <c r="E5353" s="3529">
        <v>0</v>
      </c>
      <c r="F5353" s="3530">
        <v>0</v>
      </c>
      <c r="G5353" s="3531">
        <v>0</v>
      </c>
    </row>
    <row r="5354" spans="1:7" x14ac:dyDescent="0.25">
      <c r="A5354" s="11" t="s">
        <v>6417</v>
      </c>
      <c r="B5354" s="11" t="s">
        <v>6419</v>
      </c>
      <c r="C5354" s="3532">
        <v>185711</v>
      </c>
      <c r="D5354" s="3532">
        <v>31834089337.093899</v>
      </c>
      <c r="E5354" s="3533">
        <v>0</v>
      </c>
      <c r="F5354" s="3534">
        <v>100</v>
      </c>
      <c r="G5354" s="3535">
        <v>0</v>
      </c>
    </row>
    <row r="5355" spans="1:7" x14ac:dyDescent="0.25">
      <c r="A5355" s="3729" t="s">
        <v>486</v>
      </c>
      <c r="B5355" s="3730"/>
      <c r="C5355" s="3730"/>
      <c r="D5355" s="3730"/>
      <c r="E5355" s="3730"/>
      <c r="F5355" s="3730"/>
      <c r="G5355" s="3730"/>
    </row>
    <row r="5356" spans="1:7" x14ac:dyDescent="0.25">
      <c r="A5356" s="11" t="s">
        <v>1088</v>
      </c>
      <c r="B5356" s="11" t="s">
        <v>1089</v>
      </c>
      <c r="C5356" s="3540">
        <v>185711</v>
      </c>
      <c r="D5356" s="3540">
        <v>31834089337.093899</v>
      </c>
      <c r="E5356" s="3541">
        <v>298177412.67102498</v>
      </c>
      <c r="F5356" s="3542">
        <v>100</v>
      </c>
      <c r="G5356" s="3543">
        <v>0</v>
      </c>
    </row>
    <row r="5357" spans="1:7" x14ac:dyDescent="0.25">
      <c r="A5357" s="6" t="s">
        <v>6417</v>
      </c>
      <c r="B5357" s="6" t="s">
        <v>6418</v>
      </c>
      <c r="C5357" s="3536">
        <v>0</v>
      </c>
      <c r="D5357" s="3536">
        <v>0</v>
      </c>
      <c r="E5357" s="3537">
        <v>0</v>
      </c>
      <c r="F5357" s="3538">
        <v>0</v>
      </c>
      <c r="G5357" s="3539">
        <v>0</v>
      </c>
    </row>
    <row r="5358" spans="1:7" x14ac:dyDescent="0.25">
      <c r="A5358" s="11" t="s">
        <v>6417</v>
      </c>
      <c r="B5358" s="11" t="s">
        <v>6419</v>
      </c>
      <c r="C5358" s="3540">
        <v>185711</v>
      </c>
      <c r="D5358" s="3540">
        <v>31834089337.093899</v>
      </c>
      <c r="E5358" s="3541">
        <v>0</v>
      </c>
      <c r="F5358" s="3542">
        <v>100</v>
      </c>
      <c r="G5358" s="3543">
        <v>0</v>
      </c>
    </row>
    <row r="5359" spans="1:7" x14ac:dyDescent="0.25">
      <c r="A5359" s="3729" t="s">
        <v>488</v>
      </c>
      <c r="B5359" s="3730"/>
      <c r="C5359" s="3730"/>
      <c r="D5359" s="3730"/>
      <c r="E5359" s="3730"/>
      <c r="F5359" s="3730"/>
      <c r="G5359" s="3730"/>
    </row>
    <row r="5360" spans="1:7" x14ac:dyDescent="0.25">
      <c r="A5360" s="11" t="s">
        <v>1088</v>
      </c>
      <c r="B5360" s="11" t="s">
        <v>1089</v>
      </c>
      <c r="C5360" s="3548">
        <v>185711</v>
      </c>
      <c r="D5360" s="3548">
        <v>31834089337.093899</v>
      </c>
      <c r="E5360" s="3549">
        <v>298177412.67102498</v>
      </c>
      <c r="F5360" s="3550">
        <v>100</v>
      </c>
      <c r="G5360" s="3551">
        <v>0</v>
      </c>
    </row>
    <row r="5361" spans="1:7" x14ac:dyDescent="0.25">
      <c r="A5361" s="6" t="s">
        <v>6417</v>
      </c>
      <c r="B5361" s="6" t="s">
        <v>6418</v>
      </c>
      <c r="C5361" s="3544">
        <v>0</v>
      </c>
      <c r="D5361" s="3544">
        <v>0</v>
      </c>
      <c r="E5361" s="3545">
        <v>0</v>
      </c>
      <c r="F5361" s="3546">
        <v>0</v>
      </c>
      <c r="G5361" s="3547">
        <v>0</v>
      </c>
    </row>
    <row r="5362" spans="1:7" x14ac:dyDescent="0.25">
      <c r="A5362" s="11" t="s">
        <v>6417</v>
      </c>
      <c r="B5362" s="11" t="s">
        <v>6419</v>
      </c>
      <c r="C5362" s="3548">
        <v>185711</v>
      </c>
      <c r="D5362" s="3548">
        <v>31834089337.093899</v>
      </c>
      <c r="E5362" s="3549">
        <v>0</v>
      </c>
      <c r="F5362" s="3550">
        <v>100</v>
      </c>
      <c r="G5362" s="3551">
        <v>0</v>
      </c>
    </row>
    <row r="5363" spans="1:7" x14ac:dyDescent="0.25">
      <c r="A5363" s="3729" t="s">
        <v>490</v>
      </c>
      <c r="B5363" s="3730"/>
      <c r="C5363" s="3730"/>
      <c r="D5363" s="3730"/>
      <c r="E5363" s="3730"/>
      <c r="F5363" s="3730"/>
      <c r="G5363" s="3730"/>
    </row>
    <row r="5364" spans="1:7" x14ac:dyDescent="0.25">
      <c r="A5364" s="11" t="s">
        <v>1088</v>
      </c>
      <c r="B5364" s="11" t="s">
        <v>1089</v>
      </c>
      <c r="C5364" s="3556">
        <v>185711</v>
      </c>
      <c r="D5364" s="3556">
        <v>31834089337.093899</v>
      </c>
      <c r="E5364" s="3557">
        <v>298177412.67102498</v>
      </c>
      <c r="F5364" s="3558">
        <v>100</v>
      </c>
      <c r="G5364" s="3559">
        <v>0</v>
      </c>
    </row>
    <row r="5365" spans="1:7" x14ac:dyDescent="0.25">
      <c r="A5365" s="6" t="s">
        <v>6417</v>
      </c>
      <c r="B5365" s="6" t="s">
        <v>6418</v>
      </c>
      <c r="C5365" s="3552">
        <v>0</v>
      </c>
      <c r="D5365" s="3552">
        <v>0</v>
      </c>
      <c r="E5365" s="3553">
        <v>0</v>
      </c>
      <c r="F5365" s="3554">
        <v>0</v>
      </c>
      <c r="G5365" s="3555">
        <v>0</v>
      </c>
    </row>
    <row r="5366" spans="1:7" x14ac:dyDescent="0.25">
      <c r="A5366" s="11" t="s">
        <v>6417</v>
      </c>
      <c r="B5366" s="11" t="s">
        <v>6419</v>
      </c>
      <c r="C5366" s="3556">
        <v>185711</v>
      </c>
      <c r="D5366" s="3556">
        <v>31834089337.093899</v>
      </c>
      <c r="E5366" s="3557">
        <v>0</v>
      </c>
      <c r="F5366" s="3558">
        <v>100</v>
      </c>
      <c r="G5366" s="3559">
        <v>0</v>
      </c>
    </row>
    <row r="5367" spans="1:7" x14ac:dyDescent="0.25">
      <c r="A5367" s="3729" t="s">
        <v>723</v>
      </c>
      <c r="B5367" s="3730"/>
      <c r="C5367" s="3730"/>
      <c r="D5367" s="3730"/>
      <c r="E5367" s="3730"/>
      <c r="F5367" s="3730"/>
      <c r="G5367" s="3730"/>
    </row>
    <row r="5368" spans="1:7" x14ac:dyDescent="0.25">
      <c r="A5368" s="11" t="s">
        <v>6417</v>
      </c>
      <c r="B5368" s="11" t="s">
        <v>6418</v>
      </c>
      <c r="C5368" s="3564">
        <v>134424</v>
      </c>
      <c r="D5368" s="3564">
        <v>31834089337.094101</v>
      </c>
      <c r="E5368" s="3565">
        <v>298177412.670223</v>
      </c>
      <c r="F5368" s="3566">
        <v>100</v>
      </c>
      <c r="G5368" s="3567">
        <v>1.02786679142825E-14</v>
      </c>
    </row>
    <row r="5369" spans="1:7" x14ac:dyDescent="0.25">
      <c r="A5369" s="6" t="s">
        <v>6417</v>
      </c>
      <c r="B5369" s="6" t="s">
        <v>6419</v>
      </c>
      <c r="C5369" s="3560">
        <v>134424</v>
      </c>
      <c r="D5369" s="3560">
        <v>31834089337.094101</v>
      </c>
      <c r="E5369" s="3561">
        <v>0</v>
      </c>
      <c r="F5369" s="3562">
        <v>100</v>
      </c>
      <c r="G5369" s="3563">
        <v>0</v>
      </c>
    </row>
    <row r="5370" spans="1:7" x14ac:dyDescent="0.25">
      <c r="A5370" s="3731" t="s">
        <v>1178</v>
      </c>
      <c r="B5370" s="3730"/>
      <c r="C5370" s="3730"/>
      <c r="D5370" s="3730"/>
      <c r="E5370" s="3730"/>
      <c r="F5370" s="3730"/>
      <c r="G5370" s="3730"/>
    </row>
    <row r="5371" spans="1:7" x14ac:dyDescent="0.25">
      <c r="A5371" s="3729" t="s">
        <v>349</v>
      </c>
      <c r="B5371" s="3730"/>
      <c r="C5371" s="3730"/>
      <c r="D5371" s="3730"/>
      <c r="E5371" s="3730"/>
      <c r="F5371" s="3730"/>
      <c r="G5371" s="3730"/>
    </row>
    <row r="5372" spans="1:7" x14ac:dyDescent="0.25">
      <c r="A5372" s="11" t="s">
        <v>6417</v>
      </c>
      <c r="B5372" s="11" t="s">
        <v>6418</v>
      </c>
      <c r="C5372" s="3572">
        <v>87750</v>
      </c>
      <c r="D5372" s="3572"/>
      <c r="E5372" s="3573"/>
      <c r="F5372" s="3574"/>
      <c r="G5372" s="3575"/>
    </row>
    <row r="5373" spans="1:7" x14ac:dyDescent="0.25">
      <c r="A5373" s="6" t="s">
        <v>6417</v>
      </c>
      <c r="B5373" s="6" t="s">
        <v>6419</v>
      </c>
      <c r="C5373" s="3568">
        <v>87750</v>
      </c>
      <c r="D5373" s="3568"/>
      <c r="E5373" s="3569">
        <v>0</v>
      </c>
      <c r="F5373" s="3570">
        <v>100</v>
      </c>
      <c r="G5373" s="3571">
        <v>0</v>
      </c>
    </row>
    <row r="5374" spans="1:7" x14ac:dyDescent="0.25">
      <c r="A5374" s="3729" t="s">
        <v>393</v>
      </c>
      <c r="B5374" s="3730"/>
      <c r="C5374" s="3730"/>
      <c r="D5374" s="3730"/>
      <c r="E5374" s="3730"/>
      <c r="F5374" s="3730"/>
      <c r="G5374" s="3730"/>
    </row>
    <row r="5375" spans="1:7" x14ac:dyDescent="0.25">
      <c r="A5375" s="11" t="s">
        <v>4437</v>
      </c>
      <c r="B5375" s="11"/>
      <c r="C5375" s="3580">
        <v>26112</v>
      </c>
      <c r="D5375" s="3580"/>
      <c r="E5375" s="3581"/>
      <c r="F5375" s="3582"/>
      <c r="G5375" s="3583"/>
    </row>
    <row r="5376" spans="1:7" x14ac:dyDescent="0.25">
      <c r="A5376" s="6" t="s">
        <v>6769</v>
      </c>
      <c r="B5376" s="6"/>
      <c r="C5376" s="3576">
        <v>20964</v>
      </c>
      <c r="D5376" s="3576"/>
      <c r="E5376" s="3577"/>
      <c r="F5376" s="3578"/>
      <c r="G5376" s="3579"/>
    </row>
    <row r="5377" spans="1:7" x14ac:dyDescent="0.25">
      <c r="A5377" s="11" t="s">
        <v>6770</v>
      </c>
      <c r="B5377" s="11"/>
      <c r="C5377" s="3580">
        <v>16476</v>
      </c>
      <c r="D5377" s="3580"/>
      <c r="E5377" s="3581"/>
      <c r="F5377" s="3582"/>
      <c r="G5377" s="3583"/>
    </row>
    <row r="5378" spans="1:7" x14ac:dyDescent="0.25">
      <c r="A5378" s="6" t="s">
        <v>6771</v>
      </c>
      <c r="B5378" s="6"/>
      <c r="C5378" s="3576">
        <v>12128</v>
      </c>
      <c r="D5378" s="3576"/>
      <c r="E5378" s="3577"/>
      <c r="F5378" s="3578"/>
      <c r="G5378" s="3579"/>
    </row>
    <row r="5379" spans="1:7" x14ac:dyDescent="0.25">
      <c r="A5379" s="11" t="s">
        <v>6772</v>
      </c>
      <c r="B5379" s="11"/>
      <c r="C5379" s="3580">
        <v>8352</v>
      </c>
      <c r="D5379" s="3580"/>
      <c r="E5379" s="3581"/>
      <c r="F5379" s="3582"/>
      <c r="G5379" s="3583"/>
    </row>
    <row r="5380" spans="1:7" x14ac:dyDescent="0.25">
      <c r="A5380" s="6" t="s">
        <v>6775</v>
      </c>
      <c r="B5380" s="6"/>
      <c r="C5380" s="3576">
        <v>5400</v>
      </c>
      <c r="D5380" s="3576"/>
      <c r="E5380" s="3577"/>
      <c r="F5380" s="3578"/>
      <c r="G5380" s="3579"/>
    </row>
    <row r="5381" spans="1:7" x14ac:dyDescent="0.25">
      <c r="A5381" s="11" t="s">
        <v>6776</v>
      </c>
      <c r="B5381" s="11"/>
      <c r="C5381" s="3580">
        <v>3443</v>
      </c>
      <c r="D5381" s="3580"/>
      <c r="E5381" s="3581"/>
      <c r="F5381" s="3582"/>
      <c r="G5381" s="3583"/>
    </row>
    <row r="5382" spans="1:7" x14ac:dyDescent="0.25">
      <c r="A5382" s="6" t="s">
        <v>6777</v>
      </c>
      <c r="B5382" s="6"/>
      <c r="C5382" s="3576">
        <v>2068</v>
      </c>
      <c r="D5382" s="3576"/>
      <c r="E5382" s="3577"/>
      <c r="F5382" s="3578"/>
      <c r="G5382" s="3579"/>
    </row>
    <row r="5383" spans="1:7" x14ac:dyDescent="0.25">
      <c r="A5383" s="11" t="s">
        <v>6779</v>
      </c>
      <c r="B5383" s="11"/>
      <c r="C5383" s="3580">
        <v>1239</v>
      </c>
      <c r="D5383" s="3580"/>
      <c r="E5383" s="3581"/>
      <c r="F5383" s="3582"/>
      <c r="G5383" s="3583"/>
    </row>
    <row r="5384" spans="1:7" x14ac:dyDescent="0.25">
      <c r="A5384" s="6" t="s">
        <v>6782</v>
      </c>
      <c r="B5384" s="6"/>
      <c r="C5384" s="3576">
        <v>783</v>
      </c>
      <c r="D5384" s="3576"/>
      <c r="E5384" s="3577"/>
      <c r="F5384" s="3578"/>
      <c r="G5384" s="3579"/>
    </row>
    <row r="5385" spans="1:7" x14ac:dyDescent="0.25">
      <c r="A5385" s="11" t="s">
        <v>6785</v>
      </c>
      <c r="B5385" s="11"/>
      <c r="C5385" s="3580">
        <v>462</v>
      </c>
      <c r="D5385" s="3580"/>
      <c r="E5385" s="3581"/>
      <c r="F5385" s="3582"/>
      <c r="G5385" s="3583"/>
    </row>
    <row r="5386" spans="1:7" x14ac:dyDescent="0.25">
      <c r="A5386" s="6" t="s">
        <v>6786</v>
      </c>
      <c r="B5386" s="6"/>
      <c r="C5386" s="3576">
        <v>274</v>
      </c>
      <c r="D5386" s="3576"/>
      <c r="E5386" s="3577"/>
      <c r="F5386" s="3578"/>
      <c r="G5386" s="3579"/>
    </row>
    <row r="5387" spans="1:7" x14ac:dyDescent="0.25">
      <c r="A5387" s="11" t="s">
        <v>6788</v>
      </c>
      <c r="B5387" s="11"/>
      <c r="C5387" s="3580">
        <v>185</v>
      </c>
      <c r="D5387" s="3580"/>
      <c r="E5387" s="3581"/>
      <c r="F5387" s="3582"/>
      <c r="G5387" s="3583"/>
    </row>
    <row r="5388" spans="1:7" x14ac:dyDescent="0.25">
      <c r="A5388" s="6" t="s">
        <v>6790</v>
      </c>
      <c r="B5388" s="6"/>
      <c r="C5388" s="3576">
        <v>115</v>
      </c>
      <c r="D5388" s="3576"/>
      <c r="E5388" s="3577"/>
      <c r="F5388" s="3578"/>
      <c r="G5388" s="3579"/>
    </row>
    <row r="5389" spans="1:7" x14ac:dyDescent="0.25">
      <c r="A5389" s="11" t="s">
        <v>6791</v>
      </c>
      <c r="B5389" s="11"/>
      <c r="C5389" s="3580">
        <v>82</v>
      </c>
      <c r="D5389" s="3580"/>
      <c r="E5389" s="3581"/>
      <c r="F5389" s="3582"/>
      <c r="G5389" s="3583"/>
    </row>
    <row r="5390" spans="1:7" x14ac:dyDescent="0.25">
      <c r="A5390" s="6" t="s">
        <v>6794</v>
      </c>
      <c r="B5390" s="6"/>
      <c r="C5390" s="3576">
        <v>54</v>
      </c>
      <c r="D5390" s="3576"/>
      <c r="E5390" s="3577"/>
      <c r="F5390" s="3578"/>
      <c r="G5390" s="3579"/>
    </row>
    <row r="5391" spans="1:7" x14ac:dyDescent="0.25">
      <c r="A5391" s="11" t="s">
        <v>6795</v>
      </c>
      <c r="B5391" s="11"/>
      <c r="C5391" s="3580">
        <v>34</v>
      </c>
      <c r="D5391" s="3580"/>
      <c r="E5391" s="3581"/>
      <c r="F5391" s="3582"/>
      <c r="G5391" s="3583"/>
    </row>
    <row r="5392" spans="1:7" x14ac:dyDescent="0.25">
      <c r="A5392" s="6" t="s">
        <v>6798</v>
      </c>
      <c r="B5392" s="6"/>
      <c r="C5392" s="3576">
        <v>24</v>
      </c>
      <c r="D5392" s="3576"/>
      <c r="E5392" s="3577"/>
      <c r="F5392" s="3578"/>
      <c r="G5392" s="3579"/>
    </row>
    <row r="5393" spans="1:7" x14ac:dyDescent="0.25">
      <c r="A5393" s="11" t="s">
        <v>6796</v>
      </c>
      <c r="B5393" s="11"/>
      <c r="C5393" s="3580">
        <v>20</v>
      </c>
      <c r="D5393" s="3580"/>
      <c r="E5393" s="3581"/>
      <c r="F5393" s="3582"/>
      <c r="G5393" s="3583"/>
    </row>
    <row r="5394" spans="1:7" x14ac:dyDescent="0.25">
      <c r="A5394" s="6" t="s">
        <v>6800</v>
      </c>
      <c r="B5394" s="6"/>
      <c r="C5394" s="3576">
        <v>11</v>
      </c>
      <c r="D5394" s="3576"/>
      <c r="E5394" s="3577"/>
      <c r="F5394" s="3578"/>
      <c r="G5394" s="3579"/>
    </row>
    <row r="5395" spans="1:7" x14ac:dyDescent="0.25">
      <c r="A5395" s="11" t="s">
        <v>6801</v>
      </c>
      <c r="B5395" s="11"/>
      <c r="C5395" s="3580">
        <v>10</v>
      </c>
      <c r="D5395" s="3580"/>
      <c r="E5395" s="3581"/>
      <c r="F5395" s="3582"/>
      <c r="G5395" s="3583"/>
    </row>
    <row r="5396" spans="1:7" x14ac:dyDescent="0.25">
      <c r="A5396" s="6" t="s">
        <v>6803</v>
      </c>
      <c r="B5396" s="6"/>
      <c r="C5396" s="3576">
        <v>6</v>
      </c>
      <c r="D5396" s="3576"/>
      <c r="E5396" s="3577"/>
      <c r="F5396" s="3578"/>
      <c r="G5396" s="3579"/>
    </row>
    <row r="5397" spans="1:7" x14ac:dyDescent="0.25">
      <c r="A5397" s="11" t="s">
        <v>6804</v>
      </c>
      <c r="B5397" s="11"/>
      <c r="C5397" s="3580">
        <v>5</v>
      </c>
      <c r="D5397" s="3580"/>
      <c r="E5397" s="3581"/>
      <c r="F5397" s="3582"/>
      <c r="G5397" s="3583"/>
    </row>
    <row r="5398" spans="1:7" x14ac:dyDescent="0.25">
      <c r="A5398" s="6" t="s">
        <v>6805</v>
      </c>
      <c r="B5398" s="6"/>
      <c r="C5398" s="3576">
        <v>5</v>
      </c>
      <c r="D5398" s="3576"/>
      <c r="E5398" s="3577"/>
      <c r="F5398" s="3578"/>
      <c r="G5398" s="3579"/>
    </row>
    <row r="5399" spans="1:7" x14ac:dyDescent="0.25">
      <c r="A5399" s="11" t="s">
        <v>6808</v>
      </c>
      <c r="B5399" s="11"/>
      <c r="C5399" s="3580">
        <v>4</v>
      </c>
      <c r="D5399" s="3580"/>
      <c r="E5399" s="3581"/>
      <c r="F5399" s="3582"/>
      <c r="G5399" s="3583"/>
    </row>
    <row r="5400" spans="1:7" x14ac:dyDescent="0.25">
      <c r="A5400" s="6" t="s">
        <v>6813</v>
      </c>
      <c r="B5400" s="6"/>
      <c r="C5400" s="3576">
        <v>3</v>
      </c>
      <c r="D5400" s="3576"/>
      <c r="E5400" s="3577"/>
      <c r="F5400" s="3578"/>
      <c r="G5400" s="3579"/>
    </row>
    <row r="5401" spans="1:7" x14ac:dyDescent="0.25">
      <c r="A5401" s="11" t="s">
        <v>6812</v>
      </c>
      <c r="B5401" s="11"/>
      <c r="C5401" s="3580">
        <v>4</v>
      </c>
      <c r="D5401" s="3580"/>
      <c r="E5401" s="3581"/>
      <c r="F5401" s="3582"/>
      <c r="G5401" s="3583"/>
    </row>
    <row r="5402" spans="1:7" x14ac:dyDescent="0.25">
      <c r="A5402" s="6" t="s">
        <v>6802</v>
      </c>
      <c r="B5402" s="6"/>
      <c r="C5402" s="3576">
        <v>5</v>
      </c>
      <c r="D5402" s="3576"/>
      <c r="E5402" s="3577"/>
      <c r="F5402" s="3578"/>
      <c r="G5402" s="3579"/>
    </row>
    <row r="5403" spans="1:7" x14ac:dyDescent="0.25">
      <c r="A5403" s="11" t="s">
        <v>6806</v>
      </c>
      <c r="B5403" s="11"/>
      <c r="C5403" s="3580">
        <v>3</v>
      </c>
      <c r="D5403" s="3580"/>
      <c r="E5403" s="3581"/>
      <c r="F5403" s="3582"/>
      <c r="G5403" s="3583"/>
    </row>
    <row r="5404" spans="1:7" x14ac:dyDescent="0.25">
      <c r="A5404" s="6" t="s">
        <v>6807</v>
      </c>
      <c r="B5404" s="6"/>
      <c r="C5404" s="3576">
        <v>3</v>
      </c>
      <c r="D5404" s="3576"/>
      <c r="E5404" s="3577"/>
      <c r="F5404" s="3578"/>
      <c r="G5404" s="3579"/>
    </row>
    <row r="5405" spans="1:7" x14ac:dyDescent="0.25">
      <c r="A5405" s="11" t="s">
        <v>6811</v>
      </c>
      <c r="B5405" s="11"/>
      <c r="C5405" s="3580">
        <v>2</v>
      </c>
      <c r="D5405" s="3580"/>
      <c r="E5405" s="3581"/>
      <c r="F5405" s="3582"/>
      <c r="G5405" s="3583"/>
    </row>
    <row r="5406" spans="1:7" x14ac:dyDescent="0.25">
      <c r="A5406" s="6" t="s">
        <v>6810</v>
      </c>
      <c r="B5406" s="6"/>
      <c r="C5406" s="3576">
        <v>2</v>
      </c>
      <c r="D5406" s="3576"/>
      <c r="E5406" s="3577"/>
      <c r="F5406" s="3578"/>
      <c r="G5406" s="3579"/>
    </row>
    <row r="5407" spans="1:7" x14ac:dyDescent="0.25">
      <c r="A5407" s="11" t="s">
        <v>6814</v>
      </c>
      <c r="B5407" s="11"/>
      <c r="C5407" s="3580">
        <v>2</v>
      </c>
      <c r="D5407" s="3580"/>
      <c r="E5407" s="3581"/>
      <c r="F5407" s="3582"/>
      <c r="G5407" s="3583"/>
    </row>
    <row r="5408" spans="1:7" x14ac:dyDescent="0.25">
      <c r="A5408" s="6" t="s">
        <v>6815</v>
      </c>
      <c r="B5408" s="6"/>
      <c r="C5408" s="3576">
        <v>2</v>
      </c>
      <c r="D5408" s="3576"/>
      <c r="E5408" s="3577"/>
      <c r="F5408" s="3578"/>
      <c r="G5408" s="3579"/>
    </row>
    <row r="5409" spans="1:7" x14ac:dyDescent="0.25">
      <c r="A5409" s="11" t="s">
        <v>6816</v>
      </c>
      <c r="B5409" s="11"/>
      <c r="C5409" s="3580">
        <v>2</v>
      </c>
      <c r="D5409" s="3580"/>
      <c r="E5409" s="3581"/>
      <c r="F5409" s="3582"/>
      <c r="G5409" s="3583"/>
    </row>
    <row r="5410" spans="1:7" x14ac:dyDescent="0.25">
      <c r="A5410" s="6" t="s">
        <v>6809</v>
      </c>
      <c r="B5410" s="6"/>
      <c r="C5410" s="3576">
        <v>1</v>
      </c>
      <c r="D5410" s="3576"/>
      <c r="E5410" s="3577"/>
      <c r="F5410" s="3578"/>
      <c r="G5410" s="3579"/>
    </row>
    <row r="5411" spans="1:7" x14ac:dyDescent="0.25">
      <c r="A5411" s="11" t="s">
        <v>6817</v>
      </c>
      <c r="B5411" s="11"/>
      <c r="C5411" s="3580">
        <v>1</v>
      </c>
      <c r="D5411" s="3580"/>
      <c r="E5411" s="3581"/>
      <c r="F5411" s="3582"/>
      <c r="G5411" s="3583"/>
    </row>
    <row r="5412" spans="1:7" x14ac:dyDescent="0.25">
      <c r="A5412" s="6" t="s">
        <v>6818</v>
      </c>
      <c r="B5412" s="6"/>
      <c r="C5412" s="3576">
        <v>1</v>
      </c>
      <c r="D5412" s="3576"/>
      <c r="E5412" s="3577"/>
      <c r="F5412" s="3578"/>
      <c r="G5412" s="3579"/>
    </row>
    <row r="5413" spans="1:7" x14ac:dyDescent="0.25">
      <c r="A5413" s="11" t="s">
        <v>3379</v>
      </c>
      <c r="B5413" s="11"/>
      <c r="C5413" s="3580">
        <v>2</v>
      </c>
      <c r="D5413" s="3580"/>
      <c r="E5413" s="3581"/>
      <c r="F5413" s="3582"/>
      <c r="G5413" s="3583"/>
    </row>
    <row r="5414" spans="1:7" x14ac:dyDescent="0.25">
      <c r="A5414" s="6" t="s">
        <v>6720</v>
      </c>
      <c r="B5414" s="6"/>
      <c r="C5414" s="3576">
        <v>10875</v>
      </c>
      <c r="D5414" s="3576"/>
      <c r="E5414" s="3577"/>
      <c r="F5414" s="3578"/>
      <c r="G5414" s="3579"/>
    </row>
    <row r="5415" spans="1:7" x14ac:dyDescent="0.25">
      <c r="A5415" s="11" t="s">
        <v>6797</v>
      </c>
      <c r="B5415" s="11"/>
      <c r="C5415" s="3580">
        <v>4</v>
      </c>
      <c r="D5415" s="3580"/>
      <c r="E5415" s="3581"/>
      <c r="F5415" s="3582"/>
      <c r="G5415" s="3583"/>
    </row>
    <row r="5416" spans="1:7" x14ac:dyDescent="0.25">
      <c r="A5416" s="6" t="s">
        <v>6773</v>
      </c>
      <c r="B5416" s="6"/>
      <c r="C5416" s="3576">
        <v>7419</v>
      </c>
      <c r="D5416" s="3576"/>
      <c r="E5416" s="3577"/>
      <c r="F5416" s="3578"/>
      <c r="G5416" s="3579"/>
    </row>
    <row r="5417" spans="1:7" x14ac:dyDescent="0.25">
      <c r="A5417" s="11" t="s">
        <v>6781</v>
      </c>
      <c r="B5417" s="11"/>
      <c r="C5417" s="3580">
        <v>589</v>
      </c>
      <c r="D5417" s="3580"/>
      <c r="E5417" s="3581"/>
      <c r="F5417" s="3582"/>
      <c r="G5417" s="3583"/>
    </row>
    <row r="5418" spans="1:7" x14ac:dyDescent="0.25">
      <c r="A5418" s="6" t="s">
        <v>6778</v>
      </c>
      <c r="B5418" s="6"/>
      <c r="C5418" s="3576">
        <v>1471</v>
      </c>
      <c r="D5418" s="3576"/>
      <c r="E5418" s="3577"/>
      <c r="F5418" s="3578"/>
      <c r="G5418" s="3579"/>
    </row>
    <row r="5419" spans="1:7" x14ac:dyDescent="0.25">
      <c r="A5419" s="11" t="s">
        <v>6774</v>
      </c>
      <c r="B5419" s="11"/>
      <c r="C5419" s="3580">
        <v>2742</v>
      </c>
      <c r="D5419" s="3580"/>
      <c r="E5419" s="3581"/>
      <c r="F5419" s="3582"/>
      <c r="G5419" s="3583"/>
    </row>
    <row r="5420" spans="1:7" x14ac:dyDescent="0.25">
      <c r="A5420" s="6" t="s">
        <v>6783</v>
      </c>
      <c r="B5420" s="6"/>
      <c r="C5420" s="3576">
        <v>396</v>
      </c>
      <c r="D5420" s="3576"/>
      <c r="E5420" s="3577"/>
      <c r="F5420" s="3578"/>
      <c r="G5420" s="3579"/>
    </row>
    <row r="5421" spans="1:7" x14ac:dyDescent="0.25">
      <c r="A5421" s="11" t="s">
        <v>4986</v>
      </c>
      <c r="B5421" s="11"/>
      <c r="C5421" s="3580">
        <v>1822</v>
      </c>
      <c r="D5421" s="3580"/>
      <c r="E5421" s="3581"/>
      <c r="F5421" s="3582"/>
      <c r="G5421" s="3583"/>
    </row>
    <row r="5422" spans="1:7" x14ac:dyDescent="0.25">
      <c r="A5422" s="6" t="s">
        <v>6789</v>
      </c>
      <c r="B5422" s="6"/>
      <c r="C5422" s="3576">
        <v>93</v>
      </c>
      <c r="D5422" s="3576"/>
      <c r="E5422" s="3577"/>
      <c r="F5422" s="3578"/>
      <c r="G5422" s="3579"/>
    </row>
    <row r="5423" spans="1:7" x14ac:dyDescent="0.25">
      <c r="A5423" s="11" t="s">
        <v>6780</v>
      </c>
      <c r="B5423" s="11"/>
      <c r="C5423" s="3580">
        <v>568</v>
      </c>
      <c r="D5423" s="3580"/>
      <c r="E5423" s="3581"/>
      <c r="F5423" s="3582"/>
      <c r="G5423" s="3583"/>
    </row>
    <row r="5424" spans="1:7" x14ac:dyDescent="0.25">
      <c r="A5424" s="6" t="s">
        <v>6793</v>
      </c>
      <c r="B5424" s="6"/>
      <c r="C5424" s="3576">
        <v>34</v>
      </c>
      <c r="D5424" s="3576"/>
      <c r="E5424" s="3577"/>
      <c r="F5424" s="3578"/>
      <c r="G5424" s="3579"/>
    </row>
    <row r="5425" spans="1:7" x14ac:dyDescent="0.25">
      <c r="A5425" s="11" t="s">
        <v>6784</v>
      </c>
      <c r="B5425" s="11"/>
      <c r="C5425" s="3580">
        <v>162</v>
      </c>
      <c r="D5425" s="3580"/>
      <c r="E5425" s="3581"/>
      <c r="F5425" s="3582"/>
      <c r="G5425" s="3583"/>
    </row>
    <row r="5426" spans="1:7" x14ac:dyDescent="0.25">
      <c r="A5426" s="6" t="s">
        <v>6819</v>
      </c>
      <c r="B5426" s="6"/>
      <c r="C5426" s="3576">
        <v>9</v>
      </c>
      <c r="D5426" s="3576"/>
      <c r="E5426" s="3577"/>
      <c r="F5426" s="3578"/>
      <c r="G5426" s="3579"/>
    </row>
    <row r="5427" spans="1:7" x14ac:dyDescent="0.25">
      <c r="A5427" s="11" t="s">
        <v>6787</v>
      </c>
      <c r="B5427" s="11"/>
      <c r="C5427" s="3580">
        <v>54</v>
      </c>
      <c r="D5427" s="3580"/>
      <c r="E5427" s="3581"/>
      <c r="F5427" s="3582"/>
      <c r="G5427" s="3583"/>
    </row>
    <row r="5428" spans="1:7" x14ac:dyDescent="0.25">
      <c r="A5428" s="6" t="s">
        <v>6792</v>
      </c>
      <c r="B5428" s="6"/>
      <c r="C5428" s="3576">
        <v>19</v>
      </c>
      <c r="D5428" s="3576"/>
      <c r="E5428" s="3577"/>
      <c r="F5428" s="3578"/>
      <c r="G5428" s="3579"/>
    </row>
    <row r="5429" spans="1:7" x14ac:dyDescent="0.25">
      <c r="A5429" s="11" t="s">
        <v>6847</v>
      </c>
      <c r="B5429" s="11"/>
      <c r="C5429" s="3580">
        <v>1</v>
      </c>
      <c r="D5429" s="3580"/>
      <c r="E5429" s="3581"/>
      <c r="F5429" s="3582"/>
      <c r="G5429" s="3583"/>
    </row>
    <row r="5430" spans="1:7" x14ac:dyDescent="0.25">
      <c r="A5430" s="6" t="s">
        <v>6799</v>
      </c>
      <c r="B5430" s="6"/>
      <c r="C5430" s="3576">
        <v>7</v>
      </c>
      <c r="D5430" s="3576"/>
      <c r="E5430" s="3577"/>
      <c r="F5430" s="3578"/>
      <c r="G5430" s="3579"/>
    </row>
    <row r="5431" spans="1:7" x14ac:dyDescent="0.25">
      <c r="A5431" s="11" t="s">
        <v>6417</v>
      </c>
      <c r="B5431" s="11" t="s">
        <v>6418</v>
      </c>
      <c r="C5431" s="3580">
        <v>124554</v>
      </c>
      <c r="D5431" s="3580"/>
      <c r="E5431" s="3581"/>
      <c r="F5431" s="3582"/>
      <c r="G5431" s="3583"/>
    </row>
    <row r="5432" spans="1:7" x14ac:dyDescent="0.25">
      <c r="A5432" s="6" t="s">
        <v>6417</v>
      </c>
      <c r="B5432" s="6" t="s">
        <v>6419</v>
      </c>
      <c r="C5432" s="3576">
        <v>124554</v>
      </c>
      <c r="D5432" s="3576"/>
      <c r="E5432" s="3577">
        <v>0</v>
      </c>
      <c r="F5432" s="3578">
        <v>100</v>
      </c>
      <c r="G5432" s="3579">
        <v>0</v>
      </c>
    </row>
    <row r="5433" spans="1:7" x14ac:dyDescent="0.25">
      <c r="A5433" s="3729" t="s">
        <v>523</v>
      </c>
      <c r="B5433" s="3730"/>
      <c r="C5433" s="3730"/>
      <c r="D5433" s="3730"/>
      <c r="E5433" s="3730"/>
      <c r="F5433" s="3730"/>
      <c r="G5433" s="3730"/>
    </row>
    <row r="5434" spans="1:7" x14ac:dyDescent="0.25">
      <c r="A5434" s="11" t="s">
        <v>1090</v>
      </c>
      <c r="B5434" s="11"/>
      <c r="C5434" s="3588">
        <v>10879</v>
      </c>
      <c r="D5434" s="3588"/>
      <c r="E5434" s="3589"/>
      <c r="F5434" s="3590"/>
      <c r="G5434" s="3591"/>
    </row>
    <row r="5435" spans="1:7" x14ac:dyDescent="0.25">
      <c r="A5435" s="6" t="s">
        <v>1092</v>
      </c>
      <c r="B5435" s="6"/>
      <c r="C5435" s="3584">
        <v>8007</v>
      </c>
      <c r="D5435" s="3584"/>
      <c r="E5435" s="3585"/>
      <c r="F5435" s="3586"/>
      <c r="G5435" s="3587"/>
    </row>
    <row r="5436" spans="1:7" x14ac:dyDescent="0.25">
      <c r="A5436" s="11" t="s">
        <v>1094</v>
      </c>
      <c r="B5436" s="11"/>
      <c r="C5436" s="3588">
        <v>4213</v>
      </c>
      <c r="D5436" s="3588"/>
      <c r="E5436" s="3589"/>
      <c r="F5436" s="3590"/>
      <c r="G5436" s="3591"/>
    </row>
    <row r="5437" spans="1:7" x14ac:dyDescent="0.25">
      <c r="A5437" s="6" t="s">
        <v>1096</v>
      </c>
      <c r="B5437" s="6"/>
      <c r="C5437" s="3584">
        <v>2219</v>
      </c>
      <c r="D5437" s="3584"/>
      <c r="E5437" s="3585"/>
      <c r="F5437" s="3586"/>
      <c r="G5437" s="3587"/>
    </row>
    <row r="5438" spans="1:7" x14ac:dyDescent="0.25">
      <c r="A5438" s="11" t="s">
        <v>1098</v>
      </c>
      <c r="B5438" s="11"/>
      <c r="C5438" s="3588">
        <v>661</v>
      </c>
      <c r="D5438" s="3588"/>
      <c r="E5438" s="3589"/>
      <c r="F5438" s="3590"/>
      <c r="G5438" s="3591"/>
    </row>
    <row r="5439" spans="1:7" x14ac:dyDescent="0.25">
      <c r="A5439" s="6" t="s">
        <v>1100</v>
      </c>
      <c r="B5439" s="6"/>
      <c r="C5439" s="3584">
        <v>196</v>
      </c>
      <c r="D5439" s="3584"/>
      <c r="E5439" s="3585"/>
      <c r="F5439" s="3586"/>
      <c r="G5439" s="3587"/>
    </row>
    <row r="5440" spans="1:7" x14ac:dyDescent="0.25">
      <c r="A5440" s="11" t="s">
        <v>1109</v>
      </c>
      <c r="B5440" s="11"/>
      <c r="C5440" s="3588">
        <v>63</v>
      </c>
      <c r="D5440" s="3588"/>
      <c r="E5440" s="3589"/>
      <c r="F5440" s="3590"/>
      <c r="G5440" s="3591"/>
    </row>
    <row r="5441" spans="1:7" x14ac:dyDescent="0.25">
      <c r="A5441" s="6" t="s">
        <v>1119</v>
      </c>
      <c r="B5441" s="6"/>
      <c r="C5441" s="3584">
        <v>21</v>
      </c>
      <c r="D5441" s="3584"/>
      <c r="E5441" s="3585"/>
      <c r="F5441" s="3586"/>
      <c r="G5441" s="3587"/>
    </row>
    <row r="5442" spans="1:7" x14ac:dyDescent="0.25">
      <c r="A5442" s="11" t="s">
        <v>1121</v>
      </c>
      <c r="B5442" s="11"/>
      <c r="C5442" s="3588">
        <v>8</v>
      </c>
      <c r="D5442" s="3588"/>
      <c r="E5442" s="3589"/>
      <c r="F5442" s="3590"/>
      <c r="G5442" s="3591"/>
    </row>
    <row r="5443" spans="1:7" x14ac:dyDescent="0.25">
      <c r="A5443" s="6" t="s">
        <v>1123</v>
      </c>
      <c r="B5443" s="6"/>
      <c r="C5443" s="3584">
        <v>2</v>
      </c>
      <c r="D5443" s="3584"/>
      <c r="E5443" s="3585"/>
      <c r="F5443" s="3586"/>
      <c r="G5443" s="3587"/>
    </row>
    <row r="5444" spans="1:7" x14ac:dyDescent="0.25">
      <c r="A5444" s="11" t="s">
        <v>1088</v>
      </c>
      <c r="B5444" s="11"/>
      <c r="C5444" s="3588">
        <v>98287</v>
      </c>
      <c r="D5444" s="3588"/>
      <c r="E5444" s="3589"/>
      <c r="F5444" s="3590"/>
      <c r="G5444" s="3591"/>
    </row>
    <row r="5445" spans="1:7" x14ac:dyDescent="0.25">
      <c r="A5445" s="6" t="s">
        <v>6417</v>
      </c>
      <c r="B5445" s="6" t="s">
        <v>6418</v>
      </c>
      <c r="C5445" s="3584">
        <v>26269</v>
      </c>
      <c r="D5445" s="3584"/>
      <c r="E5445" s="3585"/>
      <c r="F5445" s="3586"/>
      <c r="G5445" s="3587"/>
    </row>
    <row r="5446" spans="1:7" x14ac:dyDescent="0.25">
      <c r="A5446" s="11" t="s">
        <v>6417</v>
      </c>
      <c r="B5446" s="11" t="s">
        <v>6419</v>
      </c>
      <c r="C5446" s="3588">
        <v>124556</v>
      </c>
      <c r="D5446" s="3588"/>
      <c r="E5446" s="3589">
        <v>0</v>
      </c>
      <c r="F5446" s="3590">
        <v>100</v>
      </c>
      <c r="G5446" s="3591">
        <v>0</v>
      </c>
    </row>
    <row r="5447" spans="1:7" x14ac:dyDescent="0.25">
      <c r="A5447" s="3729" t="s">
        <v>395</v>
      </c>
      <c r="B5447" s="3730"/>
      <c r="C5447" s="3730"/>
      <c r="D5447" s="3730"/>
      <c r="E5447" s="3730"/>
      <c r="F5447" s="3730"/>
      <c r="G5447" s="3730"/>
    </row>
    <row r="5448" spans="1:7" x14ac:dyDescent="0.25">
      <c r="A5448" s="11" t="s">
        <v>1090</v>
      </c>
      <c r="B5448" s="11" t="s">
        <v>3255</v>
      </c>
      <c r="C5448" s="3596">
        <v>26112</v>
      </c>
      <c r="D5448" s="3596"/>
      <c r="E5448" s="3597"/>
      <c r="F5448" s="3598"/>
      <c r="G5448" s="3599"/>
    </row>
    <row r="5449" spans="1:7" x14ac:dyDescent="0.25">
      <c r="A5449" s="6" t="s">
        <v>1092</v>
      </c>
      <c r="B5449" s="6" t="s">
        <v>3256</v>
      </c>
      <c r="C5449" s="3592">
        <v>20300</v>
      </c>
      <c r="D5449" s="3592"/>
      <c r="E5449" s="3593"/>
      <c r="F5449" s="3594"/>
      <c r="G5449" s="3595"/>
    </row>
    <row r="5450" spans="1:7" x14ac:dyDescent="0.25">
      <c r="A5450" s="11" t="s">
        <v>1094</v>
      </c>
      <c r="B5450" s="11" t="s">
        <v>3257</v>
      </c>
      <c r="C5450" s="3596">
        <v>5970</v>
      </c>
      <c r="D5450" s="3596"/>
      <c r="E5450" s="3597"/>
      <c r="F5450" s="3598"/>
      <c r="G5450" s="3599"/>
    </row>
    <row r="5451" spans="1:7" x14ac:dyDescent="0.25">
      <c r="A5451" s="6" t="s">
        <v>1096</v>
      </c>
      <c r="B5451" s="6" t="s">
        <v>3258</v>
      </c>
      <c r="C5451" s="3592">
        <v>72175</v>
      </c>
      <c r="D5451" s="3592"/>
      <c r="E5451" s="3593"/>
      <c r="F5451" s="3594"/>
      <c r="G5451" s="3595"/>
    </row>
    <row r="5452" spans="1:7" x14ac:dyDescent="0.25">
      <c r="A5452" s="11" t="s">
        <v>6417</v>
      </c>
      <c r="B5452" s="11" t="s">
        <v>6418</v>
      </c>
      <c r="C5452" s="3596">
        <v>124557</v>
      </c>
      <c r="D5452" s="3596"/>
      <c r="E5452" s="3597"/>
      <c r="F5452" s="3598"/>
      <c r="G5452" s="3599"/>
    </row>
    <row r="5453" spans="1:7" x14ac:dyDescent="0.25">
      <c r="A5453" s="6" t="s">
        <v>6417</v>
      </c>
      <c r="B5453" s="6" t="s">
        <v>6419</v>
      </c>
      <c r="C5453" s="3592">
        <v>124557</v>
      </c>
      <c r="D5453" s="3592"/>
      <c r="E5453" s="3593">
        <v>0</v>
      </c>
      <c r="F5453" s="3594">
        <v>100</v>
      </c>
      <c r="G5453" s="3595">
        <v>0</v>
      </c>
    </row>
    <row r="5454" spans="1:7" x14ac:dyDescent="0.25">
      <c r="A5454" s="3729" t="s">
        <v>397</v>
      </c>
      <c r="B5454" s="3730"/>
      <c r="C5454" s="3730"/>
      <c r="D5454" s="3730"/>
      <c r="E5454" s="3730"/>
      <c r="F5454" s="3730"/>
      <c r="G5454" s="3730"/>
    </row>
    <row r="5455" spans="1:7" x14ac:dyDescent="0.25">
      <c r="A5455" s="11" t="s">
        <v>6417</v>
      </c>
      <c r="B5455" s="11" t="s">
        <v>6418</v>
      </c>
      <c r="C5455" s="3604">
        <v>96355</v>
      </c>
      <c r="D5455" s="3604"/>
      <c r="E5455" s="3605"/>
      <c r="F5455" s="3606"/>
      <c r="G5455" s="3607"/>
    </row>
    <row r="5456" spans="1:7" x14ac:dyDescent="0.25">
      <c r="A5456" s="6" t="s">
        <v>6417</v>
      </c>
      <c r="B5456" s="6" t="s">
        <v>6419</v>
      </c>
      <c r="C5456" s="3600">
        <v>96355</v>
      </c>
      <c r="D5456" s="3600"/>
      <c r="E5456" s="3601">
        <v>0</v>
      </c>
      <c r="F5456" s="3602">
        <v>100</v>
      </c>
      <c r="G5456" s="3603">
        <v>0</v>
      </c>
    </row>
    <row r="5457" spans="1:7" x14ac:dyDescent="0.25">
      <c r="A5457" s="3729" t="s">
        <v>384</v>
      </c>
      <c r="B5457" s="3730"/>
      <c r="C5457" s="3730"/>
      <c r="D5457" s="3730"/>
      <c r="E5457" s="3730"/>
      <c r="F5457" s="3730"/>
      <c r="G5457" s="3730"/>
    </row>
    <row r="5458" spans="1:7" x14ac:dyDescent="0.25">
      <c r="A5458" s="11" t="s">
        <v>6417</v>
      </c>
      <c r="B5458" s="11" t="s">
        <v>6418</v>
      </c>
      <c r="C5458" s="3612">
        <v>96355</v>
      </c>
      <c r="D5458" s="3612"/>
      <c r="E5458" s="3613"/>
      <c r="F5458" s="3614"/>
      <c r="G5458" s="3615"/>
    </row>
    <row r="5459" spans="1:7" x14ac:dyDescent="0.25">
      <c r="A5459" s="6" t="s">
        <v>6417</v>
      </c>
      <c r="B5459" s="6" t="s">
        <v>6419</v>
      </c>
      <c r="C5459" s="3608">
        <v>96355</v>
      </c>
      <c r="D5459" s="3608"/>
      <c r="E5459" s="3609">
        <v>0</v>
      </c>
      <c r="F5459" s="3610">
        <v>100</v>
      </c>
      <c r="G5459" s="3611">
        <v>0</v>
      </c>
    </row>
    <row r="5460" spans="1:7" x14ac:dyDescent="0.25">
      <c r="A5460" s="3729" t="s">
        <v>390</v>
      </c>
      <c r="B5460" s="3730"/>
      <c r="C5460" s="3730"/>
      <c r="D5460" s="3730"/>
      <c r="E5460" s="3730"/>
      <c r="F5460" s="3730"/>
      <c r="G5460" s="3730"/>
    </row>
    <row r="5461" spans="1:7" x14ac:dyDescent="0.25">
      <c r="A5461" s="11" t="s">
        <v>6417</v>
      </c>
      <c r="B5461" s="11" t="s">
        <v>6418</v>
      </c>
      <c r="C5461" s="3620">
        <v>111331</v>
      </c>
      <c r="D5461" s="3620"/>
      <c r="E5461" s="3621"/>
      <c r="F5461" s="3622"/>
      <c r="G5461" s="3623"/>
    </row>
    <row r="5462" spans="1:7" x14ac:dyDescent="0.25">
      <c r="A5462" s="6" t="s">
        <v>6417</v>
      </c>
      <c r="B5462" s="6" t="s">
        <v>6419</v>
      </c>
      <c r="C5462" s="3616">
        <v>111331</v>
      </c>
      <c r="D5462" s="3616"/>
      <c r="E5462" s="3617">
        <v>0</v>
      </c>
      <c r="F5462" s="3618">
        <v>100</v>
      </c>
      <c r="G5462" s="3619">
        <v>0</v>
      </c>
    </row>
    <row r="5463" spans="1:7" x14ac:dyDescent="0.25">
      <c r="A5463" s="3729" t="s">
        <v>700</v>
      </c>
      <c r="B5463" s="3730"/>
      <c r="C5463" s="3730"/>
      <c r="D5463" s="3730"/>
      <c r="E5463" s="3730"/>
      <c r="F5463" s="3730"/>
      <c r="G5463" s="3730"/>
    </row>
    <row r="5464" spans="1:7" x14ac:dyDescent="0.25">
      <c r="A5464" s="11" t="s">
        <v>6417</v>
      </c>
      <c r="B5464" s="11" t="s">
        <v>6418</v>
      </c>
      <c r="C5464" s="3628">
        <v>98873</v>
      </c>
      <c r="D5464" s="3628"/>
      <c r="E5464" s="3629"/>
      <c r="F5464" s="3630"/>
      <c r="G5464" s="3631"/>
    </row>
    <row r="5465" spans="1:7" x14ac:dyDescent="0.25">
      <c r="A5465" s="6" t="s">
        <v>6417</v>
      </c>
      <c r="B5465" s="6" t="s">
        <v>6419</v>
      </c>
      <c r="C5465" s="3624">
        <v>98873</v>
      </c>
      <c r="D5465" s="3624"/>
      <c r="E5465" s="3625">
        <v>0</v>
      </c>
      <c r="F5465" s="3626">
        <v>100</v>
      </c>
      <c r="G5465" s="3627">
        <v>0</v>
      </c>
    </row>
    <row r="5466" spans="1:7" x14ac:dyDescent="0.25">
      <c r="A5466" s="3729" t="s">
        <v>139</v>
      </c>
      <c r="B5466" s="3730"/>
      <c r="C5466" s="3730"/>
      <c r="D5466" s="3730"/>
      <c r="E5466" s="3730"/>
      <c r="F5466" s="3730"/>
      <c r="G5466" s="3730"/>
    </row>
    <row r="5467" spans="1:7" x14ac:dyDescent="0.25">
      <c r="A5467" s="11" t="s">
        <v>1102</v>
      </c>
      <c r="B5467" s="11" t="s">
        <v>1103</v>
      </c>
      <c r="C5467" s="3636">
        <v>46</v>
      </c>
      <c r="D5467" s="3636"/>
      <c r="E5467" s="3637"/>
      <c r="F5467" s="3638"/>
      <c r="G5467" s="3639"/>
    </row>
    <row r="5468" spans="1:7" x14ac:dyDescent="0.25">
      <c r="A5468" s="6" t="s">
        <v>6417</v>
      </c>
      <c r="B5468" s="6" t="s">
        <v>6418</v>
      </c>
      <c r="C5468" s="3632">
        <v>124075</v>
      </c>
      <c r="D5468" s="3632"/>
      <c r="E5468" s="3633"/>
      <c r="F5468" s="3634"/>
      <c r="G5468" s="3635"/>
    </row>
    <row r="5469" spans="1:7" x14ac:dyDescent="0.25">
      <c r="A5469" s="11" t="s">
        <v>6417</v>
      </c>
      <c r="B5469" s="11" t="s">
        <v>6419</v>
      </c>
      <c r="C5469" s="3636">
        <v>124121</v>
      </c>
      <c r="D5469" s="3636"/>
      <c r="E5469" s="3637">
        <v>0</v>
      </c>
      <c r="F5469" s="3638">
        <v>100</v>
      </c>
      <c r="G5469" s="3639">
        <v>0</v>
      </c>
    </row>
    <row r="5470" spans="1:7" x14ac:dyDescent="0.25">
      <c r="A5470" s="3729" t="s">
        <v>696</v>
      </c>
      <c r="B5470" s="3730"/>
      <c r="C5470" s="3730"/>
      <c r="D5470" s="3730"/>
      <c r="E5470" s="3730"/>
      <c r="F5470" s="3730"/>
      <c r="G5470" s="3730"/>
    </row>
    <row r="5471" spans="1:7" x14ac:dyDescent="0.25">
      <c r="A5471" s="11" t="s">
        <v>6848</v>
      </c>
      <c r="B5471" s="11"/>
      <c r="C5471" s="3644">
        <v>1</v>
      </c>
      <c r="D5471" s="3644"/>
      <c r="E5471" s="3645"/>
      <c r="F5471" s="3646"/>
      <c r="G5471" s="3647"/>
    </row>
    <row r="5472" spans="1:7" x14ac:dyDescent="0.25">
      <c r="A5472" s="6" t="s">
        <v>6849</v>
      </c>
      <c r="B5472" s="6"/>
      <c r="C5472" s="3640">
        <v>1</v>
      </c>
      <c r="D5472" s="3640"/>
      <c r="E5472" s="3641"/>
      <c r="F5472" s="3642"/>
      <c r="G5472" s="3643"/>
    </row>
    <row r="5473" spans="1:7" x14ac:dyDescent="0.25">
      <c r="A5473" s="11" t="s">
        <v>6850</v>
      </c>
      <c r="B5473" s="11"/>
      <c r="C5473" s="3644">
        <v>17</v>
      </c>
      <c r="D5473" s="3644"/>
      <c r="E5473" s="3645"/>
      <c r="F5473" s="3646"/>
      <c r="G5473" s="3647"/>
    </row>
    <row r="5474" spans="1:7" x14ac:dyDescent="0.25">
      <c r="A5474" s="6" t="s">
        <v>6851</v>
      </c>
      <c r="B5474" s="6"/>
      <c r="C5474" s="3640">
        <v>4</v>
      </c>
      <c r="D5474" s="3640"/>
      <c r="E5474" s="3641"/>
      <c r="F5474" s="3642"/>
      <c r="G5474" s="3643"/>
    </row>
    <row r="5475" spans="1:7" x14ac:dyDescent="0.25">
      <c r="A5475" s="11" t="s">
        <v>6852</v>
      </c>
      <c r="B5475" s="11"/>
      <c r="C5475" s="3644">
        <v>1</v>
      </c>
      <c r="D5475" s="3644"/>
      <c r="E5475" s="3645"/>
      <c r="F5475" s="3646"/>
      <c r="G5475" s="3647"/>
    </row>
    <row r="5476" spans="1:7" x14ac:dyDescent="0.25">
      <c r="A5476" s="6" t="s">
        <v>6853</v>
      </c>
      <c r="B5476" s="6"/>
      <c r="C5476" s="3640">
        <v>1</v>
      </c>
      <c r="D5476" s="3640"/>
      <c r="E5476" s="3641"/>
      <c r="F5476" s="3642"/>
      <c r="G5476" s="3643"/>
    </row>
    <row r="5477" spans="1:7" x14ac:dyDescent="0.25">
      <c r="A5477" s="11" t="s">
        <v>6854</v>
      </c>
      <c r="B5477" s="11"/>
      <c r="C5477" s="3644">
        <v>8</v>
      </c>
      <c r="D5477" s="3644"/>
      <c r="E5477" s="3645"/>
      <c r="F5477" s="3646"/>
      <c r="G5477" s="3647"/>
    </row>
    <row r="5478" spans="1:7" x14ac:dyDescent="0.25">
      <c r="A5478" s="6" t="s">
        <v>6442</v>
      </c>
      <c r="B5478" s="6"/>
      <c r="C5478" s="3640">
        <v>202</v>
      </c>
      <c r="D5478" s="3640"/>
      <c r="E5478" s="3641"/>
      <c r="F5478" s="3642"/>
      <c r="G5478" s="3643"/>
    </row>
    <row r="5479" spans="1:7" x14ac:dyDescent="0.25">
      <c r="A5479" s="11" t="s">
        <v>6855</v>
      </c>
      <c r="B5479" s="11"/>
      <c r="C5479" s="3644">
        <v>9</v>
      </c>
      <c r="D5479" s="3644"/>
      <c r="E5479" s="3645"/>
      <c r="F5479" s="3646"/>
      <c r="G5479" s="3647"/>
    </row>
    <row r="5480" spans="1:7" x14ac:dyDescent="0.25">
      <c r="A5480" s="6" t="s">
        <v>6856</v>
      </c>
      <c r="B5480" s="6"/>
      <c r="C5480" s="3640">
        <v>1</v>
      </c>
      <c r="D5480" s="3640"/>
      <c r="E5480" s="3641"/>
      <c r="F5480" s="3642"/>
      <c r="G5480" s="3643"/>
    </row>
    <row r="5481" spans="1:7" x14ac:dyDescent="0.25">
      <c r="A5481" s="11" t="s">
        <v>6857</v>
      </c>
      <c r="B5481" s="11"/>
      <c r="C5481" s="3644">
        <v>10</v>
      </c>
      <c r="D5481" s="3644"/>
      <c r="E5481" s="3645"/>
      <c r="F5481" s="3646"/>
      <c r="G5481" s="3647"/>
    </row>
    <row r="5482" spans="1:7" x14ac:dyDescent="0.25">
      <c r="A5482" s="6" t="s">
        <v>6858</v>
      </c>
      <c r="B5482" s="6"/>
      <c r="C5482" s="3640">
        <v>2</v>
      </c>
      <c r="D5482" s="3640"/>
      <c r="E5482" s="3641"/>
      <c r="F5482" s="3642"/>
      <c r="G5482" s="3643"/>
    </row>
    <row r="5483" spans="1:7" x14ac:dyDescent="0.25">
      <c r="A5483" s="11" t="s">
        <v>6435</v>
      </c>
      <c r="B5483" s="11"/>
      <c r="C5483" s="3644">
        <v>121875</v>
      </c>
      <c r="D5483" s="3644"/>
      <c r="E5483" s="3645"/>
      <c r="F5483" s="3646"/>
      <c r="G5483" s="3647"/>
    </row>
    <row r="5484" spans="1:7" x14ac:dyDescent="0.25">
      <c r="A5484" s="6" t="s">
        <v>6437</v>
      </c>
      <c r="B5484" s="6"/>
      <c r="C5484" s="3640">
        <v>120</v>
      </c>
      <c r="D5484" s="3640"/>
      <c r="E5484" s="3641"/>
      <c r="F5484" s="3642"/>
      <c r="G5484" s="3643"/>
    </row>
    <row r="5485" spans="1:7" x14ac:dyDescent="0.25">
      <c r="A5485" s="11" t="s">
        <v>6859</v>
      </c>
      <c r="B5485" s="11"/>
      <c r="C5485" s="3644">
        <v>1</v>
      </c>
      <c r="D5485" s="3644"/>
      <c r="E5485" s="3645"/>
      <c r="F5485" s="3646"/>
      <c r="G5485" s="3647"/>
    </row>
    <row r="5486" spans="1:7" x14ac:dyDescent="0.25">
      <c r="A5486" s="6" t="s">
        <v>6860</v>
      </c>
      <c r="B5486" s="6"/>
      <c r="C5486" s="3640">
        <v>6</v>
      </c>
      <c r="D5486" s="3640"/>
      <c r="E5486" s="3641"/>
      <c r="F5486" s="3642"/>
      <c r="G5486" s="3643"/>
    </row>
    <row r="5487" spans="1:7" x14ac:dyDescent="0.25">
      <c r="A5487" s="11" t="s">
        <v>6861</v>
      </c>
      <c r="B5487" s="11"/>
      <c r="C5487" s="3644">
        <v>1</v>
      </c>
      <c r="D5487" s="3644"/>
      <c r="E5487" s="3645"/>
      <c r="F5487" s="3646"/>
      <c r="G5487" s="3647"/>
    </row>
    <row r="5488" spans="1:7" x14ac:dyDescent="0.25">
      <c r="A5488" s="6" t="s">
        <v>6862</v>
      </c>
      <c r="B5488" s="6"/>
      <c r="C5488" s="3640">
        <v>34</v>
      </c>
      <c r="D5488" s="3640"/>
      <c r="E5488" s="3641"/>
      <c r="F5488" s="3642"/>
      <c r="G5488" s="3643"/>
    </row>
    <row r="5489" spans="1:7" x14ac:dyDescent="0.25">
      <c r="A5489" s="11" t="s">
        <v>6863</v>
      </c>
      <c r="B5489" s="11"/>
      <c r="C5489" s="3644">
        <v>2</v>
      </c>
      <c r="D5489" s="3644"/>
      <c r="E5489" s="3645"/>
      <c r="F5489" s="3646"/>
      <c r="G5489" s="3647"/>
    </row>
    <row r="5490" spans="1:7" x14ac:dyDescent="0.25">
      <c r="A5490" s="6" t="s">
        <v>6864</v>
      </c>
      <c r="B5490" s="6"/>
      <c r="C5490" s="3640">
        <v>3</v>
      </c>
      <c r="D5490" s="3640"/>
      <c r="E5490" s="3641"/>
      <c r="F5490" s="3642"/>
      <c r="G5490" s="3643"/>
    </row>
    <row r="5491" spans="1:7" x14ac:dyDescent="0.25">
      <c r="A5491" s="11" t="s">
        <v>6865</v>
      </c>
      <c r="B5491" s="11"/>
      <c r="C5491" s="3644">
        <v>85</v>
      </c>
      <c r="D5491" s="3644"/>
      <c r="E5491" s="3645"/>
      <c r="F5491" s="3646"/>
      <c r="G5491" s="3647"/>
    </row>
    <row r="5492" spans="1:7" x14ac:dyDescent="0.25">
      <c r="A5492" s="6" t="s">
        <v>6866</v>
      </c>
      <c r="B5492" s="6"/>
      <c r="C5492" s="3640">
        <v>26</v>
      </c>
      <c r="D5492" s="3640"/>
      <c r="E5492" s="3641"/>
      <c r="F5492" s="3642"/>
      <c r="G5492" s="3643"/>
    </row>
    <row r="5493" spans="1:7" x14ac:dyDescent="0.25">
      <c r="A5493" s="11" t="s">
        <v>6867</v>
      </c>
      <c r="B5493" s="11"/>
      <c r="C5493" s="3644">
        <v>1</v>
      </c>
      <c r="D5493" s="3644"/>
      <c r="E5493" s="3645"/>
      <c r="F5493" s="3646"/>
      <c r="G5493" s="3647"/>
    </row>
    <row r="5494" spans="1:7" x14ac:dyDescent="0.25">
      <c r="A5494" s="6" t="s">
        <v>6868</v>
      </c>
      <c r="B5494" s="6"/>
      <c r="C5494" s="3640">
        <v>1</v>
      </c>
      <c r="D5494" s="3640"/>
      <c r="E5494" s="3641"/>
      <c r="F5494" s="3642"/>
      <c r="G5494" s="3643"/>
    </row>
    <row r="5495" spans="1:7" x14ac:dyDescent="0.25">
      <c r="A5495" s="11" t="s">
        <v>6869</v>
      </c>
      <c r="B5495" s="11"/>
      <c r="C5495" s="3644">
        <v>153</v>
      </c>
      <c r="D5495" s="3644"/>
      <c r="E5495" s="3645"/>
      <c r="F5495" s="3646"/>
      <c r="G5495" s="3647"/>
    </row>
    <row r="5496" spans="1:7" x14ac:dyDescent="0.25">
      <c r="A5496" s="6" t="s">
        <v>6870</v>
      </c>
      <c r="B5496" s="6"/>
      <c r="C5496" s="3640">
        <v>15</v>
      </c>
      <c r="D5496" s="3640"/>
      <c r="E5496" s="3641"/>
      <c r="F5496" s="3642"/>
      <c r="G5496" s="3643"/>
    </row>
    <row r="5497" spans="1:7" x14ac:dyDescent="0.25">
      <c r="A5497" s="11" t="s">
        <v>6871</v>
      </c>
      <c r="B5497" s="11"/>
      <c r="C5497" s="3644">
        <v>41</v>
      </c>
      <c r="D5497" s="3644"/>
      <c r="E5497" s="3645"/>
      <c r="F5497" s="3646"/>
      <c r="G5497" s="3647"/>
    </row>
    <row r="5498" spans="1:7" x14ac:dyDescent="0.25">
      <c r="A5498" s="6" t="s">
        <v>6443</v>
      </c>
      <c r="B5498" s="6"/>
      <c r="C5498" s="3640">
        <v>72</v>
      </c>
      <c r="D5498" s="3640"/>
      <c r="E5498" s="3641"/>
      <c r="F5498" s="3642"/>
      <c r="G5498" s="3643"/>
    </row>
    <row r="5499" spans="1:7" x14ac:dyDescent="0.25">
      <c r="A5499" s="11" t="s">
        <v>6872</v>
      </c>
      <c r="B5499" s="11"/>
      <c r="C5499" s="3644">
        <v>3</v>
      </c>
      <c r="D5499" s="3644"/>
      <c r="E5499" s="3645"/>
      <c r="F5499" s="3646"/>
      <c r="G5499" s="3647"/>
    </row>
    <row r="5500" spans="1:7" x14ac:dyDescent="0.25">
      <c r="A5500" s="6" t="s">
        <v>6873</v>
      </c>
      <c r="B5500" s="6"/>
      <c r="C5500" s="3640">
        <v>19</v>
      </c>
      <c r="D5500" s="3640"/>
      <c r="E5500" s="3641"/>
      <c r="F5500" s="3642"/>
      <c r="G5500" s="3643"/>
    </row>
    <row r="5501" spans="1:7" x14ac:dyDescent="0.25">
      <c r="A5501" s="11" t="s">
        <v>6874</v>
      </c>
      <c r="B5501" s="11"/>
      <c r="C5501" s="3644">
        <v>3</v>
      </c>
      <c r="D5501" s="3644"/>
      <c r="E5501" s="3645"/>
      <c r="F5501" s="3646"/>
      <c r="G5501" s="3647"/>
    </row>
    <row r="5502" spans="1:7" x14ac:dyDescent="0.25">
      <c r="A5502" s="6" t="s">
        <v>6875</v>
      </c>
      <c r="B5502" s="6"/>
      <c r="C5502" s="3640">
        <v>1</v>
      </c>
      <c r="D5502" s="3640"/>
      <c r="E5502" s="3641"/>
      <c r="F5502" s="3642"/>
      <c r="G5502" s="3643"/>
    </row>
    <row r="5503" spans="1:7" x14ac:dyDescent="0.25">
      <c r="A5503" s="11" t="s">
        <v>6436</v>
      </c>
      <c r="B5503" s="11"/>
      <c r="C5503" s="3644">
        <v>12</v>
      </c>
      <c r="D5503" s="3644"/>
      <c r="E5503" s="3645"/>
      <c r="F5503" s="3646"/>
      <c r="G5503" s="3647"/>
    </row>
    <row r="5504" spans="1:7" x14ac:dyDescent="0.25">
      <c r="A5504" s="6" t="s">
        <v>6876</v>
      </c>
      <c r="B5504" s="6"/>
      <c r="C5504" s="3640">
        <v>7</v>
      </c>
      <c r="D5504" s="3640"/>
      <c r="E5504" s="3641"/>
      <c r="F5504" s="3642"/>
      <c r="G5504" s="3643"/>
    </row>
    <row r="5505" spans="1:7" x14ac:dyDescent="0.25">
      <c r="A5505" s="11" t="s">
        <v>6877</v>
      </c>
      <c r="B5505" s="11"/>
      <c r="C5505" s="3644">
        <v>1</v>
      </c>
      <c r="D5505" s="3644"/>
      <c r="E5505" s="3645"/>
      <c r="F5505" s="3646"/>
      <c r="G5505" s="3647"/>
    </row>
    <row r="5506" spans="1:7" x14ac:dyDescent="0.25">
      <c r="A5506" s="6" t="s">
        <v>6878</v>
      </c>
      <c r="B5506" s="6"/>
      <c r="C5506" s="3640">
        <v>13</v>
      </c>
      <c r="D5506" s="3640"/>
      <c r="E5506" s="3641"/>
      <c r="F5506" s="3642"/>
      <c r="G5506" s="3643"/>
    </row>
    <row r="5507" spans="1:7" x14ac:dyDescent="0.25">
      <c r="A5507" s="11" t="s">
        <v>6879</v>
      </c>
      <c r="B5507" s="11"/>
      <c r="C5507" s="3644">
        <v>1</v>
      </c>
      <c r="D5507" s="3644"/>
      <c r="E5507" s="3645"/>
      <c r="F5507" s="3646"/>
      <c r="G5507" s="3647"/>
    </row>
    <row r="5508" spans="1:7" x14ac:dyDescent="0.25">
      <c r="A5508" s="6" t="s">
        <v>6880</v>
      </c>
      <c r="B5508" s="6"/>
      <c r="C5508" s="3640">
        <v>55</v>
      </c>
      <c r="D5508" s="3640"/>
      <c r="E5508" s="3641"/>
      <c r="F5508" s="3642"/>
      <c r="G5508" s="3643"/>
    </row>
    <row r="5509" spans="1:7" x14ac:dyDescent="0.25">
      <c r="A5509" s="11" t="s">
        <v>6438</v>
      </c>
      <c r="B5509" s="11"/>
      <c r="C5509" s="3644">
        <v>28</v>
      </c>
      <c r="D5509" s="3644"/>
      <c r="E5509" s="3645"/>
      <c r="F5509" s="3646"/>
      <c r="G5509" s="3647"/>
    </row>
    <row r="5510" spans="1:7" x14ac:dyDescent="0.25">
      <c r="A5510" s="6" t="s">
        <v>6881</v>
      </c>
      <c r="B5510" s="6"/>
      <c r="C5510" s="3640">
        <v>13</v>
      </c>
      <c r="D5510" s="3640"/>
      <c r="E5510" s="3641"/>
      <c r="F5510" s="3642"/>
      <c r="G5510" s="3643"/>
    </row>
    <row r="5511" spans="1:7" x14ac:dyDescent="0.25">
      <c r="A5511" s="11" t="s">
        <v>6882</v>
      </c>
      <c r="B5511" s="11"/>
      <c r="C5511" s="3644">
        <v>18</v>
      </c>
      <c r="D5511" s="3644"/>
      <c r="E5511" s="3645"/>
      <c r="F5511" s="3646"/>
      <c r="G5511" s="3647"/>
    </row>
    <row r="5512" spans="1:7" x14ac:dyDescent="0.25">
      <c r="A5512" s="6" t="s">
        <v>6883</v>
      </c>
      <c r="B5512" s="6"/>
      <c r="C5512" s="3640">
        <v>32</v>
      </c>
      <c r="D5512" s="3640"/>
      <c r="E5512" s="3641"/>
      <c r="F5512" s="3642"/>
      <c r="G5512" s="3643"/>
    </row>
    <row r="5513" spans="1:7" x14ac:dyDescent="0.25">
      <c r="A5513" s="11" t="s">
        <v>6884</v>
      </c>
      <c r="B5513" s="11"/>
      <c r="C5513" s="3644">
        <v>21</v>
      </c>
      <c r="D5513" s="3644"/>
      <c r="E5513" s="3645"/>
      <c r="F5513" s="3646"/>
      <c r="G5513" s="3647"/>
    </row>
    <row r="5514" spans="1:7" x14ac:dyDescent="0.25">
      <c r="A5514" s="6" t="s">
        <v>6885</v>
      </c>
      <c r="B5514" s="6"/>
      <c r="C5514" s="3640">
        <v>3</v>
      </c>
      <c r="D5514" s="3640"/>
      <c r="E5514" s="3641"/>
      <c r="F5514" s="3642"/>
      <c r="G5514" s="3643"/>
    </row>
    <row r="5515" spans="1:7" x14ac:dyDescent="0.25">
      <c r="A5515" s="11" t="s">
        <v>6886</v>
      </c>
      <c r="B5515" s="11"/>
      <c r="C5515" s="3644">
        <v>45</v>
      </c>
      <c r="D5515" s="3644"/>
      <c r="E5515" s="3645"/>
      <c r="F5515" s="3646"/>
      <c r="G5515" s="3647"/>
    </row>
    <row r="5516" spans="1:7" x14ac:dyDescent="0.25">
      <c r="A5516" s="6" t="s">
        <v>6887</v>
      </c>
      <c r="B5516" s="6"/>
      <c r="C5516" s="3640">
        <v>13</v>
      </c>
      <c r="D5516" s="3640"/>
      <c r="E5516" s="3641"/>
      <c r="F5516" s="3642"/>
      <c r="G5516" s="3643"/>
    </row>
    <row r="5517" spans="1:7" x14ac:dyDescent="0.25">
      <c r="A5517" s="11" t="s">
        <v>6888</v>
      </c>
      <c r="B5517" s="11"/>
      <c r="C5517" s="3644">
        <v>1</v>
      </c>
      <c r="D5517" s="3644"/>
      <c r="E5517" s="3645"/>
      <c r="F5517" s="3646"/>
      <c r="G5517" s="3647"/>
    </row>
    <row r="5518" spans="1:7" x14ac:dyDescent="0.25">
      <c r="A5518" s="6" t="s">
        <v>6889</v>
      </c>
      <c r="B5518" s="6"/>
      <c r="C5518" s="3640">
        <v>12</v>
      </c>
      <c r="D5518" s="3640"/>
      <c r="E5518" s="3641"/>
      <c r="F5518" s="3642"/>
      <c r="G5518" s="3643"/>
    </row>
    <row r="5519" spans="1:7" x14ac:dyDescent="0.25">
      <c r="A5519" s="11" t="s">
        <v>6890</v>
      </c>
      <c r="B5519" s="11"/>
      <c r="C5519" s="3644">
        <v>6</v>
      </c>
      <c r="D5519" s="3644"/>
      <c r="E5519" s="3645"/>
      <c r="F5519" s="3646"/>
      <c r="G5519" s="3647"/>
    </row>
    <row r="5520" spans="1:7" x14ac:dyDescent="0.25">
      <c r="A5520" s="6" t="s">
        <v>6891</v>
      </c>
      <c r="B5520" s="6"/>
      <c r="C5520" s="3640">
        <v>1</v>
      </c>
      <c r="D5520" s="3640"/>
      <c r="E5520" s="3641"/>
      <c r="F5520" s="3642"/>
      <c r="G5520" s="3643"/>
    </row>
    <row r="5521" spans="1:7" x14ac:dyDescent="0.25">
      <c r="A5521" s="11" t="s">
        <v>6439</v>
      </c>
      <c r="B5521" s="11"/>
      <c r="C5521" s="3644">
        <v>18</v>
      </c>
      <c r="D5521" s="3644"/>
      <c r="E5521" s="3645"/>
      <c r="F5521" s="3646"/>
      <c r="G5521" s="3647"/>
    </row>
    <row r="5522" spans="1:7" x14ac:dyDescent="0.25">
      <c r="A5522" s="6" t="s">
        <v>6892</v>
      </c>
      <c r="B5522" s="6"/>
      <c r="C5522" s="3640">
        <v>32</v>
      </c>
      <c r="D5522" s="3640"/>
      <c r="E5522" s="3641"/>
      <c r="F5522" s="3642"/>
      <c r="G5522" s="3643"/>
    </row>
    <row r="5523" spans="1:7" x14ac:dyDescent="0.25">
      <c r="A5523" s="11" t="s">
        <v>6893</v>
      </c>
      <c r="B5523" s="11"/>
      <c r="C5523" s="3644">
        <v>1</v>
      </c>
      <c r="D5523" s="3644"/>
      <c r="E5523" s="3645"/>
      <c r="F5523" s="3646"/>
      <c r="G5523" s="3647"/>
    </row>
    <row r="5524" spans="1:7" x14ac:dyDescent="0.25">
      <c r="A5524" s="6" t="s">
        <v>6894</v>
      </c>
      <c r="B5524" s="6"/>
      <c r="C5524" s="3640">
        <v>2</v>
      </c>
      <c r="D5524" s="3640"/>
      <c r="E5524" s="3641"/>
      <c r="F5524" s="3642"/>
      <c r="G5524" s="3643"/>
    </row>
    <row r="5525" spans="1:7" x14ac:dyDescent="0.25">
      <c r="A5525" s="11" t="s">
        <v>6440</v>
      </c>
      <c r="B5525" s="11"/>
      <c r="C5525" s="3644">
        <v>488</v>
      </c>
      <c r="D5525" s="3644"/>
      <c r="E5525" s="3645"/>
      <c r="F5525" s="3646"/>
      <c r="G5525" s="3647"/>
    </row>
    <row r="5526" spans="1:7" x14ac:dyDescent="0.25">
      <c r="A5526" s="6" t="s">
        <v>6895</v>
      </c>
      <c r="B5526" s="6"/>
      <c r="C5526" s="3640">
        <v>91</v>
      </c>
      <c r="D5526" s="3640"/>
      <c r="E5526" s="3641"/>
      <c r="F5526" s="3642"/>
      <c r="G5526" s="3643"/>
    </row>
    <row r="5527" spans="1:7" x14ac:dyDescent="0.25">
      <c r="A5527" s="11" t="s">
        <v>6896</v>
      </c>
      <c r="B5527" s="11"/>
      <c r="C5527" s="3644">
        <v>27</v>
      </c>
      <c r="D5527" s="3644"/>
      <c r="E5527" s="3645"/>
      <c r="F5527" s="3646"/>
      <c r="G5527" s="3647"/>
    </row>
    <row r="5528" spans="1:7" x14ac:dyDescent="0.25">
      <c r="A5528" s="6" t="s">
        <v>6897</v>
      </c>
      <c r="B5528" s="6"/>
      <c r="C5528" s="3640">
        <v>13</v>
      </c>
      <c r="D5528" s="3640"/>
      <c r="E5528" s="3641"/>
      <c r="F5528" s="3642"/>
      <c r="G5528" s="3643"/>
    </row>
    <row r="5529" spans="1:7" x14ac:dyDescent="0.25">
      <c r="A5529" s="11" t="s">
        <v>6898</v>
      </c>
      <c r="B5529" s="11"/>
      <c r="C5529" s="3644">
        <v>4</v>
      </c>
      <c r="D5529" s="3644"/>
      <c r="E5529" s="3645"/>
      <c r="F5529" s="3646"/>
      <c r="G5529" s="3647"/>
    </row>
    <row r="5530" spans="1:7" x14ac:dyDescent="0.25">
      <c r="A5530" s="6" t="s">
        <v>6899</v>
      </c>
      <c r="B5530" s="6"/>
      <c r="C5530" s="3640">
        <v>318</v>
      </c>
      <c r="D5530" s="3640"/>
      <c r="E5530" s="3641"/>
      <c r="F5530" s="3642"/>
      <c r="G5530" s="3643"/>
    </row>
    <row r="5531" spans="1:7" x14ac:dyDescent="0.25">
      <c r="A5531" s="11" t="s">
        <v>6900</v>
      </c>
      <c r="B5531" s="11"/>
      <c r="C5531" s="3644">
        <v>26</v>
      </c>
      <c r="D5531" s="3644"/>
      <c r="E5531" s="3645"/>
      <c r="F5531" s="3646"/>
      <c r="G5531" s="3647"/>
    </row>
    <row r="5532" spans="1:7" x14ac:dyDescent="0.25">
      <c r="A5532" s="6" t="s">
        <v>6901</v>
      </c>
      <c r="B5532" s="6"/>
      <c r="C5532" s="3640">
        <v>1</v>
      </c>
      <c r="D5532" s="3640"/>
      <c r="E5532" s="3641"/>
      <c r="F5532" s="3642"/>
      <c r="G5532" s="3643"/>
    </row>
    <row r="5533" spans="1:7" x14ac:dyDescent="0.25">
      <c r="A5533" s="11" t="s">
        <v>6902</v>
      </c>
      <c r="B5533" s="11"/>
      <c r="C5533" s="3644">
        <v>1</v>
      </c>
      <c r="D5533" s="3644"/>
      <c r="E5533" s="3645"/>
      <c r="F5533" s="3646"/>
      <c r="G5533" s="3647"/>
    </row>
    <row r="5534" spans="1:7" x14ac:dyDescent="0.25">
      <c r="A5534" s="6" t="s">
        <v>6903</v>
      </c>
      <c r="B5534" s="6"/>
      <c r="C5534" s="3640">
        <v>2</v>
      </c>
      <c r="D5534" s="3640"/>
      <c r="E5534" s="3641"/>
      <c r="F5534" s="3642"/>
      <c r="G5534" s="3643"/>
    </row>
    <row r="5535" spans="1:7" x14ac:dyDescent="0.25">
      <c r="A5535" s="11" t="s">
        <v>6904</v>
      </c>
      <c r="B5535" s="11"/>
      <c r="C5535" s="3644">
        <v>6</v>
      </c>
      <c r="D5535" s="3644"/>
      <c r="E5535" s="3645"/>
      <c r="F5535" s="3646"/>
      <c r="G5535" s="3647"/>
    </row>
    <row r="5536" spans="1:7" x14ac:dyDescent="0.25">
      <c r="A5536" s="6" t="s">
        <v>6905</v>
      </c>
      <c r="B5536" s="6"/>
      <c r="C5536" s="3640">
        <v>2</v>
      </c>
      <c r="D5536" s="3640"/>
      <c r="E5536" s="3641"/>
      <c r="F5536" s="3642"/>
      <c r="G5536" s="3643"/>
    </row>
    <row r="5537" spans="1:7" x14ac:dyDescent="0.25">
      <c r="A5537" s="11" t="s">
        <v>6906</v>
      </c>
      <c r="B5537" s="11"/>
      <c r="C5537" s="3644">
        <v>13</v>
      </c>
      <c r="D5537" s="3644"/>
      <c r="E5537" s="3645"/>
      <c r="F5537" s="3646"/>
      <c r="G5537" s="3647"/>
    </row>
    <row r="5538" spans="1:7" x14ac:dyDescent="0.25">
      <c r="A5538" s="6" t="s">
        <v>6907</v>
      </c>
      <c r="B5538" s="6"/>
      <c r="C5538" s="3640">
        <v>1</v>
      </c>
      <c r="D5538" s="3640"/>
      <c r="E5538" s="3641"/>
      <c r="F5538" s="3642"/>
      <c r="G5538" s="3643"/>
    </row>
    <row r="5539" spans="1:7" x14ac:dyDescent="0.25">
      <c r="A5539" s="11" t="s">
        <v>6908</v>
      </c>
      <c r="B5539" s="11"/>
      <c r="C5539" s="3644">
        <v>1</v>
      </c>
      <c r="D5539" s="3644"/>
      <c r="E5539" s="3645"/>
      <c r="F5539" s="3646"/>
      <c r="G5539" s="3647"/>
    </row>
    <row r="5540" spans="1:7" x14ac:dyDescent="0.25">
      <c r="A5540" s="6" t="s">
        <v>4295</v>
      </c>
      <c r="B5540" s="6"/>
      <c r="C5540" s="3640">
        <v>6</v>
      </c>
      <c r="D5540" s="3640"/>
      <c r="E5540" s="3641"/>
      <c r="F5540" s="3642"/>
      <c r="G5540" s="3643"/>
    </row>
    <row r="5541" spans="1:7" x14ac:dyDescent="0.25">
      <c r="A5541" s="11" t="s">
        <v>6909</v>
      </c>
      <c r="B5541" s="11"/>
      <c r="C5541" s="3644">
        <v>1</v>
      </c>
      <c r="D5541" s="3644"/>
      <c r="E5541" s="3645"/>
      <c r="F5541" s="3646"/>
      <c r="G5541" s="3647"/>
    </row>
    <row r="5542" spans="1:7" x14ac:dyDescent="0.25">
      <c r="A5542" s="6" t="s">
        <v>6910</v>
      </c>
      <c r="B5542" s="6"/>
      <c r="C5542" s="3640">
        <v>1</v>
      </c>
      <c r="D5542" s="3640"/>
      <c r="E5542" s="3641"/>
      <c r="F5542" s="3642"/>
      <c r="G5542" s="3643"/>
    </row>
    <row r="5543" spans="1:7" x14ac:dyDescent="0.25">
      <c r="A5543" s="11" t="s">
        <v>6911</v>
      </c>
      <c r="B5543" s="11"/>
      <c r="C5543" s="3644">
        <v>1</v>
      </c>
      <c r="D5543" s="3644"/>
      <c r="E5543" s="3645"/>
      <c r="F5543" s="3646"/>
      <c r="G5543" s="3647"/>
    </row>
    <row r="5544" spans="1:7" x14ac:dyDescent="0.25">
      <c r="A5544" s="6" t="s">
        <v>6912</v>
      </c>
      <c r="B5544" s="6"/>
      <c r="C5544" s="3640">
        <v>1</v>
      </c>
      <c r="D5544" s="3640"/>
      <c r="E5544" s="3641"/>
      <c r="F5544" s="3642"/>
      <c r="G5544" s="3643"/>
    </row>
    <row r="5545" spans="1:7" x14ac:dyDescent="0.25">
      <c r="A5545" s="11" t="s">
        <v>6913</v>
      </c>
      <c r="B5545" s="11"/>
      <c r="C5545" s="3644">
        <v>1</v>
      </c>
      <c r="D5545" s="3644"/>
      <c r="E5545" s="3645"/>
      <c r="F5545" s="3646"/>
      <c r="G5545" s="3647"/>
    </row>
    <row r="5546" spans="1:7" x14ac:dyDescent="0.25">
      <c r="A5546" s="6" t="s">
        <v>6914</v>
      </c>
      <c r="B5546" s="6"/>
      <c r="C5546" s="3640">
        <v>1</v>
      </c>
      <c r="D5546" s="3640"/>
      <c r="E5546" s="3641"/>
      <c r="F5546" s="3642"/>
      <c r="G5546" s="3643"/>
    </row>
    <row r="5547" spans="1:7" x14ac:dyDescent="0.25">
      <c r="A5547" s="11" t="s">
        <v>6915</v>
      </c>
      <c r="B5547" s="11"/>
      <c r="C5547" s="3644">
        <v>1</v>
      </c>
      <c r="D5547" s="3644"/>
      <c r="E5547" s="3645"/>
      <c r="F5547" s="3646"/>
      <c r="G5547" s="3647"/>
    </row>
    <row r="5548" spans="1:7" x14ac:dyDescent="0.25">
      <c r="A5548" s="6" t="s">
        <v>6916</v>
      </c>
      <c r="B5548" s="6"/>
      <c r="C5548" s="3640">
        <v>25</v>
      </c>
      <c r="D5548" s="3640"/>
      <c r="E5548" s="3641"/>
      <c r="F5548" s="3642"/>
      <c r="G5548" s="3643"/>
    </row>
    <row r="5549" spans="1:7" x14ac:dyDescent="0.25">
      <c r="A5549" s="11" t="s">
        <v>6917</v>
      </c>
      <c r="B5549" s="11"/>
      <c r="C5549" s="3644">
        <v>3</v>
      </c>
      <c r="D5549" s="3644"/>
      <c r="E5549" s="3645"/>
      <c r="F5549" s="3646"/>
      <c r="G5549" s="3647"/>
    </row>
    <row r="5550" spans="1:7" x14ac:dyDescent="0.25">
      <c r="A5550" s="6" t="s">
        <v>6918</v>
      </c>
      <c r="B5550" s="6"/>
      <c r="C5550" s="3640">
        <v>1</v>
      </c>
      <c r="D5550" s="3640"/>
      <c r="E5550" s="3641"/>
      <c r="F5550" s="3642"/>
      <c r="G5550" s="3643"/>
    </row>
    <row r="5551" spans="1:7" x14ac:dyDescent="0.25">
      <c r="A5551" s="11" t="s">
        <v>6919</v>
      </c>
      <c r="B5551" s="11"/>
      <c r="C5551" s="3644">
        <v>144</v>
      </c>
      <c r="D5551" s="3644"/>
      <c r="E5551" s="3645"/>
      <c r="F5551" s="3646"/>
      <c r="G5551" s="3647"/>
    </row>
    <row r="5552" spans="1:7" x14ac:dyDescent="0.25">
      <c r="A5552" s="6" t="s">
        <v>6920</v>
      </c>
      <c r="B5552" s="6"/>
      <c r="C5552" s="3640">
        <v>71</v>
      </c>
      <c r="D5552" s="3640"/>
      <c r="E5552" s="3641"/>
      <c r="F5552" s="3642"/>
      <c r="G5552" s="3643"/>
    </row>
    <row r="5553" spans="1:7" x14ac:dyDescent="0.25">
      <c r="A5553" s="11" t="s">
        <v>6921</v>
      </c>
      <c r="B5553" s="11"/>
      <c r="C5553" s="3644">
        <v>23</v>
      </c>
      <c r="D5553" s="3644"/>
      <c r="E5553" s="3645"/>
      <c r="F5553" s="3646"/>
      <c r="G5553" s="3647"/>
    </row>
    <row r="5554" spans="1:7" x14ac:dyDescent="0.25">
      <c r="A5554" s="6" t="s">
        <v>6922</v>
      </c>
      <c r="B5554" s="6"/>
      <c r="C5554" s="3640">
        <v>1</v>
      </c>
      <c r="D5554" s="3640"/>
      <c r="E5554" s="3641"/>
      <c r="F5554" s="3642"/>
      <c r="G5554" s="3643"/>
    </row>
    <row r="5555" spans="1:7" x14ac:dyDescent="0.25">
      <c r="A5555" s="11" t="s">
        <v>6923</v>
      </c>
      <c r="B5555" s="11"/>
      <c r="C5555" s="3644">
        <v>1</v>
      </c>
      <c r="D5555" s="3644"/>
      <c r="E5555" s="3645"/>
      <c r="F5555" s="3646"/>
      <c r="G5555" s="3647"/>
    </row>
    <row r="5556" spans="1:7" x14ac:dyDescent="0.25">
      <c r="A5556" s="6" t="s">
        <v>6924</v>
      </c>
      <c r="B5556" s="6"/>
      <c r="C5556" s="3640">
        <v>1</v>
      </c>
      <c r="D5556" s="3640"/>
      <c r="E5556" s="3641"/>
      <c r="F5556" s="3642"/>
      <c r="G5556" s="3643"/>
    </row>
    <row r="5557" spans="1:7" x14ac:dyDescent="0.25">
      <c r="A5557" s="11" t="s">
        <v>6925</v>
      </c>
      <c r="B5557" s="11"/>
      <c r="C5557" s="3644">
        <v>5</v>
      </c>
      <c r="D5557" s="3644"/>
      <c r="E5557" s="3645"/>
      <c r="F5557" s="3646"/>
      <c r="G5557" s="3647"/>
    </row>
    <row r="5558" spans="1:7" x14ac:dyDescent="0.25">
      <c r="A5558" s="6" t="s">
        <v>6441</v>
      </c>
      <c r="B5558" s="6"/>
      <c r="C5558" s="3640">
        <v>121</v>
      </c>
      <c r="D5558" s="3640"/>
      <c r="E5558" s="3641"/>
      <c r="F5558" s="3642"/>
      <c r="G5558" s="3643"/>
    </row>
    <row r="5559" spans="1:7" x14ac:dyDescent="0.25">
      <c r="A5559" s="11" t="s">
        <v>6926</v>
      </c>
      <c r="B5559" s="11"/>
      <c r="C5559" s="3644">
        <v>18</v>
      </c>
      <c r="D5559" s="3644"/>
      <c r="E5559" s="3645"/>
      <c r="F5559" s="3646"/>
      <c r="G5559" s="3647"/>
    </row>
    <row r="5560" spans="1:7" x14ac:dyDescent="0.25">
      <c r="A5560" s="6" t="s">
        <v>6927</v>
      </c>
      <c r="B5560" s="6"/>
      <c r="C5560" s="3640">
        <v>7</v>
      </c>
      <c r="D5560" s="3640"/>
      <c r="E5560" s="3641"/>
      <c r="F5560" s="3642"/>
      <c r="G5560" s="3643"/>
    </row>
    <row r="5561" spans="1:7" x14ac:dyDescent="0.25">
      <c r="A5561" s="11" t="s">
        <v>6928</v>
      </c>
      <c r="B5561" s="11"/>
      <c r="C5561" s="3644">
        <v>1</v>
      </c>
      <c r="D5561" s="3644"/>
      <c r="E5561" s="3645"/>
      <c r="F5561" s="3646"/>
      <c r="G5561" s="3647"/>
    </row>
    <row r="5562" spans="1:7" x14ac:dyDescent="0.25">
      <c r="A5562" s="6" t="s">
        <v>1102</v>
      </c>
      <c r="B5562" s="6" t="s">
        <v>1103</v>
      </c>
      <c r="C5562" s="3640">
        <v>43</v>
      </c>
      <c r="D5562" s="3640"/>
      <c r="E5562" s="3641"/>
      <c r="F5562" s="3642"/>
      <c r="G5562" s="3643"/>
    </row>
    <row r="5563" spans="1:7" x14ac:dyDescent="0.25">
      <c r="A5563" s="11" t="s">
        <v>6417</v>
      </c>
      <c r="B5563" s="11" t="s">
        <v>6418</v>
      </c>
      <c r="C5563" s="3644">
        <v>124483</v>
      </c>
      <c r="D5563" s="3644"/>
      <c r="E5563" s="3645"/>
      <c r="F5563" s="3646"/>
      <c r="G5563" s="3647"/>
    </row>
    <row r="5564" spans="1:7" x14ac:dyDescent="0.25">
      <c r="A5564" s="6" t="s">
        <v>6417</v>
      </c>
      <c r="B5564" s="6" t="s">
        <v>6419</v>
      </c>
      <c r="C5564" s="3640">
        <v>124526</v>
      </c>
      <c r="D5564" s="3640"/>
      <c r="E5564" s="3641">
        <v>0</v>
      </c>
      <c r="F5564" s="3642">
        <v>100</v>
      </c>
      <c r="G5564" s="3643">
        <v>0</v>
      </c>
    </row>
    <row r="5565" spans="1:7" x14ac:dyDescent="0.25">
      <c r="A5565" s="3729" t="s">
        <v>1079</v>
      </c>
      <c r="B5565" s="3730"/>
      <c r="C5565" s="3730"/>
      <c r="D5565" s="3730"/>
      <c r="E5565" s="3730"/>
      <c r="F5565" s="3730"/>
      <c r="G5565" s="3730"/>
    </row>
    <row r="5566" spans="1:7" x14ac:dyDescent="0.25">
      <c r="A5566" s="11" t="s">
        <v>1088</v>
      </c>
      <c r="B5566" s="11" t="s">
        <v>1089</v>
      </c>
      <c r="C5566" s="3652">
        <v>44</v>
      </c>
      <c r="D5566" s="3652"/>
      <c r="E5566" s="3653"/>
      <c r="F5566" s="3654"/>
      <c r="G5566" s="3655"/>
    </row>
    <row r="5567" spans="1:7" x14ac:dyDescent="0.25">
      <c r="A5567" s="6" t="s">
        <v>1102</v>
      </c>
      <c r="B5567" s="6" t="s">
        <v>1103</v>
      </c>
      <c r="C5567" s="3648">
        <v>56</v>
      </c>
      <c r="D5567" s="3648"/>
      <c r="E5567" s="3649"/>
      <c r="F5567" s="3650"/>
      <c r="G5567" s="3651"/>
    </row>
    <row r="5568" spans="1:7" x14ac:dyDescent="0.25">
      <c r="A5568" s="11" t="s">
        <v>6417</v>
      </c>
      <c r="B5568" s="11" t="s">
        <v>6418</v>
      </c>
      <c r="C5568" s="3652">
        <v>123883</v>
      </c>
      <c r="D5568" s="3652"/>
      <c r="E5568" s="3653"/>
      <c r="F5568" s="3654"/>
      <c r="G5568" s="3655"/>
    </row>
    <row r="5569" spans="1:7" x14ac:dyDescent="0.25">
      <c r="A5569" s="6" t="s">
        <v>6417</v>
      </c>
      <c r="B5569" s="6" t="s">
        <v>6419</v>
      </c>
      <c r="C5569" s="3648">
        <v>123983</v>
      </c>
      <c r="D5569" s="3648"/>
      <c r="E5569" s="3649">
        <v>0</v>
      </c>
      <c r="F5569" s="3650">
        <v>100</v>
      </c>
      <c r="G5569" s="3651">
        <v>0</v>
      </c>
    </row>
    <row r="5570" spans="1:7" x14ac:dyDescent="0.25">
      <c r="A5570" s="3729" t="s">
        <v>168</v>
      </c>
      <c r="B5570" s="3730"/>
      <c r="C5570" s="3730"/>
      <c r="D5570" s="3730"/>
      <c r="E5570" s="3730"/>
      <c r="F5570" s="3730"/>
      <c r="G5570" s="3730"/>
    </row>
    <row r="5571" spans="1:7" x14ac:dyDescent="0.25">
      <c r="A5571" s="11" t="s">
        <v>6929</v>
      </c>
      <c r="B5571" s="11"/>
      <c r="C5571" s="3660">
        <v>1</v>
      </c>
      <c r="D5571" s="3660"/>
      <c r="E5571" s="3661"/>
      <c r="F5571" s="3662"/>
      <c r="G5571" s="3663"/>
    </row>
    <row r="5572" spans="1:7" x14ac:dyDescent="0.25">
      <c r="A5572" s="6" t="s">
        <v>6930</v>
      </c>
      <c r="B5572" s="6"/>
      <c r="C5572" s="3656">
        <v>3</v>
      </c>
      <c r="D5572" s="3656"/>
      <c r="E5572" s="3657"/>
      <c r="F5572" s="3658"/>
      <c r="G5572" s="3659"/>
    </row>
    <row r="5573" spans="1:7" x14ac:dyDescent="0.25">
      <c r="A5573" s="11" t="s">
        <v>6931</v>
      </c>
      <c r="B5573" s="11"/>
      <c r="C5573" s="3660">
        <v>1</v>
      </c>
      <c r="D5573" s="3660"/>
      <c r="E5573" s="3661"/>
      <c r="F5573" s="3662"/>
      <c r="G5573" s="3663"/>
    </row>
    <row r="5574" spans="1:7" x14ac:dyDescent="0.25">
      <c r="A5574" s="6" t="s">
        <v>6932</v>
      </c>
      <c r="B5574" s="6"/>
      <c r="C5574" s="3656">
        <v>1</v>
      </c>
      <c r="D5574" s="3656"/>
      <c r="E5574" s="3657"/>
      <c r="F5574" s="3658"/>
      <c r="G5574" s="3659"/>
    </row>
    <row r="5575" spans="1:7" x14ac:dyDescent="0.25">
      <c r="A5575" s="11" t="s">
        <v>6933</v>
      </c>
      <c r="B5575" s="11"/>
      <c r="C5575" s="3660">
        <v>1</v>
      </c>
      <c r="D5575" s="3660"/>
      <c r="E5575" s="3661"/>
      <c r="F5575" s="3662"/>
      <c r="G5575" s="3663"/>
    </row>
    <row r="5576" spans="1:7" x14ac:dyDescent="0.25">
      <c r="A5576" s="6" t="s">
        <v>6934</v>
      </c>
      <c r="B5576" s="6"/>
      <c r="C5576" s="3656">
        <v>18</v>
      </c>
      <c r="D5576" s="3656"/>
      <c r="E5576" s="3657"/>
      <c r="F5576" s="3658"/>
      <c r="G5576" s="3659"/>
    </row>
    <row r="5577" spans="1:7" x14ac:dyDescent="0.25">
      <c r="A5577" s="11" t="s">
        <v>6935</v>
      </c>
      <c r="B5577" s="11"/>
      <c r="C5577" s="3660">
        <v>4</v>
      </c>
      <c r="D5577" s="3660"/>
      <c r="E5577" s="3661"/>
      <c r="F5577" s="3662"/>
      <c r="G5577" s="3663"/>
    </row>
    <row r="5578" spans="1:7" x14ac:dyDescent="0.25">
      <c r="A5578" s="6" t="s">
        <v>6936</v>
      </c>
      <c r="B5578" s="6"/>
      <c r="C5578" s="3656">
        <v>4</v>
      </c>
      <c r="D5578" s="3656"/>
      <c r="E5578" s="3657"/>
      <c r="F5578" s="3658"/>
      <c r="G5578" s="3659"/>
    </row>
    <row r="5579" spans="1:7" x14ac:dyDescent="0.25">
      <c r="A5579" s="11" t="s">
        <v>6937</v>
      </c>
      <c r="B5579" s="11"/>
      <c r="C5579" s="3660">
        <v>2</v>
      </c>
      <c r="D5579" s="3660"/>
      <c r="E5579" s="3661"/>
      <c r="F5579" s="3662"/>
      <c r="G5579" s="3663"/>
    </row>
    <row r="5580" spans="1:7" x14ac:dyDescent="0.25">
      <c r="A5580" s="6" t="s">
        <v>6938</v>
      </c>
      <c r="B5580" s="6"/>
      <c r="C5580" s="3656">
        <v>8</v>
      </c>
      <c r="D5580" s="3656"/>
      <c r="E5580" s="3657"/>
      <c r="F5580" s="3658"/>
      <c r="G5580" s="3659"/>
    </row>
    <row r="5581" spans="1:7" x14ac:dyDescent="0.25">
      <c r="A5581" s="11" t="s">
        <v>6939</v>
      </c>
      <c r="B5581" s="11"/>
      <c r="C5581" s="3660">
        <v>7</v>
      </c>
      <c r="D5581" s="3660"/>
      <c r="E5581" s="3661"/>
      <c r="F5581" s="3662"/>
      <c r="G5581" s="3663"/>
    </row>
    <row r="5582" spans="1:7" x14ac:dyDescent="0.25">
      <c r="A5582" s="6" t="s">
        <v>6868</v>
      </c>
      <c r="B5582" s="6"/>
      <c r="C5582" s="3656">
        <v>1</v>
      </c>
      <c r="D5582" s="3656"/>
      <c r="E5582" s="3657"/>
      <c r="F5582" s="3658"/>
      <c r="G5582" s="3659"/>
    </row>
    <row r="5583" spans="1:7" x14ac:dyDescent="0.25">
      <c r="A5583" s="11" t="s">
        <v>6940</v>
      </c>
      <c r="B5583" s="11"/>
      <c r="C5583" s="3660">
        <v>1</v>
      </c>
      <c r="D5583" s="3660"/>
      <c r="E5583" s="3661"/>
      <c r="F5583" s="3662"/>
      <c r="G5583" s="3663"/>
    </row>
    <row r="5584" spans="1:7" x14ac:dyDescent="0.25">
      <c r="A5584" s="6" t="s">
        <v>6941</v>
      </c>
      <c r="B5584" s="6"/>
      <c r="C5584" s="3656">
        <v>6</v>
      </c>
      <c r="D5584" s="3656"/>
      <c r="E5584" s="3657"/>
      <c r="F5584" s="3658"/>
      <c r="G5584" s="3659"/>
    </row>
    <row r="5585" spans="1:7" x14ac:dyDescent="0.25">
      <c r="A5585" s="11" t="s">
        <v>6942</v>
      </c>
      <c r="B5585" s="11"/>
      <c r="C5585" s="3660">
        <v>1</v>
      </c>
      <c r="D5585" s="3660"/>
      <c r="E5585" s="3661"/>
      <c r="F5585" s="3662"/>
      <c r="G5585" s="3663"/>
    </row>
    <row r="5586" spans="1:7" x14ac:dyDescent="0.25">
      <c r="A5586" s="6" t="s">
        <v>6943</v>
      </c>
      <c r="B5586" s="6"/>
      <c r="C5586" s="3656">
        <v>1</v>
      </c>
      <c r="D5586" s="3656"/>
      <c r="E5586" s="3657"/>
      <c r="F5586" s="3658"/>
      <c r="G5586" s="3659"/>
    </row>
    <row r="5587" spans="1:7" x14ac:dyDescent="0.25">
      <c r="A5587" s="11" t="s">
        <v>6944</v>
      </c>
      <c r="B5587" s="11"/>
      <c r="C5587" s="3660">
        <v>5</v>
      </c>
      <c r="D5587" s="3660"/>
      <c r="E5587" s="3661"/>
      <c r="F5587" s="3662"/>
      <c r="G5587" s="3663"/>
    </row>
    <row r="5588" spans="1:7" x14ac:dyDescent="0.25">
      <c r="A5588" s="6" t="s">
        <v>6945</v>
      </c>
      <c r="B5588" s="6"/>
      <c r="C5588" s="3656">
        <v>7</v>
      </c>
      <c r="D5588" s="3656"/>
      <c r="E5588" s="3657"/>
      <c r="F5588" s="3658"/>
      <c r="G5588" s="3659"/>
    </row>
    <row r="5589" spans="1:7" x14ac:dyDescent="0.25">
      <c r="A5589" s="11" t="s">
        <v>6946</v>
      </c>
      <c r="B5589" s="11"/>
      <c r="C5589" s="3660">
        <v>1</v>
      </c>
      <c r="D5589" s="3660"/>
      <c r="E5589" s="3661"/>
      <c r="F5589" s="3662"/>
      <c r="G5589" s="3663"/>
    </row>
    <row r="5590" spans="1:7" x14ac:dyDescent="0.25">
      <c r="A5590" s="6" t="s">
        <v>6947</v>
      </c>
      <c r="B5590" s="6"/>
      <c r="C5590" s="3656">
        <v>1</v>
      </c>
      <c r="D5590" s="3656"/>
      <c r="E5590" s="3657"/>
      <c r="F5590" s="3658"/>
      <c r="G5590" s="3659"/>
    </row>
    <row r="5591" spans="1:7" x14ac:dyDescent="0.25">
      <c r="A5591" s="11" t="s">
        <v>6948</v>
      </c>
      <c r="B5591" s="11"/>
      <c r="C5591" s="3660">
        <v>24</v>
      </c>
      <c r="D5591" s="3660"/>
      <c r="E5591" s="3661"/>
      <c r="F5591" s="3662"/>
      <c r="G5591" s="3663"/>
    </row>
    <row r="5592" spans="1:7" x14ac:dyDescent="0.25">
      <c r="A5592" s="6" t="s">
        <v>6949</v>
      </c>
      <c r="B5592" s="6"/>
      <c r="C5592" s="3656">
        <v>2</v>
      </c>
      <c r="D5592" s="3656"/>
      <c r="E5592" s="3657"/>
      <c r="F5592" s="3658"/>
      <c r="G5592" s="3659"/>
    </row>
    <row r="5593" spans="1:7" x14ac:dyDescent="0.25">
      <c r="A5593" s="11" t="s">
        <v>6950</v>
      </c>
      <c r="B5593" s="11"/>
      <c r="C5593" s="3660">
        <v>1</v>
      </c>
      <c r="D5593" s="3660"/>
      <c r="E5593" s="3661"/>
      <c r="F5593" s="3662"/>
      <c r="G5593" s="3663"/>
    </row>
    <row r="5594" spans="1:7" x14ac:dyDescent="0.25">
      <c r="A5594" s="6" t="s">
        <v>6951</v>
      </c>
      <c r="B5594" s="6"/>
      <c r="C5594" s="3656">
        <v>2</v>
      </c>
      <c r="D5594" s="3656"/>
      <c r="E5594" s="3657"/>
      <c r="F5594" s="3658"/>
      <c r="G5594" s="3659"/>
    </row>
    <row r="5595" spans="1:7" x14ac:dyDescent="0.25">
      <c r="A5595" s="11" t="s">
        <v>6952</v>
      </c>
      <c r="B5595" s="11"/>
      <c r="C5595" s="3660">
        <v>2</v>
      </c>
      <c r="D5595" s="3660"/>
      <c r="E5595" s="3661"/>
      <c r="F5595" s="3662"/>
      <c r="G5595" s="3663"/>
    </row>
    <row r="5596" spans="1:7" x14ac:dyDescent="0.25">
      <c r="A5596" s="6" t="s">
        <v>6953</v>
      </c>
      <c r="B5596" s="6"/>
      <c r="C5596" s="3656">
        <v>1</v>
      </c>
      <c r="D5596" s="3656"/>
      <c r="E5596" s="3657"/>
      <c r="F5596" s="3658"/>
      <c r="G5596" s="3659"/>
    </row>
    <row r="5597" spans="1:7" x14ac:dyDescent="0.25">
      <c r="A5597" s="11" t="s">
        <v>6954</v>
      </c>
      <c r="B5597" s="11"/>
      <c r="C5597" s="3660">
        <v>1</v>
      </c>
      <c r="D5597" s="3660"/>
      <c r="E5597" s="3661"/>
      <c r="F5597" s="3662"/>
      <c r="G5597" s="3663"/>
    </row>
    <row r="5598" spans="1:7" x14ac:dyDescent="0.25">
      <c r="A5598" s="6" t="s">
        <v>6955</v>
      </c>
      <c r="B5598" s="6"/>
      <c r="C5598" s="3656">
        <v>2</v>
      </c>
      <c r="D5598" s="3656"/>
      <c r="E5598" s="3657"/>
      <c r="F5598" s="3658"/>
      <c r="G5598" s="3659"/>
    </row>
    <row r="5599" spans="1:7" x14ac:dyDescent="0.25">
      <c r="A5599" s="11" t="s">
        <v>6956</v>
      </c>
      <c r="B5599" s="11"/>
      <c r="C5599" s="3660">
        <v>1</v>
      </c>
      <c r="D5599" s="3660"/>
      <c r="E5599" s="3661"/>
      <c r="F5599" s="3662"/>
      <c r="G5599" s="3663"/>
    </row>
    <row r="5600" spans="1:7" x14ac:dyDescent="0.25">
      <c r="A5600" s="6" t="s">
        <v>6957</v>
      </c>
      <c r="B5600" s="6"/>
      <c r="C5600" s="3656">
        <v>4</v>
      </c>
      <c r="D5600" s="3656"/>
      <c r="E5600" s="3657"/>
      <c r="F5600" s="3658"/>
      <c r="G5600" s="3659"/>
    </row>
    <row r="5601" spans="1:7" x14ac:dyDescent="0.25">
      <c r="A5601" s="11" t="s">
        <v>6958</v>
      </c>
      <c r="B5601" s="11"/>
      <c r="C5601" s="3660">
        <v>1</v>
      </c>
      <c r="D5601" s="3660"/>
      <c r="E5601" s="3661"/>
      <c r="F5601" s="3662"/>
      <c r="G5601" s="3663"/>
    </row>
    <row r="5602" spans="1:7" x14ac:dyDescent="0.25">
      <c r="A5602" s="6" t="s">
        <v>6959</v>
      </c>
      <c r="B5602" s="6"/>
      <c r="C5602" s="3656">
        <v>4</v>
      </c>
      <c r="D5602" s="3656"/>
      <c r="E5602" s="3657"/>
      <c r="F5602" s="3658"/>
      <c r="G5602" s="3659"/>
    </row>
    <row r="5603" spans="1:7" x14ac:dyDescent="0.25">
      <c r="A5603" s="11" t="s">
        <v>6960</v>
      </c>
      <c r="B5603" s="11"/>
      <c r="C5603" s="3660">
        <v>1</v>
      </c>
      <c r="D5603" s="3660"/>
      <c r="E5603" s="3661"/>
      <c r="F5603" s="3662"/>
      <c r="G5603" s="3663"/>
    </row>
    <row r="5604" spans="1:7" x14ac:dyDescent="0.25">
      <c r="A5604" s="6" t="s">
        <v>6961</v>
      </c>
      <c r="B5604" s="6"/>
      <c r="C5604" s="3656">
        <v>1</v>
      </c>
      <c r="D5604" s="3656"/>
      <c r="E5604" s="3657"/>
      <c r="F5604" s="3658"/>
      <c r="G5604" s="3659"/>
    </row>
    <row r="5605" spans="1:7" x14ac:dyDescent="0.25">
      <c r="A5605" s="11" t="s">
        <v>6962</v>
      </c>
      <c r="B5605" s="11"/>
      <c r="C5605" s="3660">
        <v>3</v>
      </c>
      <c r="D5605" s="3660"/>
      <c r="E5605" s="3661"/>
      <c r="F5605" s="3662"/>
      <c r="G5605" s="3663"/>
    </row>
    <row r="5606" spans="1:7" x14ac:dyDescent="0.25">
      <c r="A5606" s="6" t="s">
        <v>6963</v>
      </c>
      <c r="B5606" s="6"/>
      <c r="C5606" s="3656">
        <v>1</v>
      </c>
      <c r="D5606" s="3656"/>
      <c r="E5606" s="3657"/>
      <c r="F5606" s="3658"/>
      <c r="G5606" s="3659"/>
    </row>
    <row r="5607" spans="1:7" x14ac:dyDescent="0.25">
      <c r="A5607" s="11" t="s">
        <v>6964</v>
      </c>
      <c r="B5607" s="11"/>
      <c r="C5607" s="3660">
        <v>1</v>
      </c>
      <c r="D5607" s="3660"/>
      <c r="E5607" s="3661"/>
      <c r="F5607" s="3662"/>
      <c r="G5607" s="3663"/>
    </row>
    <row r="5608" spans="1:7" x14ac:dyDescent="0.25">
      <c r="A5608" s="6" t="s">
        <v>6965</v>
      </c>
      <c r="B5608" s="6"/>
      <c r="C5608" s="3656">
        <v>9</v>
      </c>
      <c r="D5608" s="3656"/>
      <c r="E5608" s="3657"/>
      <c r="F5608" s="3658"/>
      <c r="G5608" s="3659"/>
    </row>
    <row r="5609" spans="1:7" x14ac:dyDescent="0.25">
      <c r="A5609" s="11" t="s">
        <v>6966</v>
      </c>
      <c r="B5609" s="11"/>
      <c r="C5609" s="3660">
        <v>124413</v>
      </c>
      <c r="D5609" s="3660"/>
      <c r="E5609" s="3661"/>
      <c r="F5609" s="3662"/>
      <c r="G5609" s="3663"/>
    </row>
    <row r="5610" spans="1:7" x14ac:dyDescent="0.25">
      <c r="A5610" s="6" t="s">
        <v>6417</v>
      </c>
      <c r="B5610" s="6" t="s">
        <v>6418</v>
      </c>
      <c r="C5610" s="3656">
        <v>124548</v>
      </c>
      <c r="D5610" s="3656"/>
      <c r="E5610" s="3657"/>
      <c r="F5610" s="3658"/>
      <c r="G5610" s="3659"/>
    </row>
    <row r="5611" spans="1:7" x14ac:dyDescent="0.25">
      <c r="A5611" s="11" t="s">
        <v>6417</v>
      </c>
      <c r="B5611" s="11" t="s">
        <v>6419</v>
      </c>
      <c r="C5611" s="3660">
        <v>124548</v>
      </c>
      <c r="D5611" s="3660"/>
      <c r="E5611" s="3661">
        <v>0</v>
      </c>
      <c r="F5611" s="3662">
        <v>100</v>
      </c>
      <c r="G5611" s="3663">
        <v>0</v>
      </c>
    </row>
    <row r="5612" spans="1:7" x14ac:dyDescent="0.25">
      <c r="A5612" s="3729" t="s">
        <v>238</v>
      </c>
      <c r="B5612" s="3730"/>
      <c r="C5612" s="3730"/>
      <c r="D5612" s="3730"/>
      <c r="E5612" s="3730"/>
      <c r="F5612" s="3730"/>
      <c r="G5612" s="3730"/>
    </row>
    <row r="5613" spans="1:7" x14ac:dyDescent="0.25">
      <c r="A5613" s="11" t="s">
        <v>6417</v>
      </c>
      <c r="B5613" s="11" t="s">
        <v>6418</v>
      </c>
      <c r="C5613" s="3668">
        <v>98517</v>
      </c>
      <c r="D5613" s="3668"/>
      <c r="E5613" s="3669"/>
      <c r="F5613" s="3670"/>
      <c r="G5613" s="3671"/>
    </row>
    <row r="5614" spans="1:7" x14ac:dyDescent="0.25">
      <c r="A5614" s="6" t="s">
        <v>6417</v>
      </c>
      <c r="B5614" s="6" t="s">
        <v>6419</v>
      </c>
      <c r="C5614" s="3664">
        <v>98517</v>
      </c>
      <c r="D5614" s="3664"/>
      <c r="E5614" s="3665">
        <v>0</v>
      </c>
      <c r="F5614" s="3666">
        <v>100</v>
      </c>
      <c r="G5614" s="3667">
        <v>0</v>
      </c>
    </row>
    <row r="5615" spans="1:7" x14ac:dyDescent="0.25">
      <c r="A5615" s="3729" t="s">
        <v>240</v>
      </c>
      <c r="B5615" s="3730"/>
      <c r="C5615" s="3730"/>
      <c r="D5615" s="3730"/>
      <c r="E5615" s="3730"/>
      <c r="F5615" s="3730"/>
      <c r="G5615" s="3730"/>
    </row>
    <row r="5616" spans="1:7" x14ac:dyDescent="0.25">
      <c r="A5616" s="11" t="s">
        <v>1088</v>
      </c>
      <c r="B5616" s="11" t="s">
        <v>1089</v>
      </c>
      <c r="C5616" s="3676">
        <v>143</v>
      </c>
      <c r="D5616" s="3676"/>
      <c r="E5616" s="3677"/>
      <c r="F5616" s="3678"/>
      <c r="G5616" s="3679"/>
    </row>
    <row r="5617" spans="1:7" x14ac:dyDescent="0.25">
      <c r="A5617" s="6" t="s">
        <v>6417</v>
      </c>
      <c r="B5617" s="6" t="s">
        <v>6418</v>
      </c>
      <c r="C5617" s="3672">
        <v>121294</v>
      </c>
      <c r="D5617" s="3672"/>
      <c r="E5617" s="3673"/>
      <c r="F5617" s="3674"/>
      <c r="G5617" s="3675"/>
    </row>
    <row r="5618" spans="1:7" x14ac:dyDescent="0.25">
      <c r="A5618" s="11" t="s">
        <v>6417</v>
      </c>
      <c r="B5618" s="11" t="s">
        <v>6419</v>
      </c>
      <c r="C5618" s="3676">
        <v>121437</v>
      </c>
      <c r="D5618" s="3676"/>
      <c r="E5618" s="3677">
        <v>0</v>
      </c>
      <c r="F5618" s="3678">
        <v>100</v>
      </c>
      <c r="G5618" s="3679">
        <v>0</v>
      </c>
    </row>
    <row r="5619" spans="1:7" x14ac:dyDescent="0.25">
      <c r="A5619" s="3729" t="s">
        <v>698</v>
      </c>
      <c r="B5619" s="3730"/>
      <c r="C5619" s="3730"/>
      <c r="D5619" s="3730"/>
      <c r="E5619" s="3730"/>
      <c r="F5619" s="3730"/>
      <c r="G5619" s="3730"/>
    </row>
    <row r="5620" spans="1:7" x14ac:dyDescent="0.25">
      <c r="A5620" s="11" t="s">
        <v>1090</v>
      </c>
      <c r="B5620" s="11"/>
      <c r="C5620" s="3684">
        <v>3</v>
      </c>
      <c r="D5620" s="3684"/>
      <c r="E5620" s="3685"/>
      <c r="F5620" s="3686"/>
      <c r="G5620" s="3687"/>
    </row>
    <row r="5621" spans="1:7" x14ac:dyDescent="0.25">
      <c r="A5621" s="6" t="s">
        <v>1092</v>
      </c>
      <c r="B5621" s="6"/>
      <c r="C5621" s="3680">
        <v>17</v>
      </c>
      <c r="D5621" s="3680"/>
      <c r="E5621" s="3681"/>
      <c r="F5621" s="3682"/>
      <c r="G5621" s="3683"/>
    </row>
    <row r="5622" spans="1:7" x14ac:dyDescent="0.25">
      <c r="A5622" s="11" t="s">
        <v>1096</v>
      </c>
      <c r="B5622" s="11"/>
      <c r="C5622" s="3684">
        <v>202</v>
      </c>
      <c r="D5622" s="3684"/>
      <c r="E5622" s="3685"/>
      <c r="F5622" s="3686"/>
      <c r="G5622" s="3687"/>
    </row>
    <row r="5623" spans="1:7" x14ac:dyDescent="0.25">
      <c r="A5623" s="6" t="s">
        <v>1098</v>
      </c>
      <c r="B5623" s="6"/>
      <c r="C5623" s="3680">
        <v>8</v>
      </c>
      <c r="D5623" s="3680"/>
      <c r="E5623" s="3681"/>
      <c r="F5623" s="3682"/>
      <c r="G5623" s="3683"/>
    </row>
    <row r="5624" spans="1:7" x14ac:dyDescent="0.25">
      <c r="A5624" s="11" t="s">
        <v>1100</v>
      </c>
      <c r="B5624" s="11"/>
      <c r="C5624" s="3684">
        <v>121875</v>
      </c>
      <c r="D5624" s="3684"/>
      <c r="E5624" s="3685"/>
      <c r="F5624" s="3686"/>
      <c r="G5624" s="3687"/>
    </row>
    <row r="5625" spans="1:7" x14ac:dyDescent="0.25">
      <c r="A5625" s="6" t="s">
        <v>1119</v>
      </c>
      <c r="B5625" s="6"/>
      <c r="C5625" s="3680">
        <v>120</v>
      </c>
      <c r="D5625" s="3680"/>
      <c r="E5625" s="3681"/>
      <c r="F5625" s="3682"/>
      <c r="G5625" s="3683"/>
    </row>
    <row r="5626" spans="1:7" x14ac:dyDescent="0.25">
      <c r="A5626" s="11" t="s">
        <v>1121</v>
      </c>
      <c r="B5626" s="11"/>
      <c r="C5626" s="3684">
        <v>6</v>
      </c>
      <c r="D5626" s="3684"/>
      <c r="E5626" s="3685"/>
      <c r="F5626" s="3686"/>
      <c r="G5626" s="3687"/>
    </row>
    <row r="5627" spans="1:7" x14ac:dyDescent="0.25">
      <c r="A5627" s="6" t="s">
        <v>1123</v>
      </c>
      <c r="B5627" s="6"/>
      <c r="C5627" s="3680">
        <v>2</v>
      </c>
      <c r="D5627" s="3680"/>
      <c r="E5627" s="3681"/>
      <c r="F5627" s="3682"/>
      <c r="G5627" s="3683"/>
    </row>
    <row r="5628" spans="1:7" x14ac:dyDescent="0.25">
      <c r="A5628" s="11" t="s">
        <v>1125</v>
      </c>
      <c r="B5628" s="11"/>
      <c r="C5628" s="3684">
        <v>34</v>
      </c>
      <c r="D5628" s="3684"/>
      <c r="E5628" s="3685"/>
      <c r="F5628" s="3686"/>
      <c r="G5628" s="3687"/>
    </row>
    <row r="5629" spans="1:7" x14ac:dyDescent="0.25">
      <c r="A5629" s="6" t="s">
        <v>1127</v>
      </c>
      <c r="B5629" s="6"/>
      <c r="C5629" s="3680">
        <v>85</v>
      </c>
      <c r="D5629" s="3680"/>
      <c r="E5629" s="3681"/>
      <c r="F5629" s="3682"/>
      <c r="G5629" s="3683"/>
    </row>
    <row r="5630" spans="1:7" x14ac:dyDescent="0.25">
      <c r="A5630" s="11" t="s">
        <v>1129</v>
      </c>
      <c r="B5630" s="11"/>
      <c r="C5630" s="3684">
        <v>26</v>
      </c>
      <c r="D5630" s="3684"/>
      <c r="E5630" s="3685"/>
      <c r="F5630" s="3686"/>
      <c r="G5630" s="3687"/>
    </row>
    <row r="5631" spans="1:7" x14ac:dyDescent="0.25">
      <c r="A5631" s="6" t="s">
        <v>1133</v>
      </c>
      <c r="B5631" s="6"/>
      <c r="C5631" s="3680">
        <v>153</v>
      </c>
      <c r="D5631" s="3680"/>
      <c r="E5631" s="3681"/>
      <c r="F5631" s="3682"/>
      <c r="G5631" s="3683"/>
    </row>
    <row r="5632" spans="1:7" x14ac:dyDescent="0.25">
      <c r="A5632" s="11" t="s">
        <v>1135</v>
      </c>
      <c r="B5632" s="11"/>
      <c r="C5632" s="3684">
        <v>41</v>
      </c>
      <c r="D5632" s="3684"/>
      <c r="E5632" s="3685"/>
      <c r="F5632" s="3686"/>
      <c r="G5632" s="3687"/>
    </row>
    <row r="5633" spans="1:7" x14ac:dyDescent="0.25">
      <c r="A5633" s="6" t="s">
        <v>1137</v>
      </c>
      <c r="B5633" s="6"/>
      <c r="C5633" s="3680">
        <v>72</v>
      </c>
      <c r="D5633" s="3680"/>
      <c r="E5633" s="3681"/>
      <c r="F5633" s="3682"/>
      <c r="G5633" s="3683"/>
    </row>
    <row r="5634" spans="1:7" x14ac:dyDescent="0.25">
      <c r="A5634" s="11" t="s">
        <v>1139</v>
      </c>
      <c r="B5634" s="11"/>
      <c r="C5634" s="3684">
        <v>19</v>
      </c>
      <c r="D5634" s="3684"/>
      <c r="E5634" s="3685"/>
      <c r="F5634" s="3686"/>
      <c r="G5634" s="3687"/>
    </row>
    <row r="5635" spans="1:7" x14ac:dyDescent="0.25">
      <c r="A5635" s="6" t="s">
        <v>1141</v>
      </c>
      <c r="B5635" s="6"/>
      <c r="C5635" s="3680">
        <v>15</v>
      </c>
      <c r="D5635" s="3680"/>
      <c r="E5635" s="3681"/>
      <c r="F5635" s="3682"/>
      <c r="G5635" s="3683"/>
    </row>
    <row r="5636" spans="1:7" x14ac:dyDescent="0.25">
      <c r="A5636" s="11" t="s">
        <v>1295</v>
      </c>
      <c r="B5636" s="11"/>
      <c r="C5636" s="3684">
        <v>12</v>
      </c>
      <c r="D5636" s="3684"/>
      <c r="E5636" s="3685"/>
      <c r="F5636" s="3686"/>
      <c r="G5636" s="3687"/>
    </row>
    <row r="5637" spans="1:7" x14ac:dyDescent="0.25">
      <c r="A5637" s="6" t="s">
        <v>1187</v>
      </c>
      <c r="B5637" s="6"/>
      <c r="C5637" s="3680">
        <v>7</v>
      </c>
      <c r="D5637" s="3680"/>
      <c r="E5637" s="3681"/>
      <c r="F5637" s="3682"/>
      <c r="G5637" s="3683"/>
    </row>
    <row r="5638" spans="1:7" x14ac:dyDescent="0.25">
      <c r="A5638" s="11" t="s">
        <v>1189</v>
      </c>
      <c r="B5638" s="11"/>
      <c r="C5638" s="3684">
        <v>13</v>
      </c>
      <c r="D5638" s="3684"/>
      <c r="E5638" s="3685"/>
      <c r="F5638" s="3686"/>
      <c r="G5638" s="3687"/>
    </row>
    <row r="5639" spans="1:7" x14ac:dyDescent="0.25">
      <c r="A5639" s="6" t="s">
        <v>1191</v>
      </c>
      <c r="B5639" s="6"/>
      <c r="C5639" s="3680">
        <v>13</v>
      </c>
      <c r="D5639" s="3680"/>
      <c r="E5639" s="3681"/>
      <c r="F5639" s="3682"/>
      <c r="G5639" s="3683"/>
    </row>
    <row r="5640" spans="1:7" x14ac:dyDescent="0.25">
      <c r="A5640" s="11" t="s">
        <v>1193</v>
      </c>
      <c r="B5640" s="11"/>
      <c r="C5640" s="3684">
        <v>28</v>
      </c>
      <c r="D5640" s="3684"/>
      <c r="E5640" s="3685"/>
      <c r="F5640" s="3686"/>
      <c r="G5640" s="3687"/>
    </row>
    <row r="5641" spans="1:7" x14ac:dyDescent="0.25">
      <c r="A5641" s="6" t="s">
        <v>3172</v>
      </c>
      <c r="B5641" s="6"/>
      <c r="C5641" s="3680">
        <v>55</v>
      </c>
      <c r="D5641" s="3680"/>
      <c r="E5641" s="3681"/>
      <c r="F5641" s="3682"/>
      <c r="G5641" s="3683"/>
    </row>
    <row r="5642" spans="1:7" x14ac:dyDescent="0.25">
      <c r="A5642" s="11" t="s">
        <v>3174</v>
      </c>
      <c r="B5642" s="11"/>
      <c r="C5642" s="3684">
        <v>18</v>
      </c>
      <c r="D5642" s="3684"/>
      <c r="E5642" s="3685"/>
      <c r="F5642" s="3686"/>
      <c r="G5642" s="3687"/>
    </row>
    <row r="5643" spans="1:7" x14ac:dyDescent="0.25">
      <c r="A5643" s="6" t="s">
        <v>3176</v>
      </c>
      <c r="B5643" s="6"/>
      <c r="C5643" s="3680">
        <v>32</v>
      </c>
      <c r="D5643" s="3680"/>
      <c r="E5643" s="3681"/>
      <c r="F5643" s="3682"/>
      <c r="G5643" s="3683"/>
    </row>
    <row r="5644" spans="1:7" x14ac:dyDescent="0.25">
      <c r="A5644" s="11" t="s">
        <v>3178</v>
      </c>
      <c r="B5644" s="11"/>
      <c r="C5644" s="3684">
        <v>3</v>
      </c>
      <c r="D5644" s="3684"/>
      <c r="E5644" s="3685"/>
      <c r="F5644" s="3686"/>
      <c r="G5644" s="3687"/>
    </row>
    <row r="5645" spans="1:7" x14ac:dyDescent="0.25">
      <c r="A5645" s="6" t="s">
        <v>3180</v>
      </c>
      <c r="B5645" s="6"/>
      <c r="C5645" s="3680">
        <v>21</v>
      </c>
      <c r="D5645" s="3680"/>
      <c r="E5645" s="3681"/>
      <c r="F5645" s="3682"/>
      <c r="G5645" s="3683"/>
    </row>
    <row r="5646" spans="1:7" x14ac:dyDescent="0.25">
      <c r="A5646" s="11" t="s">
        <v>1297</v>
      </c>
      <c r="B5646" s="11"/>
      <c r="C5646" s="3684">
        <v>45</v>
      </c>
      <c r="D5646" s="3684"/>
      <c r="E5646" s="3685"/>
      <c r="F5646" s="3686"/>
      <c r="G5646" s="3687"/>
    </row>
    <row r="5647" spans="1:7" x14ac:dyDescent="0.25">
      <c r="A5647" s="6" t="s">
        <v>1195</v>
      </c>
      <c r="B5647" s="6"/>
      <c r="C5647" s="3680">
        <v>6</v>
      </c>
      <c r="D5647" s="3680"/>
      <c r="E5647" s="3681"/>
      <c r="F5647" s="3682"/>
      <c r="G5647" s="3683"/>
    </row>
    <row r="5648" spans="1:7" x14ac:dyDescent="0.25">
      <c r="A5648" s="11" t="s">
        <v>1197</v>
      </c>
      <c r="B5648" s="11"/>
      <c r="C5648" s="3684">
        <v>488</v>
      </c>
      <c r="D5648" s="3684"/>
      <c r="E5648" s="3685"/>
      <c r="F5648" s="3686"/>
      <c r="G5648" s="3687"/>
    </row>
    <row r="5649" spans="1:7" x14ac:dyDescent="0.25">
      <c r="A5649" s="6" t="s">
        <v>1201</v>
      </c>
      <c r="B5649" s="6"/>
      <c r="C5649" s="3680">
        <v>18</v>
      </c>
      <c r="D5649" s="3680"/>
      <c r="E5649" s="3681"/>
      <c r="F5649" s="3682"/>
      <c r="G5649" s="3683"/>
    </row>
    <row r="5650" spans="1:7" x14ac:dyDescent="0.25">
      <c r="A5650" s="11" t="s">
        <v>3187</v>
      </c>
      <c r="B5650" s="11"/>
      <c r="C5650" s="3684">
        <v>32</v>
      </c>
      <c r="D5650" s="3684"/>
      <c r="E5650" s="3685"/>
      <c r="F5650" s="3686"/>
      <c r="G5650" s="3687"/>
    </row>
    <row r="5651" spans="1:7" x14ac:dyDescent="0.25">
      <c r="A5651" s="6" t="s">
        <v>3189</v>
      </c>
      <c r="B5651" s="6"/>
      <c r="C5651" s="3680">
        <v>91</v>
      </c>
      <c r="D5651" s="3680"/>
      <c r="E5651" s="3681"/>
      <c r="F5651" s="3682"/>
      <c r="G5651" s="3683"/>
    </row>
    <row r="5652" spans="1:7" x14ac:dyDescent="0.25">
      <c r="A5652" s="11" t="s">
        <v>3191</v>
      </c>
      <c r="B5652" s="11"/>
      <c r="C5652" s="3684">
        <v>13</v>
      </c>
      <c r="D5652" s="3684"/>
      <c r="E5652" s="3685"/>
      <c r="F5652" s="3686"/>
      <c r="G5652" s="3687"/>
    </row>
    <row r="5653" spans="1:7" x14ac:dyDescent="0.25">
      <c r="A5653" s="6" t="s">
        <v>3193</v>
      </c>
      <c r="B5653" s="6"/>
      <c r="C5653" s="3680">
        <v>12</v>
      </c>
      <c r="D5653" s="3680"/>
      <c r="E5653" s="3681"/>
      <c r="F5653" s="3682"/>
      <c r="G5653" s="3683"/>
    </row>
    <row r="5654" spans="1:7" x14ac:dyDescent="0.25">
      <c r="A5654" s="11" t="s">
        <v>3195</v>
      </c>
      <c r="B5654" s="11"/>
      <c r="C5654" s="3684">
        <v>27</v>
      </c>
      <c r="D5654" s="3684"/>
      <c r="E5654" s="3685"/>
      <c r="F5654" s="3686"/>
      <c r="G5654" s="3687"/>
    </row>
    <row r="5655" spans="1:7" x14ac:dyDescent="0.25">
      <c r="A5655" s="6" t="s">
        <v>1299</v>
      </c>
      <c r="B5655" s="6"/>
      <c r="C5655" s="3680">
        <v>13</v>
      </c>
      <c r="D5655" s="3680"/>
      <c r="E5655" s="3681"/>
      <c r="F5655" s="3682"/>
      <c r="G5655" s="3683"/>
    </row>
    <row r="5656" spans="1:7" x14ac:dyDescent="0.25">
      <c r="A5656" s="11" t="s">
        <v>1203</v>
      </c>
      <c r="B5656" s="11"/>
      <c r="C5656" s="3684">
        <v>318</v>
      </c>
      <c r="D5656" s="3684"/>
      <c r="E5656" s="3685"/>
      <c r="F5656" s="3686"/>
      <c r="G5656" s="3687"/>
    </row>
    <row r="5657" spans="1:7" x14ac:dyDescent="0.25">
      <c r="A5657" s="6" t="s">
        <v>1205</v>
      </c>
      <c r="B5657" s="6"/>
      <c r="C5657" s="3680">
        <v>26</v>
      </c>
      <c r="D5657" s="3680"/>
      <c r="E5657" s="3681"/>
      <c r="F5657" s="3682"/>
      <c r="G5657" s="3683"/>
    </row>
    <row r="5658" spans="1:7" x14ac:dyDescent="0.25">
      <c r="A5658" s="11" t="s">
        <v>1209</v>
      </c>
      <c r="B5658" s="11"/>
      <c r="C5658" s="3684">
        <v>13</v>
      </c>
      <c r="D5658" s="3684"/>
      <c r="E5658" s="3685"/>
      <c r="F5658" s="3686"/>
      <c r="G5658" s="3687"/>
    </row>
    <row r="5659" spans="1:7" x14ac:dyDescent="0.25">
      <c r="A5659" s="6" t="s">
        <v>3201</v>
      </c>
      <c r="B5659" s="6"/>
      <c r="C5659" s="3680">
        <v>6</v>
      </c>
      <c r="D5659" s="3680"/>
      <c r="E5659" s="3681"/>
      <c r="F5659" s="3682"/>
      <c r="G5659" s="3683"/>
    </row>
    <row r="5660" spans="1:7" x14ac:dyDescent="0.25">
      <c r="A5660" s="11" t="s">
        <v>3205</v>
      </c>
      <c r="B5660" s="11"/>
      <c r="C5660" s="3684">
        <v>24</v>
      </c>
      <c r="D5660" s="3684"/>
      <c r="E5660" s="3685"/>
      <c r="F5660" s="3686"/>
      <c r="G5660" s="3687"/>
    </row>
    <row r="5661" spans="1:7" x14ac:dyDescent="0.25">
      <c r="A5661" s="6" t="s">
        <v>3207</v>
      </c>
      <c r="B5661" s="6"/>
      <c r="C5661" s="3680">
        <v>144</v>
      </c>
      <c r="D5661" s="3680"/>
      <c r="E5661" s="3681"/>
      <c r="F5661" s="3682"/>
      <c r="G5661" s="3683"/>
    </row>
    <row r="5662" spans="1:7" x14ac:dyDescent="0.25">
      <c r="A5662" s="11" t="s">
        <v>3209</v>
      </c>
      <c r="B5662" s="11"/>
      <c r="C5662" s="3684">
        <v>71</v>
      </c>
      <c r="D5662" s="3684"/>
      <c r="E5662" s="3685"/>
      <c r="F5662" s="3686"/>
      <c r="G5662" s="3687"/>
    </row>
    <row r="5663" spans="1:7" x14ac:dyDescent="0.25">
      <c r="A5663" s="6" t="s">
        <v>1301</v>
      </c>
      <c r="B5663" s="6"/>
      <c r="C5663" s="3680">
        <v>5</v>
      </c>
      <c r="D5663" s="3680"/>
      <c r="E5663" s="3681"/>
      <c r="F5663" s="3682"/>
      <c r="G5663" s="3683"/>
    </row>
    <row r="5664" spans="1:7" x14ac:dyDescent="0.25">
      <c r="A5664" s="11" t="s">
        <v>1211</v>
      </c>
      <c r="B5664" s="11"/>
      <c r="C5664" s="3684">
        <v>23</v>
      </c>
      <c r="D5664" s="3684"/>
      <c r="E5664" s="3685"/>
      <c r="F5664" s="3686"/>
      <c r="G5664" s="3687"/>
    </row>
    <row r="5665" spans="1:7" x14ac:dyDescent="0.25">
      <c r="A5665" s="6" t="s">
        <v>1215</v>
      </c>
      <c r="B5665" s="6"/>
      <c r="C5665" s="3680">
        <v>121</v>
      </c>
      <c r="D5665" s="3680"/>
      <c r="E5665" s="3681"/>
      <c r="F5665" s="3682"/>
      <c r="G5665" s="3683"/>
    </row>
    <row r="5666" spans="1:7" x14ac:dyDescent="0.25">
      <c r="A5666" s="11" t="s">
        <v>3215</v>
      </c>
      <c r="B5666" s="11"/>
      <c r="C5666" s="3684">
        <v>18</v>
      </c>
      <c r="D5666" s="3684"/>
      <c r="E5666" s="3685"/>
      <c r="F5666" s="3686"/>
      <c r="G5666" s="3687"/>
    </row>
    <row r="5667" spans="1:7" x14ac:dyDescent="0.25">
      <c r="A5667" s="6" t="s">
        <v>3217</v>
      </c>
      <c r="B5667" s="6"/>
      <c r="C5667" s="3680">
        <v>7</v>
      </c>
      <c r="D5667" s="3680"/>
      <c r="E5667" s="3681"/>
      <c r="F5667" s="3682"/>
      <c r="G5667" s="3683"/>
    </row>
    <row r="5668" spans="1:7" x14ac:dyDescent="0.25">
      <c r="A5668" s="11" t="s">
        <v>1229</v>
      </c>
      <c r="B5668" s="11"/>
      <c r="C5668" s="3684">
        <v>1</v>
      </c>
      <c r="D5668" s="3684"/>
      <c r="E5668" s="3685"/>
      <c r="F5668" s="3686"/>
      <c r="G5668" s="3687"/>
    </row>
    <row r="5669" spans="1:7" x14ac:dyDescent="0.25">
      <c r="A5669" s="6" t="s">
        <v>1088</v>
      </c>
      <c r="B5669" s="6"/>
      <c r="C5669" s="3680">
        <v>143</v>
      </c>
      <c r="D5669" s="3680"/>
      <c r="E5669" s="3681"/>
      <c r="F5669" s="3682"/>
      <c r="G5669" s="3683"/>
    </row>
    <row r="5670" spans="1:7" x14ac:dyDescent="0.25">
      <c r="A5670" s="11" t="s">
        <v>6417</v>
      </c>
      <c r="B5670" s="11" t="s">
        <v>6418</v>
      </c>
      <c r="C5670" s="3684">
        <v>124402</v>
      </c>
      <c r="D5670" s="3684"/>
      <c r="E5670" s="3685"/>
      <c r="F5670" s="3686"/>
      <c r="G5670" s="3687"/>
    </row>
    <row r="5671" spans="1:7" x14ac:dyDescent="0.25">
      <c r="A5671" s="6" t="s">
        <v>6417</v>
      </c>
      <c r="B5671" s="6" t="s">
        <v>6419</v>
      </c>
      <c r="C5671" s="3680">
        <v>124545</v>
      </c>
      <c r="D5671" s="3680"/>
      <c r="E5671" s="3681">
        <v>0</v>
      </c>
      <c r="F5671" s="3682">
        <v>100</v>
      </c>
      <c r="G5671" s="3683">
        <v>0</v>
      </c>
    </row>
    <row r="5672" spans="1:7" x14ac:dyDescent="0.25">
      <c r="A5672" s="3729" t="s">
        <v>145</v>
      </c>
      <c r="B5672" s="3730"/>
      <c r="C5672" s="3730"/>
      <c r="D5672" s="3730"/>
      <c r="E5672" s="3730"/>
      <c r="F5672" s="3730"/>
      <c r="G5672" s="3730"/>
    </row>
    <row r="5673" spans="1:7" x14ac:dyDescent="0.25">
      <c r="A5673" s="11" t="s">
        <v>1088</v>
      </c>
      <c r="B5673" s="11" t="s">
        <v>1089</v>
      </c>
      <c r="C5673" s="3692">
        <v>143</v>
      </c>
      <c r="D5673" s="3692"/>
      <c r="E5673" s="3693"/>
      <c r="F5673" s="3694"/>
      <c r="G5673" s="3695"/>
    </row>
    <row r="5674" spans="1:7" x14ac:dyDescent="0.25">
      <c r="A5674" s="6" t="s">
        <v>6417</v>
      </c>
      <c r="B5674" s="6" t="s">
        <v>6418</v>
      </c>
      <c r="C5674" s="3688">
        <v>124396</v>
      </c>
      <c r="D5674" s="3688"/>
      <c r="E5674" s="3689"/>
      <c r="F5674" s="3690"/>
      <c r="G5674" s="3691"/>
    </row>
    <row r="5675" spans="1:7" x14ac:dyDescent="0.25">
      <c r="A5675" s="11" t="s">
        <v>6417</v>
      </c>
      <c r="B5675" s="11" t="s">
        <v>6419</v>
      </c>
      <c r="C5675" s="3692">
        <v>124539</v>
      </c>
      <c r="D5675" s="3692"/>
      <c r="E5675" s="3693">
        <v>0</v>
      </c>
      <c r="F5675" s="3694">
        <v>100</v>
      </c>
      <c r="G5675" s="3695">
        <v>0</v>
      </c>
    </row>
    <row r="5676" spans="1:7" x14ac:dyDescent="0.25">
      <c r="A5676" s="3729" t="s">
        <v>786</v>
      </c>
      <c r="B5676" s="3730"/>
      <c r="C5676" s="3730"/>
      <c r="D5676" s="3730"/>
      <c r="E5676" s="3730"/>
      <c r="F5676" s="3730"/>
      <c r="G5676" s="3730"/>
    </row>
    <row r="5677" spans="1:7" x14ac:dyDescent="0.25">
      <c r="A5677" s="11" t="s">
        <v>1088</v>
      </c>
      <c r="B5677" s="11" t="s">
        <v>1089</v>
      </c>
      <c r="C5677" s="3700">
        <v>143</v>
      </c>
      <c r="D5677" s="3700"/>
      <c r="E5677" s="3701"/>
      <c r="F5677" s="3702"/>
      <c r="G5677" s="3703"/>
    </row>
    <row r="5678" spans="1:7" x14ac:dyDescent="0.25">
      <c r="A5678" s="6" t="s">
        <v>6417</v>
      </c>
      <c r="B5678" s="6" t="s">
        <v>6418</v>
      </c>
      <c r="C5678" s="3696">
        <v>123767</v>
      </c>
      <c r="D5678" s="3696"/>
      <c r="E5678" s="3697"/>
      <c r="F5678" s="3698"/>
      <c r="G5678" s="3699"/>
    </row>
    <row r="5679" spans="1:7" x14ac:dyDescent="0.25">
      <c r="A5679" s="11" t="s">
        <v>6417</v>
      </c>
      <c r="B5679" s="11" t="s">
        <v>6419</v>
      </c>
      <c r="C5679" s="3700">
        <v>123910</v>
      </c>
      <c r="D5679" s="3700"/>
      <c r="E5679" s="3701">
        <v>0</v>
      </c>
      <c r="F5679" s="3702">
        <v>100</v>
      </c>
      <c r="G5679" s="3703">
        <v>0</v>
      </c>
    </row>
    <row r="5680" spans="1:7" x14ac:dyDescent="0.25">
      <c r="A5680" s="3729" t="s">
        <v>114</v>
      </c>
      <c r="B5680" s="3730"/>
      <c r="C5680" s="3730"/>
      <c r="D5680" s="3730"/>
      <c r="E5680" s="3730"/>
      <c r="F5680" s="3730"/>
      <c r="G5680" s="3730"/>
    </row>
    <row r="5681" spans="1:7" x14ac:dyDescent="0.25">
      <c r="A5681" s="11" t="s">
        <v>1292</v>
      </c>
      <c r="B5681" s="11"/>
      <c r="C5681" s="3708">
        <v>4</v>
      </c>
      <c r="D5681" s="3708"/>
      <c r="E5681" s="3709"/>
      <c r="F5681" s="3710"/>
      <c r="G5681" s="3711"/>
    </row>
    <row r="5682" spans="1:7" x14ac:dyDescent="0.25">
      <c r="A5682" s="6" t="s">
        <v>6427</v>
      </c>
      <c r="B5682" s="6"/>
      <c r="C5682" s="3704">
        <v>49751</v>
      </c>
      <c r="D5682" s="3704"/>
      <c r="E5682" s="3705"/>
      <c r="F5682" s="3706"/>
      <c r="G5682" s="3707"/>
    </row>
    <row r="5683" spans="1:7" x14ac:dyDescent="0.25">
      <c r="A5683" s="11" t="s">
        <v>6426</v>
      </c>
      <c r="B5683" s="11"/>
      <c r="C5683" s="3708">
        <v>36845</v>
      </c>
      <c r="D5683" s="3708"/>
      <c r="E5683" s="3709"/>
      <c r="F5683" s="3710"/>
      <c r="G5683" s="3711"/>
    </row>
    <row r="5684" spans="1:7" x14ac:dyDescent="0.25">
      <c r="A5684" s="6" t="s">
        <v>6429</v>
      </c>
      <c r="B5684" s="6"/>
      <c r="C5684" s="3704">
        <v>22398</v>
      </c>
      <c r="D5684" s="3704"/>
      <c r="E5684" s="3705"/>
      <c r="F5684" s="3706"/>
      <c r="G5684" s="3707"/>
    </row>
    <row r="5685" spans="1:7" x14ac:dyDescent="0.25">
      <c r="A5685" s="11" t="s">
        <v>6428</v>
      </c>
      <c r="B5685" s="11"/>
      <c r="C5685" s="3708">
        <v>10605</v>
      </c>
      <c r="D5685" s="3708"/>
      <c r="E5685" s="3709"/>
      <c r="F5685" s="3710"/>
      <c r="G5685" s="3711"/>
    </row>
    <row r="5686" spans="1:7" x14ac:dyDescent="0.25">
      <c r="A5686" s="6" t="s">
        <v>6430</v>
      </c>
      <c r="B5686" s="6"/>
      <c r="C5686" s="3704">
        <v>3839</v>
      </c>
      <c r="D5686" s="3704"/>
      <c r="E5686" s="3705"/>
      <c r="F5686" s="3706"/>
      <c r="G5686" s="3707"/>
    </row>
    <row r="5687" spans="1:7" x14ac:dyDescent="0.25">
      <c r="A5687" s="11" t="s">
        <v>6431</v>
      </c>
      <c r="B5687" s="11"/>
      <c r="C5687" s="3708">
        <v>806</v>
      </c>
      <c r="D5687" s="3708"/>
      <c r="E5687" s="3709"/>
      <c r="F5687" s="3710"/>
      <c r="G5687" s="3711"/>
    </row>
    <row r="5688" spans="1:7" x14ac:dyDescent="0.25">
      <c r="A5688" s="6" t="s">
        <v>6432</v>
      </c>
      <c r="B5688" s="6"/>
      <c r="C5688" s="3704">
        <v>137</v>
      </c>
      <c r="D5688" s="3704"/>
      <c r="E5688" s="3705"/>
      <c r="F5688" s="3706"/>
      <c r="G5688" s="3707"/>
    </row>
    <row r="5689" spans="1:7" x14ac:dyDescent="0.25">
      <c r="A5689" s="11" t="s">
        <v>6433</v>
      </c>
      <c r="B5689" s="11"/>
      <c r="C5689" s="3708">
        <v>16</v>
      </c>
      <c r="D5689" s="3708"/>
      <c r="E5689" s="3709"/>
      <c r="F5689" s="3710"/>
      <c r="G5689" s="3711"/>
    </row>
    <row r="5690" spans="1:7" x14ac:dyDescent="0.25">
      <c r="A5690" s="6" t="s">
        <v>6434</v>
      </c>
      <c r="B5690" s="6"/>
      <c r="C5690" s="3704">
        <v>13</v>
      </c>
      <c r="D5690" s="3704"/>
      <c r="E5690" s="3705"/>
      <c r="F5690" s="3706"/>
      <c r="G5690" s="3707"/>
    </row>
    <row r="5691" spans="1:7" x14ac:dyDescent="0.25">
      <c r="A5691" s="11" t="s">
        <v>1088</v>
      </c>
      <c r="B5691" s="11" t="s">
        <v>1089</v>
      </c>
      <c r="C5691" s="3708">
        <v>143</v>
      </c>
      <c r="D5691" s="3708"/>
      <c r="E5691" s="3709"/>
      <c r="F5691" s="3710"/>
      <c r="G5691" s="3711"/>
    </row>
    <row r="5692" spans="1:7" x14ac:dyDescent="0.25">
      <c r="A5692" s="6" t="s">
        <v>6417</v>
      </c>
      <c r="B5692" s="6" t="s">
        <v>6418</v>
      </c>
      <c r="C5692" s="3704">
        <v>124414</v>
      </c>
      <c r="D5692" s="3704"/>
      <c r="E5692" s="3705"/>
      <c r="F5692" s="3706"/>
      <c r="G5692" s="3707"/>
    </row>
    <row r="5693" spans="1:7" x14ac:dyDescent="0.25">
      <c r="A5693" s="11" t="s">
        <v>6417</v>
      </c>
      <c r="B5693" s="11" t="s">
        <v>6419</v>
      </c>
      <c r="C5693" s="3708">
        <v>124557</v>
      </c>
      <c r="D5693" s="3708"/>
      <c r="E5693" s="3709">
        <v>0</v>
      </c>
      <c r="F5693" s="3710">
        <v>100</v>
      </c>
      <c r="G5693" s="3711">
        <v>0</v>
      </c>
    </row>
    <row r="5694" spans="1:7" x14ac:dyDescent="0.25">
      <c r="A5694" s="3729" t="s">
        <v>131</v>
      </c>
      <c r="B5694" s="3730"/>
      <c r="C5694" s="3730"/>
      <c r="D5694" s="3730"/>
      <c r="E5694" s="3730"/>
      <c r="F5694" s="3730"/>
      <c r="G5694" s="3730"/>
    </row>
    <row r="5695" spans="1:7" x14ac:dyDescent="0.25">
      <c r="A5695" s="11" t="s">
        <v>1088</v>
      </c>
      <c r="B5695" s="11" t="s">
        <v>1089</v>
      </c>
      <c r="C5695" s="3716">
        <v>4198</v>
      </c>
      <c r="D5695" s="3716"/>
      <c r="E5695" s="3717"/>
      <c r="F5695" s="3718"/>
      <c r="G5695" s="3719"/>
    </row>
    <row r="5696" spans="1:7" x14ac:dyDescent="0.25">
      <c r="A5696" s="6" t="s">
        <v>6417</v>
      </c>
      <c r="B5696" s="6" t="s">
        <v>6418</v>
      </c>
      <c r="C5696" s="3712">
        <v>120272</v>
      </c>
      <c r="D5696" s="3712"/>
      <c r="E5696" s="3713"/>
      <c r="F5696" s="3714"/>
      <c r="G5696" s="3715"/>
    </row>
    <row r="5697" spans="1:7" x14ac:dyDescent="0.25">
      <c r="A5697" s="11" t="s">
        <v>6417</v>
      </c>
      <c r="B5697" s="11" t="s">
        <v>6419</v>
      </c>
      <c r="C5697" s="3716">
        <v>124470</v>
      </c>
      <c r="D5697" s="3716"/>
      <c r="E5697" s="3717">
        <v>0</v>
      </c>
      <c r="F5697" s="3718">
        <v>100</v>
      </c>
      <c r="G5697" s="3719">
        <v>0</v>
      </c>
    </row>
    <row r="5698" spans="1:7" x14ac:dyDescent="0.25">
      <c r="A5698" s="3729" t="s">
        <v>170</v>
      </c>
      <c r="B5698" s="3730"/>
      <c r="C5698" s="3730"/>
      <c r="D5698" s="3730"/>
      <c r="E5698" s="3730"/>
      <c r="F5698" s="3730"/>
      <c r="G5698" s="3730"/>
    </row>
    <row r="5699" spans="1:7" x14ac:dyDescent="0.25">
      <c r="A5699" s="11" t="s">
        <v>6967</v>
      </c>
      <c r="B5699" s="11"/>
      <c r="C5699" s="3724">
        <v>21</v>
      </c>
      <c r="D5699" s="3724"/>
      <c r="E5699" s="3725"/>
      <c r="F5699" s="3726"/>
      <c r="G5699" s="3727"/>
    </row>
    <row r="5700" spans="1:7" x14ac:dyDescent="0.25">
      <c r="A5700" s="6" t="s">
        <v>5232</v>
      </c>
      <c r="B5700" s="6"/>
      <c r="C5700" s="3720">
        <v>23</v>
      </c>
      <c r="D5700" s="3720"/>
      <c r="E5700" s="3721"/>
      <c r="F5700" s="3722"/>
      <c r="G5700" s="3723"/>
    </row>
    <row r="5701" spans="1:7" x14ac:dyDescent="0.25">
      <c r="A5701" s="11" t="s">
        <v>6530</v>
      </c>
      <c r="B5701" s="11"/>
      <c r="C5701" s="3724">
        <v>5</v>
      </c>
      <c r="D5701" s="3724"/>
      <c r="E5701" s="3725"/>
      <c r="F5701" s="3726"/>
      <c r="G5701" s="3727"/>
    </row>
    <row r="5702" spans="1:7" x14ac:dyDescent="0.25">
      <c r="A5702" s="6" t="s">
        <v>6968</v>
      </c>
      <c r="B5702" s="6"/>
      <c r="C5702" s="3720">
        <v>2</v>
      </c>
      <c r="D5702" s="3720"/>
      <c r="E5702" s="3721"/>
      <c r="F5702" s="3722"/>
      <c r="G5702" s="3723"/>
    </row>
    <row r="5703" spans="1:7" x14ac:dyDescent="0.25">
      <c r="A5703" s="11" t="s">
        <v>6969</v>
      </c>
      <c r="B5703" s="11"/>
      <c r="C5703" s="3724">
        <v>12</v>
      </c>
      <c r="D5703" s="3724"/>
      <c r="E5703" s="3725"/>
      <c r="F5703" s="3726"/>
      <c r="G5703" s="3727"/>
    </row>
    <row r="5704" spans="1:7" x14ac:dyDescent="0.25">
      <c r="A5704" s="6" t="s">
        <v>6970</v>
      </c>
      <c r="B5704" s="6"/>
      <c r="C5704" s="3720">
        <v>67</v>
      </c>
      <c r="D5704" s="3720"/>
      <c r="E5704" s="3721"/>
      <c r="F5704" s="3722"/>
      <c r="G5704" s="3723"/>
    </row>
    <row r="5705" spans="1:7" x14ac:dyDescent="0.25">
      <c r="A5705" s="11" t="s">
        <v>6527</v>
      </c>
      <c r="B5705" s="11"/>
      <c r="C5705" s="3724">
        <v>9</v>
      </c>
      <c r="D5705" s="3724"/>
      <c r="E5705" s="3725"/>
      <c r="F5705" s="3726"/>
      <c r="G5705" s="3727"/>
    </row>
    <row r="5706" spans="1:7" x14ac:dyDescent="0.25">
      <c r="A5706" s="6" t="s">
        <v>6971</v>
      </c>
      <c r="B5706" s="6"/>
      <c r="C5706" s="3720">
        <v>9</v>
      </c>
      <c r="D5706" s="3720"/>
      <c r="E5706" s="3721"/>
      <c r="F5706" s="3722"/>
      <c r="G5706" s="3723"/>
    </row>
    <row r="5707" spans="1:7" x14ac:dyDescent="0.25">
      <c r="A5707" s="11" t="s">
        <v>6972</v>
      </c>
      <c r="B5707" s="11"/>
      <c r="C5707" s="3724">
        <v>2</v>
      </c>
      <c r="D5707" s="3724"/>
      <c r="E5707" s="3725"/>
      <c r="F5707" s="3726"/>
      <c r="G5707" s="3727"/>
    </row>
    <row r="5708" spans="1:7" x14ac:dyDescent="0.25">
      <c r="A5708" s="6" t="s">
        <v>6973</v>
      </c>
      <c r="B5708" s="6"/>
      <c r="C5708" s="3720">
        <v>2</v>
      </c>
      <c r="D5708" s="3720"/>
      <c r="E5708" s="3721"/>
      <c r="F5708" s="3722"/>
      <c r="G5708" s="3723"/>
    </row>
    <row r="5709" spans="1:7" x14ac:dyDescent="0.25">
      <c r="A5709" s="11" t="s">
        <v>6974</v>
      </c>
      <c r="B5709" s="11"/>
      <c r="C5709" s="3724">
        <v>1</v>
      </c>
      <c r="D5709" s="3724"/>
      <c r="E5709" s="3725"/>
      <c r="F5709" s="3726"/>
      <c r="G5709" s="3727"/>
    </row>
    <row r="5710" spans="1:7" x14ac:dyDescent="0.25">
      <c r="A5710" s="6" t="s">
        <v>6975</v>
      </c>
      <c r="B5710" s="6"/>
      <c r="C5710" s="3720">
        <v>59</v>
      </c>
      <c r="D5710" s="3720"/>
      <c r="E5710" s="3721"/>
      <c r="F5710" s="3722"/>
      <c r="G5710" s="3723"/>
    </row>
    <row r="5711" spans="1:7" x14ac:dyDescent="0.25">
      <c r="A5711" s="11" t="s">
        <v>6976</v>
      </c>
      <c r="B5711" s="11"/>
      <c r="C5711" s="3724">
        <v>7</v>
      </c>
      <c r="D5711" s="3724"/>
      <c r="E5711" s="3725"/>
      <c r="F5711" s="3726"/>
      <c r="G5711" s="3727"/>
    </row>
    <row r="5712" spans="1:7" x14ac:dyDescent="0.25">
      <c r="A5712" s="6" t="s">
        <v>6977</v>
      </c>
      <c r="B5712" s="6"/>
      <c r="C5712" s="3720">
        <v>9</v>
      </c>
      <c r="D5712" s="3720"/>
      <c r="E5712" s="3721"/>
      <c r="F5712" s="3722"/>
      <c r="G5712" s="3723"/>
    </row>
    <row r="5713" spans="1:7" x14ac:dyDescent="0.25">
      <c r="A5713" s="11" t="s">
        <v>4905</v>
      </c>
      <c r="B5713" s="11"/>
      <c r="C5713" s="3724">
        <v>2</v>
      </c>
      <c r="D5713" s="3724"/>
      <c r="E5713" s="3725"/>
      <c r="F5713" s="3726"/>
      <c r="G5713" s="3727"/>
    </row>
    <row r="5714" spans="1:7" x14ac:dyDescent="0.25">
      <c r="A5714" s="6" t="s">
        <v>6978</v>
      </c>
      <c r="B5714" s="6"/>
      <c r="C5714" s="3720">
        <v>1</v>
      </c>
      <c r="D5714" s="3720"/>
      <c r="E5714" s="3721"/>
      <c r="F5714" s="3722"/>
      <c r="G5714" s="3723"/>
    </row>
    <row r="5715" spans="1:7" x14ac:dyDescent="0.25">
      <c r="A5715" s="11" t="s">
        <v>6979</v>
      </c>
      <c r="B5715" s="11"/>
      <c r="C5715" s="3724">
        <v>2</v>
      </c>
      <c r="D5715" s="3724"/>
      <c r="E5715" s="3725"/>
      <c r="F5715" s="3726"/>
      <c r="G5715" s="3727"/>
    </row>
    <row r="5716" spans="1:7" x14ac:dyDescent="0.25">
      <c r="A5716" s="6" t="s">
        <v>6980</v>
      </c>
      <c r="B5716" s="6"/>
      <c r="C5716" s="3720">
        <v>6</v>
      </c>
      <c r="D5716" s="3720"/>
      <c r="E5716" s="3721"/>
      <c r="F5716" s="3722"/>
      <c r="G5716" s="3723"/>
    </row>
    <row r="5717" spans="1:7" x14ac:dyDescent="0.25">
      <c r="A5717" s="11" t="s">
        <v>6648</v>
      </c>
      <c r="B5717" s="11"/>
      <c r="C5717" s="3724">
        <v>23</v>
      </c>
      <c r="D5717" s="3724"/>
      <c r="E5717" s="3725"/>
      <c r="F5717" s="3726"/>
      <c r="G5717" s="3727"/>
    </row>
    <row r="5718" spans="1:7" x14ac:dyDescent="0.25">
      <c r="A5718" s="6" t="s">
        <v>6981</v>
      </c>
      <c r="B5718" s="6"/>
      <c r="C5718" s="3720">
        <v>1</v>
      </c>
      <c r="D5718" s="3720"/>
      <c r="E5718" s="3721"/>
      <c r="F5718" s="3722"/>
      <c r="G5718" s="3723"/>
    </row>
    <row r="5719" spans="1:7" x14ac:dyDescent="0.25">
      <c r="A5719" s="11" t="s">
        <v>6982</v>
      </c>
      <c r="B5719" s="11"/>
      <c r="C5719" s="3724">
        <v>83</v>
      </c>
      <c r="D5719" s="3724"/>
      <c r="E5719" s="3725"/>
      <c r="F5719" s="3726"/>
      <c r="G5719" s="3727"/>
    </row>
    <row r="5720" spans="1:7" x14ac:dyDescent="0.25">
      <c r="A5720" s="6" t="s">
        <v>6983</v>
      </c>
      <c r="B5720" s="6"/>
      <c r="C5720" s="3720">
        <v>6</v>
      </c>
      <c r="D5720" s="3720"/>
      <c r="E5720" s="3721"/>
      <c r="F5720" s="3722"/>
      <c r="G5720" s="3723"/>
    </row>
    <row r="5721" spans="1:7" x14ac:dyDescent="0.25">
      <c r="A5721" s="11" t="s">
        <v>6661</v>
      </c>
      <c r="B5721" s="11"/>
      <c r="C5721" s="3724">
        <v>8</v>
      </c>
      <c r="D5721" s="3724"/>
      <c r="E5721" s="3725"/>
      <c r="F5721" s="3726"/>
      <c r="G5721" s="3727"/>
    </row>
    <row r="5722" spans="1:7" x14ac:dyDescent="0.25">
      <c r="A5722" s="6" t="s">
        <v>6984</v>
      </c>
      <c r="B5722" s="6"/>
      <c r="C5722" s="3720">
        <v>6</v>
      </c>
      <c r="D5722" s="3720"/>
      <c r="E5722" s="3721"/>
      <c r="F5722" s="3722"/>
      <c r="G5722" s="3723"/>
    </row>
    <row r="5723" spans="1:7" x14ac:dyDescent="0.25">
      <c r="A5723" s="11" t="s">
        <v>6658</v>
      </c>
      <c r="B5723" s="11"/>
      <c r="C5723" s="3724">
        <v>1</v>
      </c>
      <c r="D5723" s="3724"/>
      <c r="E5723" s="3725"/>
      <c r="F5723" s="3726"/>
      <c r="G5723" s="3727"/>
    </row>
    <row r="5724" spans="1:7" x14ac:dyDescent="0.25">
      <c r="A5724" s="6" t="s">
        <v>6985</v>
      </c>
      <c r="B5724" s="6"/>
      <c r="C5724" s="3720">
        <v>1</v>
      </c>
      <c r="D5724" s="3720"/>
      <c r="E5724" s="3721"/>
      <c r="F5724" s="3722"/>
      <c r="G5724" s="3723"/>
    </row>
    <row r="5725" spans="1:7" x14ac:dyDescent="0.25">
      <c r="A5725" s="11" t="s">
        <v>6986</v>
      </c>
      <c r="B5725" s="11"/>
      <c r="C5725" s="3724">
        <v>2</v>
      </c>
      <c r="D5725" s="3724"/>
      <c r="E5725" s="3725"/>
      <c r="F5725" s="3726"/>
      <c r="G5725" s="3727"/>
    </row>
    <row r="5726" spans="1:7" x14ac:dyDescent="0.25">
      <c r="A5726" s="6" t="s">
        <v>6679</v>
      </c>
      <c r="B5726" s="6"/>
      <c r="C5726" s="3720">
        <v>3214</v>
      </c>
      <c r="D5726" s="3720"/>
      <c r="E5726" s="3721"/>
      <c r="F5726" s="3722"/>
      <c r="G5726" s="3723"/>
    </row>
    <row r="5727" spans="1:7" x14ac:dyDescent="0.25">
      <c r="A5727" s="11" t="s">
        <v>6987</v>
      </c>
      <c r="B5727" s="11"/>
      <c r="C5727" s="3724">
        <v>7</v>
      </c>
      <c r="D5727" s="3724"/>
      <c r="E5727" s="3725"/>
      <c r="F5727" s="3726"/>
      <c r="G5727" s="3727"/>
    </row>
    <row r="5728" spans="1:7" x14ac:dyDescent="0.25">
      <c r="A5728" s="6" t="s">
        <v>6988</v>
      </c>
      <c r="B5728" s="6"/>
      <c r="C5728" s="3720">
        <v>4</v>
      </c>
      <c r="D5728" s="3720"/>
      <c r="E5728" s="3721"/>
      <c r="F5728" s="3722"/>
      <c r="G5728" s="3723"/>
    </row>
    <row r="5729" spans="1:7" x14ac:dyDescent="0.25">
      <c r="A5729" s="11" t="s">
        <v>6989</v>
      </c>
      <c r="B5729" s="11"/>
      <c r="C5729" s="3724">
        <v>58</v>
      </c>
      <c r="D5729" s="3724"/>
      <c r="E5729" s="3725"/>
      <c r="F5729" s="3726"/>
      <c r="G5729" s="3727"/>
    </row>
    <row r="5730" spans="1:7" x14ac:dyDescent="0.25">
      <c r="A5730" s="6" t="s">
        <v>6990</v>
      </c>
      <c r="B5730" s="6"/>
      <c r="C5730" s="3720">
        <v>5</v>
      </c>
      <c r="D5730" s="3720"/>
      <c r="E5730" s="3721"/>
      <c r="F5730" s="3722"/>
      <c r="G5730" s="3723"/>
    </row>
    <row r="5731" spans="1:7" x14ac:dyDescent="0.25">
      <c r="A5731" s="11" t="s">
        <v>6991</v>
      </c>
      <c r="B5731" s="11"/>
      <c r="C5731" s="3724">
        <v>7</v>
      </c>
      <c r="D5731" s="3724"/>
      <c r="E5731" s="3725"/>
      <c r="F5731" s="3726"/>
      <c r="G5731" s="3727"/>
    </row>
    <row r="5732" spans="1:7" x14ac:dyDescent="0.25">
      <c r="A5732" s="6" t="s">
        <v>6992</v>
      </c>
      <c r="B5732" s="6"/>
      <c r="C5732" s="3720">
        <v>1</v>
      </c>
      <c r="D5732" s="3720"/>
      <c r="E5732" s="3721"/>
      <c r="F5732" s="3722"/>
      <c r="G5732" s="3723"/>
    </row>
    <row r="5733" spans="1:7" x14ac:dyDescent="0.25">
      <c r="A5733" s="11" t="s">
        <v>6993</v>
      </c>
      <c r="B5733" s="11"/>
      <c r="C5733" s="3724">
        <v>1</v>
      </c>
      <c r="D5733" s="3724"/>
      <c r="E5733" s="3725"/>
      <c r="F5733" s="3726"/>
      <c r="G5733" s="3727"/>
    </row>
    <row r="5734" spans="1:7" x14ac:dyDescent="0.25">
      <c r="A5734" s="6" t="s">
        <v>1314</v>
      </c>
      <c r="B5734" s="6"/>
      <c r="C5734" s="3720">
        <v>9</v>
      </c>
      <c r="D5734" s="3720"/>
      <c r="E5734" s="3721"/>
      <c r="F5734" s="3722"/>
      <c r="G5734" s="3723"/>
    </row>
    <row r="5735" spans="1:7" x14ac:dyDescent="0.25">
      <c r="A5735" s="11" t="s">
        <v>6994</v>
      </c>
      <c r="B5735" s="11"/>
      <c r="C5735" s="3724">
        <v>2</v>
      </c>
      <c r="D5735" s="3724"/>
      <c r="E5735" s="3725"/>
      <c r="F5735" s="3726"/>
      <c r="G5735" s="3727"/>
    </row>
    <row r="5736" spans="1:7" x14ac:dyDescent="0.25">
      <c r="A5736" s="6" t="s">
        <v>4580</v>
      </c>
      <c r="B5736" s="6"/>
      <c r="C5736" s="3720">
        <v>7</v>
      </c>
      <c r="D5736" s="3720"/>
      <c r="E5736" s="3721"/>
      <c r="F5736" s="3722"/>
      <c r="G5736" s="3723"/>
    </row>
    <row r="5737" spans="1:7" x14ac:dyDescent="0.25">
      <c r="A5737" s="11" t="s">
        <v>6995</v>
      </c>
      <c r="B5737" s="11"/>
      <c r="C5737" s="3724">
        <v>10</v>
      </c>
      <c r="D5737" s="3724"/>
      <c r="E5737" s="3725"/>
      <c r="F5737" s="3726"/>
      <c r="G5737" s="3727"/>
    </row>
    <row r="5738" spans="1:7" x14ac:dyDescent="0.25">
      <c r="A5738" s="6" t="s">
        <v>6996</v>
      </c>
      <c r="B5738" s="6"/>
      <c r="C5738" s="3720">
        <v>186</v>
      </c>
      <c r="D5738" s="3720"/>
      <c r="E5738" s="3721"/>
      <c r="F5738" s="3722"/>
      <c r="G5738" s="3723"/>
    </row>
    <row r="5739" spans="1:7" x14ac:dyDescent="0.25">
      <c r="A5739" s="11" t="s">
        <v>6997</v>
      </c>
      <c r="B5739" s="11"/>
      <c r="C5739" s="3724">
        <v>3</v>
      </c>
      <c r="D5739" s="3724"/>
      <c r="E5739" s="3725"/>
      <c r="F5739" s="3726"/>
      <c r="G5739" s="3727"/>
    </row>
    <row r="5740" spans="1:7" x14ac:dyDescent="0.25">
      <c r="A5740" s="6" t="s">
        <v>6998</v>
      </c>
      <c r="B5740" s="6"/>
      <c r="C5740" s="3720">
        <v>4</v>
      </c>
      <c r="D5740" s="3720"/>
      <c r="E5740" s="3721"/>
      <c r="F5740" s="3722"/>
      <c r="G5740" s="3723"/>
    </row>
    <row r="5741" spans="1:7" x14ac:dyDescent="0.25">
      <c r="A5741" s="11" t="s">
        <v>6999</v>
      </c>
      <c r="B5741" s="11"/>
      <c r="C5741" s="3724">
        <v>3</v>
      </c>
      <c r="D5741" s="3724"/>
      <c r="E5741" s="3725"/>
      <c r="F5741" s="3726"/>
      <c r="G5741" s="3727"/>
    </row>
    <row r="5742" spans="1:7" x14ac:dyDescent="0.25">
      <c r="A5742" s="6" t="s">
        <v>7000</v>
      </c>
      <c r="B5742" s="6"/>
      <c r="C5742" s="3720">
        <v>21250</v>
      </c>
      <c r="D5742" s="3720"/>
      <c r="E5742" s="3721"/>
      <c r="F5742" s="3722"/>
      <c r="G5742" s="3723"/>
    </row>
    <row r="5743" spans="1:7" x14ac:dyDescent="0.25">
      <c r="A5743" s="11" t="s">
        <v>3238</v>
      </c>
      <c r="B5743" s="11"/>
      <c r="C5743" s="3724">
        <v>2</v>
      </c>
      <c r="D5743" s="3724"/>
      <c r="E5743" s="3725"/>
      <c r="F5743" s="3726"/>
      <c r="G5743" s="3727"/>
    </row>
    <row r="5744" spans="1:7" x14ac:dyDescent="0.25">
      <c r="A5744" s="6" t="s">
        <v>7001</v>
      </c>
      <c r="B5744" s="6"/>
      <c r="C5744" s="3720">
        <v>2</v>
      </c>
      <c r="D5744" s="3720"/>
      <c r="E5744" s="3721"/>
      <c r="F5744" s="3722"/>
      <c r="G5744" s="3723"/>
    </row>
    <row r="5745" spans="1:7" x14ac:dyDescent="0.25">
      <c r="A5745" s="11" t="s">
        <v>7002</v>
      </c>
      <c r="B5745" s="11"/>
      <c r="C5745" s="3724">
        <v>75</v>
      </c>
      <c r="D5745" s="3724"/>
      <c r="E5745" s="3725"/>
      <c r="F5745" s="3726"/>
      <c r="G5745" s="3727"/>
    </row>
    <row r="5746" spans="1:7" x14ac:dyDescent="0.25">
      <c r="A5746" s="6" t="s">
        <v>7003</v>
      </c>
      <c r="B5746" s="6"/>
      <c r="C5746" s="3720">
        <v>2</v>
      </c>
      <c r="D5746" s="3720"/>
      <c r="E5746" s="3721"/>
      <c r="F5746" s="3722"/>
      <c r="G5746" s="3723"/>
    </row>
    <row r="5747" spans="1:7" x14ac:dyDescent="0.25">
      <c r="A5747" s="11" t="s">
        <v>7004</v>
      </c>
      <c r="B5747" s="11"/>
      <c r="C5747" s="3724">
        <v>23</v>
      </c>
      <c r="D5747" s="3724"/>
      <c r="E5747" s="3725"/>
      <c r="F5747" s="3726"/>
      <c r="G5747" s="3727"/>
    </row>
    <row r="5748" spans="1:7" x14ac:dyDescent="0.25">
      <c r="A5748" s="6" t="s">
        <v>7005</v>
      </c>
      <c r="B5748" s="6"/>
      <c r="C5748" s="3720">
        <v>2</v>
      </c>
      <c r="D5748" s="3720"/>
      <c r="E5748" s="3721"/>
      <c r="F5748" s="3722"/>
      <c r="G5748" s="3723"/>
    </row>
    <row r="5749" spans="1:7" x14ac:dyDescent="0.25">
      <c r="A5749" s="11" t="s">
        <v>7006</v>
      </c>
      <c r="B5749" s="11"/>
      <c r="C5749" s="3724">
        <v>20</v>
      </c>
      <c r="D5749" s="3724"/>
      <c r="E5749" s="3725"/>
      <c r="F5749" s="3726"/>
      <c r="G5749" s="3727"/>
    </row>
    <row r="5750" spans="1:7" x14ac:dyDescent="0.25">
      <c r="A5750" s="6" t="s">
        <v>7007</v>
      </c>
      <c r="B5750" s="6"/>
      <c r="C5750" s="3720">
        <v>2412</v>
      </c>
      <c r="D5750" s="3720"/>
      <c r="E5750" s="3721"/>
      <c r="F5750" s="3722"/>
      <c r="G5750" s="3723"/>
    </row>
    <row r="5751" spans="1:7" x14ac:dyDescent="0.25">
      <c r="A5751" s="11" t="s">
        <v>7008</v>
      </c>
      <c r="B5751" s="11"/>
      <c r="C5751" s="3724">
        <v>1</v>
      </c>
      <c r="D5751" s="3724"/>
      <c r="E5751" s="3725"/>
      <c r="F5751" s="3726"/>
      <c r="G5751" s="3727"/>
    </row>
    <row r="5752" spans="1:7" x14ac:dyDescent="0.25">
      <c r="A5752" s="6" t="s">
        <v>7009</v>
      </c>
      <c r="B5752" s="6"/>
      <c r="C5752" s="3720">
        <v>1</v>
      </c>
      <c r="D5752" s="3720"/>
      <c r="E5752" s="3721"/>
      <c r="F5752" s="3722"/>
      <c r="G5752" s="3723"/>
    </row>
    <row r="5753" spans="1:7" x14ac:dyDescent="0.25">
      <c r="A5753" s="11" t="s">
        <v>3541</v>
      </c>
      <c r="B5753" s="11"/>
      <c r="C5753" s="3724">
        <v>21</v>
      </c>
      <c r="D5753" s="3724"/>
      <c r="E5753" s="3725"/>
      <c r="F5753" s="3726"/>
      <c r="G5753" s="3727"/>
    </row>
    <row r="5754" spans="1:7" x14ac:dyDescent="0.25">
      <c r="A5754" s="6" t="s">
        <v>7010</v>
      </c>
      <c r="B5754" s="6"/>
      <c r="C5754" s="3720">
        <v>12</v>
      </c>
      <c r="D5754" s="3720"/>
      <c r="E5754" s="3721"/>
      <c r="F5754" s="3722"/>
      <c r="G5754" s="3723"/>
    </row>
    <row r="5755" spans="1:7" x14ac:dyDescent="0.25">
      <c r="A5755" s="11" t="s">
        <v>7011</v>
      </c>
      <c r="B5755" s="11"/>
      <c r="C5755" s="3724">
        <v>79</v>
      </c>
      <c r="D5755" s="3724"/>
      <c r="E5755" s="3725"/>
      <c r="F5755" s="3726"/>
      <c r="G5755" s="3727"/>
    </row>
    <row r="5756" spans="1:7" x14ac:dyDescent="0.25">
      <c r="A5756" s="6" t="s">
        <v>7012</v>
      </c>
      <c r="B5756" s="6"/>
      <c r="C5756" s="3720">
        <v>1</v>
      </c>
      <c r="D5756" s="3720"/>
      <c r="E5756" s="3721"/>
      <c r="F5756" s="3722"/>
      <c r="G5756" s="3723"/>
    </row>
    <row r="5757" spans="1:7" x14ac:dyDescent="0.25">
      <c r="A5757" s="11" t="s">
        <v>7013</v>
      </c>
      <c r="B5757" s="11"/>
      <c r="C5757" s="3724">
        <v>10</v>
      </c>
      <c r="D5757" s="3724"/>
      <c r="E5757" s="3725"/>
      <c r="F5757" s="3726"/>
      <c r="G5757" s="3727"/>
    </row>
    <row r="5758" spans="1:7" x14ac:dyDescent="0.25">
      <c r="A5758" s="6" t="s">
        <v>7014</v>
      </c>
      <c r="B5758" s="6"/>
      <c r="C5758" s="3720">
        <v>1</v>
      </c>
      <c r="D5758" s="3720"/>
      <c r="E5758" s="3721"/>
      <c r="F5758" s="3722"/>
      <c r="G5758" s="3723"/>
    </row>
    <row r="5759" spans="1:7" x14ac:dyDescent="0.25">
      <c r="A5759" s="11" t="s">
        <v>7015</v>
      </c>
      <c r="B5759" s="11"/>
      <c r="C5759" s="3724">
        <v>27</v>
      </c>
      <c r="D5759" s="3724"/>
      <c r="E5759" s="3725"/>
      <c r="F5759" s="3726"/>
      <c r="G5759" s="3727"/>
    </row>
    <row r="5760" spans="1:7" x14ac:dyDescent="0.25">
      <c r="A5760" s="6" t="s">
        <v>7016</v>
      </c>
      <c r="B5760" s="6"/>
      <c r="C5760" s="3720">
        <v>2</v>
      </c>
      <c r="D5760" s="3720"/>
      <c r="E5760" s="3721"/>
      <c r="F5760" s="3722"/>
      <c r="G5760" s="3723"/>
    </row>
    <row r="5761" spans="1:7" x14ac:dyDescent="0.25">
      <c r="A5761" s="11" t="s">
        <v>7017</v>
      </c>
      <c r="B5761" s="11"/>
      <c r="C5761" s="3724">
        <v>21</v>
      </c>
      <c r="D5761" s="3724"/>
      <c r="E5761" s="3725"/>
      <c r="F5761" s="3726"/>
      <c r="G5761" s="3727"/>
    </row>
    <row r="5762" spans="1:7" x14ac:dyDescent="0.25">
      <c r="A5762" s="6" t="s">
        <v>7018</v>
      </c>
      <c r="B5762" s="6"/>
      <c r="C5762" s="3720">
        <v>7</v>
      </c>
      <c r="D5762" s="3720"/>
      <c r="E5762" s="3721"/>
      <c r="F5762" s="3722"/>
      <c r="G5762" s="3723"/>
    </row>
    <row r="5763" spans="1:7" x14ac:dyDescent="0.25">
      <c r="A5763" s="11" t="s">
        <v>7019</v>
      </c>
      <c r="B5763" s="11"/>
      <c r="C5763" s="3724">
        <v>10</v>
      </c>
      <c r="D5763" s="3724"/>
      <c r="E5763" s="3725"/>
      <c r="F5763" s="3726"/>
      <c r="G5763" s="3727"/>
    </row>
    <row r="5764" spans="1:7" x14ac:dyDescent="0.25">
      <c r="A5764" s="6" t="s">
        <v>7020</v>
      </c>
      <c r="B5764" s="6"/>
      <c r="C5764" s="3720">
        <v>91</v>
      </c>
      <c r="D5764" s="3720"/>
      <c r="E5764" s="3721"/>
      <c r="F5764" s="3722"/>
      <c r="G5764" s="3723"/>
    </row>
    <row r="5765" spans="1:7" x14ac:dyDescent="0.25">
      <c r="A5765" s="11" t="s">
        <v>7021</v>
      </c>
      <c r="B5765" s="11"/>
      <c r="C5765" s="3724">
        <v>9</v>
      </c>
      <c r="D5765" s="3724"/>
      <c r="E5765" s="3725"/>
      <c r="F5765" s="3726"/>
      <c r="G5765" s="3727"/>
    </row>
    <row r="5766" spans="1:7" x14ac:dyDescent="0.25">
      <c r="A5766" s="6" t="s">
        <v>7022</v>
      </c>
      <c r="B5766" s="6"/>
      <c r="C5766" s="3720">
        <v>3</v>
      </c>
      <c r="D5766" s="3720"/>
      <c r="E5766" s="3721"/>
      <c r="F5766" s="3722"/>
      <c r="G5766" s="3723"/>
    </row>
    <row r="5767" spans="1:7" x14ac:dyDescent="0.25">
      <c r="A5767" s="11" t="s">
        <v>7023</v>
      </c>
      <c r="B5767" s="11"/>
      <c r="C5767" s="3724">
        <v>4798</v>
      </c>
      <c r="D5767" s="3724"/>
      <c r="E5767" s="3725"/>
      <c r="F5767" s="3726"/>
      <c r="G5767" s="3727"/>
    </row>
    <row r="5768" spans="1:7" x14ac:dyDescent="0.25">
      <c r="A5768" s="6" t="s">
        <v>7024</v>
      </c>
      <c r="B5768" s="6"/>
      <c r="C5768" s="3720">
        <v>303</v>
      </c>
      <c r="D5768" s="3720"/>
      <c r="E5768" s="3721"/>
      <c r="F5768" s="3722"/>
      <c r="G5768" s="3723"/>
    </row>
    <row r="5769" spans="1:7" x14ac:dyDescent="0.25">
      <c r="A5769" s="11" t="s">
        <v>7025</v>
      </c>
      <c r="B5769" s="11"/>
      <c r="C5769" s="3724">
        <v>11</v>
      </c>
      <c r="D5769" s="3724"/>
      <c r="E5769" s="3725"/>
      <c r="F5769" s="3726"/>
      <c r="G5769" s="3727"/>
    </row>
    <row r="5770" spans="1:7" x14ac:dyDescent="0.25">
      <c r="A5770" s="6" t="s">
        <v>7026</v>
      </c>
      <c r="B5770" s="6"/>
      <c r="C5770" s="3720">
        <v>6</v>
      </c>
      <c r="D5770" s="3720"/>
      <c r="E5770" s="3721"/>
      <c r="F5770" s="3722"/>
      <c r="G5770" s="3723"/>
    </row>
    <row r="5771" spans="1:7" x14ac:dyDescent="0.25">
      <c r="A5771" s="11" t="s">
        <v>7027</v>
      </c>
      <c r="B5771" s="11"/>
      <c r="C5771" s="3724">
        <v>20895</v>
      </c>
      <c r="D5771" s="3724"/>
      <c r="E5771" s="3725"/>
      <c r="F5771" s="3726"/>
      <c r="G5771" s="3727"/>
    </row>
    <row r="5772" spans="1:7" x14ac:dyDescent="0.25">
      <c r="A5772" s="6" t="s">
        <v>7028</v>
      </c>
      <c r="B5772" s="6"/>
      <c r="C5772" s="3720">
        <v>6</v>
      </c>
      <c r="D5772" s="3720"/>
      <c r="E5772" s="3721"/>
      <c r="F5772" s="3722"/>
      <c r="G5772" s="3723"/>
    </row>
    <row r="5773" spans="1:7" x14ac:dyDescent="0.25">
      <c r="A5773" s="11" t="s">
        <v>7029</v>
      </c>
      <c r="B5773" s="11"/>
      <c r="C5773" s="3724">
        <v>50</v>
      </c>
      <c r="D5773" s="3724"/>
      <c r="E5773" s="3725"/>
      <c r="F5773" s="3726"/>
      <c r="G5773" s="3727"/>
    </row>
    <row r="5774" spans="1:7" x14ac:dyDescent="0.25">
      <c r="A5774" s="6" t="s">
        <v>7030</v>
      </c>
      <c r="B5774" s="6"/>
      <c r="C5774" s="3720">
        <v>25392</v>
      </c>
      <c r="D5774" s="3720"/>
      <c r="E5774" s="3721"/>
      <c r="F5774" s="3722"/>
      <c r="G5774" s="3723"/>
    </row>
    <row r="5775" spans="1:7" x14ac:dyDescent="0.25">
      <c r="A5775" s="11" t="s">
        <v>7031</v>
      </c>
      <c r="B5775" s="11"/>
      <c r="C5775" s="3724">
        <v>1</v>
      </c>
      <c r="D5775" s="3724"/>
      <c r="E5775" s="3725"/>
      <c r="F5775" s="3726"/>
      <c r="G5775" s="3727"/>
    </row>
    <row r="5776" spans="1:7" x14ac:dyDescent="0.25">
      <c r="A5776" s="6" t="s">
        <v>6657</v>
      </c>
      <c r="B5776" s="6"/>
      <c r="C5776" s="3720">
        <v>79</v>
      </c>
      <c r="D5776" s="3720"/>
      <c r="E5776" s="3721"/>
      <c r="F5776" s="3722"/>
      <c r="G5776" s="3723"/>
    </row>
    <row r="5777" spans="1:7" x14ac:dyDescent="0.25">
      <c r="A5777" s="11" t="s">
        <v>7032</v>
      </c>
      <c r="B5777" s="11"/>
      <c r="C5777" s="3724">
        <v>7</v>
      </c>
      <c r="D5777" s="3724"/>
      <c r="E5777" s="3725"/>
      <c r="F5777" s="3726"/>
      <c r="G5777" s="3727"/>
    </row>
    <row r="5778" spans="1:7" x14ac:dyDescent="0.25">
      <c r="A5778" s="6" t="s">
        <v>7033</v>
      </c>
      <c r="B5778" s="6"/>
      <c r="C5778" s="3720">
        <v>21</v>
      </c>
      <c r="D5778" s="3720"/>
      <c r="E5778" s="3721"/>
      <c r="F5778" s="3722"/>
      <c r="G5778" s="3723"/>
    </row>
    <row r="5779" spans="1:7" x14ac:dyDescent="0.25">
      <c r="A5779" s="11" t="s">
        <v>7034</v>
      </c>
      <c r="B5779" s="11"/>
      <c r="C5779" s="3724">
        <v>1</v>
      </c>
      <c r="D5779" s="3724"/>
      <c r="E5779" s="3725"/>
      <c r="F5779" s="3726"/>
      <c r="G5779" s="3727"/>
    </row>
    <row r="5780" spans="1:7" x14ac:dyDescent="0.25">
      <c r="A5780" s="6" t="s">
        <v>7035</v>
      </c>
      <c r="B5780" s="6"/>
      <c r="C5780" s="3720">
        <v>5</v>
      </c>
      <c r="D5780" s="3720"/>
      <c r="E5780" s="3721"/>
      <c r="F5780" s="3722"/>
      <c r="G5780" s="3723"/>
    </row>
    <row r="5781" spans="1:7" x14ac:dyDescent="0.25">
      <c r="A5781" s="11" t="s">
        <v>7036</v>
      </c>
      <c r="B5781" s="11"/>
      <c r="C5781" s="3724">
        <v>1</v>
      </c>
      <c r="D5781" s="3724"/>
      <c r="E5781" s="3725"/>
      <c r="F5781" s="3726"/>
      <c r="G5781" s="3727"/>
    </row>
    <row r="5782" spans="1:7" x14ac:dyDescent="0.25">
      <c r="A5782" s="6" t="s">
        <v>7037</v>
      </c>
      <c r="B5782" s="6"/>
      <c r="C5782" s="3720">
        <v>3</v>
      </c>
      <c r="D5782" s="3720"/>
      <c r="E5782" s="3721"/>
      <c r="F5782" s="3722"/>
      <c r="G5782" s="3723"/>
    </row>
    <row r="5783" spans="1:7" x14ac:dyDescent="0.25">
      <c r="A5783" s="11" t="s">
        <v>7038</v>
      </c>
      <c r="B5783" s="11"/>
      <c r="C5783" s="3724">
        <v>26</v>
      </c>
      <c r="D5783" s="3724"/>
      <c r="E5783" s="3725"/>
      <c r="F5783" s="3726"/>
      <c r="G5783" s="3727"/>
    </row>
    <row r="5784" spans="1:7" x14ac:dyDescent="0.25">
      <c r="A5784" s="6" t="s">
        <v>7039</v>
      </c>
      <c r="B5784" s="6"/>
      <c r="C5784" s="3720">
        <v>2</v>
      </c>
      <c r="D5784" s="3720"/>
      <c r="E5784" s="3721"/>
      <c r="F5784" s="3722"/>
      <c r="G5784" s="3723"/>
    </row>
    <row r="5785" spans="1:7" x14ac:dyDescent="0.25">
      <c r="A5785" s="11" t="s">
        <v>7040</v>
      </c>
      <c r="B5785" s="11"/>
      <c r="C5785" s="3724">
        <v>9</v>
      </c>
      <c r="D5785" s="3724"/>
      <c r="E5785" s="3725"/>
      <c r="F5785" s="3726"/>
      <c r="G5785" s="3727"/>
    </row>
    <row r="5786" spans="1:7" x14ac:dyDescent="0.25">
      <c r="A5786" s="6" t="s">
        <v>7041</v>
      </c>
      <c r="B5786" s="6"/>
      <c r="C5786" s="3720">
        <v>1478</v>
      </c>
      <c r="D5786" s="3720"/>
      <c r="E5786" s="3721"/>
      <c r="F5786" s="3722"/>
      <c r="G5786" s="3723"/>
    </row>
    <row r="5787" spans="1:7" x14ac:dyDescent="0.25">
      <c r="A5787" s="11" t="s">
        <v>7042</v>
      </c>
      <c r="B5787" s="11"/>
      <c r="C5787" s="3724">
        <v>76</v>
      </c>
      <c r="D5787" s="3724"/>
      <c r="E5787" s="3725"/>
      <c r="F5787" s="3726"/>
      <c r="G5787" s="3727"/>
    </row>
    <row r="5788" spans="1:7" x14ac:dyDescent="0.25">
      <c r="A5788" s="6" t="s">
        <v>7043</v>
      </c>
      <c r="B5788" s="6"/>
      <c r="C5788" s="3720">
        <v>6</v>
      </c>
      <c r="D5788" s="3720"/>
      <c r="E5788" s="3721"/>
      <c r="F5788" s="3722"/>
      <c r="G5788" s="3723"/>
    </row>
    <row r="5789" spans="1:7" x14ac:dyDescent="0.25">
      <c r="A5789" s="11" t="s">
        <v>1088</v>
      </c>
      <c r="B5789" s="11" t="s">
        <v>1089</v>
      </c>
      <c r="C5789" s="3724">
        <v>43375</v>
      </c>
      <c r="D5789" s="3724"/>
      <c r="E5789" s="3725"/>
      <c r="F5789" s="3726"/>
      <c r="G5789" s="3727"/>
    </row>
    <row r="5790" spans="1:7" x14ac:dyDescent="0.25">
      <c r="A5790" s="6" t="s">
        <v>6417</v>
      </c>
      <c r="B5790" s="6" t="s">
        <v>6418</v>
      </c>
      <c r="C5790" s="3720">
        <v>81151</v>
      </c>
      <c r="D5790" s="3720"/>
      <c r="E5790" s="3721"/>
      <c r="F5790" s="3722"/>
      <c r="G5790" s="3723"/>
    </row>
    <row r="5791" spans="1:7" x14ac:dyDescent="0.25">
      <c r="A5791" s="11" t="s">
        <v>6417</v>
      </c>
      <c r="B5791" s="11" t="s">
        <v>6419</v>
      </c>
      <c r="C5791" s="3724">
        <v>124526</v>
      </c>
      <c r="D5791" s="3724"/>
      <c r="E5791" s="3725">
        <v>0</v>
      </c>
      <c r="F5791" s="3726">
        <v>100</v>
      </c>
      <c r="G5791" s="3727">
        <v>0</v>
      </c>
    </row>
  </sheetData>
  <mergeCells count="470">
    <mergeCell ref="A2:G2"/>
    <mergeCell ref="A3:G3"/>
    <mergeCell ref="A6:G6"/>
    <mergeCell ref="A9:G9"/>
    <mergeCell ref="A12:G12"/>
    <mergeCell ref="A20:G20"/>
    <mergeCell ref="A24:G24"/>
    <mergeCell ref="A29:G29"/>
    <mergeCell ref="A34:G34"/>
    <mergeCell ref="A41:G41"/>
    <mergeCell ref="A47:G47"/>
    <mergeCell ref="A52:G52"/>
    <mergeCell ref="A59:G59"/>
    <mergeCell ref="A69:G69"/>
    <mergeCell ref="A82:G82"/>
    <mergeCell ref="A98:G98"/>
    <mergeCell ref="A115:G115"/>
    <mergeCell ref="A122:G122"/>
    <mergeCell ref="A131:G131"/>
    <mergeCell ref="A140:G140"/>
    <mergeCell ref="A150:G150"/>
    <mergeCell ref="A161:G161"/>
    <mergeCell ref="A166:G166"/>
    <mergeCell ref="A177:G177"/>
    <mergeCell ref="A188:G188"/>
    <mergeCell ref="A198:G198"/>
    <mergeCell ref="A207:G207"/>
    <mergeCell ref="A216:G216"/>
    <mergeCell ref="A226:G226"/>
    <mergeCell ref="A236:G236"/>
    <mergeCell ref="A246:G246"/>
    <mergeCell ref="A255:G255"/>
    <mergeCell ref="A264:G264"/>
    <mergeCell ref="A275:G275"/>
    <mergeCell ref="A286:G286"/>
    <mergeCell ref="A291:G291"/>
    <mergeCell ref="A296:G296"/>
    <mergeCell ref="A301:G301"/>
    <mergeCell ref="A306:G306"/>
    <mergeCell ref="A310:G310"/>
    <mergeCell ref="A315:G315"/>
    <mergeCell ref="A320:G320"/>
    <mergeCell ref="A325:G325"/>
    <mergeCell ref="A330:G330"/>
    <mergeCell ref="A335:G335"/>
    <mergeCell ref="A340:G340"/>
    <mergeCell ref="A345:G345"/>
    <mergeCell ref="A350:G350"/>
    <mergeCell ref="A355:G355"/>
    <mergeCell ref="A360:G360"/>
    <mergeCell ref="A365:G365"/>
    <mergeCell ref="A375:G375"/>
    <mergeCell ref="A433:G433"/>
    <mergeCell ref="A445:G445"/>
    <mergeCell ref="A457:G457"/>
    <mergeCell ref="A467:G467"/>
    <mergeCell ref="A474:G474"/>
    <mergeCell ref="A484:G484"/>
    <mergeCell ref="A500:G500"/>
    <mergeCell ref="A508:G508"/>
    <mergeCell ref="A521:G521"/>
    <mergeCell ref="A528:G528"/>
    <mergeCell ref="A537:G537"/>
    <mergeCell ref="A542:G542"/>
    <mergeCell ref="A549:G549"/>
    <mergeCell ref="A558:G558"/>
    <mergeCell ref="A563:G563"/>
    <mergeCell ref="A620:G620"/>
    <mergeCell ref="A624:G624"/>
    <mergeCell ref="A628:G628"/>
    <mergeCell ref="A632:G632"/>
    <mergeCell ref="A636:G636"/>
    <mergeCell ref="A643:G643"/>
    <mergeCell ref="A655:G655"/>
    <mergeCell ref="A661:G661"/>
    <mergeCell ref="A708:G708"/>
    <mergeCell ref="A721:G721"/>
    <mergeCell ref="A725:G725"/>
    <mergeCell ref="A739:G739"/>
    <mergeCell ref="A750:G750"/>
    <mergeCell ref="A761:G761"/>
    <mergeCell ref="A772:G772"/>
    <mergeCell ref="A786:G786"/>
    <mergeCell ref="A797:G797"/>
    <mergeCell ref="A808:G808"/>
    <mergeCell ref="A811:G811"/>
    <mergeCell ref="A814:G814"/>
    <mergeCell ref="A817:G817"/>
    <mergeCell ref="A820:G820"/>
    <mergeCell ref="A823:G823"/>
    <mergeCell ref="A826:G826"/>
    <mergeCell ref="A829:G829"/>
    <mergeCell ref="A834:G834"/>
    <mergeCell ref="A843:G843"/>
    <mergeCell ref="A847:G847"/>
    <mergeCell ref="A853:G853"/>
    <mergeCell ref="A854:G854"/>
    <mergeCell ref="A857:G857"/>
    <mergeCell ref="A870:G870"/>
    <mergeCell ref="A873:G873"/>
    <mergeCell ref="A878:G878"/>
    <mergeCell ref="A888:G888"/>
    <mergeCell ref="A896:G896"/>
    <mergeCell ref="A906:G906"/>
    <mergeCell ref="A913:G913"/>
    <mergeCell ref="A925:G925"/>
    <mergeCell ref="A932:G932"/>
    <mergeCell ref="A944:G944"/>
    <mergeCell ref="A957:G957"/>
    <mergeCell ref="A965:G965"/>
    <mergeCell ref="A973:G973"/>
    <mergeCell ref="A981:G981"/>
    <mergeCell ref="A989:G989"/>
    <mergeCell ref="A1014:G1014"/>
    <mergeCell ref="A1028:G1028"/>
    <mergeCell ref="A1040:G1040"/>
    <mergeCell ref="A1052:G1052"/>
    <mergeCell ref="A1057:G1057"/>
    <mergeCell ref="A1065:G1065"/>
    <mergeCell ref="A1141:G1141"/>
    <mergeCell ref="A1194:G1194"/>
    <mergeCell ref="A1238:G1238"/>
    <mergeCell ref="A1269:G1269"/>
    <mergeCell ref="A1300:G1300"/>
    <mergeCell ref="A1306:G1306"/>
    <mergeCell ref="A1312:G1312"/>
    <mergeCell ref="A1318:G1318"/>
    <mergeCell ref="A1324:G1324"/>
    <mergeCell ref="A1330:G1330"/>
    <mergeCell ref="A1336:G1336"/>
    <mergeCell ref="A1342:G1342"/>
    <mergeCell ref="A1348:G1348"/>
    <mergeCell ref="A1353:G1353"/>
    <mergeCell ref="A1359:G1359"/>
    <mergeCell ref="A1365:G1365"/>
    <mergeCell ref="A1371:G1371"/>
    <mergeCell ref="A1377:G1377"/>
    <mergeCell ref="A1383:G1383"/>
    <mergeCell ref="A1389:G1389"/>
    <mergeCell ref="A1395:G1395"/>
    <mergeCell ref="A1401:G1401"/>
    <mergeCell ref="A1407:G1407"/>
    <mergeCell ref="A1465:G1465"/>
    <mergeCell ref="A1502:G1502"/>
    <mergeCell ref="A1524:G1524"/>
    <mergeCell ref="A1565:G1565"/>
    <mergeCell ref="A1590:G1590"/>
    <mergeCell ref="A1596:G1596"/>
    <mergeCell ref="A1684:G1684"/>
    <mergeCell ref="A1717:G1717"/>
    <mergeCell ref="A1724:G1724"/>
    <mergeCell ref="A1742:G1742"/>
    <mergeCell ref="A1804:G1804"/>
    <mergeCell ref="A1811:G1811"/>
    <mergeCell ref="A1819:G1819"/>
    <mergeCell ref="A1827:G1827"/>
    <mergeCell ref="A1863:G1863"/>
    <mergeCell ref="A1884:G1884"/>
    <mergeCell ref="A1892:G1892"/>
    <mergeCell ref="A1913:G1913"/>
    <mergeCell ref="A1921:G1921"/>
    <mergeCell ref="A1930:G1930"/>
    <mergeCell ref="A1938:G1938"/>
    <mergeCell ref="A1990:G1990"/>
    <mergeCell ref="A1999:G1999"/>
    <mergeCell ref="A2008:G2008"/>
    <mergeCell ref="A2020:G2020"/>
    <mergeCell ref="A2030:G2030"/>
    <mergeCell ref="A2058:G2058"/>
    <mergeCell ref="A2087:G2087"/>
    <mergeCell ref="A2096:G2096"/>
    <mergeCell ref="A2189:G2189"/>
    <mergeCell ref="A2197:G2197"/>
    <mergeCell ref="A2206:G2206"/>
    <mergeCell ref="A2214:G2214"/>
    <mergeCell ref="A2226:G2226"/>
    <mergeCell ref="A2231:G2231"/>
    <mergeCell ref="A2243:G2243"/>
    <mergeCell ref="A2252:G2252"/>
    <mergeCell ref="A2257:G2257"/>
    <mergeCell ref="A2274:G2274"/>
    <mergeCell ref="A2292:G2292"/>
    <mergeCell ref="A2297:G2297"/>
    <mergeCell ref="A2302:G2302"/>
    <mergeCell ref="A2307:G2307"/>
    <mergeCell ref="A2312:G2312"/>
    <mergeCell ref="A2317:G2317"/>
    <mergeCell ref="A2322:G2322"/>
    <mergeCell ref="A2327:G2327"/>
    <mergeCell ref="A2332:G2332"/>
    <mergeCell ref="A2336:G2336"/>
    <mergeCell ref="A2342:G2342"/>
    <mergeCell ref="A2348:G2348"/>
    <mergeCell ref="A2354:G2354"/>
    <mergeCell ref="A2360:G2360"/>
    <mergeCell ref="A2366:G2366"/>
    <mergeCell ref="A2372:G2372"/>
    <mergeCell ref="A2378:G2378"/>
    <mergeCell ref="A2384:G2384"/>
    <mergeCell ref="A2390:G2390"/>
    <mergeCell ref="A2396:G2396"/>
    <mergeCell ref="A2401:G2401"/>
    <mergeCell ref="A2407:G2407"/>
    <mergeCell ref="A2413:G2413"/>
    <mergeCell ref="A2419:G2419"/>
    <mergeCell ref="A2425:G2425"/>
    <mergeCell ref="A2431:G2431"/>
    <mergeCell ref="A2437:G2437"/>
    <mergeCell ref="A2443:G2443"/>
    <mergeCell ref="A2449:G2449"/>
    <mergeCell ref="A2455:G2455"/>
    <mergeCell ref="A2461:G2461"/>
    <mergeCell ref="A2471:G2471"/>
    <mergeCell ref="A2477:G2477"/>
    <mergeCell ref="A2483:G2483"/>
    <mergeCell ref="A2489:G2489"/>
    <mergeCell ref="A2495:G2495"/>
    <mergeCell ref="A2501:G2501"/>
    <mergeCell ref="A2507:G2507"/>
    <mergeCell ref="A2513:G2513"/>
    <mergeCell ref="A2519:G2519"/>
    <mergeCell ref="A2525:G2525"/>
    <mergeCell ref="A2530:G2530"/>
    <mergeCell ref="A2535:G2535"/>
    <mergeCell ref="A2540:G2540"/>
    <mergeCell ref="A2545:G2545"/>
    <mergeCell ref="A2550:G2550"/>
    <mergeCell ref="A2555:G2555"/>
    <mergeCell ref="A2564:G2564"/>
    <mergeCell ref="A2638:G2638"/>
    <mergeCell ref="A2722:G2722"/>
    <mergeCell ref="A2789:G2789"/>
    <mergeCell ref="A2827:G2827"/>
    <mergeCell ref="A2833:G2833"/>
    <mergeCell ref="A2839:G2839"/>
    <mergeCell ref="A2845:G2845"/>
    <mergeCell ref="A2851:G2851"/>
    <mergeCell ref="A2857:G2857"/>
    <mergeCell ref="A2863:G2863"/>
    <mergeCell ref="A2869:G2869"/>
    <mergeCell ref="A2875:G2875"/>
    <mergeCell ref="A2881:G2881"/>
    <mergeCell ref="A2887:G2887"/>
    <mergeCell ref="A2893:G2893"/>
    <mergeCell ref="A2899:G2899"/>
    <mergeCell ref="A2905:G2905"/>
    <mergeCell ref="A2911:G2911"/>
    <mergeCell ref="A2929:G2929"/>
    <mergeCell ref="A2935:G2935"/>
    <mergeCell ref="A2941:G2941"/>
    <mergeCell ref="A2947:G2947"/>
    <mergeCell ref="A2953:G2953"/>
    <mergeCell ref="A2959:G2959"/>
    <mergeCell ref="A2965:G2965"/>
    <mergeCell ref="A2971:G2971"/>
    <mergeCell ref="A2977:G2977"/>
    <mergeCell ref="A2983:G2983"/>
    <mergeCell ref="A2989:G2989"/>
    <mergeCell ref="A2995:G2995"/>
    <mergeCell ref="A3001:G3001"/>
    <mergeCell ref="A3007:G3007"/>
    <mergeCell ref="A3013:G3013"/>
    <mergeCell ref="A3028:G3028"/>
    <mergeCell ref="A3034:G3034"/>
    <mergeCell ref="A3040:G3040"/>
    <mergeCell ref="A3046:G3046"/>
    <mergeCell ref="A3052:G3052"/>
    <mergeCell ref="A3058:G3058"/>
    <mergeCell ref="A3064:G3064"/>
    <mergeCell ref="A3070:G3070"/>
    <mergeCell ref="A3076:G3076"/>
    <mergeCell ref="A3082:G3082"/>
    <mergeCell ref="A3088:G3088"/>
    <mergeCell ref="A3094:G3094"/>
    <mergeCell ref="A3100:G3100"/>
    <mergeCell ref="A3106:G3106"/>
    <mergeCell ref="A3112:G3112"/>
    <mergeCell ref="A3118:G3118"/>
    <mergeCell ref="A3124:G3124"/>
    <mergeCell ref="A3142:G3142"/>
    <mergeCell ref="A3149:G3149"/>
    <mergeCell ref="A3154:G3154"/>
    <mergeCell ref="A3159:G3159"/>
    <mergeCell ref="A3167:G3167"/>
    <mergeCell ref="A3172:G3172"/>
    <mergeCell ref="A3204:G3204"/>
    <mergeCell ref="A3209:G3209"/>
    <mergeCell ref="A3247:G3247"/>
    <mergeCell ref="A3272:G3272"/>
    <mergeCell ref="A3298:G3298"/>
    <mergeCell ref="A3303:G3303"/>
    <mergeCell ref="A3308:G3308"/>
    <mergeCell ref="A3313:G3313"/>
    <mergeCell ref="A3318:G3318"/>
    <mergeCell ref="A3323:G3323"/>
    <mergeCell ref="A3328:G3328"/>
    <mergeCell ref="A3331:G3331"/>
    <mergeCell ref="A3336:G3336"/>
    <mergeCell ref="A3341:G3341"/>
    <mergeCell ref="A3351:G3351"/>
    <mergeCell ref="A3357:G3357"/>
    <mergeCell ref="A3358:G3358"/>
    <mergeCell ref="A3361:G3361"/>
    <mergeCell ref="A3376:G3376"/>
    <mergeCell ref="A3479:G3479"/>
    <mergeCell ref="A3581:G3581"/>
    <mergeCell ref="A3655:G3655"/>
    <mergeCell ref="A3659:G3659"/>
    <mergeCell ref="A3664:G3664"/>
    <mergeCell ref="A3669:G3669"/>
    <mergeCell ref="A3678:G3678"/>
    <mergeCell ref="A3702:G3702"/>
    <mergeCell ref="A3715:G3715"/>
    <mergeCell ref="A3727:G3727"/>
    <mergeCell ref="A3742:G3742"/>
    <mergeCell ref="A3750:G3750"/>
    <mergeCell ref="A3758:G3758"/>
    <mergeCell ref="A3769:G3769"/>
    <mergeCell ref="A3789:G3789"/>
    <mergeCell ref="A3828:G3828"/>
    <mergeCell ref="A3838:G3838"/>
    <mergeCell ref="A3862:G3862"/>
    <mergeCell ref="A3870:G3870"/>
    <mergeCell ref="A3878:G3878"/>
    <mergeCell ref="A3883:G3883"/>
    <mergeCell ref="A3895:G3895"/>
    <mergeCell ref="A3914:G3914"/>
    <mergeCell ref="A3923:G3923"/>
    <mergeCell ref="A3928:G3928"/>
    <mergeCell ref="A3939:G3939"/>
    <mergeCell ref="A3944:G3944"/>
    <mergeCell ref="A3949:G3949"/>
    <mergeCell ref="A3950:G3950"/>
    <mergeCell ref="A3953:G3953"/>
    <mergeCell ref="A3966:G3966"/>
    <mergeCell ref="A4008:G4008"/>
    <mergeCell ref="A4065:G4065"/>
    <mergeCell ref="A4122:G4122"/>
    <mergeCell ref="A4125:G4125"/>
    <mergeCell ref="A4128:G4128"/>
    <mergeCell ref="A4131:G4131"/>
    <mergeCell ref="A4134:G4134"/>
    <mergeCell ref="A4149:G4149"/>
    <mergeCell ref="A4212:G4212"/>
    <mergeCell ref="A4217:G4217"/>
    <mergeCell ref="A4232:G4232"/>
    <mergeCell ref="A4295:G4295"/>
    <mergeCell ref="A4300:G4300"/>
    <mergeCell ref="A4304:G4304"/>
    <mergeCell ref="A4307:G4307"/>
    <mergeCell ref="A4311:G4311"/>
    <mergeCell ref="A4316:G4316"/>
    <mergeCell ref="A4325:G4325"/>
    <mergeCell ref="A4330:G4330"/>
    <mergeCell ref="A4356:G4356"/>
    <mergeCell ref="A4382:G4382"/>
    <mergeCell ref="A4403:G4403"/>
    <mergeCell ref="A4453:G4453"/>
    <mergeCell ref="A4465:G4465"/>
    <mergeCell ref="A4479:G4479"/>
    <mergeCell ref="A4549:G4549"/>
    <mergeCell ref="A4565:G4565"/>
    <mergeCell ref="A4632:G4632"/>
    <mergeCell ref="A4640:G4640"/>
    <mergeCell ref="A4716:G4716"/>
    <mergeCell ref="A4730:G4730"/>
    <mergeCell ref="A4756:G4756"/>
    <mergeCell ref="A4765:G4765"/>
    <mergeCell ref="A4791:G4791"/>
    <mergeCell ref="A4800:G4800"/>
    <mergeCell ref="A4805:G4805"/>
    <mergeCell ref="A4810:G4810"/>
    <mergeCell ref="A4816:G4816"/>
    <mergeCell ref="A4828:G4828"/>
    <mergeCell ref="A4879:G4879"/>
    <mergeCell ref="A4929:G4929"/>
    <mergeCell ref="A4935:G4935"/>
    <mergeCell ref="A4940:G4940"/>
    <mergeCell ref="A4949:G4949"/>
    <mergeCell ref="A4953:G4953"/>
    <mergeCell ref="A4958:G4958"/>
    <mergeCell ref="A4962:G4962"/>
    <mergeCell ref="A4966:G4966"/>
    <mergeCell ref="A4972:G4972"/>
    <mergeCell ref="A4984:G4984"/>
    <mergeCell ref="A4997:G4997"/>
    <mergeCell ref="A5003:G5003"/>
    <mergeCell ref="A5009:G5009"/>
    <mergeCell ref="A5015:G5015"/>
    <mergeCell ref="A5021:G5021"/>
    <mergeCell ref="A5027:G5027"/>
    <mergeCell ref="A5033:G5033"/>
    <mergeCell ref="A5039:G5039"/>
    <mergeCell ref="A5045:G5045"/>
    <mergeCell ref="A5051:G5051"/>
    <mergeCell ref="A5057:G5057"/>
    <mergeCell ref="A5063:G5063"/>
    <mergeCell ref="A5069:G5069"/>
    <mergeCell ref="A5075:G5075"/>
    <mergeCell ref="A5081:G5081"/>
    <mergeCell ref="A5087:G5087"/>
    <mergeCell ref="A5093:G5093"/>
    <mergeCell ref="A5099:G5099"/>
    <mergeCell ref="A5105:G5105"/>
    <mergeCell ref="A5111:G5111"/>
    <mergeCell ref="A5117:G5117"/>
    <mergeCell ref="A5123:G5123"/>
    <mergeCell ref="A5128:G5128"/>
    <mergeCell ref="A5133:G5133"/>
    <mergeCell ref="A5144:G5144"/>
    <mergeCell ref="A5150:G5150"/>
    <mergeCell ref="A5156:G5156"/>
    <mergeCell ref="A5162:G5162"/>
    <mergeCell ref="A5168:G5168"/>
    <mergeCell ref="A5174:G5174"/>
    <mergeCell ref="A5180:G5180"/>
    <mergeCell ref="A5185:G5185"/>
    <mergeCell ref="A5191:G5191"/>
    <mergeCell ref="A5196:G5196"/>
    <mergeCell ref="A5202:G5202"/>
    <mergeCell ref="A5208:G5208"/>
    <mergeCell ref="A5214:G5214"/>
    <mergeCell ref="A5220:G5220"/>
    <mergeCell ref="A5226:G5226"/>
    <mergeCell ref="A5232:G5232"/>
    <mergeCell ref="A5238:G5238"/>
    <mergeCell ref="A5244:G5244"/>
    <mergeCell ref="A5249:G5249"/>
    <mergeCell ref="A5255:G5255"/>
    <mergeCell ref="A5261:G5261"/>
    <mergeCell ref="A5267:G5267"/>
    <mergeCell ref="A5273:G5273"/>
    <mergeCell ref="A5278:G5278"/>
    <mergeCell ref="A5288:G5288"/>
    <mergeCell ref="A5293:G5293"/>
    <mergeCell ref="A5299:G5299"/>
    <mergeCell ref="A5305:G5305"/>
    <mergeCell ref="A5311:G5311"/>
    <mergeCell ref="A5317:G5317"/>
    <mergeCell ref="A5323:G5323"/>
    <mergeCell ref="A5329:G5329"/>
    <mergeCell ref="A5335:G5335"/>
    <mergeCell ref="A5341:G5341"/>
    <mergeCell ref="A5347:G5347"/>
    <mergeCell ref="A5351:G5351"/>
    <mergeCell ref="A5355:G5355"/>
    <mergeCell ref="A5359:G5359"/>
    <mergeCell ref="A5363:G5363"/>
    <mergeCell ref="A5367:G5367"/>
    <mergeCell ref="A5370:G5370"/>
    <mergeCell ref="A5371:G5371"/>
    <mergeCell ref="A5374:G5374"/>
    <mergeCell ref="A5433:G5433"/>
    <mergeCell ref="A5447:G5447"/>
    <mergeCell ref="A5454:G5454"/>
    <mergeCell ref="A5457:G5457"/>
    <mergeCell ref="A5460:G5460"/>
    <mergeCell ref="A5463:G5463"/>
    <mergeCell ref="A5466:G5466"/>
    <mergeCell ref="A5694:G5694"/>
    <mergeCell ref="A5698:G5698"/>
    <mergeCell ref="A5470:G5470"/>
    <mergeCell ref="A5565:G5565"/>
    <mergeCell ref="A5570:G5570"/>
    <mergeCell ref="A5612:G5612"/>
    <mergeCell ref="A5615:G5615"/>
    <mergeCell ref="A5619:G5619"/>
    <mergeCell ref="A5672:G5672"/>
    <mergeCell ref="A5676:G5676"/>
    <mergeCell ref="A5680:G5680"/>
  </mergeCells>
  <pageMargins left="0.7" right="0.7" top="0.75" bottom="0.75" header="0.3" footer="0.3"/>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Value Lookup</vt:lpstr>
      <vt:lpstr>Tables</vt:lpstr>
      <vt:lpstr>Weights</vt:lpstr>
      <vt:lpstr>Frequencies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Westat</dc:creator>
  <cp:lastModifiedBy>s141787</cp:lastModifiedBy>
  <dcterms:created xsi:type="dcterms:W3CDTF">2014-03-07T16:08:25Z</dcterms:created>
  <dcterms:modified xsi:type="dcterms:W3CDTF">2018-03-20T18:23:07Z</dcterms:modified>
</cp:coreProperties>
</file>