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BI\RS,PO,Deposit,2307\Requisition Slip\Contruction-Accounting\BUKIDNON\2024 BKN REQUEST\"/>
    </mc:Choice>
  </mc:AlternateContent>
  <xr:revisionPtr revIDLastSave="0" documentId="8_{E36918ED-A099-4DCF-9CC1-0DF900AC025F}" xr6:coauthVersionLast="47" xr6:coauthVersionMax="47" xr10:uidLastSave="{00000000-0000-0000-0000-000000000000}"/>
  <bookViews>
    <workbookView xWindow="1080" yWindow="1080" windowWidth="13140" windowHeight="14070" tabRatio="885" xr2:uid="{3DBD44A9-5696-4522-84CC-380D23E7BF4F}"/>
  </bookViews>
  <sheets>
    <sheet name="000" sheetId="85" r:id="rId1"/>
    <sheet name="071" sheetId="89" r:id="rId2"/>
    <sheet name="070" sheetId="88" r:id="rId3"/>
    <sheet name="069" sheetId="87" r:id="rId4"/>
    <sheet name="068" sheetId="86" r:id="rId5"/>
    <sheet name="067" sheetId="84" r:id="rId6"/>
    <sheet name="066" sheetId="83" r:id="rId7"/>
    <sheet name="065" sheetId="82" r:id="rId8"/>
    <sheet name="064" sheetId="80" r:id="rId9"/>
    <sheet name="063" sheetId="81" r:id="rId10"/>
    <sheet name="062" sheetId="79" r:id="rId11"/>
    <sheet name="061" sheetId="78" r:id="rId12"/>
    <sheet name="060" sheetId="74" r:id="rId13"/>
    <sheet name="059" sheetId="75" r:id="rId14"/>
    <sheet name="058" sheetId="76" r:id="rId15"/>
    <sheet name="057" sheetId="77" r:id="rId16"/>
    <sheet name="056" sheetId="72" r:id="rId17"/>
    <sheet name="055" sheetId="70" r:id="rId18"/>
    <sheet name="054" sheetId="71" r:id="rId19"/>
    <sheet name="053" sheetId="67" r:id="rId20"/>
    <sheet name="052" sheetId="66" r:id="rId21"/>
    <sheet name="051" sheetId="65" r:id="rId22"/>
    <sheet name="050" sheetId="64" r:id="rId23"/>
    <sheet name="049" sheetId="63" r:id="rId24"/>
    <sheet name="048" sheetId="62" r:id="rId25"/>
    <sheet name="047" sheetId="61" r:id="rId26"/>
    <sheet name="046" sheetId="60" r:id="rId27"/>
    <sheet name="045" sheetId="59" r:id="rId28"/>
    <sheet name="044" sheetId="55" r:id="rId29"/>
    <sheet name="043" sheetId="56" r:id="rId30"/>
    <sheet name="042" sheetId="57" r:id="rId31"/>
    <sheet name="041" sheetId="58" r:id="rId32"/>
    <sheet name="040" sheetId="53" r:id="rId33"/>
    <sheet name="039" sheetId="54" r:id="rId34"/>
    <sheet name="038" sheetId="52" r:id="rId35"/>
    <sheet name="037" sheetId="51" r:id="rId36"/>
    <sheet name="036" sheetId="50" r:id="rId37"/>
    <sheet name="035" sheetId="48" r:id="rId38"/>
    <sheet name="034" sheetId="49" r:id="rId39"/>
    <sheet name="033" sheetId="47" r:id="rId40"/>
    <sheet name="032" sheetId="46" r:id="rId41"/>
    <sheet name="031" sheetId="45" r:id="rId42"/>
    <sheet name="030" sheetId="44" r:id="rId43"/>
    <sheet name="029" sheetId="43" r:id="rId44"/>
    <sheet name="028" sheetId="42" r:id="rId45"/>
    <sheet name="027" sheetId="40" r:id="rId46"/>
    <sheet name="026" sheetId="39" r:id="rId47"/>
    <sheet name="025" sheetId="38" r:id="rId48"/>
    <sheet name="024" sheetId="37" r:id="rId49"/>
    <sheet name="023" sheetId="36" r:id="rId50"/>
    <sheet name="022" sheetId="35" r:id="rId51"/>
    <sheet name="021" sheetId="34" r:id="rId52"/>
    <sheet name="020" sheetId="33" r:id="rId53"/>
    <sheet name="019" sheetId="32" r:id="rId54"/>
    <sheet name="018" sheetId="31" r:id="rId55"/>
    <sheet name="017" sheetId="41" r:id="rId56"/>
    <sheet name="016" sheetId="30" r:id="rId57"/>
    <sheet name="015" sheetId="29" r:id="rId58"/>
    <sheet name="014" sheetId="28" r:id="rId59"/>
    <sheet name="013" sheetId="27" r:id="rId60"/>
    <sheet name="012" sheetId="26" r:id="rId61"/>
    <sheet name="011" sheetId="25" r:id="rId62"/>
    <sheet name="010" sheetId="22" r:id="rId63"/>
    <sheet name="009" sheetId="21" r:id="rId64"/>
    <sheet name="008" sheetId="20" r:id="rId65"/>
    <sheet name="007" sheetId="19" r:id="rId66"/>
    <sheet name="006" sheetId="18" r:id="rId67"/>
    <sheet name="005" sheetId="17" r:id="rId68"/>
    <sheet name="004" sheetId="16" r:id="rId69"/>
    <sheet name="003" sheetId="15" r:id="rId70"/>
    <sheet name="002" sheetId="14" r:id="rId71"/>
    <sheet name="001" sheetId="13" r:id="rId72"/>
  </sheets>
  <externalReferences>
    <externalReference r:id="rId73"/>
    <externalReference r:id="rId74"/>
  </externalReferences>
  <definedNames>
    <definedName name="note" localSheetId="50">#REF!</definedName>
    <definedName name="note" localSheetId="49">#REF!</definedName>
    <definedName name="note" localSheetId="48">#REF!</definedName>
    <definedName name="note" localSheetId="47">#REF!</definedName>
    <definedName name="note" localSheetId="46">#REF!</definedName>
    <definedName name="note">#REF!</definedName>
    <definedName name="_xlnm.Print_Area" localSheetId="0">'000'!$B$1:$J$44</definedName>
    <definedName name="_xlnm.Print_Area" localSheetId="71">'001'!$A$1:$J$44</definedName>
    <definedName name="_xlnm.Print_Area" localSheetId="70">'002'!$A$1:$J$44</definedName>
    <definedName name="_xlnm.Print_Area" localSheetId="69">'003'!$A$1:$J$44</definedName>
    <definedName name="_xlnm.Print_Area" localSheetId="68">'004'!$A$1:$J$44</definedName>
    <definedName name="_xlnm.Print_Area" localSheetId="67">'005'!$A$1:$J$44</definedName>
    <definedName name="_xlnm.Print_Area" localSheetId="66">'006'!$A$1:$J$44</definedName>
    <definedName name="_xlnm.Print_Area" localSheetId="65">'007'!$A$1:$J$44</definedName>
    <definedName name="_xlnm.Print_Area" localSheetId="64">'008'!$A$1:$J$44</definedName>
    <definedName name="_xlnm.Print_Area" localSheetId="63">'009'!$A$1:$J$44</definedName>
    <definedName name="_xlnm.Print_Area" localSheetId="62">'010'!$A$1:$J$44</definedName>
    <definedName name="_xlnm.Print_Area" localSheetId="61">'011'!$A$1:$J$44</definedName>
    <definedName name="_xlnm.Print_Area" localSheetId="60">'012'!$A$1:$J$44</definedName>
    <definedName name="_xlnm.Print_Area" localSheetId="59">'013'!$A$1:$J$44</definedName>
    <definedName name="_xlnm.Print_Area" localSheetId="58">'014'!$A$1:$J$44</definedName>
    <definedName name="_xlnm.Print_Area" localSheetId="57">'015'!$A$1:$J$44</definedName>
    <definedName name="_xlnm.Print_Area" localSheetId="56">'016'!$A$1:$J$44</definedName>
    <definedName name="_xlnm.Print_Area" localSheetId="55">'017'!$A$1:$J$44</definedName>
    <definedName name="_xlnm.Print_Area" localSheetId="54">'018'!$A$1:$J$44</definedName>
    <definedName name="_xlnm.Print_Area" localSheetId="53">'019'!$A$1:$J$44</definedName>
    <definedName name="_xlnm.Print_Area" localSheetId="52">'020'!$A$1:$J$44</definedName>
    <definedName name="_xlnm.Print_Area" localSheetId="51">'021'!$A$1:$J$44</definedName>
    <definedName name="_xlnm.Print_Area" localSheetId="50">'022'!$A$1:$J$43</definedName>
    <definedName name="_xlnm.Print_Area" localSheetId="49">'023'!$A$1:$J$43</definedName>
    <definedName name="_xlnm.Print_Area" localSheetId="48">'024'!$A$1:$J$43</definedName>
    <definedName name="_xlnm.Print_Area" localSheetId="47">'025'!$A$1:$J$43</definedName>
    <definedName name="_xlnm.Print_Area" localSheetId="46">'026'!$A$1:$J$43</definedName>
    <definedName name="_xlnm.Print_Area" localSheetId="45">'027'!$A$1:$J$44</definedName>
    <definedName name="_xlnm.Print_Area" localSheetId="44">'028'!$A$1:$J$44</definedName>
    <definedName name="_xlnm.Print_Area" localSheetId="43">'029'!$A$1:$J$44</definedName>
    <definedName name="_xlnm.Print_Area" localSheetId="42">'030'!$B$1:$J$44</definedName>
    <definedName name="_xlnm.Print_Area" localSheetId="41">'031'!$B$1:$J$44</definedName>
    <definedName name="_xlnm.Print_Area" localSheetId="40">'032'!$A$1:$J$44</definedName>
    <definedName name="_xlnm.Print_Area" localSheetId="39">'033'!$A$1:$J$44</definedName>
    <definedName name="_xlnm.Print_Area" localSheetId="38">'034'!$A$1:$J$44</definedName>
    <definedName name="_xlnm.Print_Area" localSheetId="37">'035'!$A$1:$J$44</definedName>
    <definedName name="_xlnm.Print_Area" localSheetId="36">'036'!$A$1:$J$44</definedName>
    <definedName name="_xlnm.Print_Area" localSheetId="35">'037'!$A$1:$J$44</definedName>
    <definedName name="_xlnm.Print_Area" localSheetId="34">'038'!$A$1:$J$44</definedName>
    <definedName name="_xlnm.Print_Area" localSheetId="33">'039'!$A$1:$J$44</definedName>
    <definedName name="_xlnm.Print_Area" localSheetId="32">'040'!$A$1:$J$44</definedName>
    <definedName name="_xlnm.Print_Area" localSheetId="31">'041'!$A$1:$J$44</definedName>
    <definedName name="_xlnm.Print_Area" localSheetId="30">'042'!$A$1:$J$44</definedName>
    <definedName name="_xlnm.Print_Area" localSheetId="29">'043'!$A$1:$J$44</definedName>
    <definedName name="_xlnm.Print_Area" localSheetId="28">'044'!$A$1:$J$44</definedName>
    <definedName name="_xlnm.Print_Area" localSheetId="27">'045'!$A$1:$J$44</definedName>
    <definedName name="_xlnm.Print_Area" localSheetId="26">'046'!$A$1:$J$44</definedName>
    <definedName name="_xlnm.Print_Area" localSheetId="25">'047'!$A$1:$J$44</definedName>
    <definedName name="_xlnm.Print_Area" localSheetId="24">'048'!$A$1:$J$44</definedName>
    <definedName name="_xlnm.Print_Area" localSheetId="23">'049'!$A$1:$J$44</definedName>
    <definedName name="_xlnm.Print_Area" localSheetId="22">'050'!$A$1:$J$44</definedName>
    <definedName name="_xlnm.Print_Area" localSheetId="21">'051'!$A$1:$J$44</definedName>
    <definedName name="_xlnm.Print_Area" localSheetId="20">'052'!$A$1:$J$44</definedName>
    <definedName name="_xlnm.Print_Area" localSheetId="19">'053'!$B$1:$J$44</definedName>
    <definedName name="_xlnm.Print_Area" localSheetId="18">'054'!$A$1:$J$44</definedName>
    <definedName name="_xlnm.Print_Area" localSheetId="17">'055'!$A$1:$J$45</definedName>
    <definedName name="_xlnm.Print_Area" localSheetId="16">'056'!$A$1:$J$45</definedName>
    <definedName name="_xlnm.Print_Area" localSheetId="15">'057'!$A$1:$J$44</definedName>
    <definedName name="_xlnm.Print_Area" localSheetId="14">'058'!$A$1:$J$44</definedName>
    <definedName name="_xlnm.Print_Area" localSheetId="13">'059'!$A$1:$J$44</definedName>
    <definedName name="_xlnm.Print_Area" localSheetId="12">'060'!$A$1:$J$44</definedName>
    <definedName name="_xlnm.Print_Area" localSheetId="11">'061'!$A$1:$J$44</definedName>
    <definedName name="_xlnm.Print_Area" localSheetId="10">'062'!$A$1:$J$44</definedName>
    <definedName name="_xlnm.Print_Area" localSheetId="9">'063'!$A$1:$J$44</definedName>
    <definedName name="_xlnm.Print_Area" localSheetId="8">'064'!$A$1:$J$44</definedName>
    <definedName name="_xlnm.Print_Area" localSheetId="7">'065'!$A$1:$J$44</definedName>
    <definedName name="_xlnm.Print_Area" localSheetId="6">'066'!$B$1:$J$44</definedName>
    <definedName name="_xlnm.Print_Area" localSheetId="5">'067'!$B$1:$J$44</definedName>
    <definedName name="_xlnm.Print_Area" localSheetId="4">'068'!$B$1:$J$44</definedName>
    <definedName name="_xlnm.Print_Area" localSheetId="3">'069'!$B$1:$J$44</definedName>
    <definedName name="_xlnm.Print_Area" localSheetId="2">'070'!$B$1:$J$44</definedName>
    <definedName name="_xlnm.Print_Area" localSheetId="1">'071'!$B$1:$J$44</definedName>
    <definedName name="rs_table">'[1]001'!$B$11:$J$25,'[1]001'!$D$26:$E$27</definedName>
    <definedName name="RS15_00620" localSheetId="0">[2]MEYNARD!$D$25</definedName>
    <definedName name="RS15_00620" localSheetId="71">[2]MEYNARD!$D$25</definedName>
    <definedName name="RS15_00620" localSheetId="70">[2]MEYNARD!$D$25</definedName>
    <definedName name="RS15_00620" localSheetId="69">[2]MEYNARD!$D$25</definedName>
    <definedName name="RS15_00620" localSheetId="68">[2]MEYNARD!$D$25</definedName>
    <definedName name="RS15_00620" localSheetId="67">[2]MEYNARD!$D$25</definedName>
    <definedName name="RS15_00620" localSheetId="66">[2]MEYNARD!$D$25</definedName>
    <definedName name="RS15_00620" localSheetId="65">[2]MEYNARD!$D$25</definedName>
    <definedName name="RS15_00620" localSheetId="64">[2]MEYNARD!$D$25</definedName>
    <definedName name="RS15_00620" localSheetId="63">[2]MEYNARD!$D$25</definedName>
    <definedName name="RS15_00620" localSheetId="62">[2]MEYNARD!$D$25</definedName>
    <definedName name="RS15_00620" localSheetId="61">[2]MEYNARD!$D$25</definedName>
    <definedName name="RS15_00620" localSheetId="60">[2]MEYNARD!$D$25</definedName>
    <definedName name="RS15_00620" localSheetId="59">[2]MEYNARD!$D$25</definedName>
    <definedName name="RS15_00620" localSheetId="58">[2]MEYNARD!$D$25</definedName>
    <definedName name="RS15_00620" localSheetId="57">[2]MEYNARD!$D$25</definedName>
    <definedName name="RS15_00620" localSheetId="56">[2]MEYNARD!$D$25</definedName>
    <definedName name="RS15_00620" localSheetId="55">[2]MEYNARD!$D$25</definedName>
    <definedName name="RS15_00620" localSheetId="54">[2]MEYNARD!$D$25</definedName>
    <definedName name="RS15_00620" localSheetId="53">[2]MEYNARD!$D$25</definedName>
    <definedName name="RS15_00620" localSheetId="52">[2]MEYNARD!$D$25</definedName>
    <definedName name="RS15_00620" localSheetId="51">[2]MEYNARD!$D$25</definedName>
    <definedName name="RS15_00620" localSheetId="50">[2]MEYNARD!$D$25</definedName>
    <definedName name="RS15_00620" localSheetId="49">[2]MEYNARD!$D$25</definedName>
    <definedName name="RS15_00620" localSheetId="48">[2]MEYNARD!$D$25</definedName>
    <definedName name="RS15_00620" localSheetId="47">[2]MEYNARD!$D$25</definedName>
    <definedName name="RS15_00620" localSheetId="46">[2]MEYNARD!$D$25</definedName>
    <definedName name="RS15_00620" localSheetId="45">[2]MEYNARD!$D$25</definedName>
    <definedName name="RS15_00620" localSheetId="44">[2]MEYNARD!$D$25</definedName>
    <definedName name="RS15_00620" localSheetId="43">[2]MEYNARD!$D$25</definedName>
    <definedName name="RS15_00620" localSheetId="42">[2]MEYNARD!$D$25</definedName>
    <definedName name="RS15_00620" localSheetId="41">[2]MEYNARD!$D$25</definedName>
    <definedName name="RS15_00620" localSheetId="40">[2]MEYNARD!$D$25</definedName>
    <definedName name="RS15_00620" localSheetId="39">[2]MEYNARD!$D$25</definedName>
    <definedName name="RS15_00620" localSheetId="38">[2]MEYNARD!$D$25</definedName>
    <definedName name="RS15_00620" localSheetId="37">[2]MEYNARD!$D$25</definedName>
    <definedName name="RS15_00620" localSheetId="36">[2]MEYNARD!$D$25</definedName>
    <definedName name="RS15_00620" localSheetId="35">[2]MEYNARD!$D$25</definedName>
    <definedName name="RS15_00620" localSheetId="34">[2]MEYNARD!$D$25</definedName>
    <definedName name="RS15_00620" localSheetId="33">[2]MEYNARD!$D$25</definedName>
    <definedName name="RS15_00620" localSheetId="32">[2]MEYNARD!$D$25</definedName>
    <definedName name="RS15_00620" localSheetId="31">[2]MEYNARD!$D$25</definedName>
    <definedName name="RS15_00620" localSheetId="30">[2]MEYNARD!$D$25</definedName>
    <definedName name="RS15_00620" localSheetId="29">[2]MEYNARD!$D$25</definedName>
    <definedName name="RS15_00620" localSheetId="28">[2]MEYNARD!$D$25</definedName>
    <definedName name="RS15_00620" localSheetId="27">[2]MEYNARD!$D$25</definedName>
    <definedName name="RS15_00620" localSheetId="26">[2]MEYNARD!$D$25</definedName>
    <definedName name="RS15_00620" localSheetId="25">[2]MEYNARD!$D$25</definedName>
    <definedName name="RS15_00620" localSheetId="24">[2]MEYNARD!$D$25</definedName>
    <definedName name="RS15_00620" localSheetId="23">[2]MEYNARD!$D$25</definedName>
    <definedName name="RS15_00620" localSheetId="22">[2]MEYNARD!$D$25</definedName>
    <definedName name="RS15_00620" localSheetId="21">[2]MEYNARD!$D$25</definedName>
    <definedName name="RS15_00620" localSheetId="20">[2]MEYNARD!$D$25</definedName>
    <definedName name="RS15_00620" localSheetId="19">[2]MEYNARD!$D$25</definedName>
    <definedName name="RS15_00620" localSheetId="18">[2]MEYNARD!$D$25</definedName>
    <definedName name="RS15_00620" localSheetId="17">[2]MEYNARD!$D$25</definedName>
    <definedName name="RS15_00620" localSheetId="16">[2]MEYNARD!$D$25</definedName>
    <definedName name="RS15_00620" localSheetId="15">[2]MEYNARD!$D$25</definedName>
    <definedName name="RS15_00620" localSheetId="14">[2]MEYNARD!$D$25</definedName>
    <definedName name="RS15_00620" localSheetId="13">[2]MEYNARD!$D$25</definedName>
    <definedName name="RS15_00620" localSheetId="12">[2]MEYNARD!$D$25</definedName>
    <definedName name="RS15_00620" localSheetId="11">[2]MEYNARD!$D$25</definedName>
    <definedName name="RS15_00620" localSheetId="10">[2]MEYNARD!$D$25</definedName>
    <definedName name="RS15_00620" localSheetId="9">[2]MEYNARD!$D$25</definedName>
    <definedName name="RS15_00620" localSheetId="8">[2]MEYNARD!$D$25</definedName>
    <definedName name="RS15_00620" localSheetId="7">[2]MEYNARD!$D$25</definedName>
    <definedName name="RS15_00620" localSheetId="6">[2]MEYNARD!$D$25</definedName>
    <definedName name="RS15_00620" localSheetId="5">[2]MEYNARD!$D$25</definedName>
    <definedName name="RS15_00620" localSheetId="4">[2]MEYNARD!$D$25</definedName>
    <definedName name="RS15_00620" localSheetId="3">[2]MEYNARD!$D$25</definedName>
    <definedName name="RS15_00620" localSheetId="2">[2]MEYNARD!$D$25</definedName>
    <definedName name="RS15_00620" localSheetId="1">[2]MEYNARD!$D$25</definedName>
    <definedName name="RSlip_Table">'[1]001'!$B$11:$J$25,'[1]001'!$D$26+'[1]001'!$B$11:$J$25,'[1]001'!$D$26:$E$27,'[1]001'!$C$34,'[1]001'!$J$34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85" l="1"/>
  <c r="P13" i="83"/>
  <c r="F18" i="89"/>
  <c r="L27" i="89"/>
  <c r="L26" i="89"/>
  <c r="L30" i="89" s="1"/>
  <c r="J26" i="89"/>
  <c r="L13" i="89"/>
  <c r="L12" i="89"/>
  <c r="M9" i="89"/>
  <c r="L27" i="88"/>
  <c r="L26" i="88"/>
  <c r="L30" i="88" s="1"/>
  <c r="J26" i="88"/>
  <c r="L13" i="88"/>
  <c r="L12" i="88"/>
  <c r="M9" i="88"/>
  <c r="L27" i="87"/>
  <c r="L26" i="87"/>
  <c r="L30" i="87" s="1"/>
  <c r="J26" i="87"/>
  <c r="L13" i="87"/>
  <c r="L12" i="87"/>
  <c r="M9" i="87"/>
  <c r="J20" i="85"/>
  <c r="L13" i="86" l="1"/>
  <c r="L30" i="86"/>
  <c r="L27" i="86"/>
  <c r="L26" i="86"/>
  <c r="J26" i="86"/>
  <c r="L12" i="86"/>
  <c r="M9" i="86"/>
  <c r="L27" i="85"/>
  <c r="L26" i="85"/>
  <c r="L30" i="85" s="1"/>
  <c r="J26" i="85"/>
  <c r="M9" i="85"/>
  <c r="F17" i="39" l="1"/>
  <c r="L20" i="77"/>
  <c r="L19" i="77"/>
  <c r="L18" i="77"/>
  <c r="N17" i="77"/>
  <c r="N16" i="77"/>
  <c r="N15" i="77"/>
  <c r="M15" i="77"/>
  <c r="L30" i="84" l="1"/>
  <c r="L27" i="84"/>
  <c r="L26" i="84"/>
  <c r="L12" i="84"/>
  <c r="J12" i="84"/>
  <c r="B12" i="84"/>
  <c r="J11" i="84"/>
  <c r="J26" i="84" s="1"/>
  <c r="M9" i="84"/>
  <c r="L27" i="83"/>
  <c r="L26" i="83"/>
  <c r="L30" i="83" s="1"/>
  <c r="L12" i="83"/>
  <c r="J12" i="83"/>
  <c r="B12" i="83"/>
  <c r="J11" i="83"/>
  <c r="J26" i="83" s="1"/>
  <c r="M9" i="83"/>
  <c r="J26" i="79"/>
  <c r="J23" i="79"/>
  <c r="J12" i="79"/>
  <c r="J13" i="79"/>
  <c r="J14" i="79"/>
  <c r="J15" i="79"/>
  <c r="J16" i="79"/>
  <c r="J17" i="79"/>
  <c r="J18" i="79"/>
  <c r="J19" i="79"/>
  <c r="J20" i="79"/>
  <c r="J21" i="79"/>
  <c r="J22" i="79"/>
  <c r="J21" i="74"/>
  <c r="J22" i="74"/>
  <c r="J21" i="75"/>
  <c r="J22" i="75"/>
  <c r="J21" i="76"/>
  <c r="J22" i="76"/>
  <c r="J22" i="77"/>
  <c r="J21" i="77"/>
  <c r="J12" i="77"/>
  <c r="J26" i="77" s="1"/>
  <c r="J13" i="77"/>
  <c r="J14" i="77"/>
  <c r="J15" i="77"/>
  <c r="J16" i="77"/>
  <c r="L27" i="82"/>
  <c r="L26" i="82"/>
  <c r="L30" i="82" s="1"/>
  <c r="J19" i="82"/>
  <c r="J13" i="82"/>
  <c r="J12" i="82"/>
  <c r="J11" i="82"/>
  <c r="J20" i="81"/>
  <c r="L27" i="81"/>
  <c r="L26" i="81"/>
  <c r="L30" i="81" s="1"/>
  <c r="J19" i="81"/>
  <c r="J13" i="81"/>
  <c r="J12" i="81"/>
  <c r="J11" i="81"/>
  <c r="J26" i="82" l="1"/>
  <c r="J26" i="81"/>
  <c r="J20" i="72" l="1"/>
  <c r="R12" i="80" l="1"/>
  <c r="J12" i="80"/>
  <c r="J13" i="80"/>
  <c r="J14" i="80"/>
  <c r="J15" i="80"/>
  <c r="J16" i="80"/>
  <c r="J17" i="80"/>
  <c r="J18" i="80"/>
  <c r="J19" i="80"/>
  <c r="J20" i="80"/>
  <c r="J21" i="80"/>
  <c r="J22" i="80"/>
  <c r="J23" i="80"/>
  <c r="J24" i="80"/>
  <c r="R11" i="80"/>
  <c r="J11" i="80"/>
  <c r="Q9" i="80"/>
  <c r="P9" i="80"/>
  <c r="R9" i="80" s="1"/>
  <c r="O9" i="80"/>
  <c r="J11" i="79"/>
  <c r="Q9" i="79"/>
  <c r="P9" i="79"/>
  <c r="R9" i="79" s="1"/>
  <c r="O9" i="79"/>
  <c r="J11" i="78"/>
  <c r="J26" i="80" l="1"/>
  <c r="J26" i="78" l="1"/>
  <c r="Q9" i="78"/>
  <c r="O9" i="78"/>
  <c r="P9" i="78" s="1"/>
  <c r="R9" i="78" s="1"/>
  <c r="J16" i="74"/>
  <c r="J15" i="74"/>
  <c r="J14" i="74"/>
  <c r="J13" i="74"/>
  <c r="J12" i="74"/>
  <c r="J11" i="74"/>
  <c r="J16" i="75"/>
  <c r="J15" i="75"/>
  <c r="J14" i="75"/>
  <c r="J13" i="75"/>
  <c r="J12" i="75"/>
  <c r="J11" i="75"/>
  <c r="J16" i="76"/>
  <c r="J26" i="76" s="1"/>
  <c r="J15" i="76"/>
  <c r="J14" i="76"/>
  <c r="J13" i="76"/>
  <c r="J12" i="76"/>
  <c r="J11" i="76"/>
  <c r="J11" i="77"/>
  <c r="Q9" i="77"/>
  <c r="P9" i="77"/>
  <c r="R9" i="77" s="1"/>
  <c r="O9" i="77"/>
  <c r="Q9" i="76"/>
  <c r="O9" i="76"/>
  <c r="P9" i="76" s="1"/>
  <c r="R9" i="76" s="1"/>
  <c r="J26" i="75"/>
  <c r="Q9" i="75"/>
  <c r="O9" i="75"/>
  <c r="P9" i="75" s="1"/>
  <c r="R9" i="75" s="1"/>
  <c r="J26" i="74"/>
  <c r="Q9" i="74"/>
  <c r="O9" i="74"/>
  <c r="P9" i="74" s="1"/>
  <c r="R9" i="74" s="1"/>
  <c r="L12" i="67"/>
  <c r="P13" i="59" l="1"/>
  <c r="L32" i="72"/>
  <c r="L29" i="72"/>
  <c r="L28" i="72"/>
  <c r="J24" i="72"/>
  <c r="J19" i="72"/>
  <c r="J16" i="72"/>
  <c r="J15" i="72"/>
  <c r="J14" i="72"/>
  <c r="J13" i="72"/>
  <c r="J12" i="72"/>
  <c r="J11" i="72"/>
  <c r="J16" i="70"/>
  <c r="J28" i="72" l="1"/>
  <c r="J19" i="71"/>
  <c r="B14" i="71"/>
  <c r="J14" i="71" s="1"/>
  <c r="B13" i="71"/>
  <c r="B12" i="71"/>
  <c r="J12" i="71" s="1"/>
  <c r="J13" i="71"/>
  <c r="J15" i="71"/>
  <c r="J11" i="71"/>
  <c r="B11" i="71"/>
  <c r="L35" i="71"/>
  <c r="L27" i="71"/>
  <c r="L26" i="71"/>
  <c r="L25" i="71"/>
  <c r="L30" i="71" s="1"/>
  <c r="L32" i="71" s="1"/>
  <c r="L29" i="70"/>
  <c r="L28" i="70"/>
  <c r="L32" i="70" s="1"/>
  <c r="J24" i="70"/>
  <c r="J21" i="70"/>
  <c r="J20" i="70"/>
  <c r="J19" i="70"/>
  <c r="J15" i="70"/>
  <c r="J14" i="70"/>
  <c r="J13" i="70"/>
  <c r="J12" i="70"/>
  <c r="J11" i="70"/>
  <c r="J26" i="71" l="1"/>
  <c r="J28" i="70"/>
  <c r="B12" i="67" l="1"/>
  <c r="J12" i="67"/>
  <c r="J26" i="67" s="1"/>
  <c r="J11" i="67"/>
  <c r="L30" i="67"/>
  <c r="L27" i="67"/>
  <c r="L26" i="67"/>
  <c r="M9" i="67"/>
  <c r="L35" i="66" l="1"/>
  <c r="L32" i="66"/>
  <c r="L30" i="66"/>
  <c r="L27" i="66"/>
  <c r="L26" i="66"/>
  <c r="J11" i="66"/>
  <c r="J26" i="66" s="1"/>
  <c r="L35" i="65"/>
  <c r="L32" i="65"/>
  <c r="L30" i="65"/>
  <c r="L27" i="65"/>
  <c r="L26" i="65"/>
  <c r="L25" i="65"/>
  <c r="J11" i="65"/>
  <c r="J26" i="65" s="1"/>
  <c r="J18" i="64"/>
  <c r="J15" i="64"/>
  <c r="J14" i="64"/>
  <c r="J13" i="64"/>
  <c r="J12" i="64"/>
  <c r="J11" i="64"/>
  <c r="J26" i="64" s="1"/>
  <c r="Q9" i="64"/>
  <c r="O9" i="64"/>
  <c r="P9" i="64" s="1"/>
  <c r="R9" i="64" s="1"/>
  <c r="J18" i="63"/>
  <c r="J15" i="63"/>
  <c r="J14" i="63"/>
  <c r="J26" i="63" s="1"/>
  <c r="J13" i="63"/>
  <c r="J12" i="63"/>
  <c r="J11" i="63"/>
  <c r="Q9" i="63"/>
  <c r="P9" i="63"/>
  <c r="R9" i="63" s="1"/>
  <c r="O9" i="63"/>
  <c r="J15" i="62"/>
  <c r="J26" i="62"/>
  <c r="J18" i="62"/>
  <c r="J14" i="62"/>
  <c r="J13" i="62"/>
  <c r="J12" i="62"/>
  <c r="J11" i="62"/>
  <c r="Q9" i="62"/>
  <c r="O9" i="62"/>
  <c r="P9" i="62" s="1"/>
  <c r="R9" i="62" s="1"/>
  <c r="J18" i="61"/>
  <c r="J12" i="61"/>
  <c r="J13" i="61"/>
  <c r="J14" i="61"/>
  <c r="J11" i="61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R12" i="56"/>
  <c r="J12" i="56"/>
  <c r="R11" i="56"/>
  <c r="J11" i="56"/>
  <c r="J26" i="58"/>
  <c r="J25" i="58"/>
  <c r="R12" i="58"/>
  <c r="R11" i="58"/>
  <c r="L27" i="55"/>
  <c r="L26" i="55"/>
  <c r="L30" i="55" s="1"/>
  <c r="J19" i="55"/>
  <c r="J13" i="55"/>
  <c r="J12" i="55"/>
  <c r="J11" i="55"/>
  <c r="J26" i="55" s="1"/>
  <c r="J12" i="58"/>
  <c r="J13" i="58"/>
  <c r="J14" i="58"/>
  <c r="J15" i="58"/>
  <c r="J16" i="58"/>
  <c r="J17" i="58"/>
  <c r="J18" i="58"/>
  <c r="J19" i="58"/>
  <c r="J20" i="58"/>
  <c r="J21" i="58"/>
  <c r="J22" i="58"/>
  <c r="J23" i="58"/>
  <c r="J24" i="58"/>
  <c r="J11" i="58"/>
  <c r="J26" i="61" l="1"/>
  <c r="Q9" i="61"/>
  <c r="P9" i="61"/>
  <c r="R9" i="61" s="1"/>
  <c r="O9" i="61"/>
  <c r="J19" i="57" l="1"/>
  <c r="M11" i="46" l="1"/>
  <c r="L11" i="46"/>
  <c r="J26" i="60" l="1"/>
  <c r="Q9" i="60"/>
  <c r="O9" i="60"/>
  <c r="P9" i="60" s="1"/>
  <c r="R9" i="60" s="1"/>
  <c r="J26" i="59"/>
  <c r="Q9" i="59"/>
  <c r="O9" i="59"/>
  <c r="P9" i="59" s="1"/>
  <c r="R9" i="59" s="1"/>
  <c r="L27" i="57"/>
  <c r="L30" i="57" s="1"/>
  <c r="L26" i="57"/>
  <c r="J13" i="57"/>
  <c r="J12" i="57"/>
  <c r="J11" i="57"/>
  <c r="J26" i="56"/>
  <c r="Q9" i="56"/>
  <c r="O9" i="56"/>
  <c r="P9" i="56" s="1"/>
  <c r="R9" i="56" s="1"/>
  <c r="J26" i="57" l="1"/>
  <c r="M27" i="42"/>
  <c r="L27" i="54"/>
  <c r="L26" i="54"/>
  <c r="L30" i="54" s="1"/>
  <c r="J11" i="54"/>
  <c r="J26" i="54" s="1"/>
  <c r="L27" i="53"/>
  <c r="L30" i="53" s="1"/>
  <c r="L26" i="53"/>
  <c r="J11" i="53"/>
  <c r="J26" i="53" s="1"/>
  <c r="J26" i="52" l="1"/>
  <c r="M16" i="52"/>
  <c r="L27" i="51" l="1"/>
  <c r="L26" i="51"/>
  <c r="L30" i="51" s="1"/>
  <c r="J13" i="51"/>
  <c r="J12" i="51"/>
  <c r="J11" i="51"/>
  <c r="J14" i="14"/>
  <c r="J26" i="51" l="1"/>
  <c r="J12" i="50"/>
  <c r="J11" i="50"/>
  <c r="L35" i="50"/>
  <c r="L30" i="50"/>
  <c r="L32" i="50" s="1"/>
  <c r="L27" i="50"/>
  <c r="L26" i="50"/>
  <c r="L25" i="50"/>
  <c r="J26" i="50" l="1"/>
  <c r="J21" i="49" l="1"/>
  <c r="J20" i="49"/>
  <c r="J19" i="49"/>
  <c r="R18" i="49"/>
  <c r="J18" i="49"/>
  <c r="J17" i="49"/>
  <c r="J16" i="49"/>
  <c r="N15" i="49"/>
  <c r="M15" i="49"/>
  <c r="M16" i="49" s="1"/>
  <c r="J15" i="49"/>
  <c r="Q14" i="49"/>
  <c r="J14" i="49"/>
  <c r="J13" i="49"/>
  <c r="J12" i="49"/>
  <c r="J11" i="49"/>
  <c r="J26" i="49" s="1"/>
  <c r="Q9" i="49"/>
  <c r="O9" i="49"/>
  <c r="P9" i="49" s="1"/>
  <c r="R9" i="49" s="1"/>
  <c r="L27" i="48"/>
  <c r="L26" i="48"/>
  <c r="L30" i="48" s="1"/>
  <c r="J14" i="48"/>
  <c r="J13" i="48"/>
  <c r="B12" i="48"/>
  <c r="J12" i="48" s="1"/>
  <c r="J11" i="48"/>
  <c r="J26" i="48" s="1"/>
  <c r="B12" i="47"/>
  <c r="J18" i="46" l="1"/>
  <c r="J19" i="46"/>
  <c r="J20" i="46"/>
  <c r="J21" i="46"/>
  <c r="J12" i="46"/>
  <c r="J13" i="46"/>
  <c r="J14" i="46"/>
  <c r="J15" i="46"/>
  <c r="J16" i="46"/>
  <c r="J17" i="46"/>
  <c r="J11" i="46"/>
  <c r="L27" i="47"/>
  <c r="L26" i="47"/>
  <c r="L30" i="47" s="1"/>
  <c r="J14" i="47"/>
  <c r="J13" i="47"/>
  <c r="J12" i="47"/>
  <c r="J11" i="47"/>
  <c r="J26" i="47" l="1"/>
  <c r="R18" i="46" l="1"/>
  <c r="M16" i="46"/>
  <c r="N15" i="46"/>
  <c r="M15" i="46"/>
  <c r="Q14" i="46"/>
  <c r="R9" i="46"/>
  <c r="Q9" i="46"/>
  <c r="P9" i="46"/>
  <c r="O9" i="46"/>
  <c r="L27" i="45"/>
  <c r="L26" i="45"/>
  <c r="L30" i="45" s="1"/>
  <c r="J26" i="45"/>
  <c r="J14" i="45"/>
  <c r="J13" i="45"/>
  <c r="J12" i="45"/>
  <c r="J11" i="45"/>
  <c r="M9" i="45"/>
  <c r="J13" i="44"/>
  <c r="J14" i="44"/>
  <c r="J12" i="44"/>
  <c r="J11" i="44"/>
  <c r="J26" i="46" l="1"/>
  <c r="M9" i="44" l="1"/>
  <c r="L27" i="44" l="1"/>
  <c r="L26" i="44"/>
  <c r="L30" i="44" s="1"/>
  <c r="N12" i="34"/>
  <c r="J26" i="44" l="1"/>
  <c r="L30" i="43"/>
  <c r="L27" i="43"/>
  <c r="L26" i="43"/>
  <c r="J26" i="43"/>
  <c r="M13" i="43"/>
  <c r="L13" i="43"/>
  <c r="J13" i="43"/>
  <c r="J12" i="43"/>
  <c r="J11" i="43"/>
  <c r="L30" i="42"/>
  <c r="L27" i="42"/>
  <c r="L26" i="42"/>
  <c r="L13" i="42"/>
  <c r="M13" i="42" s="1"/>
  <c r="J13" i="42"/>
  <c r="J12" i="42"/>
  <c r="J11" i="42"/>
  <c r="R18" i="41"/>
  <c r="N15" i="41"/>
  <c r="M15" i="41"/>
  <c r="M16" i="41" s="1"/>
  <c r="Q14" i="41"/>
  <c r="J14" i="41"/>
  <c r="J13" i="41"/>
  <c r="J12" i="41"/>
  <c r="J11" i="41"/>
  <c r="Q9" i="41"/>
  <c r="O9" i="41"/>
  <c r="P9" i="41" s="1"/>
  <c r="R9" i="41" s="1"/>
  <c r="J26" i="42" l="1"/>
  <c r="J26" i="41"/>
  <c r="P11" i="22" l="1"/>
  <c r="M16" i="40"/>
  <c r="J26" i="40"/>
  <c r="L12" i="39"/>
  <c r="L13" i="39"/>
  <c r="L14" i="39"/>
  <c r="L15" i="39"/>
  <c r="L11" i="39"/>
  <c r="L12" i="38"/>
  <c r="L13" i="38"/>
  <c r="L14" i="38"/>
  <c r="L15" i="38"/>
  <c r="L11" i="38"/>
  <c r="L12" i="37"/>
  <c r="L13" i="37"/>
  <c r="L14" i="37"/>
  <c r="L15" i="37"/>
  <c r="L11" i="37"/>
  <c r="L12" i="36"/>
  <c r="L13" i="36"/>
  <c r="L14" i="36"/>
  <c r="L15" i="36"/>
  <c r="L11" i="36"/>
  <c r="L12" i="35"/>
  <c r="L13" i="35"/>
  <c r="L14" i="35"/>
  <c r="L15" i="35"/>
  <c r="L11" i="35"/>
  <c r="J26" i="39"/>
  <c r="M25" i="39"/>
  <c r="M26" i="39" s="1"/>
  <c r="J26" i="38"/>
  <c r="M25" i="38"/>
  <c r="M26" i="38" s="1"/>
  <c r="J26" i="37"/>
  <c r="M25" i="37"/>
  <c r="M26" i="37" s="1"/>
  <c r="J26" i="36"/>
  <c r="N25" i="36"/>
  <c r="N26" i="36" s="1"/>
  <c r="J26" i="35"/>
  <c r="N25" i="35"/>
  <c r="N26" i="35" s="1"/>
  <c r="F14" i="34"/>
  <c r="J14" i="34" s="1"/>
  <c r="F15" i="34"/>
  <c r="J15" i="34" s="1"/>
  <c r="F13" i="34"/>
  <c r="J13" i="34" s="1"/>
  <c r="M13" i="34"/>
  <c r="L13" i="34"/>
  <c r="F12" i="34"/>
  <c r="J12" i="34" s="1"/>
  <c r="J11" i="34"/>
  <c r="F11" i="34"/>
  <c r="L30" i="34"/>
  <c r="L27" i="34"/>
  <c r="L26" i="34"/>
  <c r="J12" i="33"/>
  <c r="J13" i="33"/>
  <c r="J11" i="33"/>
  <c r="L27" i="33"/>
  <c r="L30" i="33" s="1"/>
  <c r="L26" i="33"/>
  <c r="J26" i="34" l="1"/>
  <c r="J26" i="33"/>
  <c r="L35" i="31" l="1"/>
  <c r="J15" i="30" l="1"/>
  <c r="L27" i="32"/>
  <c r="L26" i="32"/>
  <c r="L30" i="32" s="1"/>
  <c r="J15" i="32"/>
  <c r="J14" i="32"/>
  <c r="J13" i="32"/>
  <c r="J12" i="32"/>
  <c r="J11" i="32"/>
  <c r="L24" i="31"/>
  <c r="L30" i="31" s="1"/>
  <c r="L32" i="31" s="1"/>
  <c r="L25" i="31"/>
  <c r="L26" i="31"/>
  <c r="L27" i="31"/>
  <c r="J22" i="31"/>
  <c r="J23" i="31"/>
  <c r="J24" i="31"/>
  <c r="J17" i="31"/>
  <c r="J18" i="31"/>
  <c r="J19" i="31"/>
  <c r="J20" i="31"/>
  <c r="J21" i="31"/>
  <c r="B14" i="31"/>
  <c r="J14" i="31" s="1"/>
  <c r="J15" i="31"/>
  <c r="J16" i="31"/>
  <c r="J13" i="31"/>
  <c r="J12" i="31"/>
  <c r="J11" i="31"/>
  <c r="L14" i="27"/>
  <c r="M14" i="27" s="1"/>
  <c r="M13" i="27"/>
  <c r="L12" i="27"/>
  <c r="M12" i="27" s="1"/>
  <c r="M11" i="27"/>
  <c r="L11" i="27"/>
  <c r="L27" i="27"/>
  <c r="L30" i="27" s="1"/>
  <c r="M30" i="27" s="1"/>
  <c r="L26" i="27"/>
  <c r="L26" i="19"/>
  <c r="L11" i="19"/>
  <c r="M11" i="19"/>
  <c r="M15" i="19"/>
  <c r="N15" i="19"/>
  <c r="M16" i="19"/>
  <c r="L11" i="20"/>
  <c r="L11" i="21"/>
  <c r="J26" i="31" l="1"/>
  <c r="M15" i="27"/>
  <c r="J26" i="32"/>
  <c r="Q14" i="30" l="1"/>
  <c r="P23" i="29"/>
  <c r="N19" i="14" l="1"/>
  <c r="O17" i="14"/>
  <c r="O18" i="14" s="1"/>
  <c r="N17" i="14"/>
  <c r="N18" i="14" s="1"/>
  <c r="R18" i="30" l="1"/>
  <c r="O20" i="26"/>
  <c r="N15" i="30" l="1"/>
  <c r="M15" i="30"/>
  <c r="M16" i="30" s="1"/>
  <c r="J14" i="30"/>
  <c r="J13" i="30"/>
  <c r="J12" i="30"/>
  <c r="J11" i="30"/>
  <c r="Q9" i="30"/>
  <c r="O9" i="30"/>
  <c r="P9" i="30" s="1"/>
  <c r="R9" i="30" s="1"/>
  <c r="M16" i="29"/>
  <c r="N15" i="29"/>
  <c r="M15" i="29"/>
  <c r="J11" i="29"/>
  <c r="J26" i="29" s="1"/>
  <c r="Q9" i="29"/>
  <c r="P9" i="29"/>
  <c r="R9" i="29" s="1"/>
  <c r="O9" i="29"/>
  <c r="N15" i="28"/>
  <c r="M15" i="28"/>
  <c r="M16" i="28" s="1"/>
  <c r="J11" i="28"/>
  <c r="Q9" i="28"/>
  <c r="P9" i="28"/>
  <c r="R9" i="28" s="1"/>
  <c r="O9" i="28"/>
  <c r="J26" i="30" l="1"/>
  <c r="J26" i="28"/>
  <c r="J12" i="27" l="1"/>
  <c r="J13" i="27"/>
  <c r="J14" i="27"/>
  <c r="J11" i="27"/>
  <c r="M12" i="26"/>
  <c r="M11" i="26"/>
  <c r="J26" i="27" l="1"/>
  <c r="F12" i="19" l="1"/>
  <c r="J12" i="19" s="1"/>
  <c r="F13" i="19"/>
  <c r="J13" i="19" s="1"/>
  <c r="F14" i="19"/>
  <c r="J14" i="19" s="1"/>
  <c r="F15" i="19"/>
  <c r="J15" i="19" s="1"/>
  <c r="F16" i="19"/>
  <c r="J16" i="19" s="1"/>
  <c r="F17" i="19"/>
  <c r="J17" i="19" s="1"/>
  <c r="F18" i="19"/>
  <c r="J18" i="19" s="1"/>
  <c r="F11" i="19"/>
  <c r="J11" i="19" s="1"/>
  <c r="N9" i="26" l="1"/>
  <c r="M9" i="26" s="1"/>
  <c r="J12" i="26"/>
  <c r="J11" i="26"/>
  <c r="J13" i="25"/>
  <c r="J26" i="25" s="1"/>
  <c r="N14" i="25"/>
  <c r="M14" i="25"/>
  <c r="N14" i="22"/>
  <c r="M14" i="22"/>
  <c r="J13" i="22"/>
  <c r="M16" i="25"/>
  <c r="J26" i="26" l="1"/>
  <c r="M16" i="22"/>
  <c r="J26" i="22"/>
  <c r="N15" i="21" l="1"/>
  <c r="M15" i="21"/>
  <c r="M16" i="21" s="1"/>
  <c r="J11" i="21"/>
  <c r="J26" i="21" l="1"/>
  <c r="L12" i="21"/>
  <c r="N15" i="20"/>
  <c r="M15" i="20"/>
  <c r="M16" i="20" s="1"/>
  <c r="J11" i="20"/>
  <c r="J26" i="20" l="1"/>
  <c r="L12" i="20"/>
  <c r="J26" i="19"/>
  <c r="P23" i="17"/>
  <c r="B26" i="18"/>
  <c r="J26" i="18"/>
  <c r="J11" i="17"/>
  <c r="J26" i="17" s="1"/>
  <c r="J11" i="16"/>
  <c r="J26" i="16" s="1"/>
  <c r="J11" i="15"/>
  <c r="J26" i="15" s="1"/>
  <c r="J26" i="14"/>
  <c r="J26" i="13"/>
</calcChain>
</file>

<file path=xl/sharedStrings.xml><?xml version="1.0" encoding="utf-8"?>
<sst xmlns="http://schemas.openxmlformats.org/spreadsheetml/2006/main" count="3262" uniqueCount="344">
  <si>
    <t>Unit D 3rd Floor, One Felicity Building, Commonwealth Ave., Q.C.                                                                                       Telefax:  (02) 931-4046/ (02) 426-8261</t>
  </si>
  <si>
    <t>REQUISITION SLIP</t>
  </si>
  <si>
    <t>Payee:</t>
  </si>
  <si>
    <t>R.S. #</t>
  </si>
  <si>
    <t>HOF</t>
  </si>
  <si>
    <t>PO AMOUNT</t>
  </si>
  <si>
    <t>DATE FUNDED</t>
  </si>
  <si>
    <t>AMOUNT</t>
  </si>
  <si>
    <t>Particulars:</t>
  </si>
  <si>
    <t xml:space="preserve">Date   Requested:          </t>
  </si>
  <si>
    <t>Project:</t>
  </si>
  <si>
    <t xml:space="preserve">Date Needed:                     </t>
  </si>
  <si>
    <t>QTY</t>
  </si>
  <si>
    <t>UNIT</t>
  </si>
  <si>
    <t>DESCRIPTION</t>
  </si>
  <si>
    <t>UNIT COST</t>
  </si>
  <si>
    <t>NOTE:</t>
  </si>
  <si>
    <t>PHP</t>
  </si>
  <si>
    <t xml:space="preserve">Requested By:                                         </t>
  </si>
  <si>
    <t xml:space="preserve">Prepared By:                                            </t>
  </si>
  <si>
    <t>Checked By:</t>
  </si>
  <si>
    <t xml:space="preserve">_______________________               </t>
  </si>
  <si>
    <t>_____________________</t>
  </si>
  <si>
    <t>Winamarie Busano</t>
  </si>
  <si>
    <t>Engr. Joann Nogra</t>
  </si>
  <si>
    <t xml:space="preserve">Recommending Approval:                  </t>
  </si>
  <si>
    <t>Approved By:</t>
  </si>
  <si>
    <t xml:space="preserve">____________________                        </t>
  </si>
  <si>
    <t>ALBERTO ELMER L. GARDIOLA</t>
  </si>
  <si>
    <t>Engr. Dennis Hernandez</t>
  </si>
  <si>
    <t>GEO-TECHNICAL INVESTIGATION</t>
  </si>
  <si>
    <t>Geo-Technical Investigation (24KA0101)</t>
  </si>
  <si>
    <t>Geo-Technical Investigation (24KA0103)</t>
  </si>
  <si>
    <t>Geo-Technical Investigation (24KA0104)</t>
  </si>
  <si>
    <t>Geo-Technical Investigation (24KA0105)</t>
  </si>
  <si>
    <t>Geo-Technical Investigation (24KA0106)</t>
  </si>
  <si>
    <t>Geo-Technical Investigation (24KA0107)</t>
  </si>
  <si>
    <t>Geo-Technical Investigation (24KA0108)</t>
  </si>
  <si>
    <t>Geo-Technical Investigation (24KA0109)</t>
  </si>
  <si>
    <t>24KA0101, 0103, 0104, 0105, 0106, 0107, 0108, 0109 BUKIDNON FLOOD CONTROL PROJECTS 1ST DEO</t>
  </si>
  <si>
    <t>2024 BUKIDNON FLOOD CONTROL PROJECTS 1ST DEO</t>
  </si>
  <si>
    <t>unit/s</t>
  </si>
  <si>
    <t>Computer Set</t>
  </si>
  <si>
    <t>Computer Set for Maintenance Staff</t>
  </si>
  <si>
    <t>UPS</t>
  </si>
  <si>
    <t>Wifi Adapter</t>
  </si>
  <si>
    <t>RICHLI C. ROSAS SR. 0962-065-2729/0956-403-9921</t>
  </si>
  <si>
    <t>Construction of Shallow Dug Well</t>
  </si>
  <si>
    <t>Manual Excavation of Dug Well</t>
  </si>
  <si>
    <t>Construction of Shallow Dug Well - Materials</t>
  </si>
  <si>
    <t xml:space="preserve">        - Manual Pump</t>
  </si>
  <si>
    <t xml:space="preserve">        - 1 1/4 G.I. Suction Pipe</t>
  </si>
  <si>
    <t xml:space="preserve">        - Screen</t>
  </si>
  <si>
    <t xml:space="preserve">        - Check Valve </t>
  </si>
  <si>
    <t xml:space="preserve">        - with complete accessories</t>
  </si>
  <si>
    <t>Water Pumping Materials (with installation)</t>
  </si>
  <si>
    <t>OPTUM ENTERPRISES   0975-140-0754</t>
  </si>
  <si>
    <t>RCPC Used for Bukidnon Equipment Yard</t>
  </si>
  <si>
    <t>pc/s</t>
  </si>
  <si>
    <t>RCPC  #18 (45cm diameter)</t>
  </si>
  <si>
    <t>mtrs</t>
  </si>
  <si>
    <t>Z-Type Sheet Pile (24KA104 - Cabanglasan)</t>
  </si>
  <si>
    <t>Z-Type Sheet Pile (24KA103 - Bgy. 9, Malaybalay)</t>
  </si>
  <si>
    <t>Z-Type Sheet Pile (24KA101 - Silae Bridge, Malaybalay)</t>
  </si>
  <si>
    <t>Z-Type Sheet Pile (24KA105 - Impasug-ong,Poblacion)</t>
  </si>
  <si>
    <t>Z-Type Sheet Pile (24KA106 - Linabo Bridge, Malaybalay)</t>
  </si>
  <si>
    <t>Z-Type Sheet Pile (24KA107 - Namnam Bridge, San Fernando)</t>
  </si>
  <si>
    <t>Z-Type Sheet Pile (24KA108 - Impasug-ong Bridge) Left Side</t>
  </si>
  <si>
    <t>Z-Type Sheet Pile (24KA109 - Impasug-ong Bridge) Right Side</t>
  </si>
  <si>
    <t>Z-TYPE SHEET PILE</t>
  </si>
  <si>
    <t>Project Billboard Printing</t>
  </si>
  <si>
    <t>unit</t>
  </si>
  <si>
    <t>Wooden Bed</t>
  </si>
  <si>
    <t>Bed for Engrs and Maintenance</t>
  </si>
  <si>
    <t>DAKLAN FURNITURE 09069673731</t>
  </si>
  <si>
    <t>GAISANO MALL - BUKIDNON</t>
  </si>
  <si>
    <t>Bed Foam</t>
  </si>
  <si>
    <t>Engr. Ramon Sandil</t>
  </si>
  <si>
    <t>Engr. Nilo Arenas</t>
  </si>
  <si>
    <t>Engr. Renato Arenas</t>
  </si>
  <si>
    <t>Engr. Jeff</t>
  </si>
  <si>
    <t>Engr. (Newly Hired)</t>
  </si>
  <si>
    <t>Louie Pucot</t>
  </si>
  <si>
    <t>Bed Foam for Engrs and Maintenance</t>
  </si>
  <si>
    <t>BEVERAY CORPORATION - BEVERLY RAMOS</t>
  </si>
  <si>
    <t>Office/Staffhouse Rental - BUKIDNON</t>
  </si>
  <si>
    <t>Location: Km.4 Casisang, Malaybalay City, Bukidnon</t>
  </si>
  <si>
    <t>2 Months Security Deposit</t>
  </si>
  <si>
    <t>Payment for Equipment Yard/Volumetric Batching Plant</t>
  </si>
  <si>
    <t>Payment for Staff House Rental - BUKIDNON</t>
  </si>
  <si>
    <t>Location: Patpat, Malaybalay City, Bukidnon</t>
  </si>
  <si>
    <t>200 sqm. Equipment Yard/Volumetric Batching Plant - BUKIDNON</t>
  </si>
  <si>
    <t>4 Months Advance</t>
  </si>
  <si>
    <t>1 Month Advance</t>
  </si>
  <si>
    <t>Dump Truck Drivers Cash Advance</t>
  </si>
  <si>
    <t>CASH ADVANCE of Newly Hired DT Drivers and BH Operators</t>
  </si>
  <si>
    <t>Backhoe Operators Cash Advance</t>
  </si>
  <si>
    <t>CREATIVE MEDIA TARPAULIN PRINTING 0995-892-4423</t>
  </si>
  <si>
    <t>COA and DPWH Billboard (24KA0101)</t>
  </si>
  <si>
    <t>set/s</t>
  </si>
  <si>
    <t>COA and DPWH Billboard (24KA0103)</t>
  </si>
  <si>
    <t>COA and DPWH Billboard (24KA0104)</t>
  </si>
  <si>
    <t>COA and DPWH Billboard (24KA0105)</t>
  </si>
  <si>
    <t>COA and DPWH Billboard (24KA0106)</t>
  </si>
  <si>
    <t>COA and DPWH Billboard (24KA0107)</t>
  </si>
  <si>
    <t>COA and DPWH Billboard (24KA0108)</t>
  </si>
  <si>
    <t>COA and DPWH Billboard (24KA0109)</t>
  </si>
  <si>
    <t>Ordinary Plywood 1/4</t>
  </si>
  <si>
    <t>2K Enterprises</t>
  </si>
  <si>
    <t>Project Billboard - Materials</t>
  </si>
  <si>
    <t>Good Lumber 2x2x8</t>
  </si>
  <si>
    <t>Good Lumber 2x2x10</t>
  </si>
  <si>
    <t>kg/s</t>
  </si>
  <si>
    <t>CWN</t>
  </si>
  <si>
    <t>GAISANO MALL</t>
  </si>
  <si>
    <t>HOF 41033605</t>
  </si>
  <si>
    <t>SM LANANG SUPERMARKET</t>
  </si>
  <si>
    <t>OFFICE FURNITURES</t>
  </si>
  <si>
    <t>Stand Fan</t>
  </si>
  <si>
    <t>Office Table</t>
  </si>
  <si>
    <t>ACE HARDWARE</t>
  </si>
  <si>
    <t>Original Price is 4,199.75 less 40% discount.</t>
  </si>
  <si>
    <t>Electric Kettle</t>
  </si>
  <si>
    <t>Rice Cooker 1.8L.</t>
  </si>
  <si>
    <t>Frying Pan</t>
  </si>
  <si>
    <t>Gas Stove</t>
  </si>
  <si>
    <t>Kitchen Appliances for Bukidnon Staffhouse</t>
  </si>
  <si>
    <t>LIQUIDATED</t>
  </si>
  <si>
    <t>Saturn7tribes Construction And Development Corp.</t>
  </si>
  <si>
    <t>Materials for Equipment Yard Barracks &amp; CR</t>
  </si>
  <si>
    <t>10mm RSB</t>
  </si>
  <si>
    <t>Tie Wire</t>
  </si>
  <si>
    <t>CWN #3</t>
  </si>
  <si>
    <t>CWN #4</t>
  </si>
  <si>
    <t>Plain Sheet Small</t>
  </si>
  <si>
    <t>Barrel Bolt #4</t>
  </si>
  <si>
    <t>Hinge # 3</t>
  </si>
  <si>
    <t>Barrel Bolt #2</t>
  </si>
  <si>
    <t>Vulca Seal</t>
  </si>
  <si>
    <t>CWN # 1 1/2</t>
  </si>
  <si>
    <t>CWN #2</t>
  </si>
  <si>
    <t>bg/s</t>
  </si>
  <si>
    <t>Union Cement</t>
  </si>
  <si>
    <t>Vulca Seal (1ltr)</t>
  </si>
  <si>
    <t>Cement Trowel</t>
  </si>
  <si>
    <t xml:space="preserve">       Engr. Nilo Arenas</t>
  </si>
  <si>
    <t>Rudy's Lumber &amp; Construction Supply</t>
  </si>
  <si>
    <t>Hammer</t>
  </si>
  <si>
    <t>Umbrella Nails</t>
  </si>
  <si>
    <t>Measuring Tape</t>
  </si>
  <si>
    <t>Wood Saw</t>
  </si>
  <si>
    <t>Bamboo</t>
  </si>
  <si>
    <t>Cooking Pot</t>
  </si>
  <si>
    <t>Michelle Otic</t>
  </si>
  <si>
    <t>Payment for Processing of Documents</t>
  </si>
  <si>
    <t>ID</t>
  </si>
  <si>
    <t>PDM-PERT/CPM</t>
  </si>
  <si>
    <t>CHSP-DOLE</t>
  </si>
  <si>
    <t>Service Fee</t>
  </si>
  <si>
    <t>Please see attached statement of account.</t>
  </si>
  <si>
    <t>BEVERLY RAMOS</t>
  </si>
  <si>
    <t xml:space="preserve">Electrical Reconnection Expenses </t>
  </si>
  <si>
    <t>EMT Pipe #1, Entrance Cap, EMT Connector</t>
  </si>
  <si>
    <t>NEMA 3 Circuit Breaker</t>
  </si>
  <si>
    <t>Electrical Materials</t>
  </si>
  <si>
    <t>1mtr THHN Wire #8 White</t>
  </si>
  <si>
    <t>Electrician</t>
  </si>
  <si>
    <t>Electrical reconnection expenses incurred at Bukidnon Equipment Yard. Please see attachment.</t>
  </si>
  <si>
    <t>RSB Requirements for Revetment Wall</t>
  </si>
  <si>
    <t>ØØ</t>
  </si>
  <si>
    <t xml:space="preserve">RSB 16mmØ x 9.0m (Grade 40) </t>
  </si>
  <si>
    <t xml:space="preserve">RSB 16mmØ x 6.0m (Grade 40) </t>
  </si>
  <si>
    <t xml:space="preserve">RSB 12mmØ x 7.5m (Grade 40) </t>
  </si>
  <si>
    <t xml:space="preserve">RSB 10mmØ x 6.0m (Grade 40) </t>
  </si>
  <si>
    <t xml:space="preserve">RSB 12mmØ x 6.0m (Grade 40) </t>
  </si>
  <si>
    <t xml:space="preserve">      Engr. Dennis Hernandez</t>
  </si>
  <si>
    <t>24KA0106 BUKIDNON FLOOD CONTROL PROJECTS</t>
  </si>
  <si>
    <t>24KA0107 BUKIDNON FLOOD CONTROL PROJECTS</t>
  </si>
  <si>
    <t xml:space="preserve">Partial Request </t>
  </si>
  <si>
    <t>24KA0104 BUKIDNON FLOOD CONTROL PROJECTS</t>
  </si>
  <si>
    <t>24KA0101 BUKIDNON FLOOD CONTROL PROJECTS</t>
  </si>
  <si>
    <t>24KA0103 BUKIDNON FLOOD CONTROL PROJETCS</t>
  </si>
  <si>
    <t>Period Covered April 1-30, 2024</t>
  </si>
  <si>
    <t>Period Covered May 1-31, 2024</t>
  </si>
  <si>
    <t xml:space="preserve"> </t>
  </si>
  <si>
    <t>MCA HARDWARE &amp; CONSTRUCTION SUPPLY</t>
  </si>
  <si>
    <t>Materials for Light Connection</t>
  </si>
  <si>
    <t>Royu THHN Wire #14 2.0mm 150mtrs</t>
  </si>
  <si>
    <t>Omni Rubber Receptacle</t>
  </si>
  <si>
    <t>Ecolum LED 11watts</t>
  </si>
  <si>
    <t>Electrical Tape (Small)</t>
  </si>
  <si>
    <t>Account No. 07-07050-3005</t>
  </si>
  <si>
    <t>Meter No. 000130364</t>
  </si>
  <si>
    <t>Address: K4, Casisang, Malaybalay City</t>
  </si>
  <si>
    <t>Name: Sereno Mech. Drier c/o KM4 Badm</t>
  </si>
  <si>
    <t>Electric Bill for the Month of March 2024</t>
  </si>
  <si>
    <t>Electric Bill for the Month of April 2024</t>
  </si>
  <si>
    <t>Electric Bill for the Month of May 2024</t>
  </si>
  <si>
    <t>Bukidnon Staffhouse Electric Bill March to May 2024</t>
  </si>
  <si>
    <t>Bukidnon Staffhouse Water Bill March to May 2024</t>
  </si>
  <si>
    <t>Minimum water bill up to 10 cubic is Php. 329.28</t>
  </si>
  <si>
    <t>Name: Ramos Beverly S.</t>
  </si>
  <si>
    <t>Address: P-6 Casisang, Malaybalay City, Bukidnon</t>
  </si>
  <si>
    <t>Account No. 9196-0610-0063</t>
  </si>
  <si>
    <t>Meter No. 074604</t>
  </si>
  <si>
    <t>Water Bill for the Month of March 2024</t>
  </si>
  <si>
    <t>Water Bill for the Month of April 2024</t>
  </si>
  <si>
    <t>Water Bill for the Month of May 2024</t>
  </si>
  <si>
    <t>GASCON LPG CENTER    0917-855-6472</t>
  </si>
  <si>
    <t>for Cutting Outfit of Sheet Piles</t>
  </si>
  <si>
    <t>Since the location is far distant, each ID should have two sets (1-LPG, 3-Oxygen).</t>
  </si>
  <si>
    <t>tank/s</t>
  </si>
  <si>
    <t>Pryce Gas LPG - Refill</t>
  </si>
  <si>
    <t>Pryce Gas LPG - Deposit</t>
  </si>
  <si>
    <t>Oxygen (IO2) - Deposit</t>
  </si>
  <si>
    <t>Oxygen (IO2) - Refill</t>
  </si>
  <si>
    <t xml:space="preserve">    Engr. Romeo Jalalon</t>
  </si>
  <si>
    <t xml:space="preserve">__NOTED THRU CALL___ </t>
  </si>
  <si>
    <t>Materials Used for Barracks of 10 Workers (Operators &amp; Import)</t>
  </si>
  <si>
    <t>GI Sheet G-22 12ft</t>
  </si>
  <si>
    <t>Umbrella Nail #2</t>
  </si>
  <si>
    <t>Marine Atlantas Plywood 1/4</t>
  </si>
  <si>
    <t>Toilet Bowl</t>
  </si>
  <si>
    <t>Cement (for CR Flooring)</t>
  </si>
  <si>
    <t>Light Bulb 20watts</t>
  </si>
  <si>
    <t>2-Gang Outlet (Wood)</t>
  </si>
  <si>
    <t>2-Gang Switches</t>
  </si>
  <si>
    <t>Electrical Tape Big</t>
  </si>
  <si>
    <t>Bed, Roofing, Exterior Wall CR, &amp; Electrical.</t>
  </si>
  <si>
    <t>Coco Lumber 2x2x12</t>
  </si>
  <si>
    <t>Coco Lumber 2x3x12</t>
  </si>
  <si>
    <t>Coco Lumber 2x4x12</t>
  </si>
  <si>
    <t>Amakan</t>
  </si>
  <si>
    <t>Bed, Roofing, Exterior Wall &amp; CR</t>
  </si>
  <si>
    <t>Bed, Roofing, Exterior Wall, CR, &amp; Electrical.</t>
  </si>
  <si>
    <t>MCA HARDWARE &amp; CONSTRUCTION SUPPLY    0977-357-6571</t>
  </si>
  <si>
    <t>Materials Used for Barracks Workers (Operators &amp; Import)</t>
  </si>
  <si>
    <t>24KA0101, 0106 BUKIDNON FLOOD CONTROL PROJECTS</t>
  </si>
  <si>
    <t>cu.m</t>
  </si>
  <si>
    <t>Screened Sand</t>
  </si>
  <si>
    <t>roll/s</t>
  </si>
  <si>
    <t>Electrical Wire</t>
  </si>
  <si>
    <t>For CR Flooring &amp; Electrical</t>
  </si>
  <si>
    <t>Ecotank Printer EPSON L121</t>
  </si>
  <si>
    <t>OCTAGON - SM LANANG DAVAO</t>
  </si>
  <si>
    <t>24KA0101, 0103, 0106, 0107 BUKIDNON FLOOD CONTROL PROJECTS 1ST DEO</t>
  </si>
  <si>
    <t>First Billing Inspection</t>
  </si>
  <si>
    <t>Back-up &amp; Pictures Prep Billing Affidavit Notarized</t>
  </si>
  <si>
    <t>Service Fee of 2 Liaison Officer</t>
  </si>
  <si>
    <t>Period Covered June 1-30, 2024</t>
  </si>
  <si>
    <t>March-June</t>
  </si>
  <si>
    <t>Electric Bill for the Month of June 2024</t>
  </si>
  <si>
    <t>Bukidnon Staffhouse Electric Bill June 2024</t>
  </si>
  <si>
    <t>Bukidnon Staffhouse Water Bill June 2024</t>
  </si>
  <si>
    <t>Water Bill for the Month of June 2024</t>
  </si>
  <si>
    <t>24KA0103 BUKIDNON FLOOD CONTROL PROJECTS</t>
  </si>
  <si>
    <t>Materials Used for Barracks of 30 Workers (Operators &amp; Import)</t>
  </si>
  <si>
    <t>Light Bulb 19watts</t>
  </si>
  <si>
    <t>2-Gang Outlet (WSO-002)</t>
  </si>
  <si>
    <t>2-Gang Switches (WSS-003)</t>
  </si>
  <si>
    <t>AYA'S COCO LUMBER  0995-996-9114</t>
  </si>
  <si>
    <t>JAM COCO LUMBER AND GENERAL MERCHANDISE</t>
  </si>
  <si>
    <t>GI Corrugated Sheet (GA#26) 10ft</t>
  </si>
  <si>
    <t>GI Plain Sheet (GA#26)</t>
  </si>
  <si>
    <t>Ordinary Plywood (4'x8'x1/2"thk)</t>
  </si>
  <si>
    <t>bx/s</t>
  </si>
  <si>
    <t xml:space="preserve">    Engr. Leonard Cula</t>
  </si>
  <si>
    <t>CWN #3 (25kgs/case)</t>
  </si>
  <si>
    <t>CWN #4 (25kgs/case)</t>
  </si>
  <si>
    <t>cs</t>
  </si>
  <si>
    <t>Receptacle A3</t>
  </si>
  <si>
    <t>Electrical Tape Big (Armak)</t>
  </si>
  <si>
    <t>Electrical Wire (3.5mm2 THHN)</t>
  </si>
  <si>
    <t xml:space="preserve">3J GOLDEN DRAGON INDUSTRIAL MACHINERY CORPORATION </t>
  </si>
  <si>
    <t>Cutting Outfit and Lifting of Sheet Pile</t>
  </si>
  <si>
    <t>24KA0101 SILAE, BUKIDNON FLOOD CONTROL PROJECTS</t>
  </si>
  <si>
    <t>Cutting Nozzle (LPG)</t>
  </si>
  <si>
    <t>pair/s</t>
  </si>
  <si>
    <t>Cutting Gloves</t>
  </si>
  <si>
    <t>Shackle #25mmØ</t>
  </si>
  <si>
    <t>Nylon #0.80</t>
  </si>
  <si>
    <t>3m Lifting Belt 4"Wide  (2Tons)</t>
  </si>
  <si>
    <t>24KA0106 LINABO, BUKIDNON FLOOD CONTROL PROJECTS</t>
  </si>
  <si>
    <t>Cutting Outfit (HARRIS)</t>
  </si>
  <si>
    <t>24KA0103 BARANGAY 9, BUKIDNON FLOOD CONTROL PROJECTS</t>
  </si>
  <si>
    <t>24KA0107 NAMNAM, BUKIDNON FLOOD CONTROL PROJECTS</t>
  </si>
  <si>
    <t>24KA0101, 0103, 0106, 0107 BUKIDNON FLOOD CONTROL PROJECTS</t>
  </si>
  <si>
    <t>for Temporary Barracks and Cover of Cut Sheet Pile</t>
  </si>
  <si>
    <t>RUDY BUNGHAYAG</t>
  </si>
  <si>
    <t>Payment for Construction of Site Facility</t>
  </si>
  <si>
    <t>24KA0101 SILAE, BUKIDNON FLOOD CONTROL PROJECTS 1ST DEO</t>
  </si>
  <si>
    <t>Construction of Barracks for 10 Workers</t>
  </si>
  <si>
    <t>Laminated Sack 8ft</t>
  </si>
  <si>
    <t>for Cutting of Sheet Piles</t>
  </si>
  <si>
    <t>Deformed Rebar G60 16mmØ x 9mtrs</t>
  </si>
  <si>
    <t>Deformed Rebar G40 12mmØ x 9mtrs</t>
  </si>
  <si>
    <t>Deformed Rebar G40 12mmØ x 7.5mtrs</t>
  </si>
  <si>
    <t>Deformed Rebar G40 12mmØ x 6mtrs</t>
  </si>
  <si>
    <t>Deformed Rebar G40 10mmØ x 9mtrs</t>
  </si>
  <si>
    <t>Deformed Rebar G40 10mmØ x 7.5mtrs</t>
  </si>
  <si>
    <t>Deformed Rebar G40 10mmØ x 6mtrs</t>
  </si>
  <si>
    <t>50% Material Request for Pile Cap &amp; Revetment Wall</t>
  </si>
  <si>
    <t>Materials Used for Installation of Rebars</t>
  </si>
  <si>
    <t>Coco Lumber 2x4x10</t>
  </si>
  <si>
    <t>Deformed Rebar G60 16mmØ x 7.5mtrs</t>
  </si>
  <si>
    <t>Deformed Rebar G60 16mmØ x 6mtrs</t>
  </si>
  <si>
    <t>Mixed Sand</t>
  </si>
  <si>
    <t>Gravel 3/4</t>
  </si>
  <si>
    <t>Holcim Cement</t>
  </si>
  <si>
    <t>Phenolic Board 1/2" Thick</t>
  </si>
  <si>
    <t>Orange PVC Pipe 4" (S-600)</t>
  </si>
  <si>
    <t>Tie Wire #16 (35kgs/roll)</t>
  </si>
  <si>
    <t>Orange PVC Pipe #4</t>
  </si>
  <si>
    <r>
      <t>PVC Elbow 45</t>
    </r>
    <r>
      <rPr>
        <sz val="12"/>
        <color theme="1"/>
        <rFont val="Calibri"/>
        <family val="2"/>
      </rPr>
      <t>°</t>
    </r>
  </si>
  <si>
    <r>
      <t>PVC Elbow 90</t>
    </r>
    <r>
      <rPr>
        <sz val="12"/>
        <color theme="1"/>
        <rFont val="Calibri"/>
        <family val="2"/>
      </rPr>
      <t>°</t>
    </r>
  </si>
  <si>
    <t>PVC Wye 4x4</t>
  </si>
  <si>
    <t>can/s</t>
  </si>
  <si>
    <t>Solvent Cement 400cc</t>
  </si>
  <si>
    <t>Materials Used for Septic Tank</t>
  </si>
  <si>
    <t>Saturn7tribes Construction And Development Corp. 09171781631</t>
  </si>
  <si>
    <t>Steel Drum 210ltrs</t>
  </si>
  <si>
    <t>JP Trading   0935-742-3413</t>
  </si>
  <si>
    <t xml:space="preserve">Installing a septic tank was required by the barangay captain and landowner because simply digging a pit could result in unpleasant smells. </t>
  </si>
  <si>
    <t>DJH Construction &amp; General Merchandise (0946-226-1840 Domingo Hingpit)</t>
  </si>
  <si>
    <t>Materials Used for Construction of Site Warehouse</t>
  </si>
  <si>
    <t>GI Corrugated Sheet (GA#26) 12' Long</t>
  </si>
  <si>
    <t>GI Corrugated Sheet (GA#26) 10' Long</t>
  </si>
  <si>
    <t>ltr/s</t>
  </si>
  <si>
    <t>Payment for Cutting of Trees</t>
  </si>
  <si>
    <t>DANNY QUIMBA   0975-332-9123</t>
  </si>
  <si>
    <t>Materials Used for Barracks of 20 Workers (Operators &amp; Import)</t>
  </si>
  <si>
    <t>Bamboo Tree</t>
  </si>
  <si>
    <t>Additional barracks for another 20 import workers.</t>
  </si>
  <si>
    <t>#4</t>
  </si>
  <si>
    <t>3J GOLDEN DRAGON INDUSTRIAL MACHINERY CORP. 0919-073-2008</t>
  </si>
  <si>
    <t>for Formworks and Concreting</t>
  </si>
  <si>
    <t>Circular Saw for cutting of Phenolic Board for Formworks and Plastic Drum for Concreting.</t>
  </si>
  <si>
    <t>for Cutting of Rebars</t>
  </si>
  <si>
    <t>Cut Off Machine 14" (2500 watts)</t>
  </si>
  <si>
    <t>Ø</t>
  </si>
  <si>
    <t>Manual Bar Cutter (16mmØ capacity)</t>
  </si>
  <si>
    <t>Cut Off Blade 14"</t>
  </si>
  <si>
    <t>Plastic Drum 200ltrs (open)</t>
  </si>
  <si>
    <t>24KA0103 Barangay 9, BUKIDNON FLOOD CONTROL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</si>
</sst>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d\-mmm\-yy;@"/>
    <numFmt numFmtId="165" formatCode="&quot;HOF &quot;00000"/>
    <numFmt numFmtId="166" formatCode="#,##0.00;[Red]#,##0.00"/>
    <numFmt numFmtId="167" formatCode="_-* #,##0.00_-;\-* #,##0.00_-;_-* &quot;-&quot;??_-;_-@_-"/>
    <numFmt numFmtId="168" formatCode="_(* #,##0.000000_);_(* \(#,##0.000000\);_(* &quot;-&quot;??_);_(@_)"/>
    <numFmt numFmtId="169" formatCode="&quot;BKN24-&quot;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i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</font>
    <font>
      <sz val="11"/>
      <color theme="1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2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8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Calibri"/>
      <family val="2"/>
    </font>
    <font>
      <u/>
      <sz val="10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i/>
      <u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center"/>
    </xf>
    <xf numFmtId="43" fontId="8" fillId="0" borderId="8" xfId="1" applyFont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64" fontId="3" fillId="0" borderId="7" xfId="0" applyNumberFormat="1" applyFont="1" applyBorder="1" applyAlignment="1">
      <alignment horizontal="left" vertical="center" indent="1"/>
    </xf>
    <xf numFmtId="165" fontId="10" fillId="0" borderId="8" xfId="0" applyNumberFormat="1" applyFont="1" applyBorder="1" applyAlignment="1">
      <alignment horizontal="center" vertical="center"/>
    </xf>
    <xf numFmtId="43" fontId="10" fillId="0" borderId="8" xfId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12" fillId="0" borderId="11" xfId="2" applyFont="1" applyBorder="1" applyAlignment="1" applyProtection="1">
      <alignment vertical="center"/>
    </xf>
    <xf numFmtId="15" fontId="2" fillId="0" borderId="1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2" applyFont="1" applyAlignment="1" applyProtection="1">
      <alignment vertical="center"/>
    </xf>
    <xf numFmtId="15" fontId="2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43" fontId="15" fillId="0" borderId="0" xfId="1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3" fontId="15" fillId="0" borderId="21" xfId="1" applyFont="1" applyBorder="1" applyAlignment="1">
      <alignment horizontal="center" vertical="center" wrapText="1"/>
    </xf>
    <xf numFmtId="166" fontId="15" fillId="0" borderId="21" xfId="0" applyNumberFormat="1" applyFont="1" applyBorder="1" applyAlignment="1">
      <alignment horizontal="center" vertical="center"/>
    </xf>
    <xf numFmtId="166" fontId="15" fillId="0" borderId="21" xfId="0" applyNumberFormat="1" applyFont="1" applyBorder="1" applyAlignment="1">
      <alignment horizontal="right" vertical="center" indent="1"/>
    </xf>
    <xf numFmtId="43" fontId="2" fillId="0" borderId="0" xfId="1" applyFont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7" fontId="3" fillId="0" borderId="24" xfId="1" applyNumberFormat="1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15" fontId="16" fillId="0" borderId="22" xfId="0" applyNumberFormat="1" applyFont="1" applyBorder="1" applyAlignment="1">
      <alignment horizontal="right" vertical="center"/>
    </xf>
    <xf numFmtId="166" fontId="17" fillId="0" borderId="22" xfId="0" applyNumberFormat="1" applyFont="1" applyBorder="1" applyAlignment="1">
      <alignment vertical="center"/>
    </xf>
    <xf numFmtId="4" fontId="3" fillId="0" borderId="23" xfId="0" applyNumberFormat="1" applyFont="1" applyBorder="1" applyAlignment="1">
      <alignment horizontal="right" vertical="center" indent="1"/>
    </xf>
    <xf numFmtId="167" fontId="2" fillId="0" borderId="0" xfId="0" applyNumberFormat="1" applyFont="1" applyAlignment="1">
      <alignment vertical="center"/>
    </xf>
    <xf numFmtId="43" fontId="2" fillId="0" borderId="24" xfId="1" applyFont="1" applyBorder="1" applyAlignment="1">
      <alignment horizontal="center" vertical="center"/>
    </xf>
    <xf numFmtId="43" fontId="2" fillId="0" borderId="25" xfId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 indent="1"/>
    </xf>
    <xf numFmtId="43" fontId="18" fillId="0" borderId="22" xfId="0" applyNumberFormat="1" applyFont="1" applyBorder="1" applyAlignment="1">
      <alignment horizontal="right" vertical="center" indent="1"/>
    </xf>
    <xf numFmtId="15" fontId="16" fillId="0" borderId="24" xfId="0" applyNumberFormat="1" applyFont="1" applyBorder="1" applyAlignment="1">
      <alignment horizontal="left" vertical="center"/>
    </xf>
    <xf numFmtId="15" fontId="16" fillId="0" borderId="25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15" fontId="19" fillId="0" borderId="26" xfId="0" applyNumberFormat="1" applyFont="1" applyBorder="1" applyAlignment="1">
      <alignment horizontal="left" vertical="center" indent="1"/>
    </xf>
    <xf numFmtId="15" fontId="20" fillId="0" borderId="24" xfId="0" applyNumberFormat="1" applyFont="1" applyBorder="1" applyAlignment="1">
      <alignment horizontal="left" vertical="center" indent="1"/>
    </xf>
    <xf numFmtId="15" fontId="21" fillId="0" borderId="27" xfId="0" applyNumberFormat="1" applyFont="1" applyBorder="1" applyAlignment="1">
      <alignment horizontal="left" vertical="center" indent="1"/>
    </xf>
    <xf numFmtId="166" fontId="18" fillId="0" borderId="22" xfId="0" applyNumberFormat="1" applyFont="1" applyBorder="1" applyAlignment="1">
      <alignment vertical="center"/>
    </xf>
    <xf numFmtId="166" fontId="18" fillId="0" borderId="8" xfId="0" applyNumberFormat="1" applyFont="1" applyBorder="1" applyAlignment="1">
      <alignment vertical="center"/>
    </xf>
    <xf numFmtId="0" fontId="24" fillId="0" borderId="0" xfId="0" applyFont="1"/>
    <xf numFmtId="0" fontId="25" fillId="0" borderId="0" xfId="0" applyFont="1"/>
    <xf numFmtId="43" fontId="2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7" fillId="0" borderId="0" xfId="0" applyFont="1"/>
    <xf numFmtId="43" fontId="2" fillId="0" borderId="0" xfId="1" applyFont="1" applyAlignment="1">
      <alignment horizontal="center"/>
    </xf>
    <xf numFmtId="0" fontId="3" fillId="0" borderId="11" xfId="0" applyFont="1" applyBorder="1"/>
    <xf numFmtId="43" fontId="3" fillId="0" borderId="0" xfId="3" applyFont="1"/>
    <xf numFmtId="0" fontId="3" fillId="0" borderId="0" xfId="0" applyFont="1" applyAlignment="1">
      <alignment horizontal="right"/>
    </xf>
    <xf numFmtId="43" fontId="28" fillId="0" borderId="0" xfId="0" applyNumberFormat="1" applyFont="1"/>
    <xf numFmtId="0" fontId="15" fillId="0" borderId="0" xfId="0" applyFont="1" applyAlignment="1">
      <alignment horizontal="right"/>
    </xf>
    <xf numFmtId="43" fontId="2" fillId="0" borderId="24" xfId="1" quotePrefix="1" applyFont="1" applyBorder="1" applyAlignment="1">
      <alignment horizontal="center" vertical="center"/>
    </xf>
    <xf numFmtId="169" fontId="3" fillId="0" borderId="7" xfId="0" applyNumberFormat="1" applyFont="1" applyBorder="1" applyAlignment="1">
      <alignment horizontal="left" vertical="center" indent="1"/>
    </xf>
    <xf numFmtId="43" fontId="15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0" fontId="7" fillId="0" borderId="25" xfId="0" applyFont="1" applyBorder="1" applyAlignment="1">
      <alignment horizontal="left" vertical="center"/>
    </xf>
    <xf numFmtId="43" fontId="0" fillId="0" borderId="0" xfId="0" applyNumberFormat="1"/>
    <xf numFmtId="4" fontId="2" fillId="0" borderId="0" xfId="0" applyNumberFormat="1" applyFont="1" applyAlignment="1">
      <alignment vertical="center"/>
    </xf>
    <xf numFmtId="0" fontId="31" fillId="0" borderId="0" xfId="0" applyFont="1" applyAlignment="1">
      <alignment vertical="center" wrapText="1"/>
    </xf>
    <xf numFmtId="4" fontId="0" fillId="0" borderId="0" xfId="0" applyNumberFormat="1"/>
    <xf numFmtId="43" fontId="0" fillId="0" borderId="0" xfId="1" applyFont="1"/>
    <xf numFmtId="43" fontId="5" fillId="0" borderId="0" xfId="1" applyFont="1" applyAlignment="1">
      <alignment vertical="center" wrapText="1"/>
    </xf>
    <xf numFmtId="43" fontId="26" fillId="0" borderId="0" xfId="1" applyFont="1"/>
    <xf numFmtId="43" fontId="28" fillId="0" borderId="0" xfId="1" applyFont="1"/>
    <xf numFmtId="43" fontId="15" fillId="0" borderId="0" xfId="1" applyFont="1" applyAlignment="1">
      <alignment horizontal="right"/>
    </xf>
    <xf numFmtId="166" fontId="23" fillId="0" borderId="28" xfId="0" applyNumberFormat="1" applyFont="1" applyBorder="1" applyAlignment="1">
      <alignment horizontal="right" vertical="center" indent="1"/>
    </xf>
    <xf numFmtId="166" fontId="23" fillId="0" borderId="21" xfId="0" applyNumberFormat="1" applyFont="1" applyBorder="1" applyAlignment="1">
      <alignment horizontal="right" vertical="center" indent="1"/>
    </xf>
    <xf numFmtId="0" fontId="33" fillId="0" borderId="24" xfId="0" applyFont="1" applyBorder="1" applyAlignment="1">
      <alignment vertical="center"/>
    </xf>
    <xf numFmtId="43" fontId="2" fillId="0" borderId="0" xfId="1" applyFont="1" applyAlignment="1">
      <alignment horizontal="left" vertical="center"/>
    </xf>
    <xf numFmtId="43" fontId="2" fillId="0" borderId="25" xfId="1" applyFont="1" applyFill="1" applyBorder="1" applyAlignment="1">
      <alignment horizontal="center" vertical="center"/>
    </xf>
    <xf numFmtId="43" fontId="2" fillId="0" borderId="0" xfId="1" applyFont="1" applyFill="1" applyAlignment="1">
      <alignment vertical="center"/>
    </xf>
    <xf numFmtId="0" fontId="7" fillId="0" borderId="24" xfId="0" applyFont="1" applyBorder="1" applyAlignment="1">
      <alignment horizontal="left" vertical="center" indent="1"/>
    </xf>
    <xf numFmtId="4" fontId="2" fillId="0" borderId="23" xfId="0" applyNumberFormat="1" applyFont="1" applyBorder="1" applyAlignment="1">
      <alignment horizontal="right" vertical="center" indent="1"/>
    </xf>
    <xf numFmtId="0" fontId="34" fillId="0" borderId="0" xfId="0" applyFont="1"/>
    <xf numFmtId="43" fontId="3" fillId="0" borderId="24" xfId="1" quotePrefix="1" applyFont="1" applyBorder="1" applyAlignment="1">
      <alignment horizontal="center" vertical="center"/>
    </xf>
    <xf numFmtId="43" fontId="3" fillId="0" borderId="25" xfId="1" applyFont="1" applyBorder="1" applyAlignment="1">
      <alignment horizontal="center" vertical="center"/>
    </xf>
    <xf numFmtId="43" fontId="3" fillId="0" borderId="24" xfId="1" applyFont="1" applyBorder="1" applyAlignment="1">
      <alignment horizontal="center" vertical="center"/>
    </xf>
    <xf numFmtId="167" fontId="16" fillId="0" borderId="24" xfId="1" applyNumberFormat="1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167" fontId="16" fillId="0" borderId="25" xfId="1" applyNumberFormat="1" applyFont="1" applyBorder="1" applyAlignment="1">
      <alignment horizontal="center" vertical="center"/>
    </xf>
    <xf numFmtId="166" fontId="21" fillId="0" borderId="22" xfId="0" applyNumberFormat="1" applyFont="1" applyBorder="1" applyAlignment="1">
      <alignment vertical="center"/>
    </xf>
    <xf numFmtId="0" fontId="38" fillId="0" borderId="0" xfId="0" applyFont="1"/>
    <xf numFmtId="43" fontId="35" fillId="0" borderId="0" xfId="1" applyFont="1" applyAlignment="1">
      <alignment vertical="center"/>
    </xf>
    <xf numFmtId="43" fontId="16" fillId="0" borderId="24" xfId="1" quotePrefix="1" applyFont="1" applyBorder="1" applyAlignment="1">
      <alignment horizontal="center" vertical="center"/>
    </xf>
    <xf numFmtId="43" fontId="16" fillId="0" borderId="25" xfId="1" applyFont="1" applyBorder="1" applyAlignment="1">
      <alignment horizontal="center" vertical="center"/>
    </xf>
    <xf numFmtId="167" fontId="35" fillId="0" borderId="0" xfId="0" applyNumberFormat="1" applyFont="1" applyAlignment="1">
      <alignment vertical="center"/>
    </xf>
    <xf numFmtId="0" fontId="30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30" fillId="0" borderId="30" xfId="0" applyFont="1" applyBorder="1" applyAlignment="1">
      <alignment vertical="center"/>
    </xf>
    <xf numFmtId="0" fontId="39" fillId="0" borderId="0" xfId="0" applyFont="1"/>
    <xf numFmtId="166" fontId="23" fillId="0" borderId="28" xfId="0" applyNumberFormat="1" applyFont="1" applyBorder="1" applyAlignment="1">
      <alignment horizontal="right" vertical="center" indent="1"/>
    </xf>
    <xf numFmtId="166" fontId="23" fillId="0" borderId="21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15" fillId="0" borderId="19" xfId="1" applyFont="1" applyBorder="1" applyAlignment="1">
      <alignment horizontal="center" vertical="center"/>
    </xf>
    <xf numFmtId="43" fontId="15" fillId="0" borderId="20" xfId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left" vertical="center" indent="1"/>
    </xf>
    <xf numFmtId="0" fontId="29" fillId="0" borderId="5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 indent="1"/>
    </xf>
    <xf numFmtId="0" fontId="30" fillId="0" borderId="5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43" fontId="23" fillId="0" borderId="28" xfId="1" applyFont="1" applyBorder="1" applyAlignment="1">
      <alignment horizontal="right" vertical="center" indent="1"/>
    </xf>
    <xf numFmtId="43" fontId="23" fillId="0" borderId="21" xfId="1" applyFont="1" applyBorder="1" applyAlignment="1">
      <alignment horizontal="right" vertical="center" indent="1"/>
    </xf>
    <xf numFmtId="0" fontId="7" fillId="0" borderId="5" xfId="0" applyFont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</cellXfs>
  <cellStyles count="4">
    <cellStyle name="Comma" xfId="1" builtinId="3"/>
    <cellStyle name="Comma 2" xfId="3" xr:uid="{FDF1CE17-C688-43F2-A09C-4C9436C3DF2B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9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8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0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6.png"/><Relationship Id="rId7" Type="http://schemas.openxmlformats.org/officeDocument/2006/relationships/image" Target="../media/image1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8.jpeg"/><Relationship Id="rId2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8.jpeg"/><Relationship Id="rId2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8.jpeg"/><Relationship Id="rId2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8.jpeg"/><Relationship Id="rId2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7" Type="http://schemas.openxmlformats.org/officeDocument/2006/relationships/image" Target="../media/image18.jpeg"/><Relationship Id="rId2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2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2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6.png"/><Relationship Id="rId7" Type="http://schemas.openxmlformats.org/officeDocument/2006/relationships/image" Target="../media/image2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2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6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24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3.jpe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3.jpeg"/><Relationship Id="rId5" Type="http://schemas.openxmlformats.org/officeDocument/2006/relationships/image" Target="../media/image5.jpe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1D58503-B14D-4A15-8889-F10984CC9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5507828-9671-4627-B2AC-218D16485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574732</xdr:colOff>
      <xdr:row>36</xdr:row>
      <xdr:rowOff>12032</xdr:rowOff>
    </xdr:from>
    <xdr:to>
      <xdr:col>3</xdr:col>
      <xdr:colOff>1859452</xdr:colOff>
      <xdr:row>43</xdr:row>
      <xdr:rowOff>33871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AD2709-975A-4401-85BD-50DA3D121E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2832" y="8651207"/>
          <a:ext cx="2589645" cy="1326764"/>
        </a:xfrm>
        <a:prstGeom prst="rect">
          <a:avLst/>
        </a:prstGeom>
      </xdr:spPr>
    </xdr:pic>
    <xdr:clientData/>
  </xdr:twoCellAnchor>
  <xdr:twoCellAnchor editAs="oneCell">
    <xdr:from>
      <xdr:col>4</xdr:col>
      <xdr:colOff>425035</xdr:colOff>
      <xdr:row>30</xdr:row>
      <xdr:rowOff>147599</xdr:rowOff>
    </xdr:from>
    <xdr:to>
      <xdr:col>4</xdr:col>
      <xdr:colOff>1406110</xdr:colOff>
      <xdr:row>34</xdr:row>
      <xdr:rowOff>130514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7D4342-BFCB-4CE4-B33E-D36764DA9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1635" y="7681874"/>
          <a:ext cx="981075" cy="7258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BEDC3C6-16CF-46ED-BCA5-6DACDF69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5AF6693-091D-46C4-B041-089D0D7D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582667</xdr:colOff>
      <xdr:row>36</xdr:row>
      <xdr:rowOff>25260</xdr:rowOff>
    </xdr:from>
    <xdr:to>
      <xdr:col>3</xdr:col>
      <xdr:colOff>1866065</xdr:colOff>
      <xdr:row>43</xdr:row>
      <xdr:rowOff>41807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ABE4E1-DDF6-4AD9-BAAE-EEC8D737E2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6" y="868110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336401</xdr:colOff>
      <xdr:row>31</xdr:row>
      <xdr:rowOff>7371</xdr:rowOff>
    </xdr:from>
    <xdr:to>
      <xdr:col>4</xdr:col>
      <xdr:colOff>1317476</xdr:colOff>
      <xdr:row>34</xdr:row>
      <xdr:rowOff>166235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677835-EDBF-4899-85EB-F6E854F9B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98714" y="7746434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D09483-150D-4C0D-B99D-879C6F3FE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15E3E7A8-62DE-4D8E-BAAF-AB16ECCF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929A2BF-193B-4C32-8732-423172448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A35BA8DF-F1F6-4B73-AE99-87EAD2930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B0F3CD-0464-4C29-81A2-22CA6203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351896</xdr:colOff>
      <xdr:row>31</xdr:row>
      <xdr:rowOff>38364</xdr:rowOff>
    </xdr:from>
    <xdr:to>
      <xdr:col>4</xdr:col>
      <xdr:colOff>1340909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437F76-CD72-4C91-B6E0-2CEF67A31F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3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615745</xdr:colOff>
      <xdr:row>36</xdr:row>
      <xdr:rowOff>21292</xdr:rowOff>
    </xdr:from>
    <xdr:to>
      <xdr:col>3</xdr:col>
      <xdr:colOff>1901787</xdr:colOff>
      <xdr:row>43</xdr:row>
      <xdr:rowOff>47100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6F8F18-11A7-4E13-985B-B4DCE8AD95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8078" y="8593792"/>
          <a:ext cx="2598376" cy="13275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10A506B-A0D3-4375-8066-01917F879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F3F1F0D-92BD-454E-8AE5-B4C50A3ED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602725-B070-4395-A708-D2FB26B7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320147</xdr:colOff>
      <xdr:row>31</xdr:row>
      <xdr:rowOff>6615</xdr:rowOff>
    </xdr:from>
    <xdr:to>
      <xdr:col>4</xdr:col>
      <xdr:colOff>1309160</xdr:colOff>
      <xdr:row>34</xdr:row>
      <xdr:rowOff>166044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0D3FC-81C9-42C0-B551-453A44F12D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4" y="7658365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658077</xdr:colOff>
      <xdr:row>35</xdr:row>
      <xdr:rowOff>105957</xdr:rowOff>
    </xdr:from>
    <xdr:to>
      <xdr:col>4</xdr:col>
      <xdr:colOff>7369</xdr:colOff>
      <xdr:row>42</xdr:row>
      <xdr:rowOff>131765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8B5745-00A6-40C1-9C7F-019C50D63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00410" y="8498540"/>
          <a:ext cx="2598376" cy="132755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158751</xdr:colOff>
      <xdr:row>0</xdr:row>
      <xdr:rowOff>264583</xdr:rowOff>
    </xdr:from>
    <xdr:to>
      <xdr:col>16</xdr:col>
      <xdr:colOff>352802</xdr:colOff>
      <xdr:row>5</xdr:row>
      <xdr:rowOff>10583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59AD4-E703-111A-A277-EE4CC5E4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43334" y="264583"/>
          <a:ext cx="4977718" cy="2032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D961B2A-43C0-4C9F-9D5A-9362C57B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6DD5F45-00DB-449E-B552-221D41BB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79A3F-34A3-4908-BC20-15870082D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320147</xdr:colOff>
      <xdr:row>31</xdr:row>
      <xdr:rowOff>48948</xdr:rowOff>
    </xdr:from>
    <xdr:to>
      <xdr:col>4</xdr:col>
      <xdr:colOff>1309160</xdr:colOff>
      <xdr:row>35</xdr:row>
      <xdr:rowOff>28461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A84B21-784E-4354-BDE4-51957B9D7B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4" y="770069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626327</xdr:colOff>
      <xdr:row>35</xdr:row>
      <xdr:rowOff>148292</xdr:rowOff>
    </xdr:from>
    <xdr:to>
      <xdr:col>3</xdr:col>
      <xdr:colOff>1912369</xdr:colOff>
      <xdr:row>42</xdr:row>
      <xdr:rowOff>174100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CF044B-875C-48FD-B2A0-795AD475A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8660" y="8540875"/>
          <a:ext cx="2598376" cy="13275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F99AED5-886E-4E6B-A540-8D667504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472B07D-4BD2-4B72-9736-644DD25F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50783-43D3-4C1A-8A4E-34C64F2C8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373062</xdr:colOff>
      <xdr:row>30</xdr:row>
      <xdr:rowOff>175948</xdr:rowOff>
    </xdr:from>
    <xdr:to>
      <xdr:col>4</xdr:col>
      <xdr:colOff>1362075</xdr:colOff>
      <xdr:row>34</xdr:row>
      <xdr:rowOff>155460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E76255-73DF-4244-9973-931DA5AD9F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64479" y="764778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562824</xdr:colOff>
      <xdr:row>35</xdr:row>
      <xdr:rowOff>116541</xdr:rowOff>
    </xdr:from>
    <xdr:to>
      <xdr:col>3</xdr:col>
      <xdr:colOff>1848866</xdr:colOff>
      <xdr:row>42</xdr:row>
      <xdr:rowOff>142349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87BE3B-D89B-4148-9278-42A6B7DF94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5157" y="8509124"/>
          <a:ext cx="2598376" cy="132755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7BB114E-A4F7-4234-AE97-49F0D757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E1EB5F3-261D-4A79-8C9D-68E72E322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1DAB51-BC4C-4A55-84F4-74EBD3F15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341313</xdr:colOff>
      <xdr:row>31</xdr:row>
      <xdr:rowOff>38364</xdr:rowOff>
    </xdr:from>
    <xdr:to>
      <xdr:col>4</xdr:col>
      <xdr:colOff>1330326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BDDA29-20D7-453A-A1C7-D19190DC4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2730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116542</xdr:rowOff>
    </xdr:from>
    <xdr:to>
      <xdr:col>3</xdr:col>
      <xdr:colOff>1891202</xdr:colOff>
      <xdr:row>42</xdr:row>
      <xdr:rowOff>142350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9AA39E-88C4-4E5C-91EB-8161A54D2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09125"/>
          <a:ext cx="2598376" cy="13275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720FEB1-5930-4C56-81E6-48B519E09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43D5B96-64FE-41D2-94FD-B89BBA3F8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37742E-E953-4A19-9937-0EFD68B70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277814</xdr:colOff>
      <xdr:row>31</xdr:row>
      <xdr:rowOff>38366</xdr:rowOff>
    </xdr:from>
    <xdr:to>
      <xdr:col>4</xdr:col>
      <xdr:colOff>1266827</xdr:colOff>
      <xdr:row>35</xdr:row>
      <xdr:rowOff>17879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BB3B85-6F89-4382-AAF5-FC078B361C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69231" y="7690116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626325</xdr:colOff>
      <xdr:row>35</xdr:row>
      <xdr:rowOff>95375</xdr:rowOff>
    </xdr:from>
    <xdr:to>
      <xdr:col>3</xdr:col>
      <xdr:colOff>1912367</xdr:colOff>
      <xdr:row>42</xdr:row>
      <xdr:rowOff>121183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BCBEA3-EEBE-4A7C-ACDE-C1B820CC28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8658" y="8487958"/>
          <a:ext cx="2598376" cy="13275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119146F-3CF3-4C8D-BEAF-B1BE0C86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F6A5B48-C976-42FA-84D1-87D5914D8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7247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630293</xdr:colOff>
      <xdr:row>37</xdr:row>
      <xdr:rowOff>156229</xdr:rowOff>
    </xdr:from>
    <xdr:to>
      <xdr:col>3</xdr:col>
      <xdr:colOff>1913691</xdr:colOff>
      <xdr:row>44</xdr:row>
      <xdr:rowOff>172776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DD66E-9112-4FB4-A4DB-59B99AB41C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6012" y="9133542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384026</xdr:colOff>
      <xdr:row>33</xdr:row>
      <xdr:rowOff>31183</xdr:rowOff>
    </xdr:from>
    <xdr:to>
      <xdr:col>4</xdr:col>
      <xdr:colOff>1365101</xdr:colOff>
      <xdr:row>37</xdr:row>
      <xdr:rowOff>11452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64203-82AD-4760-91EB-40BF9FE28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6339" y="8270308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47</xdr:row>
      <xdr:rowOff>154781</xdr:rowOff>
    </xdr:from>
    <xdr:to>
      <xdr:col>3</xdr:col>
      <xdr:colOff>695325</xdr:colOff>
      <xdr:row>51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8ECA1-2AC4-4301-BA55-EB71A90AF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9656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1BC1F2EF-F722-403C-9333-63BAB42A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724775"/>
          <a:ext cx="1466850" cy="121779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8FAD8E8-C0C3-4ED9-A21C-40631349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AB4FB8B-FCF8-4294-9A7D-E465F7127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654105</xdr:colOff>
      <xdr:row>38</xdr:row>
      <xdr:rowOff>1447</xdr:rowOff>
    </xdr:from>
    <xdr:to>
      <xdr:col>4</xdr:col>
      <xdr:colOff>8690</xdr:colOff>
      <xdr:row>45</xdr:row>
      <xdr:rowOff>17993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CB0976-382A-4C4A-8DB6-29591A75B8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9824" y="9157353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372120</xdr:colOff>
      <xdr:row>33</xdr:row>
      <xdr:rowOff>43089</xdr:rowOff>
    </xdr:from>
    <xdr:to>
      <xdr:col>4</xdr:col>
      <xdr:colOff>1353195</xdr:colOff>
      <xdr:row>37</xdr:row>
      <xdr:rowOff>23358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B5FD35-97A7-43E0-88C4-6E6F28203C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4433" y="8282214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47</xdr:row>
      <xdr:rowOff>154781</xdr:rowOff>
    </xdr:from>
    <xdr:to>
      <xdr:col>3</xdr:col>
      <xdr:colOff>695325</xdr:colOff>
      <xdr:row>51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8D9E63-E12F-478A-820A-8E8C8D00A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28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9755A034-909D-42AC-AAEA-8390B76D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9771A01D-AEF8-4A7B-8E05-3D21DE33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B6F699D-249D-4BC9-9679-04558088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654104</xdr:colOff>
      <xdr:row>36</xdr:row>
      <xdr:rowOff>60978</xdr:rowOff>
    </xdr:from>
    <xdr:to>
      <xdr:col>4</xdr:col>
      <xdr:colOff>8689</xdr:colOff>
      <xdr:row>43</xdr:row>
      <xdr:rowOff>77525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1A6D13-C41C-4E0D-9357-040F89C0B2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9823" y="8716822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B5C25C-E7A2-41A4-83CE-6958E95B4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31</xdr:row>
      <xdr:rowOff>95249</xdr:rowOff>
    </xdr:from>
    <xdr:to>
      <xdr:col>4</xdr:col>
      <xdr:colOff>1362074</xdr:colOff>
      <xdr:row>35</xdr:row>
      <xdr:rowOff>72117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6D663B-CDF6-4865-ADC8-C574429121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2" y="783431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0</xdr:row>
      <xdr:rowOff>297656</xdr:rowOff>
    </xdr:from>
    <xdr:to>
      <xdr:col>14</xdr:col>
      <xdr:colOff>643403</xdr:colOff>
      <xdr:row>16</xdr:row>
      <xdr:rowOff>162539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414868-134B-3519-9A1B-CCA18909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84344" y="297656"/>
          <a:ext cx="3334215" cy="4401164"/>
        </a:xfrm>
        <a:prstGeom prst="rect">
          <a:avLst/>
        </a:prstGeom>
      </xdr:spPr>
    </xdr:pic>
    <xdr:clientData/>
  </xdr:twoCellAnchor>
  <xdr:twoCellAnchor editAs="oneCell">
    <xdr:from>
      <xdr:col>11</xdr:col>
      <xdr:colOff>369094</xdr:colOff>
      <xdr:row>18</xdr:row>
      <xdr:rowOff>0</xdr:rowOff>
    </xdr:from>
    <xdr:to>
      <xdr:col>14</xdr:col>
      <xdr:colOff>938666</xdr:colOff>
      <xdr:row>24</xdr:row>
      <xdr:rowOff>166921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50C767-585F-FD7C-A09F-06BC911B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65344" y="5036344"/>
          <a:ext cx="3248478" cy="1667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C3258B3-531E-4ED2-9C50-62DF00E1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BDEB63A-DA72-4E34-8210-BB6D2807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564150</xdr:colOff>
      <xdr:row>36</xdr:row>
      <xdr:rowOff>1448</xdr:rowOff>
    </xdr:from>
    <xdr:to>
      <xdr:col>3</xdr:col>
      <xdr:colOff>1848870</xdr:colOff>
      <xdr:row>43</xdr:row>
      <xdr:rowOff>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E919A-B688-4E74-B84B-179A4C22C4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2250" y="8640623"/>
          <a:ext cx="2589645" cy="1326764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372118</xdr:colOff>
      <xdr:row>31</xdr:row>
      <xdr:rowOff>62932</xdr:rowOff>
    </xdr:from>
    <xdr:to>
      <xdr:col>4</xdr:col>
      <xdr:colOff>1353193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6E0EF-30A8-43A2-B4A6-B642A94DB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8" y="7778182"/>
          <a:ext cx="981075" cy="72586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10CE497-253C-4956-A378-23786E6ED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80FD203-E958-46E4-908A-5A5F79263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606482</xdr:colOff>
      <xdr:row>35</xdr:row>
      <xdr:rowOff>149616</xdr:rowOff>
    </xdr:from>
    <xdr:to>
      <xdr:col>3</xdr:col>
      <xdr:colOff>1891202</xdr:colOff>
      <xdr:row>42</xdr:row>
      <xdr:rowOff>171455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6A2DCD-5AC4-4209-BDD1-65420EAEF0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8815" y="8542199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382702</xdr:colOff>
      <xdr:row>31</xdr:row>
      <xdr:rowOff>52349</xdr:rowOff>
    </xdr:from>
    <xdr:to>
      <xdr:col>4</xdr:col>
      <xdr:colOff>1363777</xdr:colOff>
      <xdr:row>35</xdr:row>
      <xdr:rowOff>35265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A22CD4-11B5-416D-A584-1A57CE759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4119" y="7704099"/>
          <a:ext cx="981075" cy="72374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88FAB60-6B91-48AF-AC82-B5E167219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8E7DBFA-1F8A-4F24-9843-F750A90CE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638232</xdr:colOff>
      <xdr:row>36</xdr:row>
      <xdr:rowOff>1447</xdr:rowOff>
    </xdr:from>
    <xdr:to>
      <xdr:col>3</xdr:col>
      <xdr:colOff>1922952</xdr:colOff>
      <xdr:row>43</xdr:row>
      <xdr:rowOff>23286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0EE192-D16C-4147-A3A3-95684CFA94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80565" y="8573947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0579C2-6828-4A77-942B-065617EDB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288395</xdr:colOff>
      <xdr:row>31</xdr:row>
      <xdr:rowOff>48948</xdr:rowOff>
    </xdr:from>
    <xdr:to>
      <xdr:col>4</xdr:col>
      <xdr:colOff>1277408</xdr:colOff>
      <xdr:row>35</xdr:row>
      <xdr:rowOff>28461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087AB0-10D4-470A-92F9-3883E6269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2" y="770069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14</xdr:col>
      <xdr:colOff>416360</xdr:colOff>
      <xdr:row>14</xdr:row>
      <xdr:rowOff>55283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3E568-882D-717E-DAF9-4D95652C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28000" y="2286000"/>
          <a:ext cx="3115110" cy="17909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DAC0566-44C3-4C72-90EA-C5563C514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EB1AEDD-AB26-4AA4-BCFA-4FA1F41F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535044</xdr:colOff>
      <xdr:row>36</xdr:row>
      <xdr:rowOff>25259</xdr:rowOff>
    </xdr:from>
    <xdr:to>
      <xdr:col>3</xdr:col>
      <xdr:colOff>1818442</xdr:colOff>
      <xdr:row>43</xdr:row>
      <xdr:rowOff>41806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51D59C-3E13-445F-90A0-68E95E79E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70763" y="8681103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61E46-BCA0-4EBC-B123-A5F3E4672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285749</xdr:colOff>
      <xdr:row>31</xdr:row>
      <xdr:rowOff>71436</xdr:rowOff>
    </xdr:from>
    <xdr:to>
      <xdr:col>4</xdr:col>
      <xdr:colOff>1266824</xdr:colOff>
      <xdr:row>35</xdr:row>
      <xdr:rowOff>48304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E5EDE7-DAAB-42E6-8548-D57D30D562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48062" y="7810499"/>
          <a:ext cx="981075" cy="71505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8BA86A5-D66D-4DE2-85BD-E88A1D4F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5AEE0C5-77C2-4521-A288-C0BCBD30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3EFAE9-6CA7-443A-A743-820BFC7C6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383647</xdr:colOff>
      <xdr:row>31</xdr:row>
      <xdr:rowOff>70114</xdr:rowOff>
    </xdr:from>
    <xdr:to>
      <xdr:col>4</xdr:col>
      <xdr:colOff>1372660</xdr:colOff>
      <xdr:row>35</xdr:row>
      <xdr:rowOff>49627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3C58BD-B41C-4488-A264-4ADFE226A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5064" y="772186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573410</xdr:colOff>
      <xdr:row>35</xdr:row>
      <xdr:rowOff>127124</xdr:rowOff>
    </xdr:from>
    <xdr:to>
      <xdr:col>3</xdr:col>
      <xdr:colOff>1859452</xdr:colOff>
      <xdr:row>42</xdr:row>
      <xdr:rowOff>152932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859AEF-78ED-4E6C-8CBB-85A5F3320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5743" y="8519707"/>
          <a:ext cx="2598376" cy="132755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09AA54A-00DE-4876-8BC3-D587E216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03B2990-C66E-4F7B-B1B3-4EA1E324A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6A1648-FD3C-4331-BC84-C81D86226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351896</xdr:colOff>
      <xdr:row>31</xdr:row>
      <xdr:rowOff>38364</xdr:rowOff>
    </xdr:from>
    <xdr:to>
      <xdr:col>4</xdr:col>
      <xdr:colOff>1340909</xdr:colOff>
      <xdr:row>35</xdr:row>
      <xdr:rowOff>17877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2905F5-B39A-46EC-B18D-66AB02626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3313" y="7690114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615742</xdr:colOff>
      <xdr:row>35</xdr:row>
      <xdr:rowOff>105957</xdr:rowOff>
    </xdr:from>
    <xdr:to>
      <xdr:col>3</xdr:col>
      <xdr:colOff>1901784</xdr:colOff>
      <xdr:row>42</xdr:row>
      <xdr:rowOff>131765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93150C-6802-429E-9259-7C45E669C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8075" y="8498540"/>
          <a:ext cx="2598376" cy="132755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B8AC77C-0642-46C5-B4F5-22A0C0410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AC4664-C579-4622-93F6-4A8DC437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DEF512-9C51-486A-B8E4-EA2C364AC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415396</xdr:colOff>
      <xdr:row>31</xdr:row>
      <xdr:rowOff>27781</xdr:rowOff>
    </xdr:from>
    <xdr:to>
      <xdr:col>4</xdr:col>
      <xdr:colOff>1404409</xdr:colOff>
      <xdr:row>35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50BF17-0AD8-4121-9689-9E1E9CCD78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6813" y="76795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573409</xdr:colOff>
      <xdr:row>36</xdr:row>
      <xdr:rowOff>31875</xdr:rowOff>
    </xdr:from>
    <xdr:to>
      <xdr:col>3</xdr:col>
      <xdr:colOff>1859451</xdr:colOff>
      <xdr:row>43</xdr:row>
      <xdr:rowOff>57683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A9166E-0EF5-42F4-9DA0-C1D318EA69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5742" y="8604375"/>
          <a:ext cx="2598376" cy="132755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03CB857-C293-4750-9797-EDD2CDACA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C0E1DAA-4AAF-48A3-957E-A12F249D0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A1A76F-BBD5-43B4-8CEF-31FAD61BB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288397</xdr:colOff>
      <xdr:row>31</xdr:row>
      <xdr:rowOff>70115</xdr:rowOff>
    </xdr:from>
    <xdr:to>
      <xdr:col>4</xdr:col>
      <xdr:colOff>1277410</xdr:colOff>
      <xdr:row>35</xdr:row>
      <xdr:rowOff>49628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EFF877-AA80-4D95-B7C3-D4914A6C02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4" y="7721865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658076</xdr:colOff>
      <xdr:row>36</xdr:row>
      <xdr:rowOff>124</xdr:rowOff>
    </xdr:from>
    <xdr:to>
      <xdr:col>4</xdr:col>
      <xdr:colOff>7368</xdr:colOff>
      <xdr:row>43</xdr:row>
      <xdr:rowOff>25932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D7664C-60D7-476D-BBCC-D0F33C417B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00409" y="8572624"/>
          <a:ext cx="2598376" cy="13275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361DCD5-8AD2-4747-8A9A-F3F9A5D1D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AC2FA8-AF5A-4D76-9697-D87273AF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2149FE-D84F-447B-A7D3-BDDEDEB46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288397</xdr:colOff>
      <xdr:row>46</xdr:row>
      <xdr:rowOff>80698</xdr:rowOff>
    </xdr:from>
    <xdr:to>
      <xdr:col>4</xdr:col>
      <xdr:colOff>1277410</xdr:colOff>
      <xdr:row>50</xdr:row>
      <xdr:rowOff>81377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48010-7DE0-4965-9C8E-58281D596E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9814" y="1050528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150077</xdr:colOff>
      <xdr:row>43</xdr:row>
      <xdr:rowOff>95373</xdr:rowOff>
    </xdr:from>
    <xdr:to>
      <xdr:col>3</xdr:col>
      <xdr:colOff>1436119</xdr:colOff>
      <xdr:row>50</xdr:row>
      <xdr:rowOff>152931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429640-A2FB-480D-9DFA-C7C08B8AD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192410" y="9969623"/>
          <a:ext cx="2598376" cy="13275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2A84F81-CC8D-4442-803E-8BA66981C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56F1DC4-D8CD-418D-A5BC-4BEAC280B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A2E79C-6D81-406E-8B4F-972CA60C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47</xdr:row>
      <xdr:rowOff>6615</xdr:rowOff>
    </xdr:from>
    <xdr:to>
      <xdr:col>4</xdr:col>
      <xdr:colOff>1108076</xdr:colOff>
      <xdr:row>51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D33A50-A1CE-4986-979A-92E9D985F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10480" y="10611115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414660</xdr:colOff>
      <xdr:row>43</xdr:row>
      <xdr:rowOff>74206</xdr:rowOff>
    </xdr:from>
    <xdr:to>
      <xdr:col>3</xdr:col>
      <xdr:colOff>1700702</xdr:colOff>
      <xdr:row>50</xdr:row>
      <xdr:rowOff>131764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FBF584-7E60-4FB4-A490-C18911051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56993" y="9948456"/>
          <a:ext cx="2598376" cy="13275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D8DC4E1-9C2C-47D1-9D15-1CC49625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676FAC0-25A0-4A92-BA6A-533B4F1CB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35</xdr:row>
      <xdr:rowOff>168134</xdr:rowOff>
    </xdr:from>
    <xdr:to>
      <xdr:col>3</xdr:col>
      <xdr:colOff>1866066</xdr:colOff>
      <xdr:row>43</xdr:row>
      <xdr:rowOff>6087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1101CB-D254-40F5-84DA-D06D4044FB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4538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407839</xdr:colOff>
      <xdr:row>30</xdr:row>
      <xdr:rowOff>162152</xdr:rowOff>
    </xdr:from>
    <xdr:to>
      <xdr:col>4</xdr:col>
      <xdr:colOff>1388914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319971-CE86-4F45-9436-93F612C850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0152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28B0B-6B45-4E19-BB2F-49B11D2A2F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A700FC9E-3EE3-4CA5-B033-6D439552F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6C98094-7BAF-4096-A02A-71145FFA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5C771AC-CE67-4F9D-B834-84C870F6F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564150</xdr:colOff>
      <xdr:row>36</xdr:row>
      <xdr:rowOff>1448</xdr:rowOff>
    </xdr:from>
    <xdr:to>
      <xdr:col>3</xdr:col>
      <xdr:colOff>1848870</xdr:colOff>
      <xdr:row>43</xdr:row>
      <xdr:rowOff>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9BB31A-0B1E-4A7C-8C0E-11477C95C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2250" y="8640623"/>
          <a:ext cx="2589645" cy="1326764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372118</xdr:colOff>
      <xdr:row>31</xdr:row>
      <xdr:rowOff>62932</xdr:rowOff>
    </xdr:from>
    <xdr:to>
      <xdr:col>4</xdr:col>
      <xdr:colOff>1353193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E5E30C-8F76-420E-A44F-AF7652571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8" y="7778182"/>
          <a:ext cx="981075" cy="72586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9D2B61E-500B-4AA9-8F19-5A748269A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709D06B-B3CE-4F8F-87FC-400E1EF9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D2911D-280C-4BD2-B456-E2CCD5BD9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129646</xdr:colOff>
      <xdr:row>45</xdr:row>
      <xdr:rowOff>165364</xdr:rowOff>
    </xdr:from>
    <xdr:to>
      <xdr:col>4</xdr:col>
      <xdr:colOff>1118659</xdr:colOff>
      <xdr:row>49</xdr:row>
      <xdr:rowOff>166044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B8DCF8-F442-4157-8CDB-9B30295817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21063" y="104100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202996</xdr:colOff>
      <xdr:row>43</xdr:row>
      <xdr:rowOff>137708</xdr:rowOff>
    </xdr:from>
    <xdr:to>
      <xdr:col>3</xdr:col>
      <xdr:colOff>1489038</xdr:colOff>
      <xdr:row>51</xdr:row>
      <xdr:rowOff>15349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46F856-00EB-4106-9936-946921398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45329" y="10011958"/>
          <a:ext cx="2598376" cy="132755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994FEBA-45E9-4BA4-B47A-B773F3BD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9D026FA-C35A-476D-B6CD-073FCE04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574078</xdr:colOff>
      <xdr:row>36</xdr:row>
      <xdr:rowOff>37167</xdr:rowOff>
    </xdr:from>
    <xdr:to>
      <xdr:col>3</xdr:col>
      <xdr:colOff>1857476</xdr:colOff>
      <xdr:row>43</xdr:row>
      <xdr:rowOff>53714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36A168-D346-4484-94CB-F2F46869F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9797" y="8693011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372117</xdr:colOff>
      <xdr:row>30</xdr:row>
      <xdr:rowOff>174058</xdr:rowOff>
    </xdr:from>
    <xdr:to>
      <xdr:col>4</xdr:col>
      <xdr:colOff>1353192</xdr:colOff>
      <xdr:row>34</xdr:row>
      <xdr:rowOff>154328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B13D51-237D-4B99-BB80-875ED9CFED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4430" y="7734527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0044C-7E8B-481B-88F6-BE2E46BA9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5DCC00B-D229-4FE1-939A-DB8B66465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A398B7FB-0A7C-4404-A2B4-32A7DEC6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4667A-7D74-4483-8E89-045FB74A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298978</xdr:colOff>
      <xdr:row>31</xdr:row>
      <xdr:rowOff>37043</xdr:rowOff>
    </xdr:from>
    <xdr:to>
      <xdr:col>4</xdr:col>
      <xdr:colOff>1287991</xdr:colOff>
      <xdr:row>35</xdr:row>
      <xdr:rowOff>16556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BE8035-FA17-4096-84C7-D6C711EAB0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61291" y="7776106"/>
          <a:ext cx="989013" cy="717700"/>
        </a:xfrm>
        <a:prstGeom prst="rect">
          <a:avLst/>
        </a:prstGeom>
      </xdr:spPr>
    </xdr:pic>
    <xdr:clientData/>
  </xdr:twoCellAnchor>
  <xdr:twoCellAnchor editAs="oneCell">
    <xdr:from>
      <xdr:col>1</xdr:col>
      <xdr:colOff>562414</xdr:colOff>
      <xdr:row>35</xdr:row>
      <xdr:rowOff>157552</xdr:rowOff>
    </xdr:from>
    <xdr:to>
      <xdr:col>3</xdr:col>
      <xdr:colOff>1848456</xdr:colOff>
      <xdr:row>43</xdr:row>
      <xdr:rowOff>3443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CAF887-3282-490A-887D-7A549973EE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98133" y="8634802"/>
          <a:ext cx="2583823" cy="1322266"/>
        </a:xfrm>
        <a:prstGeom prst="rect">
          <a:avLst/>
        </a:prstGeom>
      </xdr:spPr>
    </xdr:pic>
    <xdr:clientData/>
  </xdr:twoCellAnchor>
  <xdr:twoCellAnchor editAs="oneCell">
    <xdr:from>
      <xdr:col>10</xdr:col>
      <xdr:colOff>107155</xdr:colOff>
      <xdr:row>23</xdr:row>
      <xdr:rowOff>59532</xdr:rowOff>
    </xdr:from>
    <xdr:to>
      <xdr:col>15</xdr:col>
      <xdr:colOff>834048</xdr:colOff>
      <xdr:row>36</xdr:row>
      <xdr:rowOff>90823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E565D2-243E-01E4-F0D6-E9C974DA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53374" y="6346032"/>
          <a:ext cx="4382112" cy="240063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4</xdr:row>
      <xdr:rowOff>83343</xdr:rowOff>
    </xdr:from>
    <xdr:to>
      <xdr:col>16</xdr:col>
      <xdr:colOff>53050</xdr:colOff>
      <xdr:row>22</xdr:row>
      <xdr:rowOff>229196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614038-C7EF-2F7F-6FC5-E0090AB36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1469" y="1988343"/>
          <a:ext cx="4744112" cy="42773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ED2F137-FE91-4D0C-AD2A-6758813FC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ECCF22-5C3B-46F8-8D9C-794E63C0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627649</xdr:colOff>
      <xdr:row>29</xdr:row>
      <xdr:rowOff>12031</xdr:rowOff>
    </xdr:from>
    <xdr:to>
      <xdr:col>3</xdr:col>
      <xdr:colOff>1912369</xdr:colOff>
      <xdr:row>36</xdr:row>
      <xdr:rowOff>55037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4AC6B1-2CE6-4912-9FE5-F5525AC9F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2" y="730394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E7B9B8-7F4F-48CA-AD88-4774ACED3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320145</xdr:colOff>
      <xdr:row>31</xdr:row>
      <xdr:rowOff>48948</xdr:rowOff>
    </xdr:from>
    <xdr:to>
      <xdr:col>4</xdr:col>
      <xdr:colOff>1309158</xdr:colOff>
      <xdr:row>35</xdr:row>
      <xdr:rowOff>28461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C615F6-A7CB-460C-B7E2-4B8B7FB151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2" y="7700698"/>
          <a:ext cx="989013" cy="72034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7BF3E1B-802D-4A28-A2FC-6F941252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051943D-1CC2-4822-B050-76B8520A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447732</xdr:colOff>
      <xdr:row>29</xdr:row>
      <xdr:rowOff>33198</xdr:rowOff>
    </xdr:from>
    <xdr:to>
      <xdr:col>3</xdr:col>
      <xdr:colOff>1732452</xdr:colOff>
      <xdr:row>36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36A124-7A46-4847-A73E-CA97509984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90065" y="732511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F43FB9-E3A0-4D37-B4A8-B69C6AF91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320145</xdr:colOff>
      <xdr:row>31</xdr:row>
      <xdr:rowOff>17198</xdr:rowOff>
    </xdr:from>
    <xdr:to>
      <xdr:col>4</xdr:col>
      <xdr:colOff>1309158</xdr:colOff>
      <xdr:row>34</xdr:row>
      <xdr:rowOff>176627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912A95-359A-497C-A62D-451965874E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1562" y="7668948"/>
          <a:ext cx="989013" cy="72034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10498FB-99B9-4879-A333-6D767BDF7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C00DD48-B42B-45FF-939F-5F8BD7BE5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A54645-3530-460B-A2ED-2D451EEC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607932</xdr:colOff>
      <xdr:row>29</xdr:row>
      <xdr:rowOff>30722</xdr:rowOff>
    </xdr:from>
    <xdr:to>
      <xdr:col>3</xdr:col>
      <xdr:colOff>1774862</xdr:colOff>
      <xdr:row>36</xdr:row>
      <xdr:rowOff>7155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8F1202-4D86-4AD3-BB49-68BC38587E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3651" y="7412597"/>
          <a:ext cx="2464711" cy="1250402"/>
        </a:xfrm>
        <a:prstGeom prst="rect">
          <a:avLst/>
        </a:prstGeom>
      </xdr:spPr>
    </xdr:pic>
    <xdr:clientData/>
  </xdr:twoCellAnchor>
  <xdr:twoCellAnchor editAs="oneCell">
    <xdr:from>
      <xdr:col>4</xdr:col>
      <xdr:colOff>359835</xdr:colOff>
      <xdr:row>31</xdr:row>
      <xdr:rowOff>59531</xdr:rowOff>
    </xdr:from>
    <xdr:to>
      <xdr:col>4</xdr:col>
      <xdr:colOff>1340910</xdr:colOff>
      <xdr:row>35</xdr:row>
      <xdr:rowOff>36399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25BA6E-D895-4EA3-A9B2-CCFA893036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22148" y="7798594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E3C1D5-A83B-4611-8182-9CC20D1A8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772ACB-C38D-4FE5-84DF-2F6BCD74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6BC001D-C026-439C-832E-6548E582A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6E95B485-CF3F-4462-88C1-3FDA9A95C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680564</xdr:colOff>
      <xdr:row>29</xdr:row>
      <xdr:rowOff>107281</xdr:rowOff>
    </xdr:from>
    <xdr:to>
      <xdr:col>4</xdr:col>
      <xdr:colOff>28534</xdr:colOff>
      <xdr:row>36</xdr:row>
      <xdr:rowOff>150287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1C5398-3CAC-4FAB-850C-918C3D03C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2897" y="739919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350952</xdr:colOff>
      <xdr:row>31</xdr:row>
      <xdr:rowOff>115849</xdr:rowOff>
    </xdr:from>
    <xdr:to>
      <xdr:col>4</xdr:col>
      <xdr:colOff>1332027</xdr:colOff>
      <xdr:row>35</xdr:row>
      <xdr:rowOff>98765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B6DE7F-E7C1-48E2-A996-6E8DF39CC6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69" y="77675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D11BB4-1DAD-4C37-859A-C510A7C6A3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747165D-8533-4FDE-B551-959032CEA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590B9FB-371F-4AE2-AB82-6774844F8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606480</xdr:colOff>
      <xdr:row>36</xdr:row>
      <xdr:rowOff>49072</xdr:rowOff>
    </xdr:from>
    <xdr:to>
      <xdr:col>3</xdr:col>
      <xdr:colOff>1889878</xdr:colOff>
      <xdr:row>43</xdr:row>
      <xdr:rowOff>65619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DF5791-7E16-4D38-B379-6C5EF95EC1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2199" y="8704916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F21B3F-283D-40C0-9CB2-1F2923253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369093</xdr:colOff>
      <xdr:row>31</xdr:row>
      <xdr:rowOff>83343</xdr:rowOff>
    </xdr:from>
    <xdr:to>
      <xdr:col>4</xdr:col>
      <xdr:colOff>1350168</xdr:colOff>
      <xdr:row>35</xdr:row>
      <xdr:rowOff>60211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493D8-8A78-42BA-99FD-2F0794860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6" y="7822406"/>
          <a:ext cx="981075" cy="71505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8377B3C3-E567-4576-AF0E-D6DF3F03C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80E87EB-754E-4EBD-BEEC-E8D357A75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35</xdr:row>
      <xdr:rowOff>156228</xdr:rowOff>
    </xdr:from>
    <xdr:to>
      <xdr:col>3</xdr:col>
      <xdr:colOff>1866066</xdr:colOff>
      <xdr:row>42</xdr:row>
      <xdr:rowOff>172775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63F26-7D39-49C9-9740-17F9209BD3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33478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348307</xdr:colOff>
      <xdr:row>31</xdr:row>
      <xdr:rowOff>19277</xdr:rowOff>
    </xdr:from>
    <xdr:to>
      <xdr:col>4</xdr:col>
      <xdr:colOff>1329382</xdr:colOff>
      <xdr:row>34</xdr:row>
      <xdr:rowOff>178141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2BDDD7-5164-4870-A9E0-AA3A46FD91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620" y="7758340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537576-977E-47D9-8B66-D4C2160433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0F747CC3-37A7-4F42-8664-447255FE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843FD08-84C2-4ED3-9BF6-1A9F92D9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C5CE67-C0BB-4B14-A895-CCD8B2C22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383646</xdr:colOff>
      <xdr:row>31</xdr:row>
      <xdr:rowOff>17198</xdr:rowOff>
    </xdr:from>
    <xdr:to>
      <xdr:col>4</xdr:col>
      <xdr:colOff>1372659</xdr:colOff>
      <xdr:row>34</xdr:row>
      <xdr:rowOff>176627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D2402F-1938-45F8-BECF-EDC243BDB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5063" y="766894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116542</xdr:rowOff>
    </xdr:from>
    <xdr:to>
      <xdr:col>3</xdr:col>
      <xdr:colOff>1891202</xdr:colOff>
      <xdr:row>42</xdr:row>
      <xdr:rowOff>142350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D3D817-6D57-484F-AD1A-0C99F644C2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09125"/>
          <a:ext cx="2598376" cy="13275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70CFDB9-20E9-465C-B01F-0E644D4C3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DB17084-7351-4C20-B822-FCE6945F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564150</xdr:colOff>
      <xdr:row>36</xdr:row>
      <xdr:rowOff>1448</xdr:rowOff>
    </xdr:from>
    <xdr:to>
      <xdr:col>3</xdr:col>
      <xdr:colOff>1848870</xdr:colOff>
      <xdr:row>43</xdr:row>
      <xdr:rowOff>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334072-18B4-4DB5-B5C4-64C98E13AC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2250" y="8640623"/>
          <a:ext cx="2589645" cy="1326764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372118</xdr:colOff>
      <xdr:row>31</xdr:row>
      <xdr:rowOff>62932</xdr:rowOff>
    </xdr:from>
    <xdr:to>
      <xdr:col>4</xdr:col>
      <xdr:colOff>1353193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53C77B-4516-4122-AE22-C8A6D96F4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8" y="7778182"/>
          <a:ext cx="981075" cy="72586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F310468D-8AD1-4A01-8E61-AD663F03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3387EF7-86DF-4506-A1E7-422C45523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582668</xdr:colOff>
      <xdr:row>36</xdr:row>
      <xdr:rowOff>25260</xdr:rowOff>
    </xdr:from>
    <xdr:to>
      <xdr:col>3</xdr:col>
      <xdr:colOff>1866066</xdr:colOff>
      <xdr:row>43</xdr:row>
      <xdr:rowOff>41807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078AD1-445F-4B25-8090-A9844C514E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8387" y="8681104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288775</xdr:colOff>
      <xdr:row>30</xdr:row>
      <xdr:rowOff>162152</xdr:rowOff>
    </xdr:from>
    <xdr:to>
      <xdr:col>4</xdr:col>
      <xdr:colOff>1269850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656B91-5457-4075-924F-AF36DC027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51088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79F13-B0F3-40CA-9311-C250660E29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DE9311D-44E4-44EB-93DC-DF0036FAB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3AEE76B-E4CB-40B5-B689-CFCD6C545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918444-815A-45DF-A224-3025F8A4C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404812</xdr:colOff>
      <xdr:row>31</xdr:row>
      <xdr:rowOff>17198</xdr:rowOff>
    </xdr:from>
    <xdr:to>
      <xdr:col>4</xdr:col>
      <xdr:colOff>1393825</xdr:colOff>
      <xdr:row>34</xdr:row>
      <xdr:rowOff>176627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3F6F3C-0A9D-462F-A225-FCCB4235A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6229" y="7668948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605160</xdr:colOff>
      <xdr:row>35</xdr:row>
      <xdr:rowOff>137708</xdr:rowOff>
    </xdr:from>
    <xdr:to>
      <xdr:col>3</xdr:col>
      <xdr:colOff>1891202</xdr:colOff>
      <xdr:row>42</xdr:row>
      <xdr:rowOff>163516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371213-B0B8-467D-B694-D69091EDF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7493" y="8530291"/>
          <a:ext cx="2598376" cy="132755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D75CD01-164E-437C-9F4D-E56B59B31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10FF22E-E126-4A25-A843-1863B495D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627648</xdr:colOff>
      <xdr:row>36</xdr:row>
      <xdr:rowOff>54365</xdr:rowOff>
    </xdr:from>
    <xdr:to>
      <xdr:col>3</xdr:col>
      <xdr:colOff>1912368</xdr:colOff>
      <xdr:row>43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F9A36C-8090-44E9-8BEE-B9439EE76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1" y="862686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382702</xdr:colOff>
      <xdr:row>31</xdr:row>
      <xdr:rowOff>52349</xdr:rowOff>
    </xdr:from>
    <xdr:to>
      <xdr:col>4</xdr:col>
      <xdr:colOff>1363777</xdr:colOff>
      <xdr:row>35</xdr:row>
      <xdr:rowOff>35265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9FE82-2431-4BE2-BC0A-481D8C75F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4119" y="77040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BB603-51CF-4352-AEB0-ADEB33F0D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3E92537-B4A1-4D5F-B684-BD5FC0DA3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F3C35029-EA52-4371-8B16-621C02368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627648</xdr:colOff>
      <xdr:row>35</xdr:row>
      <xdr:rowOff>170781</xdr:rowOff>
    </xdr:from>
    <xdr:to>
      <xdr:col>3</xdr:col>
      <xdr:colOff>1912368</xdr:colOff>
      <xdr:row>43</xdr:row>
      <xdr:rowOff>12703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DFF0E6-1FF7-4DCA-B15B-628810B6A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9981" y="8563364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350953</xdr:colOff>
      <xdr:row>31</xdr:row>
      <xdr:rowOff>84100</xdr:rowOff>
    </xdr:from>
    <xdr:to>
      <xdr:col>4</xdr:col>
      <xdr:colOff>1332028</xdr:colOff>
      <xdr:row>35</xdr:row>
      <xdr:rowOff>67016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923130-F97C-4D80-94CF-6BE87DB7B2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70" y="7735850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12F6FE-D0BC-438B-96AC-A50C02C9C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D9AD788-16D8-4607-8AE3-AC16385F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79E2296-4470-4810-A728-48EAE8857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ACC9AF-EB0B-43B5-83A7-038BD6A76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76090" y="10529748"/>
          <a:ext cx="2594938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F3CA98-0785-42BC-B5F2-E1173EAE02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AF5C63-D42D-49A2-A517-D50D906C3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48C79DE-5ABA-464A-997E-5DCA9EDD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79A051E-22BF-40A4-B814-D397648EA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379070-FED2-4D15-A98C-FF7E872054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76090" y="10529748"/>
          <a:ext cx="2594938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EC8D53-3597-4A52-A020-5F9CCFE07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31218" y="11325715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62FD7E-02BE-4194-8437-3BFC7F754A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DADC640-E445-4FD6-A05C-A5EB97E2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7215AEB6-3276-43A6-9E0F-E236458AE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BAEA51-9DE4-43FE-8693-EC8595FB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621600</xdr:colOff>
      <xdr:row>29</xdr:row>
      <xdr:rowOff>15054</xdr:rowOff>
    </xdr:from>
    <xdr:to>
      <xdr:col>3</xdr:col>
      <xdr:colOff>1907832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C38145-07D5-48A4-BD43-88D1CAE64D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7319" y="7396929"/>
          <a:ext cx="2584013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347929</xdr:colOff>
      <xdr:row>31</xdr:row>
      <xdr:rowOff>35719</xdr:rowOff>
    </xdr:from>
    <xdr:to>
      <xdr:col>4</xdr:col>
      <xdr:colOff>1329004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0B9E80-DF04-4E11-8E4D-413C9A42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242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5FD8F-20A3-4677-AD23-1C07F721D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1EE8B1-A055-468E-BBAF-1EBAEC3A2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FB026BF-5ACA-4BB5-BFF0-A81665401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7BD91-F8F0-41D2-8F4F-1CB030FAE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593282</xdr:colOff>
      <xdr:row>44</xdr:row>
      <xdr:rowOff>8760</xdr:rowOff>
    </xdr:from>
    <xdr:to>
      <xdr:col>4</xdr:col>
      <xdr:colOff>214612</xdr:colOff>
      <xdr:row>50</xdr:row>
      <xdr:rowOff>13489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5F4140-4D49-4A73-ADB5-9EDD730259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635615" y="10073510"/>
          <a:ext cx="2764580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856985</xdr:colOff>
      <xdr:row>29</xdr:row>
      <xdr:rowOff>47625</xdr:rowOff>
    </xdr:from>
    <xdr:to>
      <xdr:col>14</xdr:col>
      <xdr:colOff>29657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35C5ED-62C5-4728-B834-9DFF71B1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366975</xdr:colOff>
      <xdr:row>44</xdr:row>
      <xdr:rowOff>86254</xdr:rowOff>
    </xdr:from>
    <xdr:to>
      <xdr:col>4</xdr:col>
      <xdr:colOff>1376624</xdr:colOff>
      <xdr:row>48</xdr:row>
      <xdr:rowOff>95970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A2D3BD-F17F-4090-B518-ED1820B9ED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52558" y="10151004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F30943-0525-4121-A732-7FBFA2383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0BF2357B-155A-4A7B-BC88-3700B23D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659441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75110F-F190-49B0-AAC4-DE0EC0F4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910076</xdr:colOff>
      <xdr:row>43</xdr:row>
      <xdr:rowOff>7560</xdr:rowOff>
    </xdr:from>
    <xdr:to>
      <xdr:col>4</xdr:col>
      <xdr:colOff>575611</xdr:colOff>
      <xdr:row>49</xdr:row>
      <xdr:rowOff>12288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482B0C4-9BB2-45CA-AA10-AF5DCD5B14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952409" y="9892393"/>
          <a:ext cx="2808785" cy="109481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A6AE136-8493-47AC-8589-8A613D202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116BF-0C02-4768-A5B1-DAAB5725C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846186</xdr:colOff>
      <xdr:row>49</xdr:row>
      <xdr:rowOff>134487</xdr:rowOff>
    </xdr:from>
    <xdr:to>
      <xdr:col>4</xdr:col>
      <xdr:colOff>500255</xdr:colOff>
      <xdr:row>55</xdr:row>
      <xdr:rowOff>149799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8B91D6-F378-4825-A37E-45217164B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519" y="11109404"/>
          <a:ext cx="2797319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899319</xdr:colOff>
      <xdr:row>29</xdr:row>
      <xdr:rowOff>47625</xdr:rowOff>
    </xdr:from>
    <xdr:to>
      <xdr:col>14</xdr:col>
      <xdr:colOff>71990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8D0766-5E96-4118-9623-AD032640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303475</xdr:colOff>
      <xdr:row>31</xdr:row>
      <xdr:rowOff>22754</xdr:rowOff>
    </xdr:from>
    <xdr:to>
      <xdr:col>4</xdr:col>
      <xdr:colOff>1313124</xdr:colOff>
      <xdr:row>35</xdr:row>
      <xdr:rowOff>32470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E52336-9FFA-4AAF-9D61-81D279DD4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89058" y="7674504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DD66CD-80D0-4415-89B8-D88E1DA97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C66CEC3B-10C7-431E-B1AF-8888A4A9D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2BDA99-7C9D-4F7F-926E-6B75151F8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814848</xdr:colOff>
      <xdr:row>30</xdr:row>
      <xdr:rowOff>40006</xdr:rowOff>
    </xdr:from>
    <xdr:to>
      <xdr:col>4</xdr:col>
      <xdr:colOff>457342</xdr:colOff>
      <xdr:row>36</xdr:row>
      <xdr:rowOff>44734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588A60-6260-47FF-809E-999105BE6A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57181" y="7511839"/>
          <a:ext cx="2785744" cy="109481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50D3F16-351F-475B-B7DF-63671151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0B848B-71A7-48E0-9AEE-B613458A3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867433</xdr:colOff>
      <xdr:row>30</xdr:row>
      <xdr:rowOff>126581</xdr:rowOff>
    </xdr:from>
    <xdr:to>
      <xdr:col>4</xdr:col>
      <xdr:colOff>432531</xdr:colOff>
      <xdr:row>36</xdr:row>
      <xdr:rowOff>131309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B2D778-FDFB-442F-BC30-F6349774F8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909766" y="7598414"/>
          <a:ext cx="2708348" cy="1094812"/>
        </a:xfrm>
        <a:prstGeom prst="rect">
          <a:avLst/>
        </a:prstGeom>
      </xdr:spPr>
    </xdr:pic>
    <xdr:clientData/>
  </xdr:twoCellAnchor>
  <xdr:twoCellAnchor editAs="absolute">
    <xdr:from>
      <xdr:col>12</xdr:col>
      <xdr:colOff>602985</xdr:colOff>
      <xdr:row>29</xdr:row>
      <xdr:rowOff>47625</xdr:rowOff>
    </xdr:from>
    <xdr:to>
      <xdr:col>13</xdr:col>
      <xdr:colOff>516490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1AB74-1386-41D4-BBBD-D0C899DC7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2AF743-0CEC-467C-B564-A6EF63040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30</xdr:row>
      <xdr:rowOff>28575</xdr:rowOff>
    </xdr:from>
    <xdr:to>
      <xdr:col>14</xdr:col>
      <xdr:colOff>60325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A8F61D-BCBB-4E6E-993A-7AE467AE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A78D7D48-D93F-4CB5-85B2-708C3DB4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12</xdr:col>
      <xdr:colOff>867832</xdr:colOff>
      <xdr:row>36</xdr:row>
      <xdr:rowOff>63482</xdr:rowOff>
    </xdr:from>
    <xdr:to>
      <xdr:col>14</xdr:col>
      <xdr:colOff>659441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15E3F8-03FD-440F-BD9A-9B6F84599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1</xdr:col>
      <xdr:colOff>751417</xdr:colOff>
      <xdr:row>43</xdr:row>
      <xdr:rowOff>105833</xdr:rowOff>
    </xdr:from>
    <xdr:to>
      <xdr:col>4</xdr:col>
      <xdr:colOff>316515</xdr:colOff>
      <xdr:row>49</xdr:row>
      <xdr:rowOff>110561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364C9F-9AE4-4434-B55E-CB500034B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793750" y="9990666"/>
          <a:ext cx="2708348" cy="1094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98B91B48-4CEC-4FFC-A77A-D4C7B80C6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776B6BF-E9A1-4A0E-816F-E6AF4638C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564150</xdr:colOff>
      <xdr:row>36</xdr:row>
      <xdr:rowOff>1448</xdr:rowOff>
    </xdr:from>
    <xdr:to>
      <xdr:col>3</xdr:col>
      <xdr:colOff>1848870</xdr:colOff>
      <xdr:row>43</xdr:row>
      <xdr:rowOff>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EE23BC-3124-4332-9DF9-1F69F1593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6483" y="857394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372118</xdr:colOff>
      <xdr:row>31</xdr:row>
      <xdr:rowOff>62932</xdr:rowOff>
    </xdr:from>
    <xdr:to>
      <xdr:col>4</xdr:col>
      <xdr:colOff>1353193</xdr:colOff>
      <xdr:row>35</xdr:row>
      <xdr:rowOff>45848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5DBB6-E574-48F5-9020-5A2A18C62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63535" y="7714682"/>
          <a:ext cx="981075" cy="72374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00FD6EE-4B74-4FBD-B380-BD278C9FE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1E183A-1DD1-41FA-9F99-5F1252F1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846268</xdr:colOff>
      <xdr:row>30</xdr:row>
      <xdr:rowOff>63081</xdr:rowOff>
    </xdr:from>
    <xdr:to>
      <xdr:col>4</xdr:col>
      <xdr:colOff>411366</xdr:colOff>
      <xdr:row>36</xdr:row>
      <xdr:rowOff>67809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4FA7C0-FBFC-4B1C-96D1-D9748B6E87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601" y="7534914"/>
          <a:ext cx="2708348" cy="1094812"/>
        </a:xfrm>
        <a:prstGeom prst="rect">
          <a:avLst/>
        </a:prstGeom>
      </xdr:spPr>
    </xdr:pic>
    <xdr:clientData/>
  </xdr:twoCellAnchor>
  <xdr:twoCellAnchor editAs="absolute">
    <xdr:from>
      <xdr:col>13</xdr:col>
      <xdr:colOff>169069</xdr:colOff>
      <xdr:row>29</xdr:row>
      <xdr:rowOff>47625</xdr:rowOff>
    </xdr:from>
    <xdr:to>
      <xdr:col>14</xdr:col>
      <xdr:colOff>82574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E676E0-CBF2-45C9-ADD3-AF3ED4CAC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13FDE0-7327-4B17-B32E-36263A96F2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28FE8E-F94A-40A4-BFAA-C0DA7B88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1DF26F15-A83B-43BA-A66C-AC92A090F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13</xdr:col>
      <xdr:colOff>867832</xdr:colOff>
      <xdr:row>36</xdr:row>
      <xdr:rowOff>63482</xdr:rowOff>
    </xdr:from>
    <xdr:to>
      <xdr:col>15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E22C8D-3E5B-4A6B-875B-3C43761B8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8807" y="8693132"/>
          <a:ext cx="1487059" cy="839275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317502</xdr:colOff>
      <xdr:row>46</xdr:row>
      <xdr:rowOff>84667</xdr:rowOff>
    </xdr:from>
    <xdr:to>
      <xdr:col>4</xdr:col>
      <xdr:colOff>792767</xdr:colOff>
      <xdr:row>52</xdr:row>
      <xdr:rowOff>99979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1E7F03-BA2E-45F8-B770-F3F1113DF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1270002" y="10519834"/>
          <a:ext cx="2708348" cy="109481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781052</xdr:colOff>
      <xdr:row>0</xdr:row>
      <xdr:rowOff>28575</xdr:rowOff>
    </xdr:from>
    <xdr:to>
      <xdr:col>4</xdr:col>
      <xdr:colOff>1397793</xdr:colOff>
      <xdr:row>0</xdr:row>
      <xdr:rowOff>612362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6FB7976-C033-40AC-A667-7D9196323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0466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20B09-5D20-4606-844F-5223FF5F3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twoCellAnchor editAs="oneCell">
    <xdr:from>
      <xdr:col>1</xdr:col>
      <xdr:colOff>846144</xdr:colOff>
      <xdr:row>30</xdr:row>
      <xdr:rowOff>90740</xdr:rowOff>
    </xdr:from>
    <xdr:to>
      <xdr:col>4</xdr:col>
      <xdr:colOff>547302</xdr:colOff>
      <xdr:row>36</xdr:row>
      <xdr:rowOff>95468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8D701F-AE0A-401B-83EC-F61F8BBA4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88477" y="7562573"/>
          <a:ext cx="2844408" cy="1094812"/>
        </a:xfrm>
        <a:prstGeom prst="rect">
          <a:avLst/>
        </a:prstGeom>
      </xdr:spPr>
    </xdr:pic>
    <xdr:clientData/>
  </xdr:twoCellAnchor>
  <xdr:twoCellAnchor editAs="absolute">
    <xdr:from>
      <xdr:col>13</xdr:col>
      <xdr:colOff>73819</xdr:colOff>
      <xdr:row>29</xdr:row>
      <xdr:rowOff>47625</xdr:rowOff>
    </xdr:from>
    <xdr:to>
      <xdr:col>13</xdr:col>
      <xdr:colOff>939824</xdr:colOff>
      <xdr:row>34</xdr:row>
      <xdr:rowOff>49524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5C0FCA-C0CD-4310-8EFD-FA19C07A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601994" y="7400925"/>
          <a:ext cx="866005" cy="916299"/>
        </a:xfrm>
        <a:prstGeom prst="rect">
          <a:avLst/>
        </a:prstGeom>
      </xdr:spPr>
    </xdr:pic>
    <xdr:clientData/>
  </xdr:twoCellAnchor>
  <xdr:twoCellAnchor editAs="oneCell">
    <xdr:from>
      <xdr:col>4</xdr:col>
      <xdr:colOff>282308</xdr:colOff>
      <xdr:row>31</xdr:row>
      <xdr:rowOff>43921</xdr:rowOff>
    </xdr:from>
    <xdr:to>
      <xdr:col>4</xdr:col>
      <xdr:colOff>1291957</xdr:colOff>
      <xdr:row>35</xdr:row>
      <xdr:rowOff>53637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37C513-6609-441F-B410-041C8F8ACE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467891" y="7695671"/>
          <a:ext cx="1009649" cy="73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30</xdr:row>
      <xdr:rowOff>28575</xdr:rowOff>
    </xdr:from>
    <xdr:to>
      <xdr:col>15</xdr:col>
      <xdr:colOff>60324</xdr:colOff>
      <xdr:row>35</xdr:row>
      <xdr:rowOff>176530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08E8BD-52AF-47CE-9B79-EED19861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562850"/>
          <a:ext cx="1536700" cy="1062355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43</xdr:row>
      <xdr:rowOff>158752</xdr:rowOff>
    </xdr:from>
    <xdr:ext cx="1466850" cy="1217794"/>
    <xdr:pic>
      <xdr:nvPicPr>
        <xdr:cNvPr id="8" name="Picture 7">
          <a:extLst>
            <a:ext uri="{FF2B5EF4-FFF2-40B4-BE49-F238E27FC236}">
              <a16:creationId xmlns:a16="http://schemas.microsoft.com/office/drawing/2014/main" id="{FBEEF9A8-E5C5-4ABA-8406-611C1E22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10112377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13</xdr:col>
      <xdr:colOff>867832</xdr:colOff>
      <xdr:row>36</xdr:row>
      <xdr:rowOff>63482</xdr:rowOff>
    </xdr:from>
    <xdr:to>
      <xdr:col>15</xdr:col>
      <xdr:colOff>659440</xdr:colOff>
      <xdr:row>40</xdr:row>
      <xdr:rowOff>169332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637A6D-8802-442B-95ED-1AF48996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332" y="8625399"/>
          <a:ext cx="1484942" cy="836100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793750</xdr:colOff>
      <xdr:row>46</xdr:row>
      <xdr:rowOff>95248</xdr:rowOff>
    </xdr:from>
    <xdr:to>
      <xdr:col>4</xdr:col>
      <xdr:colOff>494908</xdr:colOff>
      <xdr:row>52</xdr:row>
      <xdr:rowOff>110560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5B3A0-F6A2-4A9C-A6C3-9F828A17A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9" t="15231"/>
        <a:stretch/>
      </xdr:blipFill>
      <xdr:spPr>
        <a:xfrm rot="21393052">
          <a:off x="836083" y="10530415"/>
          <a:ext cx="2844408" cy="109481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B8D6CB51-4ADF-4446-86AF-79CC0A79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51F3B80-74FA-41E0-B086-AACE3B91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3</xdr:col>
      <xdr:colOff>1633065</xdr:colOff>
      <xdr:row>46</xdr:row>
      <xdr:rowOff>33198</xdr:rowOff>
    </xdr:from>
    <xdr:to>
      <xdr:col>5</xdr:col>
      <xdr:colOff>494203</xdr:colOff>
      <xdr:row>53</xdr:row>
      <xdr:rowOff>97370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36E99-5480-4631-ADA5-C633E6E3A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2987732" y="10457781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54618</xdr:colOff>
      <xdr:row>50</xdr:row>
      <xdr:rowOff>105265</xdr:rowOff>
    </xdr:from>
    <xdr:to>
      <xdr:col>4</xdr:col>
      <xdr:colOff>1035693</xdr:colOff>
      <xdr:row>54</xdr:row>
      <xdr:rowOff>109347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070EB-C3D3-429A-BD40-16A78806D8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346035" y="11249515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860EA3-69FE-4A34-93F0-12171187B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8CB05F0-5EB4-467A-B08A-D43BB17A8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36C0CB9-5F04-499F-B5BE-BBBB0A9AF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680564</xdr:colOff>
      <xdr:row>29</xdr:row>
      <xdr:rowOff>107281</xdr:rowOff>
    </xdr:from>
    <xdr:to>
      <xdr:col>4</xdr:col>
      <xdr:colOff>28534</xdr:colOff>
      <xdr:row>36</xdr:row>
      <xdr:rowOff>150287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7C1038-13B8-44E8-84AD-34291E7F2F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2897" y="7399198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350952</xdr:colOff>
      <xdr:row>31</xdr:row>
      <xdr:rowOff>115849</xdr:rowOff>
    </xdr:from>
    <xdr:to>
      <xdr:col>4</xdr:col>
      <xdr:colOff>1332027</xdr:colOff>
      <xdr:row>35</xdr:row>
      <xdr:rowOff>98765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9873CE-E60F-4E49-A964-AABDE5626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2369" y="7767599"/>
          <a:ext cx="981075" cy="723749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4890A2-BCB4-41D2-AA9F-6606718D76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2CC77EE-2ED4-486F-9706-393481DE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BA802C2-B0B7-47E1-8B6E-0FB1C92EF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2</xdr:col>
      <xdr:colOff>34980</xdr:colOff>
      <xdr:row>46</xdr:row>
      <xdr:rowOff>96697</xdr:rowOff>
    </xdr:from>
    <xdr:to>
      <xdr:col>4</xdr:col>
      <xdr:colOff>187284</xdr:colOff>
      <xdr:row>53</xdr:row>
      <xdr:rowOff>160869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E494E-7E9F-41ED-9B48-EA03CD18D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873180" y="10593247"/>
          <a:ext cx="2590704" cy="1330997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80C417-E631-4C30-8DB4-B73844926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8719" y="11165908"/>
          <a:ext cx="981075" cy="727982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962063-AA9D-4DBC-A8C9-5376FD779D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AFAADF9-B8A2-41D6-963D-64911456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C0F1687-4FEC-4C13-B063-1D832B73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2</xdr:col>
      <xdr:colOff>34980</xdr:colOff>
      <xdr:row>46</xdr:row>
      <xdr:rowOff>96697</xdr:rowOff>
    </xdr:from>
    <xdr:to>
      <xdr:col>4</xdr:col>
      <xdr:colOff>187284</xdr:colOff>
      <xdr:row>53</xdr:row>
      <xdr:rowOff>160869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4464F3-3357-4FE4-AF75-093918FB1F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878623" y="10506161"/>
          <a:ext cx="2587982" cy="1302422"/>
        </a:xfrm>
        <a:prstGeom prst="rect">
          <a:avLst/>
        </a:prstGeom>
      </xdr:spPr>
    </xdr:pic>
    <xdr:clientData/>
  </xdr:twoCellAnchor>
  <xdr:twoCellAnchor editAs="oneCell">
    <xdr:from>
      <xdr:col>4</xdr:col>
      <xdr:colOff>372119</xdr:colOff>
      <xdr:row>49</xdr:row>
      <xdr:rowOff>126433</xdr:rowOff>
    </xdr:from>
    <xdr:to>
      <xdr:col>4</xdr:col>
      <xdr:colOff>1353194</xdr:colOff>
      <xdr:row>53</xdr:row>
      <xdr:rowOff>130515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F6346F-D1E1-4319-A5B2-2A3CE514B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51440" y="11066576"/>
          <a:ext cx="981075" cy="7116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9CB32C-57F5-41C0-A738-54EB7F7A77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7F20029-F4B0-414D-BE3F-62D8630B0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D02D6288-8FE6-4AD3-AB55-612C7D27E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230676-54EA-4554-9055-B53A27FE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628592</xdr:colOff>
      <xdr:row>29</xdr:row>
      <xdr:rowOff>13356</xdr:rowOff>
    </xdr:from>
    <xdr:to>
      <xdr:col>3</xdr:col>
      <xdr:colOff>1911990</xdr:colOff>
      <xdr:row>36</xdr:row>
      <xdr:rowOff>52013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3F0D5C-6B42-45A2-81BC-62D31589D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4311" y="7395231"/>
          <a:ext cx="2581179" cy="1312626"/>
        </a:xfrm>
        <a:prstGeom prst="rect">
          <a:avLst/>
        </a:prstGeom>
      </xdr:spPr>
    </xdr:pic>
    <xdr:clientData/>
  </xdr:twoCellAnchor>
  <xdr:twoCellAnchor editAs="oneCell">
    <xdr:from>
      <xdr:col>4</xdr:col>
      <xdr:colOff>339802</xdr:colOff>
      <xdr:row>31</xdr:row>
      <xdr:rowOff>31184</xdr:rowOff>
    </xdr:from>
    <xdr:to>
      <xdr:col>4</xdr:col>
      <xdr:colOff>1320877</xdr:colOff>
      <xdr:row>35</xdr:row>
      <xdr:rowOff>11453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1BEAB-7E1D-4ED4-A303-444AF014B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02115" y="7770247"/>
          <a:ext cx="981075" cy="718456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4E99CF-2CBA-491F-9070-446A106EC3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0C1A8756-7E73-441B-8FD8-398C5A46B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E2B72A-9B0B-4DBB-B125-6A524BA06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0B602C-72AF-43B0-B81C-D251D1B57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2</xdr:col>
      <xdr:colOff>211872</xdr:colOff>
      <xdr:row>44</xdr:row>
      <xdr:rowOff>1449</xdr:rowOff>
    </xdr:from>
    <xdr:to>
      <xdr:col>4</xdr:col>
      <xdr:colOff>364176</xdr:colOff>
      <xdr:row>51</xdr:row>
      <xdr:rowOff>52013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967707-6B25-47CC-A73D-053D48B557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1055515" y="10043520"/>
          <a:ext cx="2587982" cy="1302422"/>
        </a:xfrm>
        <a:prstGeom prst="rect">
          <a:avLst/>
        </a:prstGeom>
      </xdr:spPr>
    </xdr:pic>
    <xdr:clientData/>
  </xdr:twoCellAnchor>
  <xdr:twoCellAnchor editAs="oneCell">
    <xdr:from>
      <xdr:col>4</xdr:col>
      <xdr:colOff>589833</xdr:colOff>
      <xdr:row>46</xdr:row>
      <xdr:rowOff>31184</xdr:rowOff>
    </xdr:from>
    <xdr:to>
      <xdr:col>4</xdr:col>
      <xdr:colOff>1570908</xdr:colOff>
      <xdr:row>50</xdr:row>
      <xdr:rowOff>35265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AF01EC-C50D-4551-AF31-83073E912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869154" y="10440648"/>
          <a:ext cx="981075" cy="7116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7AEF8C-CC7D-4217-9992-478DBD363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61B2B0DE-6E46-4CA4-A3A2-BC879C89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BC68A9E6-7CC2-4A92-A07B-50ABB36C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10C555-8D47-4146-A582-6B4E28BE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FD63E7-D895-4F2E-9E6C-946521426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4A3BA3-FAEA-41F7-B3D3-5A19126EB1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3E4AA8-AAD9-45E3-8DBA-D14AC29D96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5F571AA-F540-46FA-A941-40881F447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B185DB3-6401-44A9-8BFB-E2D937B96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5B324-F32A-42D3-91E8-A575C6DE7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23BE97-4D1E-469E-B478-46EEEDAD7A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96AAC4-B2DE-4B11-B0EB-99DBBA9731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0EE8E6-0EC8-491E-8465-E93C4BCC70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C23EE8D-DE4E-4EA4-B082-269FB24FF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7E7361C-4DCD-4125-B7A2-D0B1B3AE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574732</xdr:colOff>
      <xdr:row>36</xdr:row>
      <xdr:rowOff>12032</xdr:rowOff>
    </xdr:from>
    <xdr:to>
      <xdr:col>3</xdr:col>
      <xdr:colOff>1859452</xdr:colOff>
      <xdr:row>43</xdr:row>
      <xdr:rowOff>33871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2271A4-6D0D-4261-AEBC-E50402E77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17065" y="8584532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425035</xdr:colOff>
      <xdr:row>30</xdr:row>
      <xdr:rowOff>147599</xdr:rowOff>
    </xdr:from>
    <xdr:to>
      <xdr:col>4</xdr:col>
      <xdr:colOff>1406110</xdr:colOff>
      <xdr:row>34</xdr:row>
      <xdr:rowOff>130514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99F51E-390A-466A-985C-094154044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16452" y="7619432"/>
          <a:ext cx="981075" cy="72374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2AE08541-C1A7-494C-AD1B-E346ACF3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F8A9D86-84BC-4DA8-86A3-0C0F7E6D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229898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25B507-CBB5-49AB-AB94-05709A4E2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674515</xdr:colOff>
      <xdr:row>29</xdr:row>
      <xdr:rowOff>15054</xdr:rowOff>
    </xdr:from>
    <xdr:to>
      <xdr:col>4</xdr:col>
      <xdr:colOff>23997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2E2908-797E-48F4-9C6F-09E87E44F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6848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358512</xdr:colOff>
      <xdr:row>31</xdr:row>
      <xdr:rowOff>99219</xdr:rowOff>
    </xdr:from>
    <xdr:to>
      <xdr:col>4</xdr:col>
      <xdr:colOff>1339587</xdr:colOff>
      <xdr:row>35</xdr:row>
      <xdr:rowOff>76087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11E543-45CB-43CA-B4F4-BED233E822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49929" y="77509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992860-1018-4870-97DE-8AABA7FFA6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5C0687F2-3A87-4A4B-A6D0-00F765EC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E3F7BD0-CAD2-4D12-8FA0-29E198CB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459859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3EE423-FF2E-4D5D-ABE5-9A4901D4A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683252</xdr:colOff>
      <xdr:row>29</xdr:row>
      <xdr:rowOff>67187</xdr:rowOff>
    </xdr:from>
    <xdr:to>
      <xdr:col>3</xdr:col>
      <xdr:colOff>1789712</xdr:colOff>
      <xdr:row>36</xdr:row>
      <xdr:rowOff>16098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3156A0-07B7-40C4-944D-894BA4DFD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1352" y="7420487"/>
          <a:ext cx="2411385" cy="1234786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31</xdr:row>
      <xdr:rowOff>19050</xdr:rowOff>
    </xdr:from>
    <xdr:to>
      <xdr:col>4</xdr:col>
      <xdr:colOff>1343026</xdr:colOff>
      <xdr:row>35</xdr:row>
      <xdr:rowOff>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8D51C-FB5E-4EFE-846E-793A3C3D4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8551" y="7734300"/>
          <a:ext cx="981075" cy="724580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4D8AEA-416F-482E-A793-9542FE2EC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304D43F-75A0-46CE-8165-A9197215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5FA24BAF-6C0D-4156-90C5-465F9F71A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5F493D-4132-4E28-970B-60A81D8F9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727433</xdr:colOff>
      <xdr:row>29</xdr:row>
      <xdr:rowOff>57388</xdr:rowOff>
    </xdr:from>
    <xdr:to>
      <xdr:col>4</xdr:col>
      <xdr:colOff>76915</xdr:colOff>
      <xdr:row>36</xdr:row>
      <xdr:rowOff>94346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063B5C-7C82-40C0-BC8F-F35ABEBFC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69766" y="7349305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400845</xdr:colOff>
      <xdr:row>31</xdr:row>
      <xdr:rowOff>56886</xdr:rowOff>
    </xdr:from>
    <xdr:to>
      <xdr:col>4</xdr:col>
      <xdr:colOff>1381920</xdr:colOff>
      <xdr:row>35</xdr:row>
      <xdr:rowOff>33754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2A6E5A-E721-4F99-966C-E8F3CFFAA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2262" y="7708636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8E1FA2-FBC9-4B83-8793-4A01AE6FA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FEFDF0-58D0-4F15-9D84-748E5B1F9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47567" y="825500"/>
          <a:ext cx="5757079" cy="121937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C945475E-0D9A-4FCF-AEEE-E3AB10ED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E4CEF9D-86DF-4238-8858-16A75EA5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C311A0-A141-4CB6-A700-D391AE7D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621600</xdr:colOff>
      <xdr:row>29</xdr:row>
      <xdr:rowOff>15054</xdr:rowOff>
    </xdr:from>
    <xdr:to>
      <xdr:col>3</xdr:col>
      <xdr:colOff>1907832</xdr:colOff>
      <xdr:row>36</xdr:row>
      <xdr:rowOff>52012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D654AB-5AC0-4612-B55C-FECA75C4D4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63933" y="7306971"/>
          <a:ext cx="2598566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347929</xdr:colOff>
      <xdr:row>31</xdr:row>
      <xdr:rowOff>35719</xdr:rowOff>
    </xdr:from>
    <xdr:to>
      <xdr:col>4</xdr:col>
      <xdr:colOff>1329004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003B91-D28B-405F-9F69-4AFF4E34E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9346" y="7687469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3815C9-3D43-48E5-9C9F-B943C521DB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179917</xdr:colOff>
      <xdr:row>0</xdr:row>
      <xdr:rowOff>825500</xdr:rowOff>
    </xdr:from>
    <xdr:to>
      <xdr:col>17</xdr:col>
      <xdr:colOff>545846</xdr:colOff>
      <xdr:row>4</xdr:row>
      <xdr:rowOff>139870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06DD44-9621-AC84-4344-223BA86D1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64500" y="825500"/>
          <a:ext cx="5763429" cy="121937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5ADDA23-52D1-4FCE-854C-83A3425E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E294B48-0B6D-424A-AE8F-274A91927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12</xdr:col>
      <xdr:colOff>805934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EC9EC5-F0BF-432E-A9EA-D3C30B39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653349</xdr:colOff>
      <xdr:row>29</xdr:row>
      <xdr:rowOff>4470</xdr:rowOff>
    </xdr:from>
    <xdr:to>
      <xdr:col>4</xdr:col>
      <xdr:colOff>7593</xdr:colOff>
      <xdr:row>36</xdr:row>
      <xdr:rowOff>41428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4E0D05-0FCC-4764-A5B2-7783E82F7A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95682" y="7296387"/>
          <a:ext cx="2595391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411428</xdr:colOff>
      <xdr:row>31</xdr:row>
      <xdr:rowOff>14552</xdr:rowOff>
    </xdr:from>
    <xdr:to>
      <xdr:col>4</xdr:col>
      <xdr:colOff>1392503</xdr:colOff>
      <xdr:row>34</xdr:row>
      <xdr:rowOff>171336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E9CDA0-15A4-4C3D-B666-D7EF4DAE65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02845" y="7666302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A99855-926D-4408-8E04-068A2FEF6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12</xdr:col>
      <xdr:colOff>227542</xdr:colOff>
      <xdr:row>0</xdr:row>
      <xdr:rowOff>510644</xdr:rowOff>
    </xdr:from>
    <xdr:to>
      <xdr:col>23</xdr:col>
      <xdr:colOff>366608</xdr:colOff>
      <xdr:row>17</xdr:row>
      <xdr:rowOff>99822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D84B54-FDED-F154-F6B7-135A513E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47730" y="510644"/>
          <a:ext cx="8699659" cy="4375491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F397ECD-20D3-48C5-A7D3-D383A42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81C624F-B57A-4C0A-8F47-22879C8B7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D8473A-4DF4-48DA-B1AF-947729000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558099</xdr:colOff>
      <xdr:row>49</xdr:row>
      <xdr:rowOff>4473</xdr:rowOff>
    </xdr:from>
    <xdr:to>
      <xdr:col>3</xdr:col>
      <xdr:colOff>1841156</xdr:colOff>
      <xdr:row>56</xdr:row>
      <xdr:rowOff>62597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B0E6B1-7F57-4FEA-BD82-F4F0D26BD7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0432" y="10968806"/>
          <a:ext cx="2595391" cy="1317541"/>
        </a:xfrm>
        <a:prstGeom prst="rect">
          <a:avLst/>
        </a:prstGeom>
      </xdr:spPr>
    </xdr:pic>
    <xdr:clientData/>
  </xdr:twoCellAnchor>
  <xdr:twoCellAnchor editAs="oneCell">
    <xdr:from>
      <xdr:col>4</xdr:col>
      <xdr:colOff>305595</xdr:colOff>
      <xdr:row>45</xdr:row>
      <xdr:rowOff>162719</xdr:rowOff>
    </xdr:from>
    <xdr:to>
      <xdr:col>4</xdr:col>
      <xdr:colOff>1286670</xdr:colOff>
      <xdr:row>49</xdr:row>
      <xdr:rowOff>160754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47AA27-89C3-46C0-AAEE-E83EFF7617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97012" y="10407386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FA49DD-454C-488D-AAD3-D5DB3D892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DB6132DB-29D9-4864-B6F2-ABA6D944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4D6A8CA4-8CCF-4989-A015-59D97EB2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1AE15-AA61-443E-8A59-1625E0FC4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681438</xdr:colOff>
      <xdr:row>29</xdr:row>
      <xdr:rowOff>107527</xdr:rowOff>
    </xdr:from>
    <xdr:to>
      <xdr:col>3</xdr:col>
      <xdr:colOff>1716870</xdr:colOff>
      <xdr:row>36</xdr:row>
      <xdr:rowOff>18779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B0D783-3DCF-443B-9139-C66DD38EDE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23771" y="7399444"/>
          <a:ext cx="2347766" cy="1191835"/>
        </a:xfrm>
        <a:prstGeom prst="rect">
          <a:avLst/>
        </a:prstGeom>
      </xdr:spPr>
    </xdr:pic>
    <xdr:clientData/>
  </xdr:twoCellAnchor>
  <xdr:twoCellAnchor editAs="oneCell">
    <xdr:from>
      <xdr:col>4</xdr:col>
      <xdr:colOff>379678</xdr:colOff>
      <xdr:row>31</xdr:row>
      <xdr:rowOff>78052</xdr:rowOff>
    </xdr:from>
    <xdr:to>
      <xdr:col>4</xdr:col>
      <xdr:colOff>1360753</xdr:colOff>
      <xdr:row>35</xdr:row>
      <xdr:rowOff>54920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0E12F6-0134-47BF-8383-1FC138485E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71095" y="7729802"/>
          <a:ext cx="981075" cy="717701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569A34-D361-4FBC-BD74-3A702C548F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560916</xdr:colOff>
      <xdr:row>0</xdr:row>
      <xdr:rowOff>539750</xdr:rowOff>
    </xdr:from>
    <xdr:to>
      <xdr:col>18</xdr:col>
      <xdr:colOff>408960</xdr:colOff>
      <xdr:row>20</xdr:row>
      <xdr:rowOff>163696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EC804-11AB-6165-4D7C-60BF68A5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23083" y="539750"/>
          <a:ext cx="3181794" cy="5106113"/>
        </a:xfrm>
        <a:prstGeom prst="rect">
          <a:avLst/>
        </a:prstGeom>
      </xdr:spPr>
    </xdr:pic>
    <xdr:clientData/>
  </xdr:twoCellAnchor>
  <xdr:twoCellAnchor editAs="oneCell">
    <xdr:from>
      <xdr:col>12</xdr:col>
      <xdr:colOff>513290</xdr:colOff>
      <xdr:row>11</xdr:row>
      <xdr:rowOff>231510</xdr:rowOff>
    </xdr:from>
    <xdr:to>
      <xdr:col>13</xdr:col>
      <xdr:colOff>1071562</xdr:colOff>
      <xdr:row>21</xdr:row>
      <xdr:rowOff>148836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7B7F11-3992-7164-4C0E-37D664715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47728" y="3517635"/>
          <a:ext cx="1165490" cy="241763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EDEA3156-1F6D-4305-9D90-983E797A2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C45C8447-C490-4E83-968D-85D9E277F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F9656-C1CE-4C7A-B643-ED9F88B5A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621597</xdr:colOff>
      <xdr:row>29</xdr:row>
      <xdr:rowOff>4471</xdr:rowOff>
    </xdr:from>
    <xdr:to>
      <xdr:col>3</xdr:col>
      <xdr:colOff>1904654</xdr:colOff>
      <xdr:row>36</xdr:row>
      <xdr:rowOff>41429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857347-A7BC-4714-B7E8-25E0F69C41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57316" y="7386346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369095</xdr:colOff>
      <xdr:row>31</xdr:row>
      <xdr:rowOff>35719</xdr:rowOff>
    </xdr:from>
    <xdr:to>
      <xdr:col>4</xdr:col>
      <xdr:colOff>1350170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A26D9D-3792-47F3-82A1-D56557728B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8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B6938F-8C07-4EA8-9806-CCC14A2DB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A68BC085-7541-4592-B2FA-A914B31F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2B0DCF39-2B9F-4C57-8E76-8BFBD825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F40BFB-5951-406D-9B3E-EC8A95792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573972</xdr:colOff>
      <xdr:row>29</xdr:row>
      <xdr:rowOff>64004</xdr:rowOff>
    </xdr:from>
    <xdr:to>
      <xdr:col>3</xdr:col>
      <xdr:colOff>1857029</xdr:colOff>
      <xdr:row>36</xdr:row>
      <xdr:rowOff>100962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5C8CAD-A855-4292-901B-8BCD678D5A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09691" y="7445879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452439</xdr:colOff>
      <xdr:row>31</xdr:row>
      <xdr:rowOff>35719</xdr:rowOff>
    </xdr:from>
    <xdr:to>
      <xdr:col>4</xdr:col>
      <xdr:colOff>1433514</xdr:colOff>
      <xdr:row>35</xdr:row>
      <xdr:rowOff>12587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0351E4-8A19-4FDD-8795-7FE7241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714752" y="7774782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C091BD-FA08-42E0-9490-8E5E96B87D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166688</xdr:colOff>
      <xdr:row>0</xdr:row>
      <xdr:rowOff>607219</xdr:rowOff>
    </xdr:from>
    <xdr:to>
      <xdr:col>18</xdr:col>
      <xdr:colOff>74655</xdr:colOff>
      <xdr:row>16</xdr:row>
      <xdr:rowOff>71996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6B995F-CE45-9BD8-4BC3-3C03F8B5C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12907" y="607219"/>
          <a:ext cx="5992061" cy="4001058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44B312BD-C1C3-49F6-AC90-BD2D8F98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1324A1A7-4467-4167-8547-A25C4AF9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39F818-350F-4138-B6E4-0723289E5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312034</xdr:colOff>
      <xdr:row>44</xdr:row>
      <xdr:rowOff>135443</xdr:rowOff>
    </xdr:from>
    <xdr:to>
      <xdr:col>3</xdr:col>
      <xdr:colOff>1595091</xdr:colOff>
      <xdr:row>52</xdr:row>
      <xdr:rowOff>5714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F3221-CBBD-46B7-9E3E-08AFD1C6B5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347753" y="10267662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261939</xdr:colOff>
      <xdr:row>46</xdr:row>
      <xdr:rowOff>71438</xdr:rowOff>
    </xdr:from>
    <xdr:to>
      <xdr:col>4</xdr:col>
      <xdr:colOff>1243014</xdr:colOff>
      <xdr:row>50</xdr:row>
      <xdr:rowOff>72118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AE4093-CD9D-4CBC-B0E3-3B47FA2BF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24252" y="10572751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3E8F01-61D4-4FA5-A718-CC50034D3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99C6451-DBD6-4408-95A1-965537EB7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16ADCF4-2B5F-4890-AD10-7B72446E6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648816</xdr:colOff>
      <xdr:row>36</xdr:row>
      <xdr:rowOff>54365</xdr:rowOff>
    </xdr:from>
    <xdr:to>
      <xdr:col>3</xdr:col>
      <xdr:colOff>1933536</xdr:colOff>
      <xdr:row>43</xdr:row>
      <xdr:rowOff>76204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9F11B-D62B-4BDC-9F67-6910E3836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91149" y="8626865"/>
          <a:ext cx="2597054" cy="1323589"/>
        </a:xfrm>
        <a:prstGeom prst="rect">
          <a:avLst/>
        </a:prstGeom>
      </xdr:spPr>
    </xdr:pic>
    <xdr:clientData/>
  </xdr:twoCellAnchor>
  <xdr:twoCellAnchor editAs="oneCell">
    <xdr:from>
      <xdr:col>4</xdr:col>
      <xdr:colOff>319202</xdr:colOff>
      <xdr:row>31</xdr:row>
      <xdr:rowOff>31183</xdr:rowOff>
    </xdr:from>
    <xdr:to>
      <xdr:col>4</xdr:col>
      <xdr:colOff>1300277</xdr:colOff>
      <xdr:row>35</xdr:row>
      <xdr:rowOff>14099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D67693-250F-48FE-A504-3D94E08A23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10619" y="7682933"/>
          <a:ext cx="981075" cy="72374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7DCB8E65-FE14-440A-8687-A31C5630D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3243B4F1-E2DF-462D-9126-ECADE176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009DBC-0900-4D34-ACBF-47333B71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514438</xdr:colOff>
      <xdr:row>44</xdr:row>
      <xdr:rowOff>4471</xdr:rowOff>
    </xdr:from>
    <xdr:to>
      <xdr:col>3</xdr:col>
      <xdr:colOff>1797495</xdr:colOff>
      <xdr:row>51</xdr:row>
      <xdr:rowOff>53336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011027-FDC9-490B-A9F7-370FF1662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50157" y="10136690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46</xdr:row>
      <xdr:rowOff>95250</xdr:rowOff>
    </xdr:from>
    <xdr:to>
      <xdr:col>4</xdr:col>
      <xdr:colOff>981076</xdr:colOff>
      <xdr:row>50</xdr:row>
      <xdr:rowOff>95930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2A8003-CCE1-4BA1-AA95-945FB76D86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262314" y="10596563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E71A08-F947-4C7C-AC5B-B2EB21F59F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8DE3E38-4EBA-4FF3-97A8-C247E61CD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8775DC69-A630-4B76-817B-A4B1F134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82AAE9-9056-412E-BC17-C745487E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431096</xdr:colOff>
      <xdr:row>29</xdr:row>
      <xdr:rowOff>40190</xdr:rowOff>
    </xdr:from>
    <xdr:to>
      <xdr:col>3</xdr:col>
      <xdr:colOff>1714153</xdr:colOff>
      <xdr:row>36</xdr:row>
      <xdr:rowOff>77148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5F7D79-B542-48F6-9183-08F55B95D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466815" y="7422065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285752</xdr:colOff>
      <xdr:row>31</xdr:row>
      <xdr:rowOff>119062</xdr:rowOff>
    </xdr:from>
    <xdr:to>
      <xdr:col>4</xdr:col>
      <xdr:colOff>1266827</xdr:colOff>
      <xdr:row>35</xdr:row>
      <xdr:rowOff>95930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2E50D7-063A-42CA-8942-42B6904898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48065" y="7858125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8E339B-D697-4B40-9B20-B014462410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F616360-A314-4FA4-B690-95FAF70C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01DC2F16-6C03-490E-8DBF-F8CCF463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D0F8FA-70D2-498E-A1DC-8B75E1CA2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1</xdr:col>
      <xdr:colOff>538252</xdr:colOff>
      <xdr:row>29</xdr:row>
      <xdr:rowOff>40190</xdr:rowOff>
    </xdr:from>
    <xdr:to>
      <xdr:col>3</xdr:col>
      <xdr:colOff>1821309</xdr:colOff>
      <xdr:row>36</xdr:row>
      <xdr:rowOff>77148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84B733-EE0F-4D11-B5FE-872604E58C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573971" y="7422065"/>
          <a:ext cx="2580838" cy="1310927"/>
        </a:xfrm>
        <a:prstGeom prst="rect">
          <a:avLst/>
        </a:prstGeom>
      </xdr:spPr>
    </xdr:pic>
    <xdr:clientData/>
  </xdr:twoCellAnchor>
  <xdr:twoCellAnchor editAs="oneCell">
    <xdr:from>
      <xdr:col>4</xdr:col>
      <xdr:colOff>369095</xdr:colOff>
      <xdr:row>31</xdr:row>
      <xdr:rowOff>59532</xdr:rowOff>
    </xdr:from>
    <xdr:to>
      <xdr:col>4</xdr:col>
      <xdr:colOff>1350170</xdr:colOff>
      <xdr:row>35</xdr:row>
      <xdr:rowOff>36400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C7ED41-D826-4C96-8A40-768B3A5D2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31408" y="7798595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650D0F-59C6-4894-8D83-87B384491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47750" y="10477500"/>
          <a:ext cx="981075" cy="715055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83343</xdr:colOff>
      <xdr:row>3</xdr:row>
      <xdr:rowOff>238124</xdr:rowOff>
    </xdr:from>
    <xdr:to>
      <xdr:col>16</xdr:col>
      <xdr:colOff>591203</xdr:colOff>
      <xdr:row>22</xdr:row>
      <xdr:rowOff>117293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1D0D90-2399-315A-1C7C-1F0D2A790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79593" y="1762124"/>
          <a:ext cx="4686954" cy="43916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3AB5D64A-E4A4-4505-84F6-D6B307F2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EF16B287-1E3F-4463-ABFA-3BCDD7100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</xdr:col>
      <xdr:colOff>606482</xdr:colOff>
      <xdr:row>35</xdr:row>
      <xdr:rowOff>156227</xdr:rowOff>
    </xdr:from>
    <xdr:to>
      <xdr:col>3</xdr:col>
      <xdr:colOff>1889880</xdr:colOff>
      <xdr:row>42</xdr:row>
      <xdr:rowOff>172774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74A7B-BEE4-47CE-A7BC-37FBE999A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642201" y="8633477"/>
          <a:ext cx="2581179" cy="1314328"/>
        </a:xfrm>
        <a:prstGeom prst="rect">
          <a:avLst/>
        </a:prstGeom>
      </xdr:spPr>
    </xdr:pic>
    <xdr:clientData/>
  </xdr:twoCellAnchor>
  <xdr:twoCellAnchor editAs="oneCell">
    <xdr:from>
      <xdr:col>4</xdr:col>
      <xdr:colOff>312589</xdr:colOff>
      <xdr:row>30</xdr:row>
      <xdr:rowOff>162152</xdr:rowOff>
    </xdr:from>
    <xdr:to>
      <xdr:col>4</xdr:col>
      <xdr:colOff>1293664</xdr:colOff>
      <xdr:row>34</xdr:row>
      <xdr:rowOff>142422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031E1-996F-4A08-8D3B-86F532A21F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574902" y="7722621"/>
          <a:ext cx="981075" cy="718457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</xdr:colOff>
      <xdr:row>45</xdr:row>
      <xdr:rowOff>154781</xdr:rowOff>
    </xdr:from>
    <xdr:to>
      <xdr:col>3</xdr:col>
      <xdr:colOff>695325</xdr:colOff>
      <xdr:row>49</xdr:row>
      <xdr:rowOff>155461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A05AE3-A165-4AB6-909C-528F4564B0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1052512" y="10470356"/>
          <a:ext cx="985838" cy="724580"/>
        </a:xfrm>
        <a:prstGeom prst="rect">
          <a:avLst/>
        </a:prstGeom>
      </xdr:spPr>
    </xdr:pic>
    <xdr:clientData/>
  </xdr:two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7" name="Picture 6">
          <a:extLst>
            <a:ext uri="{FF2B5EF4-FFF2-40B4-BE49-F238E27FC236}">
              <a16:creationId xmlns:a16="http://schemas.microsoft.com/office/drawing/2014/main" id="{7FCAF80F-90F9-41AE-9154-794C2425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7229475"/>
          <a:ext cx="1466850" cy="121779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781052</xdr:colOff>
      <xdr:row>0</xdr:row>
      <xdr:rowOff>28575</xdr:rowOff>
    </xdr:from>
    <xdr:ext cx="3752848" cy="583787"/>
    <xdr:pic>
      <xdr:nvPicPr>
        <xdr:cNvPr id="2" name="Picture 2">
          <a:extLst>
            <a:ext uri="{FF2B5EF4-FFF2-40B4-BE49-F238E27FC236}">
              <a16:creationId xmlns:a16="http://schemas.microsoft.com/office/drawing/2014/main" id="{1CC9DA90-E588-4FEB-97C9-45512EAA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2" y="28575"/>
          <a:ext cx="3752848" cy="58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428625</xdr:colOff>
      <xdr:row>26</xdr:row>
      <xdr:rowOff>219075</xdr:rowOff>
    </xdr:from>
    <xdr:ext cx="1466850" cy="1217794"/>
    <xdr:pic>
      <xdr:nvPicPr>
        <xdr:cNvPr id="3" name="Picture 2">
          <a:extLst>
            <a:ext uri="{FF2B5EF4-FFF2-40B4-BE49-F238E27FC236}">
              <a16:creationId xmlns:a16="http://schemas.microsoft.com/office/drawing/2014/main" id="{9AA86C4E-73F0-4B3B-B055-902F9B2C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3EA"/>
            </a:clrFrom>
            <a:clrTo>
              <a:srgbClr val="F7F3E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7350" y="7229475"/>
          <a:ext cx="1466850" cy="1217794"/>
        </a:xfrm>
        <a:prstGeom prst="rect">
          <a:avLst/>
        </a:prstGeom>
      </xdr:spPr>
    </xdr:pic>
    <xdr:clientData/>
  </xdr:oneCellAnchor>
  <xdr:twoCellAnchor editAs="oneCell">
    <xdr:from>
      <xdr:col>11</xdr:col>
      <xdr:colOff>628650</xdr:colOff>
      <xdr:row>21</xdr:row>
      <xdr:rowOff>209551</xdr:rowOff>
    </xdr:from>
    <xdr:to>
      <xdr:col>13</xdr:col>
      <xdr:colOff>488434</xdr:colOff>
      <xdr:row>26</xdr:row>
      <xdr:rowOff>37882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E5411C-4957-41D5-8692-D646CCB43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50649" y1="20147" x2="51623" y2="53114"/>
                      <a14:foregroundMark x1="51299" y1="51282" x2="54870" y2="83150"/>
                      <a14:foregroundMark x1="56494" y1="33700" x2="58442" y2="61538"/>
                      <a14:foregroundMark x1="56169" y1="33333" x2="54870" y2="39194"/>
                      <a14:foregroundMark x1="54870" y1="39194" x2="53896" y2="48718"/>
                      <a14:foregroundMark x1="61039" y1="38095" x2="61364" y2="45055"/>
                    </a14:backgroundRemoval>
                  </a14:imgEffect>
                  <a14:imgEffect>
                    <a14:artisticPhotocopy/>
                  </a14:imgEffect>
                  <a14:imgEffect>
                    <a14:colorTemperature colorTemp="5900"/>
                  </a14:imgEffect>
                  <a14:imgEffect>
                    <a14:saturation sat="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70364">
          <a:off x="8743950" y="5981701"/>
          <a:ext cx="1202809" cy="1066581"/>
        </a:xfrm>
        <a:prstGeom prst="rect">
          <a:avLst/>
        </a:prstGeom>
      </xdr:spPr>
    </xdr:pic>
    <xdr:clientData/>
  </xdr:twoCellAnchor>
  <xdr:twoCellAnchor editAs="oneCell">
    <xdr:from>
      <xdr:col>4</xdr:col>
      <xdr:colOff>404813</xdr:colOff>
      <xdr:row>31</xdr:row>
      <xdr:rowOff>27781</xdr:rowOff>
    </xdr:from>
    <xdr:to>
      <xdr:col>4</xdr:col>
      <xdr:colOff>1393826</xdr:colOff>
      <xdr:row>35</xdr:row>
      <xdr:rowOff>7294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A73620-CE4D-4B6A-9A26-BB6570367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17426" r="5760" b="6142"/>
        <a:stretch/>
      </xdr:blipFill>
      <xdr:spPr>
        <a:xfrm>
          <a:off x="3696230" y="7679531"/>
          <a:ext cx="989013" cy="720346"/>
        </a:xfrm>
        <a:prstGeom prst="rect">
          <a:avLst/>
        </a:prstGeom>
      </xdr:spPr>
    </xdr:pic>
    <xdr:clientData/>
  </xdr:twoCellAnchor>
  <xdr:twoCellAnchor editAs="oneCell">
    <xdr:from>
      <xdr:col>1</xdr:col>
      <xdr:colOff>668663</xdr:colOff>
      <xdr:row>35</xdr:row>
      <xdr:rowOff>148291</xdr:rowOff>
    </xdr:from>
    <xdr:to>
      <xdr:col>4</xdr:col>
      <xdr:colOff>17955</xdr:colOff>
      <xdr:row>42</xdr:row>
      <xdr:rowOff>174099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71DBB3-F2DA-4539-B4EB-D1790541B8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/>
        <a:stretch/>
      </xdr:blipFill>
      <xdr:spPr>
        <a:xfrm rot="21386512">
          <a:off x="710996" y="8540874"/>
          <a:ext cx="2598376" cy="13275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NBI\RS,PO,Deposit,2307\Requisition%20Slip\SYSTEM\2023%20Davao%20Requisition%20Slip.xlsm" TargetMode="External"/><Relationship Id="rId1" Type="http://schemas.openxmlformats.org/officeDocument/2006/relationships/externalLinkPath" Target="/Users/User/Documents/NBI/RS,PO,Deposit,2307/Requisition%20Slip/SYSTEM/2023%20Davao%20Requisition%20Sli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ie\request%20file\MAYIE%20FILES_MAINTENANCE\MAYIE\excel%20file\PAYABLES_MAINTENANCE%20per%20SUPPLI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44"/>
      <sheetName val="243"/>
      <sheetName val="242"/>
      <sheetName val="241"/>
      <sheetName val="240"/>
      <sheetName val="239"/>
      <sheetName val="238"/>
      <sheetName val="237"/>
      <sheetName val="236"/>
      <sheetName val="235"/>
      <sheetName val="234"/>
      <sheetName val="233"/>
      <sheetName val="232"/>
      <sheetName val="231"/>
      <sheetName val="230"/>
      <sheetName val="229"/>
      <sheetName val="228"/>
      <sheetName val="227"/>
      <sheetName val="226"/>
      <sheetName val="225"/>
      <sheetName val="224"/>
      <sheetName val="223"/>
      <sheetName val="222"/>
      <sheetName val="221"/>
      <sheetName val="220"/>
      <sheetName val="219"/>
      <sheetName val="218"/>
      <sheetName val="217"/>
      <sheetName val="216"/>
      <sheetName val="215"/>
      <sheetName val="214"/>
      <sheetName val="213"/>
      <sheetName val="212"/>
      <sheetName val="211"/>
      <sheetName val="210"/>
      <sheetName val="209"/>
      <sheetName val="208"/>
      <sheetName val="207"/>
      <sheetName val="206"/>
      <sheetName val="205"/>
      <sheetName val="204"/>
      <sheetName val="203"/>
      <sheetName val="202"/>
      <sheetName val="201"/>
      <sheetName val="200"/>
      <sheetName val="199"/>
      <sheetName val="198"/>
      <sheetName val="197"/>
      <sheetName val="196"/>
      <sheetName val="195"/>
      <sheetName val="194"/>
      <sheetName val="193"/>
      <sheetName val="192"/>
      <sheetName val="191"/>
      <sheetName val="190"/>
      <sheetName val="189"/>
      <sheetName val="188"/>
      <sheetName val="187"/>
      <sheetName val="186"/>
      <sheetName val="185"/>
      <sheetName val="184"/>
      <sheetName val="183"/>
      <sheetName val="182"/>
      <sheetName val="181"/>
      <sheetName val="180"/>
      <sheetName val="179"/>
      <sheetName val="178"/>
      <sheetName val="177"/>
      <sheetName val="176"/>
      <sheetName val="175"/>
      <sheetName val="174"/>
      <sheetName val="173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5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3"/>
      <sheetName val="142"/>
      <sheetName val="141"/>
      <sheetName val="140"/>
      <sheetName val="139"/>
      <sheetName val="138"/>
      <sheetName val="137"/>
      <sheetName val="136"/>
      <sheetName val="135"/>
      <sheetName val="134"/>
      <sheetName val="133"/>
      <sheetName val="132"/>
      <sheetName val="131"/>
      <sheetName val="130"/>
      <sheetName val="129"/>
      <sheetName val="128"/>
      <sheetName val="127"/>
      <sheetName val="126"/>
      <sheetName val="125"/>
      <sheetName val="124"/>
      <sheetName val="123"/>
      <sheetName val="122"/>
      <sheetName val="121"/>
      <sheetName val="120"/>
      <sheetName val="119"/>
      <sheetName val="118"/>
      <sheetName val="117"/>
      <sheetName val="116"/>
      <sheetName val="115"/>
      <sheetName val="114"/>
      <sheetName val="113"/>
      <sheetName val="112"/>
      <sheetName val="111"/>
      <sheetName val="110"/>
      <sheetName val="109"/>
      <sheetName val="108"/>
      <sheetName val="107"/>
      <sheetName val="106"/>
      <sheetName val="105"/>
      <sheetName val="104"/>
      <sheetName val="103"/>
      <sheetName val="102"/>
      <sheetName val="101"/>
      <sheetName val="100"/>
      <sheetName val="099"/>
      <sheetName val="098"/>
      <sheetName val="097"/>
      <sheetName val="096"/>
      <sheetName val="095"/>
      <sheetName val="094"/>
      <sheetName val="093"/>
      <sheetName val="092"/>
      <sheetName val="091"/>
      <sheetName val="090"/>
      <sheetName val="089"/>
      <sheetName val="088"/>
      <sheetName val="087"/>
      <sheetName val="086"/>
      <sheetName val="085"/>
      <sheetName val="084"/>
      <sheetName val="083"/>
      <sheetName val="082"/>
      <sheetName val="081"/>
      <sheetName val="080"/>
      <sheetName val="079"/>
      <sheetName val="078"/>
      <sheetName val="077"/>
      <sheetName val="076"/>
      <sheetName val="075"/>
      <sheetName val="074"/>
      <sheetName val="073"/>
      <sheetName val="072"/>
      <sheetName val="071"/>
      <sheetName val="070"/>
      <sheetName val="069"/>
      <sheetName val="068"/>
      <sheetName val="067"/>
      <sheetName val="066"/>
      <sheetName val="065"/>
      <sheetName val="064"/>
      <sheetName val="063"/>
      <sheetName val="062"/>
      <sheetName val="061"/>
      <sheetName val="060"/>
      <sheetName val="059"/>
      <sheetName val="058"/>
      <sheetName val="057"/>
      <sheetName val="056"/>
      <sheetName val="055"/>
      <sheetName val="054"/>
      <sheetName val="053"/>
      <sheetName val="052"/>
      <sheetName val="051"/>
      <sheetName val="050"/>
      <sheetName val="049"/>
      <sheetName val="048"/>
      <sheetName val="047"/>
      <sheetName val="046"/>
      <sheetName val="045"/>
      <sheetName val="044"/>
      <sheetName val="043"/>
      <sheetName val="042"/>
      <sheetName val="041"/>
      <sheetName val="040"/>
      <sheetName val="039"/>
      <sheetName val="038"/>
      <sheetName val="037"/>
      <sheetName val="036"/>
      <sheetName val="035"/>
      <sheetName val="034"/>
      <sheetName val="033"/>
      <sheetName val="032"/>
      <sheetName val="031"/>
      <sheetName val="030"/>
      <sheetName val="029"/>
      <sheetName val="028"/>
      <sheetName val="027"/>
      <sheetName val="026"/>
      <sheetName val="025"/>
      <sheetName val="024"/>
      <sheetName val="023"/>
      <sheetName val="022"/>
      <sheetName val="021"/>
      <sheetName val="020"/>
      <sheetName val="019"/>
      <sheetName val="018"/>
      <sheetName val="017"/>
      <sheetName val="016"/>
      <sheetName val="015"/>
      <sheetName val="014"/>
      <sheetName val="013"/>
      <sheetName val="012"/>
      <sheetName val="011"/>
      <sheetName val="010"/>
      <sheetName val="009"/>
      <sheetName val="008"/>
      <sheetName val="007"/>
      <sheetName val="006"/>
      <sheetName val="005"/>
      <sheetName val="004"/>
      <sheetName val="003"/>
      <sheetName val="002"/>
      <sheetName val="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>
        <row r="11">
          <cell r="B11">
            <v>2</v>
          </cell>
          <cell r="C11" t="str">
            <v>pc/s</v>
          </cell>
          <cell r="D11" t="str">
            <v>Battery 3SM Motolite Gold</v>
          </cell>
        </row>
        <row r="34">
          <cell r="C34" t="str">
            <v>Engr. Ramon Sandil</v>
          </cell>
          <cell r="J34" t="str">
            <v>MC Villabroza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PALAWAN ISSUED"/>
      <sheetName val="ALL PALAWAN ISSUED CBPP"/>
      <sheetName val="ALL PALAWAN ISSUED CBPP (2)"/>
      <sheetName val="SW-Petron"/>
      <sheetName val="SW-TOTAL"/>
      <sheetName val="Sheet3"/>
      <sheetName val="PAL CARGO"/>
      <sheetName val="Sheet1 (2)"/>
      <sheetName val="PHILTOUGH"/>
      <sheetName val="JERSON"/>
      <sheetName val="WIRTGEN "/>
      <sheetName val="WIRTGEN2 "/>
      <sheetName val="MEYNARD"/>
      <sheetName val="MAERSK LINE DETENTION PAYABLES"/>
      <sheetName val="HH ALL"/>
      <sheetName val="EDITED"/>
      <sheetName val="JEPEE"/>
      <sheetName val="MERIDIAN"/>
      <sheetName val="Sheet5"/>
      <sheetName val="HRM"/>
      <sheetName val="WIRTGEN (2)"/>
      <sheetName val="WIRTGEN"/>
      <sheetName val="F &amp; E"/>
      <sheetName val="WESTERN"/>
      <sheetName val="PPAS"/>
      <sheetName val="PRENTICE"/>
      <sheetName val="MIDTOWN"/>
      <sheetName val="GMG"/>
      <sheetName val="MORETA"/>
      <sheetName val="Sheet1"/>
      <sheetName val="PAYMENT DATE"/>
      <sheetName val="RECON"/>
      <sheetName val="PETRON CORP"/>
      <sheetName val="Inframachineries"/>
      <sheetName val="Sheet4"/>
      <sheetName val="JENCEL"/>
      <sheetName val="Avantgarde"/>
      <sheetName val="ARES GERALD"/>
      <sheetName val="GOMA VULCANIZING"/>
      <sheetName val="DENNIS TOOL"/>
      <sheetName val="SLICK SILER"/>
      <sheetName val="LEA VULCANISING"/>
      <sheetName val="GOLDEN WHEEL"/>
      <sheetName val="SINOEQUIP"/>
      <sheetName val="TOPLINE"/>
      <sheetName val="CBPP"/>
      <sheetName val="MJ"/>
      <sheetName val="PRIMEQUEST"/>
      <sheetName val="BRIGHTON"/>
      <sheetName val="Doods"/>
      <sheetName val="UNICO"/>
      <sheetName val="Dikee boy"/>
      <sheetName val="MEGACOM"/>
      <sheetName val="Anonas"/>
      <sheetName val="FAST TECH"/>
      <sheetName val="BALINTAWAK"/>
      <sheetName val="CESAR "/>
      <sheetName val="A3"/>
      <sheetName val="ZAB"/>
      <sheetName val="ASCRETE"/>
      <sheetName val="INTERBATCH"/>
      <sheetName val="New Colossal"/>
      <sheetName val="New iloilo"/>
      <sheetName val="HONG CHIU"/>
      <sheetName val="FITZGERALD"/>
      <sheetName val="Tri-star"/>
      <sheetName val="Lubritek"/>
      <sheetName val="FGN"/>
      <sheetName val="Solid Gas"/>
      <sheetName val="LINDE"/>
      <sheetName val="LJB"/>
      <sheetName val="Highland"/>
      <sheetName val="GDR "/>
      <sheetName val="Goodmorning"/>
      <sheetName val="Primar"/>
      <sheetName val="Jefkinah"/>
      <sheetName val="Melchor"/>
      <sheetName val="Sky world"/>
      <sheetName val="JOhn Carl"/>
      <sheetName val="Lipa Isuzu"/>
      <sheetName val="CL Nerpiol"/>
      <sheetName val="Doxa"/>
      <sheetName val="Maxima"/>
      <sheetName val="Civic (2)"/>
      <sheetName val="Civic"/>
      <sheetName val="SEVERO"/>
      <sheetName val="Lubri Chem"/>
      <sheetName val="D'Lucky"/>
      <sheetName val="Taiyang"/>
      <sheetName val="Far Eastern"/>
      <sheetName val="Sheet2"/>
      <sheetName val="PETRON COR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5">
          <cell r="D25" t="str">
            <v>RS15-010040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87B-58F0-4F16-AB76-9C1F73ACEB1F}">
  <sheetPr>
    <tabColor theme="5" tint="0.39997558519241921"/>
  </sheetPr>
  <dimension ref="A1:R45"/>
  <sheetViews>
    <sheetView tabSelected="1" view="pageBreakPreview" topLeftCell="B1" zoomScale="90" zoomScaleNormal="100" zoomScaleSheetLayoutView="90" workbookViewId="0">
      <selection activeCell="E15" sqref="E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321</v>
      </c>
      <c r="D3" s="152"/>
      <c r="E3" s="152"/>
      <c r="F3" s="11" t="s">
        <v>3</v>
      </c>
      <c r="G3" s="11"/>
      <c r="H3" s="11"/>
      <c r="I3" s="11"/>
      <c r="J3" s="84">
        <v>68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335</v>
      </c>
      <c r="D4" s="10"/>
      <c r="E4" s="10"/>
      <c r="F4" s="16" t="s">
        <v>9</v>
      </c>
      <c r="G4" s="17"/>
      <c r="H4" s="17"/>
      <c r="I4" s="17"/>
      <c r="J4" s="18">
        <v>45469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342</v>
      </c>
      <c r="E11" s="59"/>
      <c r="F11" s="55">
        <v>1870</v>
      </c>
      <c r="G11" s="56"/>
      <c r="H11" s="51"/>
      <c r="I11" s="52"/>
      <c r="J11" s="53">
        <f>F11*B11</f>
        <v>3740</v>
      </c>
      <c r="L11" s="92"/>
      <c r="M11" s="92"/>
      <c r="O11" s="4"/>
    </row>
    <row r="12" spans="1:18" s="3" customFormat="1" ht="20.100000000000001" customHeight="1" x14ac:dyDescent="0.25">
      <c r="B12" s="45"/>
      <c r="C12" s="46"/>
      <c r="D12" s="47"/>
      <c r="E12" s="48"/>
      <c r="F12" s="83"/>
      <c r="G12" s="56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>
        <v>2</v>
      </c>
      <c r="C20" s="46" t="s">
        <v>58</v>
      </c>
      <c r="D20" s="47" t="s">
        <v>342</v>
      </c>
      <c r="E20" s="59"/>
      <c r="F20" s="55">
        <v>1870</v>
      </c>
      <c r="G20" s="56"/>
      <c r="H20" s="51"/>
      <c r="I20" s="52"/>
      <c r="J20" s="53">
        <f>F20*B20</f>
        <v>3740</v>
      </c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336</v>
      </c>
      <c r="E26" s="140"/>
      <c r="F26" s="143" t="s">
        <v>17</v>
      </c>
      <c r="G26" s="144"/>
      <c r="H26" s="68"/>
      <c r="I26" s="68"/>
      <c r="J26" s="127">
        <f>SUM(J11:J25)</f>
        <v>7480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23B0-959B-4DB1-9314-612AA119B1BE}">
  <sheetPr>
    <tabColor rgb="FF00B0F0"/>
  </sheetPr>
  <dimension ref="A1:R45"/>
  <sheetViews>
    <sheetView view="pageBreakPreview" topLeftCell="A7" zoomScale="80" zoomScaleNormal="100" zoomScaleSheetLayoutView="80" workbookViewId="0">
      <selection activeCell="E35" sqref="E3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260</v>
      </c>
      <c r="D3" s="152"/>
      <c r="E3" s="152"/>
      <c r="F3" s="11" t="s">
        <v>3</v>
      </c>
      <c r="G3" s="11"/>
      <c r="H3" s="11"/>
      <c r="I3" s="11"/>
      <c r="J3" s="84">
        <v>63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330</v>
      </c>
      <c r="D4" s="10"/>
      <c r="E4" s="10"/>
      <c r="F4" s="16" t="s">
        <v>9</v>
      </c>
      <c r="G4" s="17"/>
      <c r="H4" s="17"/>
      <c r="I4" s="17"/>
      <c r="J4" s="18">
        <v>45464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105</v>
      </c>
      <c r="C11" s="46" t="s">
        <v>58</v>
      </c>
      <c r="D11" s="47" t="s">
        <v>229</v>
      </c>
      <c r="E11" s="48"/>
      <c r="F11" s="49">
        <v>84</v>
      </c>
      <c r="G11" s="50"/>
      <c r="H11" s="51"/>
      <c r="I11" s="52"/>
      <c r="J11" s="53">
        <f>F11*B11</f>
        <v>8820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77</v>
      </c>
      <c r="C12" s="46" t="s">
        <v>58</v>
      </c>
      <c r="D12" s="47" t="s">
        <v>230</v>
      </c>
      <c r="E12" s="48"/>
      <c r="F12" s="49">
        <v>126</v>
      </c>
      <c r="G12" s="50"/>
      <c r="H12" s="51"/>
      <c r="I12" s="52"/>
      <c r="J12" s="53">
        <f>F12*B12</f>
        <v>9702</v>
      </c>
      <c r="L12" s="92"/>
      <c r="M12" s="92"/>
      <c r="O12" s="4"/>
    </row>
    <row r="13" spans="1:18" s="3" customFormat="1" ht="20.100000000000001" customHeight="1" x14ac:dyDescent="0.25">
      <c r="B13" s="45">
        <v>45</v>
      </c>
      <c r="C13" s="46" t="s">
        <v>58</v>
      </c>
      <c r="D13" s="47" t="s">
        <v>231</v>
      </c>
      <c r="E13" s="48"/>
      <c r="F13" s="83">
        <v>168</v>
      </c>
      <c r="G13" s="56"/>
      <c r="H13" s="51"/>
      <c r="I13" s="52"/>
      <c r="J13" s="53">
        <f>F13*B13</f>
        <v>7560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36</v>
      </c>
      <c r="C19" s="46" t="s">
        <v>58</v>
      </c>
      <c r="D19" s="47" t="s">
        <v>232</v>
      </c>
      <c r="E19" s="48"/>
      <c r="F19" s="83">
        <v>250</v>
      </c>
      <c r="G19" s="56"/>
      <c r="H19" s="51"/>
      <c r="I19" s="52"/>
      <c r="J19" s="53">
        <f>F19*B19</f>
        <v>9000</v>
      </c>
      <c r="L19" s="92"/>
      <c r="M19" s="92"/>
      <c r="O19" s="4"/>
    </row>
    <row r="20" spans="2:16" s="3" customFormat="1" ht="20.100000000000001" customHeight="1" x14ac:dyDescent="0.25">
      <c r="B20" s="45">
        <v>5</v>
      </c>
      <c r="C20" s="46" t="s">
        <v>58</v>
      </c>
      <c r="D20" s="47" t="s">
        <v>331</v>
      </c>
      <c r="E20" s="59"/>
      <c r="F20" s="55">
        <v>200</v>
      </c>
      <c r="G20" s="56"/>
      <c r="H20" s="51"/>
      <c r="I20" s="52"/>
      <c r="J20" s="53">
        <f>F20*B20</f>
        <v>1000</v>
      </c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36082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BDE6-E64F-4D9B-A351-88E3C3465287}">
  <sheetPr>
    <tabColor rgb="FF00B0F0"/>
  </sheetPr>
  <dimension ref="A1:R45"/>
  <sheetViews>
    <sheetView view="pageBreakPreview" topLeftCell="B10" zoomScale="90" zoomScaleNormal="100" zoomScaleSheetLayoutView="90" workbookViewId="0">
      <selection activeCell="F37" sqref="F3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62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330</v>
      </c>
      <c r="D4" s="10"/>
      <c r="E4" s="10"/>
      <c r="F4" s="16" t="s">
        <v>9</v>
      </c>
      <c r="G4" s="17"/>
      <c r="H4" s="17"/>
      <c r="I4" s="17"/>
      <c r="J4" s="18">
        <v>45464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30</v>
      </c>
      <c r="C11" s="46" t="s">
        <v>58</v>
      </c>
      <c r="D11" s="47" t="s">
        <v>325</v>
      </c>
      <c r="E11" s="48"/>
      <c r="F11" s="49">
        <v>496</v>
      </c>
      <c r="G11" s="50"/>
      <c r="H11" s="51"/>
      <c r="I11" s="52"/>
      <c r="J11" s="53">
        <f t="shared" ref="J11:J23" si="0">F11*B11</f>
        <v>14880</v>
      </c>
      <c r="L11"/>
      <c r="M11"/>
      <c r="O11" s="4"/>
    </row>
    <row r="12" spans="1:18" s="110" customFormat="1" ht="20.100000000000001" customHeight="1" x14ac:dyDescent="0.25">
      <c r="B12" s="111">
        <v>5</v>
      </c>
      <c r="C12" s="112" t="s">
        <v>112</v>
      </c>
      <c r="D12" s="113" t="s">
        <v>140</v>
      </c>
      <c r="E12" s="114"/>
      <c r="F12" s="109">
        <v>69</v>
      </c>
      <c r="G12" s="120"/>
      <c r="H12" s="51"/>
      <c r="I12" s="116"/>
      <c r="J12" s="53">
        <f t="shared" si="0"/>
        <v>345</v>
      </c>
      <c r="L12" s="117"/>
      <c r="M12" s="117"/>
      <c r="O12" s="118"/>
      <c r="P12" s="121"/>
    </row>
    <row r="13" spans="1:18" s="3" customFormat="1" ht="20.100000000000001" customHeight="1" x14ac:dyDescent="0.25">
      <c r="B13" s="45">
        <v>10</v>
      </c>
      <c r="C13" s="46" t="s">
        <v>112</v>
      </c>
      <c r="D13" s="47" t="s">
        <v>132</v>
      </c>
      <c r="E13" s="48"/>
      <c r="F13" s="106">
        <v>67</v>
      </c>
      <c r="G13" s="107"/>
      <c r="H13" s="51"/>
      <c r="I13" s="52"/>
      <c r="J13" s="53">
        <f t="shared" si="0"/>
        <v>670</v>
      </c>
      <c r="L13"/>
      <c r="M13"/>
      <c r="O13" s="4"/>
    </row>
    <row r="14" spans="1:18" s="3" customFormat="1" ht="20.100000000000001" customHeight="1" x14ac:dyDescent="0.25">
      <c r="B14" s="45">
        <v>10</v>
      </c>
      <c r="C14" s="46" t="s">
        <v>112</v>
      </c>
      <c r="D14" s="47" t="s">
        <v>133</v>
      </c>
      <c r="E14" s="48"/>
      <c r="F14" s="108">
        <v>65</v>
      </c>
      <c r="G14" s="107"/>
      <c r="H14" s="51"/>
      <c r="I14" s="52"/>
      <c r="J14" s="53">
        <f t="shared" si="0"/>
        <v>650</v>
      </c>
      <c r="L14"/>
      <c r="M14"/>
      <c r="O14" s="4"/>
    </row>
    <row r="15" spans="1:18" s="3" customFormat="1" ht="20.100000000000001" customHeight="1" x14ac:dyDescent="0.25">
      <c r="B15" s="111">
        <v>5</v>
      </c>
      <c r="C15" s="112" t="s">
        <v>112</v>
      </c>
      <c r="D15" s="113" t="s">
        <v>220</v>
      </c>
      <c r="E15" s="114"/>
      <c r="F15" s="119">
        <v>82</v>
      </c>
      <c r="G15" s="107"/>
      <c r="H15" s="51"/>
      <c r="I15" s="52"/>
      <c r="J15" s="53">
        <f t="shared" si="0"/>
        <v>410</v>
      </c>
      <c r="L15"/>
      <c r="M15"/>
      <c r="O15" s="4"/>
    </row>
    <row r="16" spans="1:18" s="3" customFormat="1" ht="20.100000000000001" customHeight="1" x14ac:dyDescent="0.25">
      <c r="B16" s="45">
        <v>16</v>
      </c>
      <c r="C16" s="46" t="s">
        <v>58</v>
      </c>
      <c r="D16" s="47" t="s">
        <v>264</v>
      </c>
      <c r="E16" s="48"/>
      <c r="F16" s="108">
        <v>642</v>
      </c>
      <c r="G16" s="107"/>
      <c r="H16" s="51"/>
      <c r="I16" s="52"/>
      <c r="J16" s="53">
        <f t="shared" si="0"/>
        <v>10272</v>
      </c>
      <c r="L16"/>
      <c r="M16"/>
      <c r="N16" s="4"/>
      <c r="O16" s="4"/>
    </row>
    <row r="17" spans="2:16" s="3" customFormat="1" ht="20.100000000000001" customHeight="1" x14ac:dyDescent="0.25">
      <c r="B17" s="45">
        <v>2</v>
      </c>
      <c r="C17" s="46" t="s">
        <v>58</v>
      </c>
      <c r="D17" s="47" t="s">
        <v>222</v>
      </c>
      <c r="E17" s="48"/>
      <c r="F17" s="108">
        <v>970</v>
      </c>
      <c r="G17" s="56"/>
      <c r="H17" s="51"/>
      <c r="I17" s="52"/>
      <c r="J17" s="53">
        <f t="shared" si="0"/>
        <v>1940</v>
      </c>
      <c r="L17"/>
      <c r="M17"/>
      <c r="N17" s="4"/>
      <c r="O17" s="4"/>
    </row>
    <row r="18" spans="2:16" s="3" customFormat="1" ht="20.100000000000001" customHeight="1" x14ac:dyDescent="0.25">
      <c r="B18" s="45">
        <v>6</v>
      </c>
      <c r="C18" s="46" t="s">
        <v>58</v>
      </c>
      <c r="D18" s="47" t="s">
        <v>257</v>
      </c>
      <c r="E18" s="48"/>
      <c r="F18" s="108">
        <v>225</v>
      </c>
      <c r="G18" s="56"/>
      <c r="H18" s="51"/>
      <c r="I18" s="52"/>
      <c r="J18" s="53">
        <f t="shared" si="0"/>
        <v>1350</v>
      </c>
      <c r="L18"/>
      <c r="M18"/>
      <c r="O18" s="4"/>
    </row>
    <row r="19" spans="2:16" s="3" customFormat="1" ht="20.100000000000001" customHeight="1" x14ac:dyDescent="0.25">
      <c r="B19" s="45">
        <v>12</v>
      </c>
      <c r="C19" s="46" t="s">
        <v>58</v>
      </c>
      <c r="D19" s="47" t="s">
        <v>270</v>
      </c>
      <c r="E19" s="59"/>
      <c r="F19" s="108">
        <v>35</v>
      </c>
      <c r="G19" s="56"/>
      <c r="H19" s="51"/>
      <c r="I19" s="52"/>
      <c r="J19" s="53">
        <f t="shared" si="0"/>
        <v>420</v>
      </c>
      <c r="L19"/>
      <c r="M19"/>
      <c r="O19" s="4"/>
    </row>
    <row r="20" spans="2:16" s="3" customFormat="1" ht="20.100000000000001" customHeight="1" x14ac:dyDescent="0.25">
      <c r="B20" s="45">
        <v>6</v>
      </c>
      <c r="C20" s="46" t="s">
        <v>58</v>
      </c>
      <c r="D20" s="47" t="s">
        <v>258</v>
      </c>
      <c r="E20" s="59"/>
      <c r="F20" s="108">
        <v>55</v>
      </c>
      <c r="G20" s="56"/>
      <c r="H20" s="51"/>
      <c r="I20" s="52"/>
      <c r="J20" s="53">
        <f t="shared" si="0"/>
        <v>330</v>
      </c>
      <c r="L20"/>
      <c r="M20"/>
      <c r="O20" s="4"/>
    </row>
    <row r="21" spans="2:16" s="3" customFormat="1" ht="20.100000000000001" customHeight="1" x14ac:dyDescent="0.25">
      <c r="B21" s="45">
        <v>2</v>
      </c>
      <c r="C21" s="46" t="s">
        <v>58</v>
      </c>
      <c r="D21" s="47" t="s">
        <v>259</v>
      </c>
      <c r="E21" s="64"/>
      <c r="F21" s="108">
        <v>45</v>
      </c>
      <c r="G21" s="56"/>
      <c r="H21" s="51"/>
      <c r="I21" s="52"/>
      <c r="J21" s="53">
        <f t="shared" si="0"/>
        <v>90</v>
      </c>
      <c r="L21"/>
      <c r="M21"/>
      <c r="O21" s="4"/>
    </row>
    <row r="22" spans="2:16" s="3" customFormat="1" ht="20.100000000000001" customHeight="1" x14ac:dyDescent="0.25">
      <c r="B22" s="45">
        <v>2</v>
      </c>
      <c r="C22" s="46" t="s">
        <v>58</v>
      </c>
      <c r="D22" s="47" t="s">
        <v>271</v>
      </c>
      <c r="E22" s="59"/>
      <c r="F22" s="108">
        <v>50</v>
      </c>
      <c r="G22" s="56"/>
      <c r="H22" s="51"/>
      <c r="I22" s="52"/>
      <c r="J22" s="53">
        <f t="shared" si="0"/>
        <v>100</v>
      </c>
      <c r="L22"/>
      <c r="M22"/>
      <c r="O22" s="4"/>
    </row>
    <row r="23" spans="2:16" s="3" customFormat="1" ht="20.100000000000001" customHeight="1" x14ac:dyDescent="0.25">
      <c r="B23" s="45">
        <v>1</v>
      </c>
      <c r="C23" s="46" t="s">
        <v>265</v>
      </c>
      <c r="D23" s="47" t="s">
        <v>272</v>
      </c>
      <c r="E23" s="64"/>
      <c r="F23" s="55">
        <v>4200</v>
      </c>
      <c r="G23" s="56"/>
      <c r="H23" s="51"/>
      <c r="I23" s="52"/>
      <c r="J23" s="53">
        <f t="shared" si="0"/>
        <v>4200</v>
      </c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59"/>
      <c r="F24" s="108"/>
      <c r="G24" s="56"/>
      <c r="H24" s="51"/>
      <c r="I24" s="52"/>
      <c r="J24" s="53"/>
      <c r="L24"/>
      <c r="M24"/>
      <c r="O24" s="4"/>
    </row>
    <row r="25" spans="2:16" s="3" customFormat="1" ht="20.100000000000001" customHeight="1" x14ac:dyDescent="0.25">
      <c r="B25" s="45"/>
      <c r="C25" s="46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332</v>
      </c>
      <c r="E26" s="158"/>
      <c r="F26" s="143" t="s">
        <v>17</v>
      </c>
      <c r="G26" s="144"/>
      <c r="H26" s="68"/>
      <c r="I26" s="68"/>
      <c r="J26" s="127">
        <f>SUM(J11:J25)</f>
        <v>35657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E1F2-9684-4732-B80B-ABF59AE7405D}">
  <sheetPr>
    <tabColor rgb="FF00B0F0"/>
  </sheetPr>
  <dimension ref="A1:R45"/>
  <sheetViews>
    <sheetView view="pageBreakPreview" topLeftCell="B1" zoomScale="90" zoomScaleNormal="100" zoomScaleSheetLayoutView="90" workbookViewId="0">
      <selection activeCell="E19" sqref="E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329</v>
      </c>
      <c r="D3" s="161"/>
      <c r="E3" s="161"/>
      <c r="F3" s="11" t="s">
        <v>3</v>
      </c>
      <c r="G3" s="11"/>
      <c r="H3" s="11"/>
      <c r="I3" s="11"/>
      <c r="J3" s="84">
        <v>61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328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284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67</v>
      </c>
      <c r="C11" s="46" t="s">
        <v>58</v>
      </c>
      <c r="D11" s="47" t="s">
        <v>328</v>
      </c>
      <c r="E11" s="48"/>
      <c r="F11" s="49">
        <v>3200</v>
      </c>
      <c r="G11" s="50"/>
      <c r="H11" s="51"/>
      <c r="I11" s="52"/>
      <c r="J11" s="53">
        <f>F11*B11</f>
        <v>214400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106"/>
      <c r="G13" s="107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/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/>
      <c r="C21" s="46"/>
      <c r="D21" s="47"/>
      <c r="E21" s="48"/>
      <c r="F21" s="49"/>
      <c r="G21" s="50"/>
      <c r="H21" s="51"/>
      <c r="I21" s="52"/>
      <c r="J21" s="53"/>
      <c r="L21" s="92"/>
      <c r="M21" s="92"/>
      <c r="N21" s="5"/>
      <c r="P21" s="4"/>
    </row>
    <row r="22" spans="2:16" s="3" customFormat="1" ht="20.100000000000001" customHeight="1" x14ac:dyDescent="0.25">
      <c r="B22" s="45"/>
      <c r="C22" s="46"/>
      <c r="D22" s="47"/>
      <c r="E22" s="48"/>
      <c r="F22" s="83"/>
      <c r="G22" s="56"/>
      <c r="H22" s="51"/>
      <c r="I22" s="52"/>
      <c r="J22" s="53"/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214400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2E95-27E1-4DC2-B981-5C5CDB4FC5A3}">
  <sheetPr>
    <tabColor rgb="FF00B0F0"/>
  </sheetPr>
  <dimension ref="A1:R45"/>
  <sheetViews>
    <sheetView view="pageBreakPreview" topLeftCell="B7" zoomScale="90" zoomScaleNormal="100" zoomScaleSheetLayoutView="90" workbookViewId="0">
      <selection activeCell="F21" sqref="F2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235</v>
      </c>
      <c r="D3" s="161"/>
      <c r="E3" s="161"/>
      <c r="F3" s="11" t="s">
        <v>3</v>
      </c>
      <c r="G3" s="11"/>
      <c r="H3" s="11"/>
      <c r="I3" s="11"/>
      <c r="J3" s="84">
        <v>60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324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285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326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325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112</v>
      </c>
      <c r="D13" s="47" t="s">
        <v>220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112</v>
      </c>
      <c r="D14" s="47" t="s">
        <v>132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112</v>
      </c>
      <c r="D15" s="47" t="s">
        <v>133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327</v>
      </c>
      <c r="D16" s="47" t="s">
        <v>138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260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229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231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BBD2-06A6-4722-B5BF-998921E64EEC}">
  <sheetPr>
    <tabColor rgb="FF00B0F0"/>
  </sheetPr>
  <dimension ref="A1:R45"/>
  <sheetViews>
    <sheetView view="pageBreakPreview" topLeftCell="B1" zoomScale="90" zoomScaleNormal="100" zoomScaleSheetLayoutView="90" workbookViewId="0">
      <selection activeCell="D17" sqref="D1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235</v>
      </c>
      <c r="D3" s="161"/>
      <c r="E3" s="161"/>
      <c r="F3" s="11" t="s">
        <v>3</v>
      </c>
      <c r="G3" s="11"/>
      <c r="H3" s="11"/>
      <c r="I3" s="11"/>
      <c r="J3" s="84">
        <v>59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324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284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326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325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112</v>
      </c>
      <c r="D13" s="47" t="s">
        <v>220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112</v>
      </c>
      <c r="D14" s="47" t="s">
        <v>132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112</v>
      </c>
      <c r="D15" s="47" t="s">
        <v>133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327</v>
      </c>
      <c r="D16" s="47" t="s">
        <v>138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260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229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231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62A1-49A5-4307-AD6E-086AC42F67D5}">
  <sheetPr>
    <tabColor rgb="FF00B0F0"/>
  </sheetPr>
  <dimension ref="A1:R45"/>
  <sheetViews>
    <sheetView view="pageBreakPreview" topLeftCell="B7" zoomScale="90" zoomScaleNormal="100" zoomScaleSheetLayoutView="90" workbookViewId="0">
      <selection activeCell="J17" sqref="J17:J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235</v>
      </c>
      <c r="D3" s="161"/>
      <c r="E3" s="161"/>
      <c r="F3" s="11" t="s">
        <v>3</v>
      </c>
      <c r="G3" s="11"/>
      <c r="H3" s="11"/>
      <c r="I3" s="11"/>
      <c r="J3" s="84">
        <v>58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324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282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326</v>
      </c>
      <c r="E11" s="48"/>
      <c r="F11" s="49">
        <v>413</v>
      </c>
      <c r="G11" s="50"/>
      <c r="H11" s="51"/>
      <c r="I11" s="52"/>
      <c r="J11" s="53">
        <f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325</v>
      </c>
      <c r="E12" s="48"/>
      <c r="F12" s="49">
        <v>496</v>
      </c>
      <c r="G12" s="50"/>
      <c r="H12" s="51"/>
      <c r="I12" s="52"/>
      <c r="J12" s="53">
        <f t="shared" ref="J12:J22" si="0">F12*B12</f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112</v>
      </c>
      <c r="D13" s="47" t="s">
        <v>220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112</v>
      </c>
      <c r="D14" s="47" t="s">
        <v>132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112</v>
      </c>
      <c r="D15" s="47" t="s">
        <v>133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/>
      <c r="O15" s="4"/>
    </row>
    <row r="16" spans="1:18" s="3" customFormat="1" ht="20.100000000000001" customHeight="1" x14ac:dyDescent="0.25">
      <c r="B16" s="45">
        <v>1</v>
      </c>
      <c r="C16" s="46" t="s">
        <v>327</v>
      </c>
      <c r="D16" s="47" t="s">
        <v>138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/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/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260</v>
      </c>
      <c r="E20" s="48"/>
      <c r="F20" s="108"/>
      <c r="G20" s="107"/>
      <c r="H20" s="51"/>
      <c r="I20" s="52"/>
      <c r="J20" s="53"/>
      <c r="L20"/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229</v>
      </c>
      <c r="E21" s="48"/>
      <c r="F21" s="49">
        <v>84</v>
      </c>
      <c r="G21" s="50"/>
      <c r="H21" s="51"/>
      <c r="I21" s="52"/>
      <c r="J21" s="53">
        <f t="shared" si="0"/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231</v>
      </c>
      <c r="E22" s="48"/>
      <c r="F22" s="83">
        <v>168</v>
      </c>
      <c r="G22" s="56"/>
      <c r="H22" s="51"/>
      <c r="I22" s="52"/>
      <c r="J22" s="53">
        <f t="shared" si="0"/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86DE-BD19-425F-A2D7-8FBE4C600263}">
  <sheetPr>
    <tabColor rgb="FF00B0F0"/>
  </sheetPr>
  <dimension ref="A1:R45"/>
  <sheetViews>
    <sheetView view="pageBreakPreview" topLeftCell="B3" zoomScale="90" zoomScaleNormal="100" zoomScaleSheetLayoutView="90" workbookViewId="0">
      <selection activeCell="L19" sqref="L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235</v>
      </c>
      <c r="D3" s="161"/>
      <c r="E3" s="161"/>
      <c r="F3" s="11" t="s">
        <v>3</v>
      </c>
      <c r="G3" s="11"/>
      <c r="H3" s="11"/>
      <c r="I3" s="11"/>
      <c r="J3" s="84">
        <v>57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324</v>
      </c>
      <c r="D4" s="10"/>
      <c r="E4" s="10"/>
      <c r="F4" s="16" t="s">
        <v>9</v>
      </c>
      <c r="G4" s="17"/>
      <c r="H4" s="17"/>
      <c r="I4" s="17"/>
      <c r="J4" s="18">
        <v>45463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275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7</v>
      </c>
      <c r="C11" s="46" t="s">
        <v>58</v>
      </c>
      <c r="D11" s="47" t="s">
        <v>326</v>
      </c>
      <c r="E11" s="48"/>
      <c r="F11" s="49">
        <v>413</v>
      </c>
      <c r="G11" s="50"/>
      <c r="H11" s="51"/>
      <c r="I11" s="52"/>
      <c r="J11" s="53">
        <f t="shared" ref="J11:J16" si="0">F11*B11</f>
        <v>2891</v>
      </c>
      <c r="L11"/>
      <c r="M11"/>
      <c r="N11" s="5"/>
      <c r="P11" s="4"/>
    </row>
    <row r="12" spans="1:18" s="3" customFormat="1" ht="20.100000000000001" customHeight="1" x14ac:dyDescent="0.25">
      <c r="B12" s="45">
        <v>19</v>
      </c>
      <c r="C12" s="46" t="s">
        <v>58</v>
      </c>
      <c r="D12" s="47" t="s">
        <v>325</v>
      </c>
      <c r="E12" s="48"/>
      <c r="F12" s="49">
        <v>496</v>
      </c>
      <c r="G12" s="50"/>
      <c r="H12" s="51"/>
      <c r="I12" s="52"/>
      <c r="J12" s="53">
        <f t="shared" si="0"/>
        <v>9424</v>
      </c>
      <c r="L12"/>
      <c r="M12"/>
      <c r="O12" s="4"/>
    </row>
    <row r="13" spans="1:18" s="3" customFormat="1" ht="20.100000000000001" customHeight="1" x14ac:dyDescent="0.25">
      <c r="B13" s="45">
        <v>5</v>
      </c>
      <c r="C13" s="46" t="s">
        <v>112</v>
      </c>
      <c r="D13" s="47" t="s">
        <v>220</v>
      </c>
      <c r="E13" s="48"/>
      <c r="F13" s="106">
        <v>82</v>
      </c>
      <c r="G13" s="107"/>
      <c r="H13" s="51"/>
      <c r="I13" s="52"/>
      <c r="J13" s="53">
        <f t="shared" si="0"/>
        <v>410</v>
      </c>
      <c r="L13"/>
      <c r="M13"/>
      <c r="O13" s="4"/>
      <c r="P13" s="54"/>
    </row>
    <row r="14" spans="1:18" s="3" customFormat="1" ht="20.100000000000001" customHeight="1" x14ac:dyDescent="0.25">
      <c r="B14" s="45">
        <v>5</v>
      </c>
      <c r="C14" s="46" t="s">
        <v>112</v>
      </c>
      <c r="D14" s="47" t="s">
        <v>132</v>
      </c>
      <c r="E14" s="48"/>
      <c r="F14" s="106">
        <v>67</v>
      </c>
      <c r="G14" s="107"/>
      <c r="H14" s="51"/>
      <c r="I14" s="52"/>
      <c r="J14" s="53">
        <f t="shared" si="0"/>
        <v>335</v>
      </c>
      <c r="L14"/>
      <c r="M14"/>
      <c r="O14" s="4"/>
    </row>
    <row r="15" spans="1:18" s="3" customFormat="1" ht="20.100000000000001" customHeight="1" x14ac:dyDescent="0.25">
      <c r="B15" s="45">
        <v>5</v>
      </c>
      <c r="C15" s="46" t="s">
        <v>112</v>
      </c>
      <c r="D15" s="47" t="s">
        <v>133</v>
      </c>
      <c r="E15" s="48"/>
      <c r="F15" s="108">
        <v>65</v>
      </c>
      <c r="G15" s="107"/>
      <c r="H15" s="51"/>
      <c r="I15" s="52"/>
      <c r="J15" s="53">
        <f t="shared" si="0"/>
        <v>325</v>
      </c>
      <c r="L15"/>
      <c r="M15">
        <f>13985-13860.13</f>
        <v>124.8700000000008</v>
      </c>
      <c r="N15" s="3">
        <f>M15-600</f>
        <v>-475.1299999999992</v>
      </c>
      <c r="O15" s="4"/>
    </row>
    <row r="16" spans="1:18" s="3" customFormat="1" ht="20.100000000000001" customHeight="1" x14ac:dyDescent="0.25">
      <c r="B16" s="45">
        <v>1</v>
      </c>
      <c r="C16" s="46" t="s">
        <v>327</v>
      </c>
      <c r="D16" s="47" t="s">
        <v>138</v>
      </c>
      <c r="E16" s="48"/>
      <c r="F16" s="108">
        <v>600</v>
      </c>
      <c r="G16" s="107"/>
      <c r="H16" s="51"/>
      <c r="I16" s="52"/>
      <c r="J16" s="53">
        <f t="shared" si="0"/>
        <v>600</v>
      </c>
      <c r="L16"/>
      <c r="M16"/>
      <c r="N16" s="3">
        <f>N15+380</f>
        <v>-95.1299999999992</v>
      </c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108"/>
      <c r="G17" s="107"/>
      <c r="H17" s="51"/>
      <c r="I17" s="52"/>
      <c r="J17" s="53"/>
      <c r="L17"/>
      <c r="M17"/>
      <c r="N17" s="4">
        <f>N16+80</f>
        <v>-15.1299999999992</v>
      </c>
      <c r="O17" s="4"/>
    </row>
    <row r="18" spans="2:16" s="3" customFormat="1" ht="20.100000000000001" customHeight="1" x14ac:dyDescent="0.25">
      <c r="B18" s="45"/>
      <c r="C18" s="46"/>
      <c r="D18" s="47"/>
      <c r="E18" s="48"/>
      <c r="F18" s="49"/>
      <c r="G18" s="50"/>
      <c r="H18" s="51"/>
      <c r="I18" s="52"/>
      <c r="J18" s="53"/>
      <c r="L18" s="92">
        <f>600*4</f>
        <v>2400</v>
      </c>
      <c r="M18" s="92"/>
      <c r="N18" s="5"/>
      <c r="P18" s="4"/>
    </row>
    <row r="19" spans="2:16" s="3" customFormat="1" ht="20.100000000000001" customHeight="1" x14ac:dyDescent="0.25">
      <c r="B19" s="45"/>
      <c r="C19" s="46"/>
      <c r="D19" s="47"/>
      <c r="E19" s="48"/>
      <c r="F19" s="83"/>
      <c r="G19" s="56"/>
      <c r="H19" s="51"/>
      <c r="I19" s="52"/>
      <c r="J19" s="53"/>
      <c r="L19" s="92">
        <f>475.13*4</f>
        <v>1900.52</v>
      </c>
      <c r="M19" s="92"/>
      <c r="O19" s="4"/>
      <c r="P19" s="54"/>
    </row>
    <row r="20" spans="2:16" s="3" customFormat="1" ht="20.100000000000001" customHeight="1" x14ac:dyDescent="0.25">
      <c r="B20" s="45"/>
      <c r="C20" s="46"/>
      <c r="D20" s="122" t="s">
        <v>260</v>
      </c>
      <c r="E20" s="48"/>
      <c r="F20" s="108"/>
      <c r="G20" s="107"/>
      <c r="H20" s="51"/>
      <c r="I20" s="52"/>
      <c r="J20" s="53"/>
      <c r="L20" s="88">
        <f>L19/380</f>
        <v>5.0013684210526312</v>
      </c>
      <c r="M20"/>
      <c r="N20" s="4"/>
      <c r="O20" s="4"/>
    </row>
    <row r="21" spans="2:16" s="3" customFormat="1" ht="20.100000000000001" customHeight="1" x14ac:dyDescent="0.25">
      <c r="B21" s="45">
        <v>40</v>
      </c>
      <c r="C21" s="46" t="s">
        <v>58</v>
      </c>
      <c r="D21" s="47" t="s">
        <v>229</v>
      </c>
      <c r="E21" s="48"/>
      <c r="F21" s="49">
        <v>84</v>
      </c>
      <c r="G21" s="50"/>
      <c r="H21" s="51"/>
      <c r="I21" s="52"/>
      <c r="J21" s="53">
        <f>F21*B21</f>
        <v>3360</v>
      </c>
      <c r="L21" s="92"/>
      <c r="M21" s="92"/>
      <c r="N21" s="5"/>
      <c r="P21" s="4"/>
    </row>
    <row r="22" spans="2:16" s="3" customFormat="1" ht="20.100000000000001" customHeight="1" x14ac:dyDescent="0.25">
      <c r="B22" s="45">
        <v>23</v>
      </c>
      <c r="C22" s="46" t="s">
        <v>58</v>
      </c>
      <c r="D22" s="47" t="s">
        <v>231</v>
      </c>
      <c r="E22" s="48"/>
      <c r="F22" s="83">
        <v>168</v>
      </c>
      <c r="G22" s="56"/>
      <c r="H22" s="51"/>
      <c r="I22" s="52"/>
      <c r="J22" s="53">
        <f>F22*B22</f>
        <v>3864</v>
      </c>
      <c r="L22" s="92"/>
      <c r="M22" s="92"/>
      <c r="O22" s="4"/>
      <c r="P22" s="5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21209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honeticPr fontId="40" type="noConversion"/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0B8F-FC77-46AD-9F32-8E4A3B6B931D}">
  <sheetPr>
    <tabColor rgb="FF00B0F0"/>
  </sheetPr>
  <dimension ref="A1:R47"/>
  <sheetViews>
    <sheetView view="pageBreakPreview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56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302</v>
      </c>
      <c r="D4" s="10"/>
      <c r="E4" s="10"/>
      <c r="F4" s="16" t="s">
        <v>9</v>
      </c>
      <c r="G4" s="17"/>
      <c r="H4" s="17"/>
      <c r="I4" s="17"/>
      <c r="J4" s="18">
        <v>45463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15</v>
      </c>
      <c r="C11" s="46" t="s">
        <v>240</v>
      </c>
      <c r="D11" s="47" t="s">
        <v>311</v>
      </c>
      <c r="E11" s="48"/>
      <c r="F11" s="49">
        <v>2700</v>
      </c>
      <c r="G11" s="50"/>
      <c r="H11" s="51"/>
      <c r="I11" s="52"/>
      <c r="J11" s="53">
        <f t="shared" ref="J11:J16" si="0">F11*B11</f>
        <v>40500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600</v>
      </c>
      <c r="C12" s="46" t="s">
        <v>141</v>
      </c>
      <c r="D12" s="47" t="s">
        <v>308</v>
      </c>
      <c r="E12" s="48"/>
      <c r="F12" s="49">
        <v>228</v>
      </c>
      <c r="G12" s="50"/>
      <c r="H12" s="51"/>
      <c r="I12" s="52"/>
      <c r="J12" s="53">
        <f t="shared" si="0"/>
        <v>136800</v>
      </c>
      <c r="L12" s="92"/>
      <c r="M12" s="92"/>
      <c r="O12" s="4"/>
    </row>
    <row r="13" spans="1:18" s="3" customFormat="1" ht="20.100000000000001" customHeight="1" x14ac:dyDescent="0.25">
      <c r="B13" s="45">
        <v>30</v>
      </c>
      <c r="C13" s="46" t="s">
        <v>58</v>
      </c>
      <c r="D13" s="47" t="s">
        <v>309</v>
      </c>
      <c r="E13" s="48"/>
      <c r="F13" s="83">
        <v>698</v>
      </c>
      <c r="G13" s="56"/>
      <c r="H13" s="51"/>
      <c r="I13" s="52"/>
      <c r="J13" s="53">
        <f t="shared" si="0"/>
        <v>20940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</v>
      </c>
      <c r="C14" s="46" t="s">
        <v>265</v>
      </c>
      <c r="D14" s="47" t="s">
        <v>133</v>
      </c>
      <c r="E14" s="48"/>
      <c r="F14" s="83">
        <v>1140</v>
      </c>
      <c r="G14" s="56"/>
      <c r="H14" s="51"/>
      <c r="I14" s="52"/>
      <c r="J14" s="53">
        <f t="shared" si="0"/>
        <v>2280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265</v>
      </c>
      <c r="D15" s="47" t="s">
        <v>140</v>
      </c>
      <c r="E15" s="48"/>
      <c r="F15" s="55">
        <v>1230</v>
      </c>
      <c r="G15" s="56"/>
      <c r="H15" s="51"/>
      <c r="I15" s="52"/>
      <c r="J15" s="53">
        <f t="shared" si="0"/>
        <v>1230</v>
      </c>
      <c r="L15" s="92"/>
      <c r="M15" s="92"/>
      <c r="O15" s="4"/>
    </row>
    <row r="16" spans="1:18" s="3" customFormat="1" ht="20.100000000000001" customHeight="1" x14ac:dyDescent="0.25">
      <c r="B16" s="45">
        <v>20</v>
      </c>
      <c r="C16" s="46" t="s">
        <v>58</v>
      </c>
      <c r="D16" s="47" t="s">
        <v>310</v>
      </c>
      <c r="E16" s="48"/>
      <c r="F16" s="55">
        <v>465</v>
      </c>
      <c r="G16" s="56"/>
      <c r="H16" s="51"/>
      <c r="I16" s="52"/>
      <c r="J16" s="53">
        <f t="shared" si="0"/>
        <v>9300</v>
      </c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323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63</v>
      </c>
      <c r="C19" s="46" t="s">
        <v>238</v>
      </c>
      <c r="D19" s="47" t="s">
        <v>239</v>
      </c>
      <c r="E19" s="48"/>
      <c r="F19" s="83">
        <v>900</v>
      </c>
      <c r="G19" s="56"/>
      <c r="H19" s="51"/>
      <c r="I19" s="52"/>
      <c r="J19" s="53">
        <f>F19*B19</f>
        <v>56700</v>
      </c>
      <c r="L19" s="92"/>
      <c r="M19" s="92"/>
      <c r="O19" s="4"/>
    </row>
    <row r="20" spans="2:16" s="3" customFormat="1" ht="20.100000000000001" customHeight="1" x14ac:dyDescent="0.25">
      <c r="B20" s="45">
        <v>63</v>
      </c>
      <c r="C20" s="46" t="s">
        <v>238</v>
      </c>
      <c r="D20" s="47" t="s">
        <v>307</v>
      </c>
      <c r="E20" s="59"/>
      <c r="F20" s="55">
        <v>900</v>
      </c>
      <c r="G20" s="56"/>
      <c r="H20" s="51"/>
      <c r="I20" s="52"/>
      <c r="J20" s="53">
        <f>F20*B20</f>
        <v>56700</v>
      </c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122" t="s">
        <v>260</v>
      </c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>
        <v>420</v>
      </c>
      <c r="C24" s="46" t="s">
        <v>58</v>
      </c>
      <c r="D24" s="47" t="s">
        <v>303</v>
      </c>
      <c r="E24" s="48"/>
      <c r="F24" s="49">
        <v>140</v>
      </c>
      <c r="G24" s="50"/>
      <c r="H24" s="51"/>
      <c r="I24" s="52"/>
      <c r="J24" s="53">
        <f>F24*B24</f>
        <v>58800</v>
      </c>
      <c r="L24" s="92"/>
      <c r="M24" s="92"/>
      <c r="O24" s="4"/>
    </row>
    <row r="25" spans="2:16" s="3" customFormat="1" ht="20.100000000000001" customHeight="1" x14ac:dyDescent="0.25">
      <c r="B25" s="45"/>
      <c r="C25" s="46"/>
      <c r="D25" s="123"/>
      <c r="E25" s="124"/>
      <c r="F25" s="49"/>
      <c r="G25" s="50"/>
      <c r="H25" s="51"/>
      <c r="I25" s="52"/>
      <c r="J25" s="53"/>
      <c r="L25" s="92"/>
      <c r="M25" s="92"/>
      <c r="O25" s="4"/>
    </row>
    <row r="26" spans="2:16" s="3" customFormat="1" ht="20.100000000000001" customHeight="1" x14ac:dyDescent="0.25">
      <c r="B26" s="45"/>
      <c r="C26" s="46"/>
      <c r="D26" s="125"/>
      <c r="E26" s="124"/>
      <c r="F26" s="49"/>
      <c r="G26" s="50"/>
      <c r="H26" s="51"/>
      <c r="I26" s="52"/>
      <c r="J26" s="53"/>
      <c r="L26" s="92"/>
      <c r="M26" s="92"/>
      <c r="O26" s="4"/>
    </row>
    <row r="27" spans="2:16" s="3" customFormat="1" ht="20.100000000000001" customHeight="1" x14ac:dyDescent="0.25">
      <c r="B27" s="45"/>
      <c r="C27" s="46"/>
      <c r="D27" s="47"/>
      <c r="E27" s="48"/>
      <c r="F27" s="55"/>
      <c r="G27" s="56"/>
      <c r="H27" s="51"/>
      <c r="I27" s="52"/>
      <c r="J27" s="53"/>
      <c r="L27" s="92"/>
      <c r="M27" s="92"/>
      <c r="O27" s="4"/>
    </row>
    <row r="28" spans="2:16" s="3" customFormat="1" ht="20.100000000000001" customHeight="1" x14ac:dyDescent="0.25">
      <c r="B28" s="135"/>
      <c r="C28" s="137" t="s">
        <v>16</v>
      </c>
      <c r="D28" s="157"/>
      <c r="E28" s="158"/>
      <c r="F28" s="143" t="s">
        <v>17</v>
      </c>
      <c r="G28" s="144"/>
      <c r="H28" s="68"/>
      <c r="I28" s="68"/>
      <c r="J28" s="127">
        <f>SUM(J11:J27)</f>
        <v>383250</v>
      </c>
      <c r="L28" s="92">
        <f>170+160+200</f>
        <v>530</v>
      </c>
      <c r="M28" s="92"/>
      <c r="O28" s="4"/>
      <c r="P28" s="86"/>
    </row>
    <row r="29" spans="2:16" s="3" customFormat="1" ht="19.5" customHeight="1" x14ac:dyDescent="0.25">
      <c r="B29" s="136"/>
      <c r="C29" s="138"/>
      <c r="D29" s="159"/>
      <c r="E29" s="160"/>
      <c r="F29" s="145"/>
      <c r="G29" s="146"/>
      <c r="H29" s="68"/>
      <c r="I29" s="68"/>
      <c r="J29" s="128"/>
      <c r="L29" s="92">
        <f>370+600</f>
        <v>970</v>
      </c>
      <c r="M29" s="92"/>
      <c r="O29" s="4"/>
      <c r="P29" s="4"/>
    </row>
    <row r="30" spans="2:16" ht="3.75" customHeight="1" x14ac:dyDescent="0.2">
      <c r="E30" s="69"/>
      <c r="F30" s="69"/>
    </row>
    <row r="31" spans="2:16" ht="3.75" customHeight="1" x14ac:dyDescent="0.2">
      <c r="E31" s="69"/>
      <c r="F31" s="69"/>
    </row>
    <row r="32" spans="2:16" x14ac:dyDescent="0.2">
      <c r="E32" s="70"/>
      <c r="F32" s="70"/>
      <c r="G32" s="70"/>
      <c r="H32" s="70"/>
      <c r="I32" s="70"/>
      <c r="J32" s="70"/>
      <c r="L32" s="8">
        <f>SUM(L28:L31)</f>
        <v>1500</v>
      </c>
      <c r="M32" s="94"/>
    </row>
    <row r="33" spans="2:16" x14ac:dyDescent="0.2">
      <c r="C33" s="72" t="s">
        <v>18</v>
      </c>
      <c r="D33" s="73"/>
      <c r="E33" s="73" t="s">
        <v>19</v>
      </c>
      <c r="F33" s="73"/>
      <c r="G33" s="74"/>
      <c r="H33" s="73"/>
      <c r="I33" s="73"/>
      <c r="J33" s="73" t="s">
        <v>20</v>
      </c>
      <c r="N33" s="71"/>
      <c r="O33" s="5"/>
      <c r="P33" s="8"/>
    </row>
    <row r="34" spans="2:16" x14ac:dyDescent="0.2">
      <c r="B34" s="75"/>
      <c r="C34" s="73"/>
      <c r="D34" s="73"/>
      <c r="E34" s="73"/>
      <c r="F34" s="73"/>
      <c r="G34" s="74"/>
      <c r="H34" s="73"/>
      <c r="I34" s="73"/>
      <c r="J34" s="73"/>
      <c r="O34" s="5"/>
      <c r="P34" s="8"/>
    </row>
    <row r="35" spans="2:16" ht="15" customHeight="1" x14ac:dyDescent="0.2">
      <c r="B35" s="7"/>
      <c r="C35" s="105" t="s">
        <v>217</v>
      </c>
      <c r="D35" s="76"/>
      <c r="E35" s="73" t="s">
        <v>21</v>
      </c>
      <c r="F35" s="73"/>
      <c r="G35" s="73"/>
      <c r="H35" s="73"/>
      <c r="I35" s="73"/>
      <c r="J35" s="73" t="s">
        <v>22</v>
      </c>
      <c r="O35" s="5"/>
      <c r="P35" s="8"/>
    </row>
    <row r="36" spans="2:16" ht="15" customHeight="1" x14ac:dyDescent="0.2">
      <c r="B36" s="7"/>
      <c r="C36" s="129" t="s">
        <v>266</v>
      </c>
      <c r="D36" s="129"/>
      <c r="E36" s="74" t="s">
        <v>23</v>
      </c>
      <c r="F36" s="73"/>
      <c r="G36" s="73"/>
      <c r="H36" s="73"/>
      <c r="I36" s="73"/>
      <c r="J36" s="74" t="s">
        <v>24</v>
      </c>
      <c r="N36" s="7"/>
      <c r="O36" s="5"/>
      <c r="P36" s="8"/>
    </row>
    <row r="37" spans="2:16" x14ac:dyDescent="0.2">
      <c r="B37" s="7"/>
      <c r="C37" s="73"/>
      <c r="D37" s="72"/>
      <c r="E37" s="74"/>
      <c r="F37" s="73"/>
      <c r="G37" s="73"/>
      <c r="H37" s="73"/>
      <c r="I37" s="73"/>
      <c r="J37" s="74"/>
      <c r="N37" s="77"/>
      <c r="O37" s="5"/>
      <c r="P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B39" s="75"/>
      <c r="C39" s="73" t="s">
        <v>25</v>
      </c>
      <c r="D39" s="73"/>
      <c r="E39" s="73"/>
      <c r="F39" s="73"/>
      <c r="G39" s="74"/>
      <c r="H39" s="73"/>
      <c r="I39" s="73"/>
      <c r="J39" s="73" t="s">
        <v>26</v>
      </c>
    </row>
    <row r="40" spans="2:16" x14ac:dyDescent="0.2">
      <c r="B40" s="7"/>
      <c r="C40" s="74"/>
      <c r="D40" s="74"/>
      <c r="E40" s="73"/>
      <c r="F40" s="73"/>
      <c r="G40" s="73"/>
      <c r="H40" s="73"/>
      <c r="I40" s="73"/>
      <c r="J40" s="73"/>
    </row>
    <row r="41" spans="2:16" x14ac:dyDescent="0.2">
      <c r="C41" s="74"/>
      <c r="D41" s="74"/>
      <c r="E41" s="73"/>
      <c r="F41" s="73"/>
      <c r="G41" s="73"/>
      <c r="H41" s="73"/>
      <c r="I41" s="73"/>
      <c r="J41" s="73"/>
    </row>
    <row r="42" spans="2:16" ht="15" customHeight="1" x14ac:dyDescent="0.2">
      <c r="B42" s="7"/>
      <c r="C42" s="73" t="s">
        <v>27</v>
      </c>
      <c r="D42" s="73"/>
      <c r="E42" s="73"/>
      <c r="F42" s="73"/>
      <c r="G42" s="78"/>
      <c r="H42" s="78"/>
      <c r="I42" s="78"/>
      <c r="J42" s="78"/>
    </row>
    <row r="43" spans="2:16" ht="16.5" x14ac:dyDescent="0.35">
      <c r="B43" s="5"/>
      <c r="C43" s="129" t="s">
        <v>29</v>
      </c>
      <c r="D43" s="129"/>
      <c r="E43" s="73"/>
      <c r="F43" s="73"/>
      <c r="G43" s="73"/>
      <c r="H43" s="73"/>
      <c r="I43" s="73"/>
      <c r="J43" s="80" t="s">
        <v>28</v>
      </c>
      <c r="M43" s="95"/>
    </row>
    <row r="44" spans="2:16" x14ac:dyDescent="0.2">
      <c r="B44" s="130"/>
      <c r="C44" s="130"/>
      <c r="E44" s="7"/>
      <c r="F44" s="7"/>
    </row>
    <row r="47" spans="2:16" ht="15" x14ac:dyDescent="0.25">
      <c r="M47" s="96"/>
    </row>
  </sheetData>
  <mergeCells count="16">
    <mergeCell ref="B1:F1"/>
    <mergeCell ref="G1:J1"/>
    <mergeCell ref="C3:E3"/>
    <mergeCell ref="C5:E5"/>
    <mergeCell ref="D9:E9"/>
    <mergeCell ref="F9:H9"/>
    <mergeCell ref="J28:J29"/>
    <mergeCell ref="C36:D36"/>
    <mergeCell ref="C43:D43"/>
    <mergeCell ref="B44:C44"/>
    <mergeCell ref="D10:E10"/>
    <mergeCell ref="F10:G10"/>
    <mergeCell ref="B28:B29"/>
    <mergeCell ref="C28:C29"/>
    <mergeCell ref="D28:E29"/>
    <mergeCell ref="F28:G2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0B21-A374-414D-BBCA-786E41391432}">
  <sheetPr>
    <tabColor rgb="FF00B0F0"/>
  </sheetPr>
  <dimension ref="A1:R47"/>
  <sheetViews>
    <sheetView view="pageBreakPreview" topLeftCell="A4" zoomScale="80" zoomScaleNormal="100" zoomScaleSheetLayoutView="80" workbookViewId="0">
      <selection activeCell="D25" sqref="D2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55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302</v>
      </c>
      <c r="D4" s="10"/>
      <c r="E4" s="10"/>
      <c r="F4" s="16" t="s">
        <v>9</v>
      </c>
      <c r="G4" s="17"/>
      <c r="H4" s="17"/>
      <c r="I4" s="17"/>
      <c r="J4" s="18">
        <v>45463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15</v>
      </c>
      <c r="C11" s="46" t="s">
        <v>240</v>
      </c>
      <c r="D11" s="47" t="s">
        <v>311</v>
      </c>
      <c r="E11" s="48"/>
      <c r="F11" s="49">
        <v>2700</v>
      </c>
      <c r="G11" s="50"/>
      <c r="H11" s="51"/>
      <c r="I11" s="52"/>
      <c r="J11" s="53">
        <f t="shared" ref="J11:J16" si="0">F11*B11</f>
        <v>40500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600</v>
      </c>
      <c r="C12" s="46" t="s">
        <v>141</v>
      </c>
      <c r="D12" s="47" t="s">
        <v>308</v>
      </c>
      <c r="E12" s="48"/>
      <c r="F12" s="49">
        <v>228</v>
      </c>
      <c r="G12" s="50"/>
      <c r="H12" s="51"/>
      <c r="I12" s="52"/>
      <c r="J12" s="53">
        <f t="shared" si="0"/>
        <v>136800</v>
      </c>
      <c r="L12" s="92"/>
      <c r="M12" s="92"/>
      <c r="O12" s="4"/>
    </row>
    <row r="13" spans="1:18" s="3" customFormat="1" ht="20.100000000000001" customHeight="1" x14ac:dyDescent="0.25">
      <c r="B13" s="45">
        <v>30</v>
      </c>
      <c r="C13" s="46" t="s">
        <v>58</v>
      </c>
      <c r="D13" s="47" t="s">
        <v>309</v>
      </c>
      <c r="E13" s="48"/>
      <c r="F13" s="83">
        <v>698</v>
      </c>
      <c r="G13" s="56"/>
      <c r="H13" s="51"/>
      <c r="I13" s="52"/>
      <c r="J13" s="53">
        <f t="shared" si="0"/>
        <v>20940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</v>
      </c>
      <c r="C14" s="46" t="s">
        <v>265</v>
      </c>
      <c r="D14" s="47" t="s">
        <v>133</v>
      </c>
      <c r="E14" s="48"/>
      <c r="F14" s="83">
        <v>1140</v>
      </c>
      <c r="G14" s="56"/>
      <c r="H14" s="51"/>
      <c r="I14" s="52"/>
      <c r="J14" s="53">
        <f t="shared" si="0"/>
        <v>2280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265</v>
      </c>
      <c r="D15" s="47" t="s">
        <v>140</v>
      </c>
      <c r="E15" s="48"/>
      <c r="F15" s="55">
        <v>1230</v>
      </c>
      <c r="G15" s="56"/>
      <c r="H15" s="51"/>
      <c r="I15" s="52"/>
      <c r="J15" s="53">
        <f t="shared" si="0"/>
        <v>1230</v>
      </c>
      <c r="L15" s="92"/>
      <c r="M15" s="92"/>
      <c r="O15" s="4"/>
    </row>
    <row r="16" spans="1:18" s="3" customFormat="1" ht="20.100000000000001" customHeight="1" x14ac:dyDescent="0.25">
      <c r="B16" s="45">
        <v>20</v>
      </c>
      <c r="C16" s="46" t="s">
        <v>58</v>
      </c>
      <c r="D16" s="47" t="s">
        <v>310</v>
      </c>
      <c r="E16" s="48"/>
      <c r="F16" s="55">
        <v>465</v>
      </c>
      <c r="G16" s="56"/>
      <c r="H16" s="51"/>
      <c r="I16" s="52"/>
      <c r="J16" s="53">
        <f t="shared" si="0"/>
        <v>9300</v>
      </c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323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63</v>
      </c>
      <c r="C19" s="46" t="s">
        <v>238</v>
      </c>
      <c r="D19" s="47" t="s">
        <v>239</v>
      </c>
      <c r="E19" s="48"/>
      <c r="F19" s="83">
        <v>850</v>
      </c>
      <c r="G19" s="56"/>
      <c r="H19" s="51"/>
      <c r="I19" s="52"/>
      <c r="J19" s="53">
        <f>F19*B19</f>
        <v>53550</v>
      </c>
      <c r="L19" s="92"/>
      <c r="M19" s="92"/>
      <c r="O19" s="4"/>
    </row>
    <row r="20" spans="2:16" s="3" customFormat="1" ht="20.100000000000001" customHeight="1" x14ac:dyDescent="0.25">
      <c r="B20" s="45">
        <v>21</v>
      </c>
      <c r="C20" s="46" t="s">
        <v>238</v>
      </c>
      <c r="D20" s="47" t="s">
        <v>306</v>
      </c>
      <c r="E20" s="59"/>
      <c r="F20" s="55">
        <v>800</v>
      </c>
      <c r="G20" s="56"/>
      <c r="H20" s="51"/>
      <c r="I20" s="52"/>
      <c r="J20" s="53">
        <f>F20*B20</f>
        <v>16800</v>
      </c>
      <c r="L20" s="92"/>
      <c r="M20" s="92"/>
      <c r="O20" s="4"/>
    </row>
    <row r="21" spans="2:16" s="3" customFormat="1" ht="20.100000000000001" customHeight="1" x14ac:dyDescent="0.25">
      <c r="B21" s="45">
        <v>63</v>
      </c>
      <c r="C21" s="46" t="s">
        <v>238</v>
      </c>
      <c r="D21" s="47" t="s">
        <v>307</v>
      </c>
      <c r="E21" s="59"/>
      <c r="F21" s="55">
        <v>850</v>
      </c>
      <c r="G21" s="56"/>
      <c r="H21" s="51"/>
      <c r="I21" s="52"/>
      <c r="J21" s="53">
        <f>F21*B21</f>
        <v>53550</v>
      </c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122" t="s">
        <v>260</v>
      </c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>
        <v>420</v>
      </c>
      <c r="C24" s="46" t="s">
        <v>58</v>
      </c>
      <c r="D24" s="47" t="s">
        <v>303</v>
      </c>
      <c r="E24" s="48"/>
      <c r="F24" s="49">
        <v>140</v>
      </c>
      <c r="G24" s="50"/>
      <c r="H24" s="51"/>
      <c r="I24" s="52"/>
      <c r="J24" s="53">
        <f>F24*B24</f>
        <v>58800</v>
      </c>
      <c r="L24" s="92"/>
      <c r="M24" s="92"/>
      <c r="O24" s="4"/>
    </row>
    <row r="25" spans="2:16" s="3" customFormat="1" ht="20.100000000000001" customHeight="1" x14ac:dyDescent="0.25">
      <c r="B25" s="45"/>
      <c r="C25" s="46"/>
      <c r="D25" s="123"/>
      <c r="E25" s="124"/>
      <c r="F25" s="49"/>
      <c r="G25" s="50"/>
      <c r="H25" s="51"/>
      <c r="I25" s="52"/>
      <c r="J25" s="53"/>
      <c r="L25" s="92"/>
      <c r="M25" s="92"/>
      <c r="O25" s="4"/>
    </row>
    <row r="26" spans="2:16" s="3" customFormat="1" ht="20.100000000000001" customHeight="1" x14ac:dyDescent="0.25">
      <c r="B26" s="45"/>
      <c r="C26" s="46"/>
      <c r="D26" s="125"/>
      <c r="E26" s="124"/>
      <c r="F26" s="49"/>
      <c r="G26" s="50"/>
      <c r="H26" s="51"/>
      <c r="I26" s="52"/>
      <c r="J26" s="53"/>
      <c r="L26" s="92"/>
      <c r="M26" s="92"/>
      <c r="O26" s="4"/>
    </row>
    <row r="27" spans="2:16" s="3" customFormat="1" ht="20.100000000000001" customHeight="1" x14ac:dyDescent="0.25">
      <c r="B27" s="45"/>
      <c r="C27" s="46"/>
      <c r="D27" s="47"/>
      <c r="E27" s="48"/>
      <c r="F27" s="55"/>
      <c r="G27" s="56"/>
      <c r="H27" s="51"/>
      <c r="I27" s="52"/>
      <c r="J27" s="53"/>
      <c r="L27" s="92"/>
      <c r="M27" s="92"/>
      <c r="O27" s="4"/>
    </row>
    <row r="28" spans="2:16" s="3" customFormat="1" ht="20.100000000000001" customHeight="1" x14ac:dyDescent="0.25">
      <c r="B28" s="135"/>
      <c r="C28" s="137" t="s">
        <v>16</v>
      </c>
      <c r="D28" s="157"/>
      <c r="E28" s="158"/>
      <c r="F28" s="143" t="s">
        <v>17</v>
      </c>
      <c r="G28" s="144"/>
      <c r="H28" s="68"/>
      <c r="I28" s="68"/>
      <c r="J28" s="127">
        <f>SUM(J11:J27)</f>
        <v>393750</v>
      </c>
      <c r="L28" s="92">
        <f>170+160+200</f>
        <v>530</v>
      </c>
      <c r="M28" s="92"/>
      <c r="O28" s="4"/>
      <c r="P28" s="86"/>
    </row>
    <row r="29" spans="2:16" s="3" customFormat="1" ht="19.5" customHeight="1" x14ac:dyDescent="0.25">
      <c r="B29" s="136"/>
      <c r="C29" s="138"/>
      <c r="D29" s="159"/>
      <c r="E29" s="160"/>
      <c r="F29" s="145"/>
      <c r="G29" s="146"/>
      <c r="H29" s="68"/>
      <c r="I29" s="68"/>
      <c r="J29" s="128"/>
      <c r="L29" s="92">
        <f>370+600</f>
        <v>970</v>
      </c>
      <c r="M29" s="92"/>
      <c r="O29" s="4"/>
      <c r="P29" s="4"/>
    </row>
    <row r="30" spans="2:16" ht="3.75" customHeight="1" x14ac:dyDescent="0.2">
      <c r="E30" s="69"/>
      <c r="F30" s="69"/>
    </row>
    <row r="31" spans="2:16" ht="3.75" customHeight="1" x14ac:dyDescent="0.2">
      <c r="E31" s="69"/>
      <c r="F31" s="69"/>
    </row>
    <row r="32" spans="2:16" x14ac:dyDescent="0.2">
      <c r="E32" s="70"/>
      <c r="F32" s="70"/>
      <c r="G32" s="70"/>
      <c r="H32" s="70"/>
      <c r="I32" s="70"/>
      <c r="J32" s="70"/>
      <c r="L32" s="8">
        <f>SUM(L28:L31)</f>
        <v>1500</v>
      </c>
      <c r="M32" s="94"/>
    </row>
    <row r="33" spans="2:16" x14ac:dyDescent="0.2">
      <c r="C33" s="72" t="s">
        <v>18</v>
      </c>
      <c r="D33" s="73"/>
      <c r="E33" s="73" t="s">
        <v>19</v>
      </c>
      <c r="F33" s="73"/>
      <c r="G33" s="74"/>
      <c r="H33" s="73"/>
      <c r="I33" s="73"/>
      <c r="J33" s="73" t="s">
        <v>20</v>
      </c>
      <c r="N33" s="71"/>
      <c r="O33" s="5"/>
      <c r="P33" s="8"/>
    </row>
    <row r="34" spans="2:16" x14ac:dyDescent="0.2">
      <c r="B34" s="75"/>
      <c r="C34" s="73"/>
      <c r="D34" s="73"/>
      <c r="E34" s="73"/>
      <c r="F34" s="73"/>
      <c r="G34" s="74"/>
      <c r="H34" s="73"/>
      <c r="I34" s="73"/>
      <c r="J34" s="73"/>
      <c r="O34" s="5"/>
      <c r="P34" s="8"/>
    </row>
    <row r="35" spans="2:16" ht="15" customHeight="1" x14ac:dyDescent="0.2">
      <c r="B35" s="7"/>
      <c r="C35" s="105" t="s">
        <v>217</v>
      </c>
      <c r="D35" s="76"/>
      <c r="E35" s="73" t="s">
        <v>21</v>
      </c>
      <c r="F35" s="73"/>
      <c r="G35" s="73"/>
      <c r="H35" s="73"/>
      <c r="I35" s="73"/>
      <c r="J35" s="73" t="s">
        <v>22</v>
      </c>
      <c r="O35" s="5"/>
      <c r="P35" s="8"/>
    </row>
    <row r="36" spans="2:16" ht="15" customHeight="1" x14ac:dyDescent="0.2">
      <c r="B36" s="7"/>
      <c r="C36" s="129" t="s">
        <v>266</v>
      </c>
      <c r="D36" s="129"/>
      <c r="E36" s="74" t="s">
        <v>23</v>
      </c>
      <c r="F36" s="73"/>
      <c r="G36" s="73"/>
      <c r="H36" s="73"/>
      <c r="I36" s="73"/>
      <c r="J36" s="74" t="s">
        <v>24</v>
      </c>
      <c r="N36" s="7"/>
      <c r="O36" s="5"/>
      <c r="P36" s="8"/>
    </row>
    <row r="37" spans="2:16" x14ac:dyDescent="0.2">
      <c r="B37" s="7"/>
      <c r="C37" s="73"/>
      <c r="D37" s="72"/>
      <c r="E37" s="74"/>
      <c r="F37" s="73"/>
      <c r="G37" s="73"/>
      <c r="H37" s="73"/>
      <c r="I37" s="73"/>
      <c r="J37" s="74"/>
      <c r="N37" s="77"/>
      <c r="O37" s="5"/>
      <c r="P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B39" s="75"/>
      <c r="C39" s="73" t="s">
        <v>25</v>
      </c>
      <c r="D39" s="73"/>
      <c r="E39" s="73"/>
      <c r="F39" s="73"/>
      <c r="G39" s="74"/>
      <c r="H39" s="73"/>
      <c r="I39" s="73"/>
      <c r="J39" s="73" t="s">
        <v>26</v>
      </c>
    </row>
    <row r="40" spans="2:16" x14ac:dyDescent="0.2">
      <c r="B40" s="7"/>
      <c r="C40" s="74"/>
      <c r="D40" s="74"/>
      <c r="E40" s="73"/>
      <c r="F40" s="73"/>
      <c r="G40" s="73"/>
      <c r="H40" s="73"/>
      <c r="I40" s="73"/>
      <c r="J40" s="73"/>
    </row>
    <row r="41" spans="2:16" x14ac:dyDescent="0.2">
      <c r="C41" s="74"/>
      <c r="D41" s="74"/>
      <c r="E41" s="73"/>
      <c r="F41" s="73"/>
      <c r="G41" s="73"/>
      <c r="H41" s="73"/>
      <c r="I41" s="73"/>
      <c r="J41" s="73"/>
    </row>
    <row r="42" spans="2:16" ht="15" customHeight="1" x14ac:dyDescent="0.2">
      <c r="B42" s="7"/>
      <c r="C42" s="73" t="s">
        <v>27</v>
      </c>
      <c r="D42" s="73"/>
      <c r="E42" s="73"/>
      <c r="F42" s="73"/>
      <c r="G42" s="78"/>
      <c r="H42" s="78"/>
      <c r="I42" s="78"/>
      <c r="J42" s="78"/>
    </row>
    <row r="43" spans="2:16" ht="16.5" x14ac:dyDescent="0.35">
      <c r="B43" s="5"/>
      <c r="C43" s="129" t="s">
        <v>29</v>
      </c>
      <c r="D43" s="129"/>
      <c r="E43" s="73"/>
      <c r="F43" s="73"/>
      <c r="G43" s="73"/>
      <c r="H43" s="73"/>
      <c r="I43" s="73"/>
      <c r="J43" s="80" t="s">
        <v>28</v>
      </c>
      <c r="M43" s="95"/>
    </row>
    <row r="44" spans="2:16" x14ac:dyDescent="0.2">
      <c r="B44" s="130"/>
      <c r="C44" s="130"/>
      <c r="E44" s="7"/>
      <c r="F44" s="7"/>
    </row>
    <row r="47" spans="2:16" ht="15" x14ac:dyDescent="0.25">
      <c r="M47" s="96"/>
    </row>
  </sheetData>
  <mergeCells count="16">
    <mergeCell ref="B1:F1"/>
    <mergeCell ref="G1:J1"/>
    <mergeCell ref="C3:E3"/>
    <mergeCell ref="C5:E5"/>
    <mergeCell ref="D9:E9"/>
    <mergeCell ref="F9:H9"/>
    <mergeCell ref="J28:J29"/>
    <mergeCell ref="C36:D36"/>
    <mergeCell ref="C43:D43"/>
    <mergeCell ref="B44:C44"/>
    <mergeCell ref="D10:E10"/>
    <mergeCell ref="F10:G10"/>
    <mergeCell ref="B28:B29"/>
    <mergeCell ref="C28:C29"/>
    <mergeCell ref="D28:E29"/>
    <mergeCell ref="F28:G2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21F8-47C0-4000-8063-B4E9A712EA11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3" t="s">
        <v>319</v>
      </c>
      <c r="D3" s="163"/>
      <c r="E3" s="163"/>
      <c r="F3" s="11" t="s">
        <v>3</v>
      </c>
      <c r="G3" s="11"/>
      <c r="H3" s="11"/>
      <c r="I3" s="11"/>
      <c r="J3" s="84">
        <v>54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318</v>
      </c>
      <c r="D4" s="10"/>
      <c r="E4" s="10"/>
      <c r="F4" s="16" t="s">
        <v>9</v>
      </c>
      <c r="G4" s="17"/>
      <c r="H4" s="17"/>
      <c r="I4" s="17"/>
      <c r="J4" s="18">
        <v>45462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286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f>2*4</f>
        <v>8</v>
      </c>
      <c r="C11" s="46" t="s">
        <v>58</v>
      </c>
      <c r="D11" s="47" t="s">
        <v>312</v>
      </c>
      <c r="E11" s="48"/>
      <c r="F11" s="49">
        <v>395</v>
      </c>
      <c r="G11" s="50"/>
      <c r="H11" s="51"/>
      <c r="I11" s="52"/>
      <c r="J11" s="53">
        <f>F11*B11</f>
        <v>3160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4*4</f>
        <v>16</v>
      </c>
      <c r="C12" s="46" t="s">
        <v>58</v>
      </c>
      <c r="D12" s="47" t="s">
        <v>313</v>
      </c>
      <c r="E12" s="48" t="s">
        <v>333</v>
      </c>
      <c r="F12" s="49">
        <v>65</v>
      </c>
      <c r="G12" s="50"/>
      <c r="H12" s="51"/>
      <c r="I12" s="52"/>
      <c r="J12" s="53">
        <f>F12*B12</f>
        <v>1040</v>
      </c>
      <c r="L12" s="92"/>
      <c r="M12" s="92"/>
      <c r="O12" s="4"/>
    </row>
    <row r="13" spans="1:18" s="3" customFormat="1" ht="20.100000000000001" customHeight="1" x14ac:dyDescent="0.25">
      <c r="B13" s="45">
        <f>4*4</f>
        <v>16</v>
      </c>
      <c r="C13" s="46" t="s">
        <v>58</v>
      </c>
      <c r="D13" s="47" t="s">
        <v>314</v>
      </c>
      <c r="E13" s="48" t="s">
        <v>333</v>
      </c>
      <c r="F13" s="83">
        <v>75</v>
      </c>
      <c r="G13" s="56"/>
      <c r="H13" s="51"/>
      <c r="I13" s="52"/>
      <c r="J13" s="53">
        <f>F13*B13</f>
        <v>1200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f>3*4</f>
        <v>12</v>
      </c>
      <c r="C14" s="46" t="s">
        <v>58</v>
      </c>
      <c r="D14" s="47" t="s">
        <v>315</v>
      </c>
      <c r="E14" s="48"/>
      <c r="F14" s="83">
        <v>100</v>
      </c>
      <c r="G14" s="56"/>
      <c r="H14" s="51"/>
      <c r="I14" s="52"/>
      <c r="J14" s="53">
        <f>F14*B14</f>
        <v>1200</v>
      </c>
      <c r="L14" s="92"/>
      <c r="M14" s="92"/>
      <c r="O14" s="4"/>
    </row>
    <row r="15" spans="1:18" s="3" customFormat="1" ht="20.100000000000001" customHeight="1" x14ac:dyDescent="0.25">
      <c r="B15" s="45">
        <v>4</v>
      </c>
      <c r="C15" s="46" t="s">
        <v>316</v>
      </c>
      <c r="D15" s="47" t="s">
        <v>317</v>
      </c>
      <c r="E15" s="48"/>
      <c r="F15" s="55">
        <v>270</v>
      </c>
      <c r="G15" s="56"/>
      <c r="H15" s="51"/>
      <c r="I15" s="52"/>
      <c r="J15" s="53">
        <f>F15*B15</f>
        <v>1080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122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321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8</v>
      </c>
      <c r="C19" s="46" t="s">
        <v>58</v>
      </c>
      <c r="D19" s="47" t="s">
        <v>320</v>
      </c>
      <c r="E19" s="48"/>
      <c r="F19" s="55">
        <v>1150</v>
      </c>
      <c r="G19" s="56"/>
      <c r="H19" s="51"/>
      <c r="I19" s="52"/>
      <c r="J19" s="53">
        <f>F19*B19</f>
        <v>9200</v>
      </c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322</v>
      </c>
      <c r="E26" s="140"/>
      <c r="F26" s="143" t="s">
        <v>17</v>
      </c>
      <c r="G26" s="144"/>
      <c r="H26" s="68"/>
      <c r="I26" s="68"/>
      <c r="J26" s="127">
        <f>SUM(J11:J25)</f>
        <v>16880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26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ABCC-DF4F-4E7A-8E3D-1F19CE0350F8}">
  <sheetPr>
    <tabColor theme="5" tint="0.39997558519241921"/>
  </sheetPr>
  <dimension ref="A1:R45"/>
  <sheetViews>
    <sheetView view="pageBreakPreview" topLeftCell="A4" zoomScale="90" zoomScaleNormal="100" zoomScaleSheetLayoutView="9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334</v>
      </c>
      <c r="D3" s="152"/>
      <c r="E3" s="152"/>
      <c r="F3" s="11" t="s">
        <v>3</v>
      </c>
      <c r="G3" s="11"/>
      <c r="H3" s="11"/>
      <c r="I3" s="11"/>
      <c r="J3" s="84">
        <v>71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337</v>
      </c>
      <c r="D4" s="10"/>
      <c r="E4" s="10"/>
      <c r="F4" s="16" t="s">
        <v>9</v>
      </c>
      <c r="G4" s="17"/>
      <c r="H4" s="17"/>
      <c r="I4" s="17"/>
      <c r="J4" s="18">
        <v>45469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 t="s">
        <v>339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41</v>
      </c>
      <c r="D11" s="47" t="s">
        <v>338</v>
      </c>
      <c r="E11" s="48"/>
      <c r="F11" s="49"/>
      <c r="G11" s="50"/>
      <c r="H11" s="51"/>
      <c r="I11" s="52"/>
      <c r="J11" s="53"/>
      <c r="L11" s="92"/>
      <c r="M11" s="92"/>
      <c r="O11" s="4"/>
    </row>
    <row r="12" spans="1:18" s="3" customFormat="1" ht="20.100000000000001" customHeight="1" x14ac:dyDescent="0.25">
      <c r="B12" s="45">
        <v>10</v>
      </c>
      <c r="C12" s="46" t="s">
        <v>58</v>
      </c>
      <c r="D12" s="47" t="s">
        <v>341</v>
      </c>
      <c r="E12" s="48" t="s">
        <v>184</v>
      </c>
      <c r="F12" s="83"/>
      <c r="G12" s="56"/>
      <c r="H12" s="51"/>
      <c r="I12" s="52"/>
      <c r="J12" s="53"/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>
        <v>1</v>
      </c>
      <c r="C13" s="46" t="s">
        <v>41</v>
      </c>
      <c r="D13" s="47" t="s">
        <v>340</v>
      </c>
      <c r="E13" s="48"/>
      <c r="F13" s="83"/>
      <c r="G13" s="56"/>
      <c r="H13" s="51"/>
      <c r="I13" s="52"/>
      <c r="J13" s="53"/>
      <c r="L13" s="92">
        <f>600/25</f>
        <v>24</v>
      </c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>
        <f>50*50</f>
        <v>2500</v>
      </c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658-A057-474B-AF64-0135F461F79E}">
  <sheetPr>
    <tabColor rgb="FF00B0F0"/>
  </sheetPr>
  <dimension ref="A1:R45"/>
  <sheetViews>
    <sheetView view="pageBreakPreview" topLeftCell="B1" zoomScale="90" zoomScaleNormal="100" zoomScaleSheetLayoutView="9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208</v>
      </c>
      <c r="D3" s="152"/>
      <c r="E3" s="152"/>
      <c r="F3" s="11" t="s">
        <v>3</v>
      </c>
      <c r="G3" s="11"/>
      <c r="H3" s="11"/>
      <c r="I3" s="11"/>
      <c r="J3" s="84">
        <v>53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293</v>
      </c>
      <c r="D4" s="10"/>
      <c r="E4" s="10"/>
      <c r="F4" s="16" t="s">
        <v>9</v>
      </c>
      <c r="G4" s="17"/>
      <c r="H4" s="17"/>
      <c r="I4" s="17"/>
      <c r="J4" s="18">
        <v>45461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4</v>
      </c>
      <c r="C11" s="46" t="s">
        <v>211</v>
      </c>
      <c r="D11" s="47" t="s">
        <v>212</v>
      </c>
      <c r="E11" s="48"/>
      <c r="F11" s="49">
        <v>1090</v>
      </c>
      <c r="G11" s="50"/>
      <c r="H11" s="51"/>
      <c r="I11" s="52"/>
      <c r="J11" s="53">
        <f>F11*B11</f>
        <v>4360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211</v>
      </c>
      <c r="D12" s="47" t="s">
        <v>215</v>
      </c>
      <c r="E12" s="48" t="s">
        <v>184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15760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FBCE-A304-4675-BF15-A3813AFB1B69}">
  <sheetPr>
    <tabColor rgb="FFC00000"/>
  </sheetPr>
  <dimension ref="A1:R45"/>
  <sheetViews>
    <sheetView view="pageBreakPreview" topLeftCell="B4" zoomScale="90" zoomScaleNormal="100" zoomScaleSheetLayoutView="90" workbookViewId="0">
      <selection activeCell="D11" sqref="D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288</v>
      </c>
      <c r="D3" s="152"/>
      <c r="E3" s="152"/>
      <c r="F3" s="11" t="s">
        <v>3</v>
      </c>
      <c r="G3" s="11"/>
      <c r="H3" s="11"/>
      <c r="I3" s="11"/>
      <c r="J3" s="84">
        <v>52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289</v>
      </c>
      <c r="D4" s="10"/>
      <c r="E4" s="10"/>
      <c r="F4" s="16" t="s">
        <v>9</v>
      </c>
      <c r="G4" s="17"/>
      <c r="H4" s="17"/>
      <c r="I4" s="17"/>
      <c r="J4" s="18">
        <v>45458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290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47" t="s">
        <v>291</v>
      </c>
      <c r="E11" s="48"/>
      <c r="F11" s="49">
        <v>15000</v>
      </c>
      <c r="G11" s="50"/>
      <c r="H11" s="51"/>
      <c r="I11" s="52"/>
      <c r="J11" s="53">
        <f>F11</f>
        <v>15000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15000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3000</v>
      </c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690E-A450-43AF-AE79-4C048C15E80D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128</v>
      </c>
      <c r="D3" s="152"/>
      <c r="E3" s="152"/>
      <c r="F3" s="11" t="s">
        <v>3</v>
      </c>
      <c r="G3" s="11"/>
      <c r="H3" s="11"/>
      <c r="I3" s="11"/>
      <c r="J3" s="84">
        <v>51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287</v>
      </c>
      <c r="D4" s="10"/>
      <c r="E4" s="10"/>
      <c r="F4" s="16" t="s">
        <v>9</v>
      </c>
      <c r="G4" s="17"/>
      <c r="H4" s="17"/>
      <c r="I4" s="17"/>
      <c r="J4" s="18">
        <v>45457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286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240</v>
      </c>
      <c r="D11" s="47" t="s">
        <v>292</v>
      </c>
      <c r="E11" s="48"/>
      <c r="F11" s="49">
        <v>6400</v>
      </c>
      <c r="G11" s="50"/>
      <c r="H11" s="51"/>
      <c r="I11" s="52"/>
      <c r="J11" s="53">
        <f>F11*B11</f>
        <v>6400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6400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3721-B582-403B-8193-83EA37CF8345}">
  <sheetPr>
    <tabColor rgb="FF00B0F0"/>
  </sheetPr>
  <dimension ref="A1:R45"/>
  <sheetViews>
    <sheetView view="pageBreakPreview" topLeftCell="B1" zoomScale="90" zoomScaleNormal="100" zoomScaleSheetLayoutView="90" workbookViewId="0">
      <selection activeCell="E20" sqref="E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273</v>
      </c>
      <c r="D3" s="161"/>
      <c r="E3" s="161"/>
      <c r="F3" s="11" t="s">
        <v>3</v>
      </c>
      <c r="G3" s="11"/>
      <c r="H3" s="11"/>
      <c r="I3" s="11"/>
      <c r="J3" s="84">
        <v>50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274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285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276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277</v>
      </c>
      <c r="D12" s="47" t="s">
        <v>278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281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279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99</v>
      </c>
      <c r="D15" s="47" t="s">
        <v>283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235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240</v>
      </c>
      <c r="D18" s="47" t="s">
        <v>280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F366-7571-4890-893D-0534A28E9879}">
  <sheetPr>
    <tabColor rgb="FF00B0F0"/>
  </sheetPr>
  <dimension ref="A1:R45"/>
  <sheetViews>
    <sheetView view="pageBreakPreview" topLeftCell="B1" zoomScale="90" zoomScaleNormal="100" zoomScaleSheetLayoutView="90" workbookViewId="0">
      <selection activeCell="B11" sqref="B11: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273</v>
      </c>
      <c r="D3" s="161"/>
      <c r="E3" s="161"/>
      <c r="F3" s="11" t="s">
        <v>3</v>
      </c>
      <c r="G3" s="11"/>
      <c r="H3" s="11"/>
      <c r="I3" s="11"/>
      <c r="J3" s="84">
        <v>49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274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284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276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277</v>
      </c>
      <c r="D12" s="47" t="s">
        <v>278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281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279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99</v>
      </c>
      <c r="D15" s="47" t="s">
        <v>283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235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240</v>
      </c>
      <c r="D18" s="47" t="s">
        <v>280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78-BA34-4DD4-8959-D6DD669E5358}">
  <sheetPr>
    <tabColor rgb="FF00B0F0"/>
  </sheetPr>
  <dimension ref="A1:R45"/>
  <sheetViews>
    <sheetView view="pageBreakPreview" topLeftCell="B1" zoomScale="90" zoomScaleNormal="100" zoomScaleSheetLayoutView="90" workbookViewId="0">
      <selection activeCell="D11" sqref="D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273</v>
      </c>
      <c r="D3" s="161"/>
      <c r="E3" s="161"/>
      <c r="F3" s="11" t="s">
        <v>3</v>
      </c>
      <c r="G3" s="11"/>
      <c r="H3" s="11"/>
      <c r="I3" s="11"/>
      <c r="J3" s="84">
        <v>48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274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282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276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277</v>
      </c>
      <c r="D12" s="47" t="s">
        <v>278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281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279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>
        <v>1</v>
      </c>
      <c r="C15" s="46" t="s">
        <v>99</v>
      </c>
      <c r="D15" s="47" t="s">
        <v>283</v>
      </c>
      <c r="E15" s="48"/>
      <c r="F15" s="108">
        <v>12000</v>
      </c>
      <c r="G15" s="107"/>
      <c r="H15" s="51"/>
      <c r="I15" s="52"/>
      <c r="J15" s="53">
        <f>F15*B15</f>
        <v>12000</v>
      </c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235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240</v>
      </c>
      <c r="D18" s="47" t="s">
        <v>280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16700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81EE-B5AB-4320-B69D-3025A145967D}">
  <sheetPr>
    <tabColor rgb="FF00B0F0"/>
  </sheetPr>
  <dimension ref="A1:R45"/>
  <sheetViews>
    <sheetView view="pageBreakPreview" topLeftCell="B1" zoomScale="90" zoomScaleNormal="100" zoomScaleSheetLayoutView="90" workbookViewId="0">
      <selection activeCell="B11" sqref="B11: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61" t="s">
        <v>273</v>
      </c>
      <c r="D3" s="161"/>
      <c r="E3" s="161"/>
      <c r="F3" s="11" t="s">
        <v>3</v>
      </c>
      <c r="G3" s="11"/>
      <c r="H3" s="11"/>
      <c r="I3" s="11"/>
      <c r="J3" s="84">
        <v>47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274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62" t="s">
        <v>275</v>
      </c>
      <c r="D5" s="162"/>
      <c r="E5" s="162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t="s">
        <v>169</v>
      </c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47" t="s">
        <v>276</v>
      </c>
      <c r="E11" s="48"/>
      <c r="F11" s="49">
        <v>350</v>
      </c>
      <c r="G11" s="50"/>
      <c r="H11" s="51"/>
      <c r="I11" s="52"/>
      <c r="J11" s="53">
        <f>F11*B11</f>
        <v>700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277</v>
      </c>
      <c r="D12" s="47" t="s">
        <v>278</v>
      </c>
      <c r="E12" s="48"/>
      <c r="F12" s="49">
        <v>250</v>
      </c>
      <c r="G12" s="50"/>
      <c r="H12" s="51"/>
      <c r="I12" s="52"/>
      <c r="J12" s="53">
        <f>F12*B12</f>
        <v>500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281</v>
      </c>
      <c r="E13" s="48"/>
      <c r="F13" s="106">
        <v>1800</v>
      </c>
      <c r="G13" s="107"/>
      <c r="H13" s="51"/>
      <c r="I13" s="52"/>
      <c r="J13" s="53">
        <f>F13*B13</f>
        <v>1800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58</v>
      </c>
      <c r="D14" s="47" t="s">
        <v>279</v>
      </c>
      <c r="E14" s="48"/>
      <c r="F14" s="106">
        <v>350</v>
      </c>
      <c r="G14" s="107"/>
      <c r="H14" s="51"/>
      <c r="I14" s="52"/>
      <c r="J14" s="53">
        <f>F14*B14</f>
        <v>700</v>
      </c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46"/>
      <c r="D17" s="122" t="s">
        <v>235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20</v>
      </c>
      <c r="C18" s="46" t="s">
        <v>240</v>
      </c>
      <c r="D18" s="47" t="s">
        <v>280</v>
      </c>
      <c r="E18" s="48"/>
      <c r="F18" s="108">
        <v>50</v>
      </c>
      <c r="G18" s="56"/>
      <c r="H18" s="51"/>
      <c r="I18" s="52"/>
      <c r="J18" s="53">
        <f>F18*B18</f>
        <v>1000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4700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81BB-C061-4C44-9753-9BF90CA0C9A1}">
  <sheetPr>
    <tabColor rgb="FF00B0F0"/>
  </sheetPr>
  <dimension ref="A1:R45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46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301</v>
      </c>
      <c r="D4" s="10"/>
      <c r="E4" s="10"/>
      <c r="F4" s="16" t="s">
        <v>9</v>
      </c>
      <c r="G4" s="17"/>
      <c r="H4" s="17"/>
      <c r="I4" s="17"/>
      <c r="J4" s="18">
        <v>45461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902</v>
      </c>
      <c r="C11" s="46" t="s">
        <v>58</v>
      </c>
      <c r="D11" s="47" t="s">
        <v>294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8" s="3" customFormat="1" ht="20.100000000000001" customHeight="1" x14ac:dyDescent="0.25">
      <c r="B12" s="45">
        <v>1544</v>
      </c>
      <c r="C12" s="46" t="s">
        <v>58</v>
      </c>
      <c r="D12" s="47" t="s">
        <v>295</v>
      </c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>
        <v>510</v>
      </c>
      <c r="C13" s="46" t="s">
        <v>58</v>
      </c>
      <c r="D13" s="47" t="s">
        <v>296</v>
      </c>
      <c r="E13" s="48"/>
      <c r="F13" s="106"/>
      <c r="G13" s="107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>
        <v>405</v>
      </c>
      <c r="C14" s="46" t="s">
        <v>58</v>
      </c>
      <c r="D14" s="47" t="s">
        <v>297</v>
      </c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>
        <v>137</v>
      </c>
      <c r="C15" s="46" t="s">
        <v>58</v>
      </c>
      <c r="D15" s="47" t="s">
        <v>298</v>
      </c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>
        <v>427</v>
      </c>
      <c r="C16" s="46" t="s">
        <v>58</v>
      </c>
      <c r="D16" s="47" t="s">
        <v>299</v>
      </c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1837</v>
      </c>
      <c r="C17" s="46" t="s">
        <v>58</v>
      </c>
      <c r="D17" s="47" t="s">
        <v>300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108"/>
      <c r="G18" s="56"/>
      <c r="H18" s="51"/>
      <c r="I18" s="52"/>
      <c r="J18" s="53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84E2-F87C-434E-8B4D-12FB69DED93E}">
  <sheetPr>
    <tabColor rgb="FF00B0F0"/>
  </sheetPr>
  <dimension ref="A1:R56"/>
  <sheetViews>
    <sheetView view="pageBreakPreview" topLeftCell="B1" zoomScale="90" zoomScaleNormal="100" zoomScaleSheetLayoutView="9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45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301</v>
      </c>
      <c r="D4" s="10"/>
      <c r="E4" s="10"/>
      <c r="F4" s="16" t="s">
        <v>9</v>
      </c>
      <c r="G4" s="17"/>
      <c r="H4" s="17"/>
      <c r="I4" s="17"/>
      <c r="J4" s="18">
        <v>45462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378</v>
      </c>
      <c r="C11" s="46" t="s">
        <v>58</v>
      </c>
      <c r="D11" s="47" t="s">
        <v>294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8" s="3" customFormat="1" ht="20.100000000000001" customHeight="1" x14ac:dyDescent="0.25">
      <c r="B12" s="45">
        <v>284</v>
      </c>
      <c r="C12" s="46" t="s">
        <v>58</v>
      </c>
      <c r="D12" s="47" t="s">
        <v>304</v>
      </c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>
        <v>388</v>
      </c>
      <c r="C13" s="46" t="s">
        <v>58</v>
      </c>
      <c r="D13" s="47" t="s">
        <v>305</v>
      </c>
      <c r="E13" s="48"/>
      <c r="F13" s="106"/>
      <c r="G13" s="107"/>
      <c r="H13" s="51"/>
      <c r="I13" s="52"/>
      <c r="J13" s="53"/>
      <c r="L13"/>
      <c r="M13"/>
      <c r="O13" s="4"/>
      <c r="P13" s="54">
        <f>30*190</f>
        <v>5700</v>
      </c>
    </row>
    <row r="14" spans="1:18" s="3" customFormat="1" ht="20.100000000000001" customHeight="1" x14ac:dyDescent="0.25">
      <c r="B14" s="45">
        <v>1400</v>
      </c>
      <c r="C14" s="46" t="s">
        <v>58</v>
      </c>
      <c r="D14" s="47" t="s">
        <v>295</v>
      </c>
      <c r="E14" s="48"/>
      <c r="F14" s="106"/>
      <c r="G14" s="107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>
        <v>1575</v>
      </c>
      <c r="C15" s="46" t="s">
        <v>58</v>
      </c>
      <c r="D15" s="47" t="s">
        <v>296</v>
      </c>
      <c r="E15" s="48"/>
      <c r="F15" s="108"/>
      <c r="G15" s="107"/>
      <c r="H15" s="51"/>
      <c r="I15" s="52"/>
      <c r="J15" s="53"/>
      <c r="L15"/>
      <c r="M15"/>
      <c r="O15" s="4"/>
    </row>
    <row r="16" spans="1:18" s="3" customFormat="1" ht="20.100000000000001" customHeight="1" x14ac:dyDescent="0.25">
      <c r="B16" s="45">
        <v>378</v>
      </c>
      <c r="C16" s="46" t="s">
        <v>58</v>
      </c>
      <c r="D16" s="47" t="s">
        <v>297</v>
      </c>
      <c r="E16" s="48"/>
      <c r="F16" s="108"/>
      <c r="G16" s="107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140</v>
      </c>
      <c r="C17" s="46" t="s">
        <v>58</v>
      </c>
      <c r="D17" s="47" t="s">
        <v>298</v>
      </c>
      <c r="E17" s="48"/>
      <c r="F17" s="108"/>
      <c r="G17" s="107"/>
      <c r="H17" s="51"/>
      <c r="I17" s="52"/>
      <c r="J17" s="53"/>
      <c r="L17"/>
      <c r="M17"/>
      <c r="N17" s="4"/>
      <c r="O17" s="4"/>
    </row>
    <row r="18" spans="2:16" s="3" customFormat="1" ht="20.100000000000001" customHeight="1" x14ac:dyDescent="0.25">
      <c r="B18" s="45">
        <v>438</v>
      </c>
      <c r="C18" s="46" t="s">
        <v>58</v>
      </c>
      <c r="D18" s="47" t="s">
        <v>299</v>
      </c>
      <c r="E18" s="48"/>
      <c r="F18" s="108"/>
      <c r="G18" s="56"/>
      <c r="H18" s="51"/>
      <c r="I18" s="52"/>
      <c r="J18" s="53"/>
      <c r="L18"/>
      <c r="M18"/>
      <c r="N18" s="4"/>
      <c r="O18" s="4"/>
    </row>
    <row r="19" spans="2:16" s="3" customFormat="1" ht="20.100000000000001" customHeight="1" x14ac:dyDescent="0.25">
      <c r="B19" s="45">
        <v>1598</v>
      </c>
      <c r="C19" s="46" t="s">
        <v>58</v>
      </c>
      <c r="D19" s="47" t="s">
        <v>300</v>
      </c>
      <c r="E19" s="59"/>
      <c r="F19" s="108"/>
      <c r="G19" s="56"/>
      <c r="H19" s="51"/>
      <c r="I19" s="52"/>
      <c r="J19" s="53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108"/>
      <c r="G20" s="56"/>
      <c r="H20" s="51"/>
      <c r="I20" s="52"/>
      <c r="J20" s="53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108"/>
      <c r="G21" s="56"/>
      <c r="H21" s="51"/>
      <c r="I21" s="52"/>
      <c r="J21" s="53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  <row r="56" spans="5:5" x14ac:dyDescent="0.2">
      <c r="E56" s="8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5883-078E-4759-9C09-BE2F9D6553D8}">
  <sheetPr>
    <tabColor rgb="FF00B0F0"/>
  </sheetPr>
  <dimension ref="A1:R45"/>
  <sheetViews>
    <sheetView view="pageBreakPreview" topLeftCell="A7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260</v>
      </c>
      <c r="D3" s="152"/>
      <c r="E3" s="152"/>
      <c r="F3" s="11" t="s">
        <v>3</v>
      </c>
      <c r="G3" s="11"/>
      <c r="H3" s="11"/>
      <c r="I3" s="11"/>
      <c r="J3" s="84">
        <v>44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256</v>
      </c>
      <c r="D4" s="10"/>
      <c r="E4" s="10"/>
      <c r="F4" s="16" t="s">
        <v>9</v>
      </c>
      <c r="G4" s="17"/>
      <c r="H4" s="17"/>
      <c r="I4" s="17"/>
      <c r="J4" s="18">
        <v>45456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177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185</v>
      </c>
      <c r="C11" s="46" t="s">
        <v>58</v>
      </c>
      <c r="D11" s="47" t="s">
        <v>229</v>
      </c>
      <c r="E11" s="48"/>
      <c r="F11" s="49">
        <v>84</v>
      </c>
      <c r="G11" s="50"/>
      <c r="H11" s="51"/>
      <c r="I11" s="52"/>
      <c r="J11" s="53">
        <f>F11*B11</f>
        <v>15540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66</v>
      </c>
      <c r="C12" s="46" t="s">
        <v>58</v>
      </c>
      <c r="D12" s="47" t="s">
        <v>230</v>
      </c>
      <c r="E12" s="48"/>
      <c r="F12" s="49">
        <v>126</v>
      </c>
      <c r="G12" s="50"/>
      <c r="H12" s="51"/>
      <c r="I12" s="52"/>
      <c r="J12" s="53">
        <f>F12*B12</f>
        <v>8316</v>
      </c>
      <c r="L12" s="92"/>
      <c r="M12" s="92"/>
      <c r="O12" s="4"/>
    </row>
    <row r="13" spans="1:18" s="3" customFormat="1" ht="20.100000000000001" customHeight="1" x14ac:dyDescent="0.25">
      <c r="B13" s="45">
        <v>48</v>
      </c>
      <c r="C13" s="46" t="s">
        <v>58</v>
      </c>
      <c r="D13" s="47" t="s">
        <v>231</v>
      </c>
      <c r="E13" s="48"/>
      <c r="F13" s="83">
        <v>168</v>
      </c>
      <c r="G13" s="56"/>
      <c r="H13" s="51"/>
      <c r="I13" s="52"/>
      <c r="J13" s="53">
        <f>F13*B13</f>
        <v>8064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38</v>
      </c>
      <c r="C19" s="46" t="s">
        <v>58</v>
      </c>
      <c r="D19" s="47" t="s">
        <v>232</v>
      </c>
      <c r="E19" s="48"/>
      <c r="F19" s="83">
        <v>250</v>
      </c>
      <c r="G19" s="56"/>
      <c r="H19" s="51"/>
      <c r="I19" s="52"/>
      <c r="J19" s="53">
        <f>F19*B19</f>
        <v>9500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233</v>
      </c>
      <c r="E26" s="158"/>
      <c r="F26" s="143" t="s">
        <v>17</v>
      </c>
      <c r="G26" s="144"/>
      <c r="H26" s="68"/>
      <c r="I26" s="68"/>
      <c r="J26" s="127">
        <f>SUM(J11:J25)</f>
        <v>41420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F434-5E73-4FBF-8E6B-1D976CBFD125}">
  <sheetPr>
    <tabColor theme="5" tint="0.39997558519241921"/>
  </sheetPr>
  <dimension ref="A1:R45"/>
  <sheetViews>
    <sheetView view="pageBreakPreview" zoomScale="90" zoomScaleNormal="100" zoomScaleSheetLayoutView="90" workbookViewId="0">
      <selection activeCell="C6" sqref="C6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334</v>
      </c>
      <c r="D3" s="152"/>
      <c r="E3" s="152"/>
      <c r="F3" s="11" t="s">
        <v>3</v>
      </c>
      <c r="G3" s="11"/>
      <c r="H3" s="11"/>
      <c r="I3" s="11"/>
      <c r="J3" s="84">
        <v>70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337</v>
      </c>
      <c r="D4" s="10"/>
      <c r="E4" s="10"/>
      <c r="F4" s="16" t="s">
        <v>9</v>
      </c>
      <c r="G4" s="17"/>
      <c r="H4" s="17"/>
      <c r="I4" s="17"/>
      <c r="J4" s="18">
        <v>45469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343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 t="s">
        <v>339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41</v>
      </c>
      <c r="D11" s="47" t="s">
        <v>338</v>
      </c>
      <c r="E11" s="48"/>
      <c r="F11" s="49"/>
      <c r="G11" s="50"/>
      <c r="H11" s="51"/>
      <c r="I11" s="52"/>
      <c r="J11" s="53"/>
      <c r="L11" s="92"/>
      <c r="M11" s="92"/>
      <c r="O11" s="4"/>
    </row>
    <row r="12" spans="1:18" s="3" customFormat="1" ht="20.100000000000001" customHeight="1" x14ac:dyDescent="0.25">
      <c r="B12" s="45">
        <v>10</v>
      </c>
      <c r="C12" s="46" t="s">
        <v>58</v>
      </c>
      <c r="D12" s="47" t="s">
        <v>341</v>
      </c>
      <c r="E12" s="48" t="s">
        <v>184</v>
      </c>
      <c r="F12" s="83"/>
      <c r="G12" s="56"/>
      <c r="H12" s="51"/>
      <c r="I12" s="52"/>
      <c r="J12" s="53"/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>
        <v>1</v>
      </c>
      <c r="C13" s="46" t="s">
        <v>41</v>
      </c>
      <c r="D13" s="47" t="s">
        <v>340</v>
      </c>
      <c r="E13" s="48"/>
      <c r="F13" s="83"/>
      <c r="G13" s="56"/>
      <c r="H13" s="51"/>
      <c r="I13" s="52"/>
      <c r="J13" s="53"/>
      <c r="L13" s="92">
        <f>600/25</f>
        <v>24</v>
      </c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9C2-9B07-4D3F-A416-CBAE4061750F}">
  <sheetPr>
    <tabColor rgb="FF00B0F0"/>
  </sheetPr>
  <dimension ref="A1:R45"/>
  <sheetViews>
    <sheetView view="pageBreakPreview" topLeftCell="B4" zoomScale="90" zoomScaleNormal="100" zoomScaleSheetLayoutView="90" workbookViewId="0">
      <selection activeCell="B12" sqref="A12:XF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43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256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177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32</v>
      </c>
      <c r="C11" s="46" t="s">
        <v>58</v>
      </c>
      <c r="D11" s="47" t="s">
        <v>262</v>
      </c>
      <c r="E11" s="48"/>
      <c r="F11" s="109">
        <v>413</v>
      </c>
      <c r="G11" s="50"/>
      <c r="H11" s="51"/>
      <c r="I11" s="52"/>
      <c r="J11" s="53">
        <f>F11*B11</f>
        <v>13216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240</v>
      </c>
      <c r="D12" s="113" t="s">
        <v>263</v>
      </c>
      <c r="E12" s="114"/>
      <c r="F12" s="109">
        <v>335</v>
      </c>
      <c r="G12" s="115"/>
      <c r="H12" s="51"/>
      <c r="I12" s="116"/>
      <c r="J12" s="53">
        <f t="shared" ref="J12:J25" si="0"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15</v>
      </c>
      <c r="C13" s="112" t="s">
        <v>112</v>
      </c>
      <c r="D13" s="113" t="s">
        <v>140</v>
      </c>
      <c r="E13" s="114"/>
      <c r="F13" s="109">
        <v>69</v>
      </c>
      <c r="G13" s="120"/>
      <c r="H13" s="51"/>
      <c r="I13" s="116"/>
      <c r="J13" s="53">
        <f t="shared" si="0"/>
        <v>1035</v>
      </c>
      <c r="L13" s="117"/>
      <c r="M13" s="117"/>
      <c r="O13" s="118"/>
      <c r="P13" s="121"/>
    </row>
    <row r="14" spans="1:18" s="110" customFormat="1" ht="20.100000000000001" customHeight="1" x14ac:dyDescent="0.25">
      <c r="B14" s="111">
        <v>1</v>
      </c>
      <c r="C14" s="112" t="s">
        <v>269</v>
      </c>
      <c r="D14" s="113" t="s">
        <v>267</v>
      </c>
      <c r="E14" s="114"/>
      <c r="F14" s="109">
        <v>1170</v>
      </c>
      <c r="G14" s="120"/>
      <c r="H14" s="51"/>
      <c r="I14" s="116"/>
      <c r="J14" s="53">
        <f t="shared" si="0"/>
        <v>1170</v>
      </c>
      <c r="L14" s="117"/>
      <c r="M14" s="117"/>
      <c r="O14" s="118"/>
    </row>
    <row r="15" spans="1:18" s="3" customFormat="1" ht="20.100000000000001" customHeight="1" x14ac:dyDescent="0.25">
      <c r="B15" s="111">
        <v>1</v>
      </c>
      <c r="C15" s="112" t="s">
        <v>269</v>
      </c>
      <c r="D15" s="113" t="s">
        <v>268</v>
      </c>
      <c r="E15" s="114"/>
      <c r="F15" s="119">
        <v>1140</v>
      </c>
      <c r="G15" s="107"/>
      <c r="H15" s="51"/>
      <c r="I15" s="52"/>
      <c r="J15" s="53">
        <f t="shared" si="0"/>
        <v>1140</v>
      </c>
      <c r="L15"/>
      <c r="M15"/>
      <c r="O15" s="4"/>
    </row>
    <row r="16" spans="1:18" s="3" customFormat="1" ht="20.100000000000001" customHeight="1" x14ac:dyDescent="0.25">
      <c r="B16" s="111">
        <v>10</v>
      </c>
      <c r="C16" s="112" t="s">
        <v>112</v>
      </c>
      <c r="D16" s="113" t="s">
        <v>220</v>
      </c>
      <c r="E16" s="114"/>
      <c r="F16" s="119">
        <v>82</v>
      </c>
      <c r="G16" s="107"/>
      <c r="H16" s="51"/>
      <c r="I16" s="52"/>
      <c r="J16" s="53">
        <f t="shared" si="0"/>
        <v>820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264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222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2</v>
      </c>
      <c r="C19" s="46" t="s">
        <v>141</v>
      </c>
      <c r="D19" s="47" t="s">
        <v>223</v>
      </c>
      <c r="E19" s="48"/>
      <c r="F19" s="108">
        <v>228</v>
      </c>
      <c r="G19" s="56"/>
      <c r="H19" s="51"/>
      <c r="I19" s="52"/>
      <c r="J19" s="53">
        <f t="shared" si="0"/>
        <v>456</v>
      </c>
      <c r="L19"/>
      <c r="M19"/>
      <c r="N19" s="4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257</v>
      </c>
      <c r="E20" s="48"/>
      <c r="F20" s="108">
        <v>225</v>
      </c>
      <c r="G20" s="56"/>
      <c r="H20" s="51"/>
      <c r="I20" s="52"/>
      <c r="J20" s="53">
        <f t="shared" si="0"/>
        <v>2250</v>
      </c>
      <c r="L20"/>
      <c r="M20"/>
      <c r="O20" s="4"/>
    </row>
    <row r="21" spans="2:16" s="3" customFormat="1" ht="20.100000000000001" customHeight="1" x14ac:dyDescent="0.25">
      <c r="B21" s="45">
        <v>10</v>
      </c>
      <c r="C21" s="46" t="s">
        <v>58</v>
      </c>
      <c r="D21" s="47" t="s">
        <v>270</v>
      </c>
      <c r="E21" s="59"/>
      <c r="F21" s="108">
        <v>35</v>
      </c>
      <c r="G21" s="56"/>
      <c r="H21" s="51"/>
      <c r="I21" s="52"/>
      <c r="J21" s="53">
        <f t="shared" si="0"/>
        <v>350</v>
      </c>
      <c r="L21"/>
      <c r="M21"/>
      <c r="O21" s="4"/>
    </row>
    <row r="22" spans="2:16" s="3" customFormat="1" ht="20.100000000000001" customHeight="1" x14ac:dyDescent="0.25">
      <c r="B22" s="45">
        <v>8</v>
      </c>
      <c r="C22" s="46" t="s">
        <v>58</v>
      </c>
      <c r="D22" s="47" t="s">
        <v>258</v>
      </c>
      <c r="E22" s="59"/>
      <c r="F22" s="108">
        <v>55</v>
      </c>
      <c r="G22" s="56"/>
      <c r="H22" s="51"/>
      <c r="I22" s="52"/>
      <c r="J22" s="53">
        <f t="shared" si="0"/>
        <v>440</v>
      </c>
      <c r="L22"/>
      <c r="M22"/>
      <c r="O22" s="4"/>
    </row>
    <row r="23" spans="2:16" s="3" customFormat="1" ht="20.100000000000001" customHeight="1" x14ac:dyDescent="0.25">
      <c r="B23" s="45">
        <v>4</v>
      </c>
      <c r="C23" s="46" t="s">
        <v>58</v>
      </c>
      <c r="D23" s="47" t="s">
        <v>259</v>
      </c>
      <c r="E23" s="64"/>
      <c r="F23" s="108">
        <v>45</v>
      </c>
      <c r="G23" s="56"/>
      <c r="H23" s="51"/>
      <c r="I23" s="52"/>
      <c r="J23" s="53">
        <f t="shared" si="0"/>
        <v>180</v>
      </c>
      <c r="L23"/>
      <c r="M23"/>
      <c r="O23" s="4"/>
    </row>
    <row r="24" spans="2:16" s="3" customFormat="1" ht="20.100000000000001" customHeight="1" x14ac:dyDescent="0.25">
      <c r="B24" s="45">
        <v>3</v>
      </c>
      <c r="C24" s="46" t="s">
        <v>58</v>
      </c>
      <c r="D24" s="47" t="s">
        <v>271</v>
      </c>
      <c r="E24" s="59"/>
      <c r="F24" s="108">
        <v>50</v>
      </c>
      <c r="G24" s="56"/>
      <c r="H24" s="51"/>
      <c r="I24" s="52"/>
      <c r="J24" s="53">
        <f t="shared" si="0"/>
        <v>150</v>
      </c>
      <c r="L24"/>
      <c r="M24"/>
      <c r="O24" s="4"/>
    </row>
    <row r="25" spans="2:16" s="3" customFormat="1" ht="20.100000000000001" customHeight="1" x14ac:dyDescent="0.25">
      <c r="B25" s="45">
        <v>2</v>
      </c>
      <c r="C25" s="46" t="s">
        <v>265</v>
      </c>
      <c r="D25" s="47" t="s">
        <v>272</v>
      </c>
      <c r="E25" s="64"/>
      <c r="F25" s="55">
        <v>4200</v>
      </c>
      <c r="G25" s="56"/>
      <c r="H25" s="51"/>
      <c r="I25" s="52"/>
      <c r="J25" s="67">
        <f t="shared" si="0"/>
        <v>8400</v>
      </c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234</v>
      </c>
      <c r="E26" s="158"/>
      <c r="F26" s="143" t="s">
        <v>17</v>
      </c>
      <c r="G26" s="144"/>
      <c r="H26" s="68"/>
      <c r="I26" s="68"/>
      <c r="J26" s="127">
        <f>SUM(J11:J25)</f>
        <v>43459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238E-379A-4071-BE6D-922F162174A4}">
  <sheetPr>
    <tabColor rgb="FF00B0F0"/>
  </sheetPr>
  <dimension ref="A1:R45"/>
  <sheetViews>
    <sheetView view="pageBreakPreview" topLeftCell="A7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260</v>
      </c>
      <c r="D3" s="152"/>
      <c r="E3" s="152"/>
      <c r="F3" s="11" t="s">
        <v>3</v>
      </c>
      <c r="G3" s="11"/>
      <c r="H3" s="11"/>
      <c r="I3" s="11"/>
      <c r="J3" s="84">
        <v>42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256</v>
      </c>
      <c r="D4" s="10"/>
      <c r="E4" s="10"/>
      <c r="F4" s="16" t="s">
        <v>9</v>
      </c>
      <c r="G4" s="17"/>
      <c r="H4" s="17"/>
      <c r="I4" s="17"/>
      <c r="J4" s="18">
        <v>45456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255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185</v>
      </c>
      <c r="C11" s="46" t="s">
        <v>58</v>
      </c>
      <c r="D11" s="47" t="s">
        <v>229</v>
      </c>
      <c r="E11" s="48"/>
      <c r="F11" s="49">
        <v>84</v>
      </c>
      <c r="G11" s="50"/>
      <c r="H11" s="51"/>
      <c r="I11" s="52"/>
      <c r="J11" s="53">
        <f>F11*B11</f>
        <v>15540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66</v>
      </c>
      <c r="C12" s="46" t="s">
        <v>58</v>
      </c>
      <c r="D12" s="47" t="s">
        <v>230</v>
      </c>
      <c r="E12" s="48"/>
      <c r="F12" s="49">
        <v>126</v>
      </c>
      <c r="G12" s="50"/>
      <c r="H12" s="51"/>
      <c r="I12" s="52"/>
      <c r="J12" s="53">
        <f>F12*B12</f>
        <v>8316</v>
      </c>
      <c r="L12" s="92"/>
      <c r="M12" s="92"/>
      <c r="O12" s="4"/>
    </row>
    <row r="13" spans="1:18" s="3" customFormat="1" ht="20.100000000000001" customHeight="1" x14ac:dyDescent="0.25">
      <c r="B13" s="45">
        <v>48</v>
      </c>
      <c r="C13" s="46" t="s">
        <v>58</v>
      </c>
      <c r="D13" s="47" t="s">
        <v>231</v>
      </c>
      <c r="E13" s="48"/>
      <c r="F13" s="83">
        <v>168</v>
      </c>
      <c r="G13" s="56"/>
      <c r="H13" s="51"/>
      <c r="I13" s="52"/>
      <c r="J13" s="53">
        <f>F13*B13</f>
        <v>8064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38</v>
      </c>
      <c r="C19" s="46" t="s">
        <v>58</v>
      </c>
      <c r="D19" s="47" t="s">
        <v>232</v>
      </c>
      <c r="E19" s="48"/>
      <c r="F19" s="83">
        <v>250</v>
      </c>
      <c r="G19" s="56"/>
      <c r="H19" s="51"/>
      <c r="I19" s="52"/>
      <c r="J19" s="53">
        <f>F19*B19</f>
        <v>9500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233</v>
      </c>
      <c r="E26" s="158"/>
      <c r="F26" s="143" t="s">
        <v>17</v>
      </c>
      <c r="G26" s="144"/>
      <c r="H26" s="68"/>
      <c r="I26" s="68"/>
      <c r="J26" s="127">
        <f>SUM(J11:J25)</f>
        <v>41420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7171-D6D1-43F5-9944-F0A64A59AFE3}">
  <sheetPr>
    <tabColor rgb="FF00B0F0"/>
  </sheetPr>
  <dimension ref="A1:R45"/>
  <sheetViews>
    <sheetView view="pageBreakPreview" topLeftCell="A4" zoomScale="80" zoomScaleNormal="100" zoomScaleSheetLayoutView="8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41</v>
      </c>
      <c r="L3" s="12"/>
      <c r="M3" s="13"/>
      <c r="N3" s="13"/>
      <c r="O3" s="12"/>
    </row>
    <row r="4" spans="1:18" s="3" customFormat="1" ht="30" customHeight="1" x14ac:dyDescent="0.25">
      <c r="B4" s="14" t="s">
        <v>8</v>
      </c>
      <c r="C4" s="15" t="s">
        <v>256</v>
      </c>
      <c r="D4" s="10"/>
      <c r="E4" s="10"/>
      <c r="F4" s="16" t="s">
        <v>9</v>
      </c>
      <c r="G4" s="17"/>
      <c r="H4" s="17"/>
      <c r="I4" s="17"/>
      <c r="J4" s="18">
        <v>45456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255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32</v>
      </c>
      <c r="C11" s="46" t="s">
        <v>58</v>
      </c>
      <c r="D11" s="47" t="s">
        <v>262</v>
      </c>
      <c r="E11" s="48"/>
      <c r="F11" s="109">
        <v>413</v>
      </c>
      <c r="G11" s="50"/>
      <c r="H11" s="51"/>
      <c r="I11" s="52"/>
      <c r="J11" s="53">
        <f>F11*B11</f>
        <v>13216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240</v>
      </c>
      <c r="D12" s="113" t="s">
        <v>263</v>
      </c>
      <c r="E12" s="114"/>
      <c r="F12" s="109">
        <v>335</v>
      </c>
      <c r="G12" s="115"/>
      <c r="H12" s="51"/>
      <c r="I12" s="116"/>
      <c r="J12" s="53">
        <f t="shared" ref="J12:J25" si="0"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15</v>
      </c>
      <c r="C13" s="112" t="s">
        <v>112</v>
      </c>
      <c r="D13" s="113" t="s">
        <v>140</v>
      </c>
      <c r="E13" s="114"/>
      <c r="F13" s="109">
        <v>69</v>
      </c>
      <c r="G13" s="120"/>
      <c r="H13" s="51"/>
      <c r="I13" s="116"/>
      <c r="J13" s="53">
        <f t="shared" si="0"/>
        <v>1035</v>
      </c>
      <c r="L13" s="117"/>
      <c r="M13" s="117"/>
      <c r="O13" s="118"/>
      <c r="P13" s="121"/>
    </row>
    <row r="14" spans="1:18" s="110" customFormat="1" ht="20.100000000000001" customHeight="1" x14ac:dyDescent="0.25">
      <c r="B14" s="111">
        <v>1</v>
      </c>
      <c r="C14" s="112" t="s">
        <v>269</v>
      </c>
      <c r="D14" s="113" t="s">
        <v>267</v>
      </c>
      <c r="E14" s="114"/>
      <c r="F14" s="109">
        <v>1170</v>
      </c>
      <c r="G14" s="120"/>
      <c r="H14" s="51"/>
      <c r="I14" s="116"/>
      <c r="J14" s="53">
        <f t="shared" si="0"/>
        <v>1170</v>
      </c>
      <c r="L14" s="117"/>
      <c r="M14" s="117"/>
      <c r="O14" s="118"/>
    </row>
    <row r="15" spans="1:18" s="3" customFormat="1" ht="20.100000000000001" customHeight="1" x14ac:dyDescent="0.25">
      <c r="B15" s="111">
        <v>1</v>
      </c>
      <c r="C15" s="112" t="s">
        <v>269</v>
      </c>
      <c r="D15" s="113" t="s">
        <v>268</v>
      </c>
      <c r="E15" s="114"/>
      <c r="F15" s="119">
        <v>1140</v>
      </c>
      <c r="G15" s="107"/>
      <c r="H15" s="51"/>
      <c r="I15" s="52"/>
      <c r="J15" s="53">
        <f t="shared" si="0"/>
        <v>1140</v>
      </c>
      <c r="L15"/>
      <c r="M15"/>
      <c r="O15" s="4"/>
    </row>
    <row r="16" spans="1:18" s="3" customFormat="1" ht="20.100000000000001" customHeight="1" x14ac:dyDescent="0.25">
      <c r="B16" s="111">
        <v>10</v>
      </c>
      <c r="C16" s="112" t="s">
        <v>112</v>
      </c>
      <c r="D16" s="113" t="s">
        <v>220</v>
      </c>
      <c r="E16" s="114"/>
      <c r="F16" s="119">
        <v>82</v>
      </c>
      <c r="G16" s="107"/>
      <c r="H16" s="51"/>
      <c r="I16" s="52"/>
      <c r="J16" s="53">
        <f t="shared" si="0"/>
        <v>820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264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222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2</v>
      </c>
      <c r="C19" s="46" t="s">
        <v>141</v>
      </c>
      <c r="D19" s="47" t="s">
        <v>223</v>
      </c>
      <c r="E19" s="48"/>
      <c r="F19" s="108">
        <v>228</v>
      </c>
      <c r="G19" s="56"/>
      <c r="H19" s="51"/>
      <c r="I19" s="52"/>
      <c r="J19" s="53">
        <f t="shared" si="0"/>
        <v>456</v>
      </c>
      <c r="L19"/>
      <c r="M19"/>
      <c r="N19" s="4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257</v>
      </c>
      <c r="E20" s="48"/>
      <c r="F20" s="108">
        <v>225</v>
      </c>
      <c r="G20" s="56"/>
      <c r="H20" s="51"/>
      <c r="I20" s="52"/>
      <c r="J20" s="53">
        <f t="shared" si="0"/>
        <v>2250</v>
      </c>
      <c r="L20"/>
      <c r="M20"/>
      <c r="O20" s="4"/>
    </row>
    <row r="21" spans="2:16" s="3" customFormat="1" ht="20.100000000000001" customHeight="1" x14ac:dyDescent="0.25">
      <c r="B21" s="45">
        <v>10</v>
      </c>
      <c r="C21" s="46" t="s">
        <v>58</v>
      </c>
      <c r="D21" s="47" t="s">
        <v>270</v>
      </c>
      <c r="E21" s="59"/>
      <c r="F21" s="108">
        <v>35</v>
      </c>
      <c r="G21" s="56"/>
      <c r="H21" s="51"/>
      <c r="I21" s="52"/>
      <c r="J21" s="53">
        <f t="shared" si="0"/>
        <v>350</v>
      </c>
      <c r="L21"/>
      <c r="M21"/>
      <c r="O21" s="4"/>
    </row>
    <row r="22" spans="2:16" s="3" customFormat="1" ht="20.100000000000001" customHeight="1" x14ac:dyDescent="0.25">
      <c r="B22" s="45">
        <v>8</v>
      </c>
      <c r="C22" s="46" t="s">
        <v>58</v>
      </c>
      <c r="D22" s="47" t="s">
        <v>258</v>
      </c>
      <c r="E22" s="59"/>
      <c r="F22" s="108">
        <v>55</v>
      </c>
      <c r="G22" s="56"/>
      <c r="H22" s="51"/>
      <c r="I22" s="52"/>
      <c r="J22" s="53">
        <f t="shared" si="0"/>
        <v>440</v>
      </c>
      <c r="L22"/>
      <c r="M22"/>
      <c r="O22" s="4"/>
    </row>
    <row r="23" spans="2:16" s="3" customFormat="1" ht="20.100000000000001" customHeight="1" x14ac:dyDescent="0.25">
      <c r="B23" s="45">
        <v>4</v>
      </c>
      <c r="C23" s="46" t="s">
        <v>58</v>
      </c>
      <c r="D23" s="47" t="s">
        <v>259</v>
      </c>
      <c r="E23" s="64"/>
      <c r="F23" s="108">
        <v>45</v>
      </c>
      <c r="G23" s="56"/>
      <c r="H23" s="51"/>
      <c r="I23" s="52"/>
      <c r="J23" s="53">
        <f t="shared" si="0"/>
        <v>180</v>
      </c>
      <c r="L23"/>
      <c r="M23"/>
      <c r="O23" s="4"/>
    </row>
    <row r="24" spans="2:16" s="3" customFormat="1" ht="20.100000000000001" customHeight="1" x14ac:dyDescent="0.25">
      <c r="B24" s="45">
        <v>3</v>
      </c>
      <c r="C24" s="46" t="s">
        <v>58</v>
      </c>
      <c r="D24" s="47" t="s">
        <v>271</v>
      </c>
      <c r="E24" s="59"/>
      <c r="F24" s="108">
        <v>50</v>
      </c>
      <c r="G24" s="56"/>
      <c r="H24" s="51"/>
      <c r="I24" s="52"/>
      <c r="J24" s="53">
        <f t="shared" si="0"/>
        <v>150</v>
      </c>
      <c r="L24"/>
      <c r="M24"/>
      <c r="O24" s="4"/>
    </row>
    <row r="25" spans="2:16" s="3" customFormat="1" ht="20.100000000000001" customHeight="1" x14ac:dyDescent="0.25">
      <c r="B25" s="45">
        <v>2</v>
      </c>
      <c r="C25" s="46" t="s">
        <v>265</v>
      </c>
      <c r="D25" s="47" t="s">
        <v>272</v>
      </c>
      <c r="E25" s="64"/>
      <c r="F25" s="55">
        <v>4200</v>
      </c>
      <c r="G25" s="56"/>
      <c r="H25" s="51"/>
      <c r="I25" s="52"/>
      <c r="J25" s="67">
        <f t="shared" si="0"/>
        <v>8400</v>
      </c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228</v>
      </c>
      <c r="E26" s="158"/>
      <c r="F26" s="143" t="s">
        <v>17</v>
      </c>
      <c r="G26" s="144"/>
      <c r="H26" s="68"/>
      <c r="I26" s="68"/>
      <c r="J26" s="127">
        <f>SUM(J11:J25)</f>
        <v>43459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6201-0E52-4198-942B-3B8CD69445CF}">
  <sheetPr>
    <tabColor rgb="FFC00000"/>
  </sheetPr>
  <dimension ref="A1:R45"/>
  <sheetViews>
    <sheetView view="pageBreakPreview" topLeftCell="B1" zoomScale="90" zoomScaleNormal="100" zoomScaleSheetLayoutView="9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160</v>
      </c>
      <c r="D3" s="152"/>
      <c r="E3" s="152"/>
      <c r="F3" s="11" t="s">
        <v>3</v>
      </c>
      <c r="G3" s="11"/>
      <c r="H3" s="11"/>
      <c r="I3" s="11"/>
      <c r="J3" s="84">
        <v>40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253</v>
      </c>
      <c r="D4" s="10"/>
      <c r="E4" s="10"/>
      <c r="F4" s="16" t="s">
        <v>9</v>
      </c>
      <c r="G4" s="17"/>
      <c r="H4" s="17"/>
      <c r="I4" s="17"/>
      <c r="J4" s="18">
        <v>45449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4" t="s">
        <v>254</v>
      </c>
      <c r="E11" s="165"/>
      <c r="F11" s="49">
        <v>329.28</v>
      </c>
      <c r="G11" s="50"/>
      <c r="H11" s="51"/>
      <c r="I11" s="52"/>
      <c r="J11" s="53">
        <f>F11</f>
        <v>329.28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 t="s">
        <v>201</v>
      </c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202</v>
      </c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 t="s">
        <v>203</v>
      </c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204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200</v>
      </c>
      <c r="E26" s="140"/>
      <c r="F26" s="143" t="s">
        <v>17</v>
      </c>
      <c r="G26" s="144"/>
      <c r="H26" s="68"/>
      <c r="I26" s="68"/>
      <c r="J26" s="127">
        <f>SUM(J11:J25)</f>
        <v>329.28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7">
    <mergeCell ref="J26:J27"/>
    <mergeCell ref="C34:D34"/>
    <mergeCell ref="C41:D41"/>
    <mergeCell ref="B42:C42"/>
    <mergeCell ref="D10:E10"/>
    <mergeCell ref="F10:G10"/>
    <mergeCell ref="D11:E11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29FA-BEF8-4B14-8A3C-FD8F5749A2C4}">
  <sheetPr>
    <tabColor rgb="FFC00000"/>
  </sheetPr>
  <dimension ref="A1:R45"/>
  <sheetViews>
    <sheetView view="pageBreakPreview" topLeftCell="B1" zoomScale="90" zoomScaleNormal="100" zoomScaleSheetLayoutView="90" workbookViewId="0">
      <selection activeCell="D11" sqref="D11:E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160</v>
      </c>
      <c r="D3" s="152"/>
      <c r="E3" s="152"/>
      <c r="F3" s="11" t="s">
        <v>3</v>
      </c>
      <c r="G3" s="11"/>
      <c r="H3" s="11"/>
      <c r="I3" s="11"/>
      <c r="J3" s="84">
        <v>39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252</v>
      </c>
      <c r="D4" s="10"/>
      <c r="E4" s="10"/>
      <c r="F4" s="16" t="s">
        <v>9</v>
      </c>
      <c r="G4" s="17"/>
      <c r="H4" s="17"/>
      <c r="I4" s="17"/>
      <c r="J4" s="18">
        <v>45449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4" t="s">
        <v>251</v>
      </c>
      <c r="E11" s="165"/>
      <c r="F11" s="49">
        <v>1705.93</v>
      </c>
      <c r="G11" s="50"/>
      <c r="H11" s="51"/>
      <c r="I11" s="52"/>
      <c r="J11" s="53">
        <f>F11</f>
        <v>1705.93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47" t="s">
        <v>194</v>
      </c>
      <c r="E12" s="48"/>
      <c r="F12" s="49"/>
      <c r="G12" s="50"/>
      <c r="H12" s="51"/>
      <c r="I12" s="52"/>
      <c r="J12" s="53"/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193</v>
      </c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 t="s">
        <v>191</v>
      </c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192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1705.93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7">
    <mergeCell ref="J26:J27"/>
    <mergeCell ref="C34:D34"/>
    <mergeCell ref="C41:D41"/>
    <mergeCell ref="B42:C42"/>
    <mergeCell ref="D10:E10"/>
    <mergeCell ref="F10:G10"/>
    <mergeCell ref="D11:E11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8C31-DDC7-4857-BDAF-8E8E2BC24C24}">
  <sheetPr>
    <tabColor rgb="FFC00000"/>
  </sheetPr>
  <dimension ref="A1:Q45"/>
  <sheetViews>
    <sheetView view="pageBreakPreview" zoomScale="80" zoomScaleNormal="100" zoomScaleSheetLayoutView="8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84</v>
      </c>
      <c r="D3" s="152"/>
      <c r="E3" s="152"/>
      <c r="F3" s="11" t="s">
        <v>3</v>
      </c>
      <c r="G3" s="11"/>
      <c r="H3" s="11"/>
      <c r="I3" s="11"/>
      <c r="J3" s="84">
        <v>38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45448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89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249</v>
      </c>
      <c r="E12" s="87"/>
      <c r="F12" s="83">
        <v>20000</v>
      </c>
      <c r="G12" s="50"/>
      <c r="H12" s="51"/>
      <c r="I12" s="52"/>
      <c r="J12" s="104">
        <v>20000</v>
      </c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86</v>
      </c>
      <c r="E13" s="48"/>
      <c r="F13" s="83"/>
      <c r="G13" s="56"/>
      <c r="H13" s="51"/>
      <c r="I13" s="52"/>
      <c r="J13" s="104"/>
      <c r="L13"/>
      <c r="M13"/>
      <c r="O13" s="4"/>
    </row>
    <row r="14" spans="1:17" s="3" customFormat="1" ht="20.100000000000001" customHeight="1" x14ac:dyDescent="0.25">
      <c r="B14" s="45"/>
      <c r="C14" s="46"/>
      <c r="D14" s="47"/>
      <c r="E14" s="48"/>
      <c r="F14" s="55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20000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DC54-76E5-4E43-9F1B-6CA80DA30BBD}">
  <sheetPr>
    <tabColor rgb="FF00B0F0"/>
  </sheetPr>
  <dimension ref="A1:R45"/>
  <sheetViews>
    <sheetView view="pageBreakPreview" topLeftCell="B1" zoomScale="90" zoomScaleNormal="100" zoomScaleSheetLayoutView="90" workbookViewId="0">
      <selection activeCell="D13" sqref="D1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153</v>
      </c>
      <c r="D3" s="152"/>
      <c r="E3" s="152"/>
      <c r="F3" s="11" t="s">
        <v>3</v>
      </c>
      <c r="G3" s="11"/>
      <c r="H3" s="11"/>
      <c r="I3" s="11"/>
      <c r="J3" s="84">
        <v>37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154</v>
      </c>
      <c r="D4" s="10"/>
      <c r="E4" s="10"/>
      <c r="F4" s="16" t="s">
        <v>9</v>
      </c>
      <c r="G4" s="17"/>
      <c r="H4" s="17"/>
      <c r="I4" s="17"/>
      <c r="J4" s="18">
        <v>45448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245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4</v>
      </c>
      <c r="C11" s="46" t="s">
        <v>155</v>
      </c>
      <c r="D11" s="164" t="s">
        <v>246</v>
      </c>
      <c r="E11" s="165"/>
      <c r="F11" s="49">
        <v>75000</v>
      </c>
      <c r="G11" s="50"/>
      <c r="H11" s="51"/>
      <c r="I11" s="52"/>
      <c r="J11" s="53">
        <f>F11*B11</f>
        <v>300000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4</v>
      </c>
      <c r="C12" s="46" t="s">
        <v>155</v>
      </c>
      <c r="D12" s="164" t="s">
        <v>247</v>
      </c>
      <c r="E12" s="165"/>
      <c r="F12" s="49">
        <v>3800</v>
      </c>
      <c r="G12" s="50"/>
      <c r="H12" s="51"/>
      <c r="I12" s="52"/>
      <c r="J12" s="53">
        <f>F12*B12</f>
        <v>15200</v>
      </c>
      <c r="L12" s="92"/>
      <c r="M12" s="92"/>
      <c r="O12" s="4"/>
    </row>
    <row r="13" spans="1:18" s="3" customFormat="1" ht="20.100000000000001" customHeight="1" x14ac:dyDescent="0.25">
      <c r="B13" s="45">
        <v>4</v>
      </c>
      <c r="C13" s="46" t="s">
        <v>155</v>
      </c>
      <c r="D13" s="47" t="s">
        <v>248</v>
      </c>
      <c r="E13" s="48"/>
      <c r="F13" s="83">
        <v>10000</v>
      </c>
      <c r="G13" s="56"/>
      <c r="H13" s="51"/>
      <c r="I13" s="52"/>
      <c r="J13" s="53">
        <f>F13*B13</f>
        <v>40000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 t="s">
        <v>184</v>
      </c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159</v>
      </c>
      <c r="E26" s="158"/>
      <c r="F26" s="143" t="s">
        <v>17</v>
      </c>
      <c r="G26" s="144"/>
      <c r="H26" s="68"/>
      <c r="I26" s="68"/>
      <c r="J26" s="127">
        <f>SUM(J11:J25)</f>
        <v>355200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46F6-A27E-4794-B55B-9A91846CC6FC}">
  <sheetPr>
    <tabColor rgb="FF00B0F0"/>
  </sheetPr>
  <dimension ref="A1:R45"/>
  <sheetViews>
    <sheetView view="pageBreakPreview" zoomScale="80" zoomScaleNormal="100" zoomScaleSheetLayoutView="80" workbookViewId="0">
      <selection activeCell="D19" sqref="D19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128</v>
      </c>
      <c r="D3" s="152"/>
      <c r="E3" s="152"/>
      <c r="F3" s="11" t="s">
        <v>3</v>
      </c>
      <c r="G3" s="11"/>
      <c r="H3" s="11"/>
      <c r="I3" s="11"/>
      <c r="J3" s="84">
        <v>36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236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237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238</v>
      </c>
      <c r="D11" s="47" t="s">
        <v>239</v>
      </c>
      <c r="E11" s="48"/>
      <c r="F11" s="49">
        <v>1100</v>
      </c>
      <c r="G11" s="50"/>
      <c r="H11" s="51"/>
      <c r="I11" s="52"/>
      <c r="J11" s="53">
        <f>F11*B11</f>
        <v>1100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1</v>
      </c>
      <c r="C12" s="46" t="s">
        <v>240</v>
      </c>
      <c r="D12" s="47" t="s">
        <v>241</v>
      </c>
      <c r="E12" s="48"/>
      <c r="F12" s="49">
        <v>4500</v>
      </c>
      <c r="G12" s="50"/>
      <c r="H12" s="51"/>
      <c r="I12" s="52"/>
      <c r="J12" s="53">
        <f>F12*B12</f>
        <v>4500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242</v>
      </c>
      <c r="E26" s="158"/>
      <c r="F26" s="143" t="s">
        <v>17</v>
      </c>
      <c r="G26" s="144"/>
      <c r="H26" s="68"/>
      <c r="I26" s="68"/>
      <c r="J26" s="127">
        <f>SUM(J11:J25)</f>
        <v>5600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5745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7245</v>
      </c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5E8-046E-4D1A-B7D1-2E136C872734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146</v>
      </c>
      <c r="D3" s="152"/>
      <c r="E3" s="152"/>
      <c r="F3" s="11" t="s">
        <v>3</v>
      </c>
      <c r="G3" s="11"/>
      <c r="H3" s="11"/>
      <c r="I3" s="11"/>
      <c r="J3" s="84">
        <v>35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218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176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20</v>
      </c>
      <c r="C11" s="46" t="s">
        <v>58</v>
      </c>
      <c r="D11" s="47" t="s">
        <v>229</v>
      </c>
      <c r="E11" s="48"/>
      <c r="F11" s="49">
        <v>92</v>
      </c>
      <c r="G11" s="50"/>
      <c r="H11" s="51"/>
      <c r="I11" s="52"/>
      <c r="J11" s="53">
        <f>F11*B11</f>
        <v>1840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16+12</f>
        <v>28</v>
      </c>
      <c r="C12" s="46" t="s">
        <v>58</v>
      </c>
      <c r="D12" s="47" t="s">
        <v>230</v>
      </c>
      <c r="E12" s="48"/>
      <c r="F12" s="49">
        <v>138</v>
      </c>
      <c r="G12" s="50"/>
      <c r="H12" s="51"/>
      <c r="I12" s="52"/>
      <c r="J12" s="53">
        <f>F12*B12</f>
        <v>3864</v>
      </c>
      <c r="L12" s="92"/>
      <c r="M12" s="92"/>
      <c r="O12" s="4"/>
    </row>
    <row r="13" spans="1:18" s="3" customFormat="1" ht="20.100000000000001" customHeight="1" x14ac:dyDescent="0.25">
      <c r="B13" s="45">
        <v>12</v>
      </c>
      <c r="C13" s="46" t="s">
        <v>58</v>
      </c>
      <c r="D13" s="47" t="s">
        <v>231</v>
      </c>
      <c r="E13" s="48"/>
      <c r="F13" s="83">
        <v>184</v>
      </c>
      <c r="G13" s="56"/>
      <c r="H13" s="51"/>
      <c r="I13" s="52"/>
      <c r="J13" s="53">
        <f>F13*B13</f>
        <v>2208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24</v>
      </c>
      <c r="C14" s="46" t="s">
        <v>58</v>
      </c>
      <c r="D14" s="47" t="s">
        <v>232</v>
      </c>
      <c r="E14" s="48"/>
      <c r="F14" s="83">
        <v>250</v>
      </c>
      <c r="G14" s="56"/>
      <c r="H14" s="51"/>
      <c r="I14" s="52"/>
      <c r="J14" s="53">
        <f>F14*B14</f>
        <v>6000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233</v>
      </c>
      <c r="E26" s="158"/>
      <c r="F26" s="143" t="s">
        <v>17</v>
      </c>
      <c r="G26" s="144"/>
      <c r="H26" s="68"/>
      <c r="I26" s="68"/>
      <c r="J26" s="127">
        <f>SUM(J11:J25)</f>
        <v>13912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E5B9-75EB-4E4D-BA5A-637C8E389183}">
  <sheetPr>
    <tabColor rgb="FF00B0F0"/>
  </sheetPr>
  <dimension ref="A1:R45"/>
  <sheetViews>
    <sheetView view="pageBreakPreview" topLeftCell="B1" zoomScale="90" zoomScaleNormal="100" zoomScaleSheetLayoutView="90" workbookViewId="0">
      <selection activeCell="D14" sqref="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34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218</v>
      </c>
      <c r="D4" s="10"/>
      <c r="E4" s="10"/>
      <c r="F4" s="16" t="s">
        <v>9</v>
      </c>
      <c r="G4" s="17"/>
      <c r="H4" s="17"/>
      <c r="I4" s="17"/>
      <c r="J4" s="18">
        <v>45446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180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219</v>
      </c>
      <c r="E11" s="48"/>
      <c r="F11" s="49">
        <v>295</v>
      </c>
      <c r="G11" s="50"/>
      <c r="H11" s="51"/>
      <c r="I11" s="52"/>
      <c r="J11" s="53">
        <f>F11*B11</f>
        <v>4720</v>
      </c>
      <c r="L11"/>
      <c r="M11"/>
      <c r="N11" s="5"/>
      <c r="P11" s="4"/>
    </row>
    <row r="12" spans="1:18" s="3" customFormat="1" ht="20.100000000000001" customHeight="1" x14ac:dyDescent="0.25">
      <c r="B12" s="45">
        <v>2</v>
      </c>
      <c r="C12" s="46" t="s">
        <v>112</v>
      </c>
      <c r="D12" s="47" t="s">
        <v>140</v>
      </c>
      <c r="E12" s="48"/>
      <c r="F12" s="49">
        <v>69</v>
      </c>
      <c r="G12" s="50"/>
      <c r="H12" s="51"/>
      <c r="I12" s="52"/>
      <c r="J12" s="53">
        <f t="shared" ref="J12:J21" si="0">F12*B12</f>
        <v>138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112</v>
      </c>
      <c r="D13" s="47" t="s">
        <v>133</v>
      </c>
      <c r="E13" s="48"/>
      <c r="F13" s="106">
        <v>65</v>
      </c>
      <c r="G13" s="107"/>
      <c r="H13" s="51"/>
      <c r="I13" s="52"/>
      <c r="J13" s="53">
        <f t="shared" si="0"/>
        <v>130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112</v>
      </c>
      <c r="D14" s="47" t="s">
        <v>220</v>
      </c>
      <c r="E14" s="48"/>
      <c r="F14" s="106">
        <v>82</v>
      </c>
      <c r="G14" s="107"/>
      <c r="H14" s="51"/>
      <c r="I14" s="52"/>
      <c r="J14" s="53">
        <f t="shared" si="0"/>
        <v>164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10</v>
      </c>
      <c r="C15" s="46" t="s">
        <v>58</v>
      </c>
      <c r="D15" s="47" t="s">
        <v>221</v>
      </c>
      <c r="E15" s="48"/>
      <c r="F15" s="108">
        <v>355</v>
      </c>
      <c r="G15" s="107"/>
      <c r="H15" s="51"/>
      <c r="I15" s="52"/>
      <c r="J15" s="53">
        <f t="shared" si="0"/>
        <v>3550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>
        <v>1</v>
      </c>
      <c r="C16" s="46" t="s">
        <v>58</v>
      </c>
      <c r="D16" s="47" t="s">
        <v>222</v>
      </c>
      <c r="E16" s="48"/>
      <c r="F16" s="108">
        <v>975</v>
      </c>
      <c r="G16" s="107"/>
      <c r="H16" s="51"/>
      <c r="I16" s="52"/>
      <c r="J16" s="53">
        <f t="shared" si="0"/>
        <v>975</v>
      </c>
      <c r="L16"/>
      <c r="M16">
        <f>M15*37</f>
        <v>2960</v>
      </c>
      <c r="O16" s="4"/>
    </row>
    <row r="17" spans="2:18" s="3" customFormat="1" ht="20.100000000000001" customHeight="1" x14ac:dyDescent="0.25">
      <c r="B17" s="45">
        <v>2</v>
      </c>
      <c r="C17" s="46" t="s">
        <v>141</v>
      </c>
      <c r="D17" s="47" t="s">
        <v>223</v>
      </c>
      <c r="E17" s="48"/>
      <c r="F17" s="108">
        <v>228</v>
      </c>
      <c r="G17" s="107"/>
      <c r="H17" s="51"/>
      <c r="I17" s="52"/>
      <c r="J17" s="53">
        <f t="shared" si="0"/>
        <v>456</v>
      </c>
      <c r="L17"/>
      <c r="M17"/>
      <c r="N17" s="4"/>
      <c r="O17" s="4"/>
    </row>
    <row r="18" spans="2:18" s="3" customFormat="1" ht="20.100000000000001" customHeight="1" x14ac:dyDescent="0.25">
      <c r="B18" s="45">
        <v>3</v>
      </c>
      <c r="C18" s="46" t="s">
        <v>58</v>
      </c>
      <c r="D18" s="47" t="s">
        <v>224</v>
      </c>
      <c r="E18" s="48"/>
      <c r="F18" s="108">
        <v>120</v>
      </c>
      <c r="G18" s="56"/>
      <c r="H18" s="51"/>
      <c r="I18" s="52"/>
      <c r="J18" s="53">
        <f t="shared" si="0"/>
        <v>360</v>
      </c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>
        <v>2</v>
      </c>
      <c r="C19" s="46" t="s">
        <v>58</v>
      </c>
      <c r="D19" s="47" t="s">
        <v>225</v>
      </c>
      <c r="E19" s="59"/>
      <c r="F19" s="108">
        <v>55</v>
      </c>
      <c r="G19" s="56"/>
      <c r="H19" s="51"/>
      <c r="I19" s="52"/>
      <c r="J19" s="53">
        <f t="shared" si="0"/>
        <v>110</v>
      </c>
      <c r="L19"/>
      <c r="M19"/>
      <c r="N19" s="4"/>
      <c r="O19" s="4"/>
    </row>
    <row r="20" spans="2:18" s="3" customFormat="1" ht="20.100000000000001" customHeight="1" x14ac:dyDescent="0.25">
      <c r="B20" s="45">
        <v>2</v>
      </c>
      <c r="C20" s="46" t="s">
        <v>58</v>
      </c>
      <c r="D20" s="47" t="s">
        <v>226</v>
      </c>
      <c r="E20" s="64"/>
      <c r="F20" s="108">
        <v>45</v>
      </c>
      <c r="G20" s="56"/>
      <c r="H20" s="51"/>
      <c r="I20" s="52"/>
      <c r="J20" s="53">
        <f t="shared" si="0"/>
        <v>90</v>
      </c>
      <c r="L20"/>
      <c r="M20"/>
      <c r="O20" s="4"/>
    </row>
    <row r="21" spans="2:18" s="3" customFormat="1" ht="20.100000000000001" customHeight="1" x14ac:dyDescent="0.25">
      <c r="B21" s="45">
        <v>2</v>
      </c>
      <c r="C21" s="46" t="s">
        <v>58</v>
      </c>
      <c r="D21" s="47" t="s">
        <v>227</v>
      </c>
      <c r="E21" s="59"/>
      <c r="F21" s="108">
        <v>50</v>
      </c>
      <c r="G21" s="56"/>
      <c r="H21" s="51"/>
      <c r="I21" s="52"/>
      <c r="J21" s="53">
        <f t="shared" si="0"/>
        <v>100</v>
      </c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35"/>
      <c r="C26" s="137" t="s">
        <v>16</v>
      </c>
      <c r="D26" s="157" t="s">
        <v>234</v>
      </c>
      <c r="E26" s="158"/>
      <c r="F26" s="143" t="s">
        <v>17</v>
      </c>
      <c r="G26" s="144"/>
      <c r="H26" s="68"/>
      <c r="I26" s="68"/>
      <c r="J26" s="127">
        <f>SUM(J11:J25)</f>
        <v>10793</v>
      </c>
      <c r="L26"/>
      <c r="M26"/>
      <c r="O26" s="4"/>
      <c r="P26" s="86"/>
    </row>
    <row r="27" spans="2:18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8B99-A04D-432C-A7EE-F16C7F251105}">
  <sheetPr>
    <tabColor theme="5" tint="0.39997558519241921"/>
  </sheetPr>
  <dimension ref="A1:R45"/>
  <sheetViews>
    <sheetView view="pageBreakPreview" topLeftCell="A7" zoomScale="90" zoomScaleNormal="100" zoomScaleSheetLayoutView="90" workbookViewId="0">
      <selection activeCell="J4" sqref="J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334</v>
      </c>
      <c r="D3" s="152"/>
      <c r="E3" s="152"/>
      <c r="F3" s="11" t="s">
        <v>3</v>
      </c>
      <c r="G3" s="11"/>
      <c r="H3" s="11"/>
      <c r="I3" s="11"/>
      <c r="J3" s="84">
        <v>69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337</v>
      </c>
      <c r="D4" s="10"/>
      <c r="E4" s="10"/>
      <c r="F4" s="16" t="s">
        <v>9</v>
      </c>
      <c r="G4" s="17"/>
      <c r="H4" s="17"/>
      <c r="I4" s="17"/>
      <c r="J4" s="18">
        <v>45469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 t="s">
        <v>339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41</v>
      </c>
      <c r="D11" s="47" t="s">
        <v>338</v>
      </c>
      <c r="E11" s="48"/>
      <c r="F11" s="49"/>
      <c r="G11" s="50"/>
      <c r="H11" s="51"/>
      <c r="I11" s="52"/>
      <c r="J11" s="53"/>
      <c r="L11" s="92"/>
      <c r="M11" s="92"/>
      <c r="O11" s="4"/>
    </row>
    <row r="12" spans="1:18" s="3" customFormat="1" ht="20.100000000000001" customHeight="1" x14ac:dyDescent="0.25">
      <c r="B12" s="45">
        <v>10</v>
      </c>
      <c r="C12" s="46" t="s">
        <v>58</v>
      </c>
      <c r="D12" s="47" t="s">
        <v>341</v>
      </c>
      <c r="E12" s="48" t="s">
        <v>184</v>
      </c>
      <c r="F12" s="83"/>
      <c r="G12" s="56"/>
      <c r="H12" s="51"/>
      <c r="I12" s="52"/>
      <c r="J12" s="53"/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>
        <v>1</v>
      </c>
      <c r="C13" s="46" t="s">
        <v>41</v>
      </c>
      <c r="D13" s="47" t="s">
        <v>340</v>
      </c>
      <c r="E13" s="48"/>
      <c r="F13" s="83"/>
      <c r="G13" s="56"/>
      <c r="H13" s="51"/>
      <c r="I13" s="52"/>
      <c r="J13" s="53"/>
      <c r="L13" s="92">
        <f>600/25</f>
        <v>24</v>
      </c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3E09-9A49-4D00-AE5D-DDB315E44898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146</v>
      </c>
      <c r="D3" s="152"/>
      <c r="E3" s="152"/>
      <c r="F3" s="11" t="s">
        <v>3</v>
      </c>
      <c r="G3" s="11"/>
      <c r="H3" s="11"/>
      <c r="I3" s="11"/>
      <c r="J3" s="84">
        <v>33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218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180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20</v>
      </c>
      <c r="C11" s="46" t="s">
        <v>58</v>
      </c>
      <c r="D11" s="47" t="s">
        <v>229</v>
      </c>
      <c r="E11" s="48"/>
      <c r="F11" s="49">
        <v>92</v>
      </c>
      <c r="G11" s="50"/>
      <c r="H11" s="51"/>
      <c r="I11" s="52"/>
      <c r="J11" s="53">
        <f>F11*B11</f>
        <v>1840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f>16+12</f>
        <v>28</v>
      </c>
      <c r="C12" s="46" t="s">
        <v>58</v>
      </c>
      <c r="D12" s="47" t="s">
        <v>230</v>
      </c>
      <c r="E12" s="48"/>
      <c r="F12" s="49">
        <v>138</v>
      </c>
      <c r="G12" s="50"/>
      <c r="H12" s="51"/>
      <c r="I12" s="52"/>
      <c r="J12" s="53">
        <f>F12*B12</f>
        <v>3864</v>
      </c>
      <c r="L12" s="92"/>
      <c r="M12" s="92"/>
      <c r="O12" s="4"/>
    </row>
    <row r="13" spans="1:18" s="3" customFormat="1" ht="20.100000000000001" customHeight="1" x14ac:dyDescent="0.25">
      <c r="B13" s="45">
        <v>12</v>
      </c>
      <c r="C13" s="46" t="s">
        <v>58</v>
      </c>
      <c r="D13" s="47" t="s">
        <v>231</v>
      </c>
      <c r="E13" s="48"/>
      <c r="F13" s="83">
        <v>184</v>
      </c>
      <c r="G13" s="56"/>
      <c r="H13" s="51"/>
      <c r="I13" s="52"/>
      <c r="J13" s="53">
        <f>F13*B13</f>
        <v>2208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24</v>
      </c>
      <c r="C14" s="46" t="s">
        <v>58</v>
      </c>
      <c r="D14" s="47" t="s">
        <v>232</v>
      </c>
      <c r="E14" s="48"/>
      <c r="F14" s="83">
        <v>250</v>
      </c>
      <c r="G14" s="56"/>
      <c r="H14" s="51"/>
      <c r="I14" s="52"/>
      <c r="J14" s="53">
        <f>F14*B14</f>
        <v>6000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233</v>
      </c>
      <c r="E26" s="158"/>
      <c r="F26" s="143" t="s">
        <v>17</v>
      </c>
      <c r="G26" s="144"/>
      <c r="H26" s="68"/>
      <c r="I26" s="68"/>
      <c r="J26" s="127">
        <f>SUM(J11:J25)</f>
        <v>13912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207-B702-4078-8E63-46A82C7C8B47}">
  <sheetPr>
    <tabColor rgb="FF00B0F0"/>
  </sheetPr>
  <dimension ref="A1:R45"/>
  <sheetViews>
    <sheetView view="pageBreakPreview" topLeftCell="A5" zoomScale="80" zoomScaleNormal="100" zoomScaleSheetLayoutView="80" workbookViewId="0">
      <selection activeCell="D12" sqref="D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32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218</v>
      </c>
      <c r="D4" s="10"/>
      <c r="E4" s="10"/>
      <c r="F4" s="16" t="s">
        <v>9</v>
      </c>
      <c r="G4" s="17"/>
      <c r="H4" s="17"/>
      <c r="I4" s="17"/>
      <c r="J4" s="18">
        <v>45446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176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219</v>
      </c>
      <c r="E11" s="48"/>
      <c r="F11" s="49">
        <v>295</v>
      </c>
      <c r="G11" s="50"/>
      <c r="H11" s="51"/>
      <c r="I11" s="52"/>
      <c r="J11" s="53">
        <f>F11*B11</f>
        <v>4720</v>
      </c>
      <c r="L11">
        <f>295-288</f>
        <v>7</v>
      </c>
      <c r="M11">
        <f>L11*16</f>
        <v>112</v>
      </c>
      <c r="N11" s="5"/>
      <c r="P11" s="4"/>
    </row>
    <row r="12" spans="1:18" s="3" customFormat="1" ht="20.100000000000001" customHeight="1" x14ac:dyDescent="0.25">
      <c r="B12" s="45">
        <v>2</v>
      </c>
      <c r="C12" s="46" t="s">
        <v>112</v>
      </c>
      <c r="D12" s="47" t="s">
        <v>140</v>
      </c>
      <c r="E12" s="48"/>
      <c r="F12" s="49">
        <v>69</v>
      </c>
      <c r="G12" s="50"/>
      <c r="H12" s="51"/>
      <c r="I12" s="52"/>
      <c r="J12" s="53">
        <f t="shared" ref="J12:J21" si="0">F12*B12</f>
        <v>138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112</v>
      </c>
      <c r="D13" s="47" t="s">
        <v>133</v>
      </c>
      <c r="E13" s="48"/>
      <c r="F13" s="106">
        <v>65</v>
      </c>
      <c r="G13" s="107"/>
      <c r="H13" s="51"/>
      <c r="I13" s="52"/>
      <c r="J13" s="53">
        <f t="shared" si="0"/>
        <v>130</v>
      </c>
      <c r="L13"/>
      <c r="M13"/>
      <c r="O13" s="4"/>
      <c r="P13" s="54"/>
    </row>
    <row r="14" spans="1:18" s="3" customFormat="1" ht="20.100000000000001" customHeight="1" x14ac:dyDescent="0.25">
      <c r="B14" s="45">
        <v>2</v>
      </c>
      <c r="C14" s="46" t="s">
        <v>112</v>
      </c>
      <c r="D14" s="47" t="s">
        <v>220</v>
      </c>
      <c r="E14" s="48"/>
      <c r="F14" s="106">
        <v>82</v>
      </c>
      <c r="G14" s="107"/>
      <c r="H14" s="51"/>
      <c r="I14" s="52"/>
      <c r="J14" s="53">
        <f t="shared" si="0"/>
        <v>164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10</v>
      </c>
      <c r="C15" s="46" t="s">
        <v>58</v>
      </c>
      <c r="D15" s="47" t="s">
        <v>221</v>
      </c>
      <c r="E15" s="48"/>
      <c r="F15" s="108">
        <v>355</v>
      </c>
      <c r="G15" s="107"/>
      <c r="H15" s="51"/>
      <c r="I15" s="52"/>
      <c r="J15" s="53">
        <f t="shared" si="0"/>
        <v>3550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>
        <v>1</v>
      </c>
      <c r="C16" s="46" t="s">
        <v>58</v>
      </c>
      <c r="D16" s="47" t="s">
        <v>222</v>
      </c>
      <c r="E16" s="48"/>
      <c r="F16" s="108">
        <v>975</v>
      </c>
      <c r="G16" s="107"/>
      <c r="H16" s="51"/>
      <c r="I16" s="52"/>
      <c r="J16" s="53">
        <f t="shared" si="0"/>
        <v>975</v>
      </c>
      <c r="L16"/>
      <c r="M16">
        <f>M15*37</f>
        <v>2960</v>
      </c>
      <c r="O16" s="4"/>
    </row>
    <row r="17" spans="2:18" s="3" customFormat="1" ht="20.100000000000001" customHeight="1" x14ac:dyDescent="0.25">
      <c r="B17" s="45">
        <v>2</v>
      </c>
      <c r="C17" s="46" t="s">
        <v>141</v>
      </c>
      <c r="D17" s="47" t="s">
        <v>223</v>
      </c>
      <c r="E17" s="48"/>
      <c r="F17" s="108">
        <v>228</v>
      </c>
      <c r="G17" s="107"/>
      <c r="H17" s="51"/>
      <c r="I17" s="52"/>
      <c r="J17" s="53">
        <f t="shared" si="0"/>
        <v>456</v>
      </c>
      <c r="L17"/>
      <c r="M17"/>
      <c r="N17" s="4"/>
      <c r="O17" s="4"/>
    </row>
    <row r="18" spans="2:18" s="3" customFormat="1" ht="20.100000000000001" customHeight="1" x14ac:dyDescent="0.25">
      <c r="B18" s="45">
        <v>3</v>
      </c>
      <c r="C18" s="46" t="s">
        <v>58</v>
      </c>
      <c r="D18" s="47" t="s">
        <v>224</v>
      </c>
      <c r="E18" s="48"/>
      <c r="F18" s="108">
        <v>120</v>
      </c>
      <c r="G18" s="56"/>
      <c r="H18" s="51"/>
      <c r="I18" s="52"/>
      <c r="J18" s="53">
        <f t="shared" si="0"/>
        <v>360</v>
      </c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>
        <v>2</v>
      </c>
      <c r="C19" s="46" t="s">
        <v>58</v>
      </c>
      <c r="D19" s="47" t="s">
        <v>225</v>
      </c>
      <c r="E19" s="59"/>
      <c r="F19" s="108">
        <v>55</v>
      </c>
      <c r="G19" s="56"/>
      <c r="H19" s="51"/>
      <c r="I19" s="52"/>
      <c r="J19" s="53">
        <f t="shared" si="0"/>
        <v>110</v>
      </c>
      <c r="L19"/>
      <c r="M19"/>
      <c r="N19" s="4"/>
      <c r="O19" s="4"/>
    </row>
    <row r="20" spans="2:18" s="3" customFormat="1" ht="20.100000000000001" customHeight="1" x14ac:dyDescent="0.25">
      <c r="B20" s="45">
        <v>2</v>
      </c>
      <c r="C20" s="46" t="s">
        <v>58</v>
      </c>
      <c r="D20" s="47" t="s">
        <v>226</v>
      </c>
      <c r="E20" s="64"/>
      <c r="F20" s="108">
        <v>45</v>
      </c>
      <c r="G20" s="56"/>
      <c r="H20" s="51"/>
      <c r="I20" s="52"/>
      <c r="J20" s="53">
        <f t="shared" si="0"/>
        <v>90</v>
      </c>
      <c r="L20"/>
      <c r="M20"/>
      <c r="O20" s="4"/>
    </row>
    <row r="21" spans="2:18" s="3" customFormat="1" ht="20.100000000000001" customHeight="1" x14ac:dyDescent="0.25">
      <c r="B21" s="45">
        <v>2</v>
      </c>
      <c r="C21" s="46" t="s">
        <v>58</v>
      </c>
      <c r="D21" s="47" t="s">
        <v>227</v>
      </c>
      <c r="E21" s="59"/>
      <c r="F21" s="108">
        <v>50</v>
      </c>
      <c r="G21" s="56"/>
      <c r="H21" s="51"/>
      <c r="I21" s="52"/>
      <c r="J21" s="53">
        <f t="shared" si="0"/>
        <v>100</v>
      </c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35"/>
      <c r="C26" s="137" t="s">
        <v>16</v>
      </c>
      <c r="D26" s="157" t="s">
        <v>228</v>
      </c>
      <c r="E26" s="158"/>
      <c r="F26" s="143" t="s">
        <v>17</v>
      </c>
      <c r="G26" s="144"/>
      <c r="H26" s="68"/>
      <c r="I26" s="68"/>
      <c r="J26" s="127">
        <f>SUM(J11:J25)</f>
        <v>10793</v>
      </c>
      <c r="L26"/>
      <c r="M26"/>
      <c r="O26" s="4"/>
      <c r="P26" s="86"/>
    </row>
    <row r="27" spans="2:18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B42:C42"/>
    <mergeCell ref="C41:D41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B89B-2359-446D-AFAD-08E8EBEA715F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208</v>
      </c>
      <c r="D3" s="152"/>
      <c r="E3" s="152"/>
      <c r="F3" s="11" t="s">
        <v>3</v>
      </c>
      <c r="G3" s="11"/>
      <c r="H3" s="11"/>
      <c r="I3" s="11"/>
      <c r="J3" s="84">
        <v>31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209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176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211</v>
      </c>
      <c r="D11" s="47" t="s">
        <v>213</v>
      </c>
      <c r="E11" s="48"/>
      <c r="F11" s="49">
        <v>1500</v>
      </c>
      <c r="G11" s="50"/>
      <c r="H11" s="51"/>
      <c r="I11" s="52"/>
      <c r="J11" s="53">
        <f>F11*B11</f>
        <v>3000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211</v>
      </c>
      <c r="D12" s="47" t="s">
        <v>212</v>
      </c>
      <c r="E12" s="48"/>
      <c r="F12" s="49">
        <v>1090</v>
      </c>
      <c r="G12" s="50"/>
      <c r="H12" s="51"/>
      <c r="I12" s="52"/>
      <c r="J12" s="53">
        <f>F12*B12</f>
        <v>2180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211</v>
      </c>
      <c r="D13" s="47" t="s">
        <v>214</v>
      </c>
      <c r="E13" s="48"/>
      <c r="F13" s="83">
        <v>7500</v>
      </c>
      <c r="G13" s="56"/>
      <c r="H13" s="51"/>
      <c r="I13" s="52"/>
      <c r="J13" s="53">
        <f>F13*B13</f>
        <v>45000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6</v>
      </c>
      <c r="C14" s="46" t="s">
        <v>211</v>
      </c>
      <c r="D14" s="47" t="s">
        <v>215</v>
      </c>
      <c r="E14" s="48" t="s">
        <v>184</v>
      </c>
      <c r="F14" s="83">
        <v>950</v>
      </c>
      <c r="G14" s="56"/>
      <c r="H14" s="51"/>
      <c r="I14" s="52"/>
      <c r="J14" s="53">
        <f>F14*B14</f>
        <v>5700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210</v>
      </c>
      <c r="E26" s="140"/>
      <c r="F26" s="143" t="s">
        <v>17</v>
      </c>
      <c r="G26" s="144"/>
      <c r="H26" s="68"/>
      <c r="I26" s="68"/>
      <c r="J26" s="127">
        <f>SUM(J11:J25)</f>
        <v>55880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8176-0915-4A33-A32E-71608B5D605E}">
  <sheetPr>
    <tabColor rgb="FF00B0F0"/>
  </sheetPr>
  <dimension ref="A1:R45"/>
  <sheetViews>
    <sheetView view="pageBreakPreview" topLeftCell="B4" zoomScale="90" zoomScaleNormal="100" zoomScaleSheetLayoutView="90" workbookViewId="0">
      <selection activeCell="C5" sqref="C5:E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208</v>
      </c>
      <c r="D3" s="152"/>
      <c r="E3" s="152"/>
      <c r="F3" s="11" t="s">
        <v>3</v>
      </c>
      <c r="G3" s="11"/>
      <c r="H3" s="11"/>
      <c r="I3" s="11"/>
      <c r="J3" s="84">
        <v>30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209</v>
      </c>
      <c r="D4" s="10"/>
      <c r="E4" s="10"/>
      <c r="F4" s="16" t="s">
        <v>9</v>
      </c>
      <c r="G4" s="17"/>
      <c r="H4" s="17"/>
      <c r="I4" s="17"/>
      <c r="J4" s="18">
        <v>45446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180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211</v>
      </c>
      <c r="D11" s="47" t="s">
        <v>213</v>
      </c>
      <c r="E11" s="48"/>
      <c r="F11" s="49">
        <v>1500</v>
      </c>
      <c r="G11" s="50"/>
      <c r="H11" s="51"/>
      <c r="I11" s="52"/>
      <c r="J11" s="53">
        <f>F11*B11</f>
        <v>3000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211</v>
      </c>
      <c r="D12" s="47" t="s">
        <v>212</v>
      </c>
      <c r="E12" s="48"/>
      <c r="F12" s="49">
        <v>1090</v>
      </c>
      <c r="G12" s="50"/>
      <c r="H12" s="51"/>
      <c r="I12" s="52"/>
      <c r="J12" s="53">
        <f>F12*B12</f>
        <v>2180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211</v>
      </c>
      <c r="D13" s="47" t="s">
        <v>214</v>
      </c>
      <c r="E13" s="48"/>
      <c r="F13" s="83">
        <v>7500</v>
      </c>
      <c r="G13" s="56"/>
      <c r="H13" s="51"/>
      <c r="I13" s="52"/>
      <c r="J13" s="53">
        <f>F13*B13</f>
        <v>45000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6</v>
      </c>
      <c r="C14" s="46" t="s">
        <v>211</v>
      </c>
      <c r="D14" s="47" t="s">
        <v>215</v>
      </c>
      <c r="E14" s="48" t="s">
        <v>184</v>
      </c>
      <c r="F14" s="83">
        <v>950</v>
      </c>
      <c r="G14" s="56"/>
      <c r="H14" s="51"/>
      <c r="I14" s="52"/>
      <c r="J14" s="53">
        <f>F14*B14</f>
        <v>5700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210</v>
      </c>
      <c r="E26" s="140"/>
      <c r="F26" s="143" t="s">
        <v>17</v>
      </c>
      <c r="G26" s="144"/>
      <c r="H26" s="68"/>
      <c r="I26" s="68"/>
      <c r="J26" s="127">
        <f>SUM(J11:J25)</f>
        <v>55880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216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B7F8-7151-4D08-824B-D3160E28D549}">
  <sheetPr>
    <tabColor rgb="FFC00000"/>
  </sheetPr>
  <dimension ref="A1:R45"/>
  <sheetViews>
    <sheetView view="pageBreakPreview" topLeftCell="B2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160</v>
      </c>
      <c r="D3" s="152"/>
      <c r="E3" s="152"/>
      <c r="F3" s="11" t="s">
        <v>3</v>
      </c>
      <c r="G3" s="11"/>
      <c r="H3" s="11"/>
      <c r="I3" s="11"/>
      <c r="J3" s="84">
        <v>29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199</v>
      </c>
      <c r="D4" s="10"/>
      <c r="E4" s="10"/>
      <c r="F4" s="16" t="s">
        <v>9</v>
      </c>
      <c r="G4" s="17"/>
      <c r="H4" s="17"/>
      <c r="I4" s="17"/>
      <c r="J4" s="18">
        <v>45436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4" t="s">
        <v>205</v>
      </c>
      <c r="E11" s="165"/>
      <c r="F11" s="49">
        <v>329.28</v>
      </c>
      <c r="G11" s="50"/>
      <c r="H11" s="51"/>
      <c r="I11" s="52"/>
      <c r="J11" s="53">
        <f>F11</f>
        <v>329.28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4" t="s">
        <v>206</v>
      </c>
      <c r="E12" s="165"/>
      <c r="F12" s="49">
        <v>329.28</v>
      </c>
      <c r="G12" s="50"/>
      <c r="H12" s="51"/>
      <c r="I12" s="52"/>
      <c r="J12" s="53">
        <f>F12</f>
        <v>329.28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207</v>
      </c>
      <c r="E13" s="48"/>
      <c r="F13" s="83">
        <v>329.28</v>
      </c>
      <c r="G13" s="56"/>
      <c r="H13" s="51"/>
      <c r="I13" s="52"/>
      <c r="J13" s="53">
        <f>F13</f>
        <v>329.28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201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 t="s">
        <v>202</v>
      </c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 t="s">
        <v>203</v>
      </c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 t="s">
        <v>204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200</v>
      </c>
      <c r="E26" s="140"/>
      <c r="F26" s="143" t="s">
        <v>17</v>
      </c>
      <c r="G26" s="144"/>
      <c r="H26" s="68"/>
      <c r="I26" s="68"/>
      <c r="J26" s="127">
        <f>SUM(J11:J25)</f>
        <v>987.83999999999992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5B1B-B41A-462F-8FA8-968BCD5571D0}">
  <sheetPr>
    <tabColor rgb="FFC00000"/>
  </sheetPr>
  <dimension ref="A1:R45"/>
  <sheetViews>
    <sheetView view="pageBreakPreview" topLeftCell="B1" zoomScale="90" zoomScaleNormal="100" zoomScaleSheetLayoutView="90" workbookViewId="0">
      <selection activeCell="M28" sqref="M2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160</v>
      </c>
      <c r="D3" s="152"/>
      <c r="E3" s="152"/>
      <c r="F3" s="11" t="s">
        <v>3</v>
      </c>
      <c r="G3" s="11"/>
      <c r="H3" s="11"/>
      <c r="I3" s="11"/>
      <c r="J3" s="84">
        <v>28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198</v>
      </c>
      <c r="D4" s="10"/>
      <c r="E4" s="10"/>
      <c r="F4" s="16" t="s">
        <v>9</v>
      </c>
      <c r="G4" s="17"/>
      <c r="H4" s="17"/>
      <c r="I4" s="17"/>
      <c r="J4" s="18">
        <v>45435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4" t="s">
        <v>195</v>
      </c>
      <c r="E11" s="165"/>
      <c r="F11" s="49">
        <v>1705.93</v>
      </c>
      <c r="G11" s="50"/>
      <c r="H11" s="51"/>
      <c r="I11" s="52"/>
      <c r="J11" s="53">
        <f>F11</f>
        <v>1705.93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4" t="s">
        <v>196</v>
      </c>
      <c r="E12" s="165"/>
      <c r="F12" s="49">
        <v>1705.93</v>
      </c>
      <c r="G12" s="50"/>
      <c r="H12" s="51"/>
      <c r="I12" s="52"/>
      <c r="J12" s="53">
        <f>F12</f>
        <v>1705.93</v>
      </c>
      <c r="L12" s="92"/>
      <c r="M12" s="92"/>
      <c r="O12" s="4"/>
    </row>
    <row r="13" spans="1:18" s="3" customFormat="1" ht="20.100000000000001" customHeight="1" x14ac:dyDescent="0.25">
      <c r="B13" s="45"/>
      <c r="C13" s="46"/>
      <c r="D13" s="47" t="s">
        <v>197</v>
      </c>
      <c r="E13" s="48"/>
      <c r="F13" s="83">
        <v>1705.93</v>
      </c>
      <c r="G13" s="56"/>
      <c r="H13" s="51"/>
      <c r="I13" s="52"/>
      <c r="J13" s="53">
        <f>F13</f>
        <v>1705.93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194</v>
      </c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 t="s">
        <v>193</v>
      </c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 t="s">
        <v>191</v>
      </c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 t="s">
        <v>192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5117.79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>
        <f>987.84+5117.79</f>
        <v>6105.63</v>
      </c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7028-679C-45C4-8F00-D7B4CD12DC33}">
  <sheetPr codeName="Sheet1">
    <tabColor rgb="FFC00000"/>
  </sheetPr>
  <dimension ref="A1:Q45"/>
  <sheetViews>
    <sheetView view="pageBreakPreview" zoomScale="80" zoomScaleNormal="100" zoomScaleSheetLayoutView="80" workbookViewId="0">
      <selection activeCell="E15" sqref="E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84</v>
      </c>
      <c r="D3" s="152"/>
      <c r="E3" s="152"/>
      <c r="F3" s="11" t="s">
        <v>3</v>
      </c>
      <c r="G3" s="11"/>
      <c r="H3" s="11"/>
      <c r="I3" s="11"/>
      <c r="J3" s="84">
        <v>27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45414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6" t="s">
        <v>89</v>
      </c>
      <c r="E11" s="167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182</v>
      </c>
      <c r="E12" s="87"/>
      <c r="F12" s="83">
        <v>20000</v>
      </c>
      <c r="G12" s="50"/>
      <c r="H12" s="51"/>
      <c r="I12" s="52"/>
      <c r="J12" s="104">
        <v>20000</v>
      </c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183</v>
      </c>
      <c r="E13" s="48"/>
      <c r="F13" s="83">
        <v>20000</v>
      </c>
      <c r="G13" s="56"/>
      <c r="H13" s="51"/>
      <c r="I13" s="52"/>
      <c r="J13" s="104">
        <v>20000</v>
      </c>
      <c r="L13"/>
      <c r="M13"/>
      <c r="O13" s="4"/>
    </row>
    <row r="14" spans="1:17" s="3" customFormat="1" ht="20.100000000000001" customHeight="1" x14ac:dyDescent="0.25">
      <c r="B14" s="45"/>
      <c r="C14" s="46"/>
      <c r="D14" s="47" t="s">
        <v>86</v>
      </c>
      <c r="E14" s="48"/>
      <c r="F14" s="55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40000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6"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BCF6-A1E7-4F91-850B-B8B9335D3B48}">
  <sheetPr codeName="Sheet2">
    <tabColor rgb="FF0070C0"/>
  </sheetPr>
  <dimension ref="A1:Q45"/>
  <sheetViews>
    <sheetView view="pageBreakPreview" topLeftCell="A4" zoomScale="90" zoomScaleNormal="100" zoomScaleSheetLayoutView="90" workbookViewId="0">
      <selection activeCell="J17" sqref="J17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8.8554687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26</v>
      </c>
      <c r="M3" s="4"/>
      <c r="P3" s="4"/>
    </row>
    <row r="4" spans="1:17" s="3" customFormat="1" ht="30" customHeight="1" x14ac:dyDescent="0.25">
      <c r="B4" s="14" t="s">
        <v>8</v>
      </c>
      <c r="C4" s="15" t="s">
        <v>168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70" t="s">
        <v>181</v>
      </c>
      <c r="D5" s="170"/>
      <c r="E5" s="170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M9" s="38"/>
      <c r="N9" s="99" t="s">
        <v>169</v>
      </c>
      <c r="Q9" s="38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170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171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172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174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173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>
        <f>2400/25</f>
        <v>96</v>
      </c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35"/>
      <c r="C26" s="137" t="s">
        <v>16</v>
      </c>
      <c r="D26" s="139" t="s">
        <v>178</v>
      </c>
      <c r="E26" s="140"/>
      <c r="F26" s="143" t="s">
        <v>17</v>
      </c>
      <c r="G26" s="144"/>
      <c r="H26" s="68"/>
      <c r="I26" s="68"/>
      <c r="J26" s="127">
        <f>SUM(J11:J25)</f>
        <v>0</v>
      </c>
      <c r="K26" s="127"/>
      <c r="L26" s="97"/>
      <c r="M26" s="168">
        <f>SUM(M11:M25)</f>
        <v>35483.51</v>
      </c>
      <c r="N26" s="71"/>
      <c r="P26" s="4"/>
    </row>
    <row r="27" spans="2:17" s="3" customFormat="1" ht="19.5" customHeight="1" x14ac:dyDescent="0.2">
      <c r="B27" s="136"/>
      <c r="C27" s="138"/>
      <c r="D27" s="141"/>
      <c r="E27" s="142"/>
      <c r="F27" s="145"/>
      <c r="G27" s="146"/>
      <c r="H27" s="68"/>
      <c r="I27" s="68"/>
      <c r="J27" s="128"/>
      <c r="K27" s="128"/>
      <c r="L27" s="98"/>
      <c r="M27" s="169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175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30"/>
      <c r="C42" s="130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EA17-623C-42F1-983F-401CCCF51EAA}">
  <sheetPr codeName="Sheet3">
    <tabColor rgb="FF0070C0"/>
  </sheetPr>
  <dimension ref="A1:Q45"/>
  <sheetViews>
    <sheetView view="pageBreakPreview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8.570312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25</v>
      </c>
      <c r="M3" s="4"/>
      <c r="P3" s="4"/>
    </row>
    <row r="4" spans="1:17" s="3" customFormat="1" ht="30" customHeight="1" x14ac:dyDescent="0.25">
      <c r="B4" s="14" t="s">
        <v>8</v>
      </c>
      <c r="C4" s="15" t="s">
        <v>168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70" t="s">
        <v>180</v>
      </c>
      <c r="D5" s="170"/>
      <c r="E5" s="170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M9" s="38"/>
      <c r="N9" s="99" t="s">
        <v>169</v>
      </c>
      <c r="Q9" s="38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170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171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172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174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173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35"/>
      <c r="C26" s="137" t="s">
        <v>16</v>
      </c>
      <c r="D26" s="139" t="s">
        <v>178</v>
      </c>
      <c r="E26" s="140"/>
      <c r="F26" s="143" t="s">
        <v>17</v>
      </c>
      <c r="G26" s="144"/>
      <c r="H26" s="68"/>
      <c r="I26" s="68"/>
      <c r="J26" s="127">
        <f>SUM(J11:J25)</f>
        <v>0</v>
      </c>
      <c r="K26" s="127"/>
      <c r="L26" s="97"/>
      <c r="M26" s="168">
        <f>SUM(M11:M25)</f>
        <v>35483.51</v>
      </c>
      <c r="N26" s="71"/>
      <c r="P26" s="4"/>
    </row>
    <row r="27" spans="2:17" s="3" customFormat="1" ht="19.5" customHeight="1" x14ac:dyDescent="0.2">
      <c r="B27" s="136"/>
      <c r="C27" s="138"/>
      <c r="D27" s="141"/>
      <c r="E27" s="142"/>
      <c r="F27" s="145"/>
      <c r="G27" s="146"/>
      <c r="H27" s="68"/>
      <c r="I27" s="68"/>
      <c r="J27" s="128"/>
      <c r="K27" s="128"/>
      <c r="L27" s="98"/>
      <c r="M27" s="169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175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30"/>
      <c r="C42" s="130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EA00-9C4A-42EA-B5F7-3FD96D4F1379}">
  <sheetPr codeName="Sheet4">
    <tabColor rgb="FF0070C0"/>
  </sheetPr>
  <dimension ref="A1:Q45"/>
  <sheetViews>
    <sheetView view="pageBreakPreview" zoomScale="90" zoomScaleNormal="100" zoomScaleSheetLayoutView="90" workbookViewId="0">
      <selection activeCell="L11" sqref="L11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2" width="10.85546875" style="5" customWidth="1"/>
    <col min="13" max="13" width="14.28515625" style="8" bestFit="1" customWidth="1"/>
    <col min="14" max="14" width="11.140625" style="5" bestFit="1" customWidth="1"/>
    <col min="15" max="15" width="16.28515625" style="5" bestFit="1" customWidth="1"/>
    <col min="16" max="16" width="14.5703125" style="8" bestFit="1" customWidth="1"/>
    <col min="17" max="17" width="11.5703125" style="5" bestFit="1" customWidth="1"/>
    <col min="18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M1" s="93"/>
      <c r="P1" s="4"/>
    </row>
    <row r="2" spans="1:17" ht="15" thickTop="1" x14ac:dyDescent="0.2"/>
    <row r="3" spans="1:17" s="3" customFormat="1" ht="30" customHeight="1" x14ac:dyDescent="0.25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24</v>
      </c>
      <c r="M3" s="4"/>
      <c r="P3" s="4"/>
    </row>
    <row r="4" spans="1:17" s="3" customFormat="1" ht="30" customHeight="1" x14ac:dyDescent="0.25">
      <c r="B4" s="14" t="s">
        <v>8</v>
      </c>
      <c r="C4" s="15" t="s">
        <v>168</v>
      </c>
      <c r="D4" s="10"/>
      <c r="E4" s="10"/>
      <c r="F4" s="16" t="s">
        <v>9</v>
      </c>
      <c r="G4" s="17"/>
      <c r="H4" s="17"/>
      <c r="I4" s="17"/>
      <c r="J4" s="18">
        <v>45414</v>
      </c>
      <c r="M4" s="4"/>
      <c r="Q4" s="4"/>
    </row>
    <row r="5" spans="1:17" s="3" customFormat="1" ht="30" customHeight="1" x14ac:dyDescent="0.25">
      <c r="B5" s="14" t="s">
        <v>10</v>
      </c>
      <c r="C5" s="170" t="s">
        <v>179</v>
      </c>
      <c r="D5" s="170"/>
      <c r="E5" s="170"/>
      <c r="F5" s="17" t="s">
        <v>11</v>
      </c>
      <c r="G5" s="17"/>
      <c r="H5" s="17"/>
      <c r="I5" s="17"/>
      <c r="J5" s="18"/>
      <c r="M5" s="4"/>
      <c r="Q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M6" s="4"/>
      <c r="Q6" s="4"/>
    </row>
    <row r="7" spans="1:17" s="3" customFormat="1" ht="13.5" customHeight="1" thickBot="1" x14ac:dyDescent="0.3">
      <c r="B7" s="27"/>
      <c r="C7" s="28"/>
      <c r="D7" s="28"/>
      <c r="G7" s="29"/>
      <c r="J7" s="30"/>
      <c r="M7" s="4"/>
      <c r="Q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P8" s="5"/>
      <c r="Q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M9" s="38"/>
      <c r="N9" s="99" t="s">
        <v>169</v>
      </c>
      <c r="Q9" s="38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M10" s="44"/>
      <c r="Q10" s="44"/>
    </row>
    <row r="11" spans="1:17" s="3" customFormat="1" ht="20.100000000000001" customHeight="1" x14ac:dyDescent="0.25">
      <c r="B11" s="45">
        <v>68</v>
      </c>
      <c r="C11" s="46" t="s">
        <v>58</v>
      </c>
      <c r="D11" s="99" t="s">
        <v>170</v>
      </c>
      <c r="E11" s="48"/>
      <c r="F11" s="49"/>
      <c r="G11" s="56"/>
      <c r="H11" s="51"/>
      <c r="I11" s="52"/>
      <c r="J11" s="53"/>
      <c r="K11" s="45">
        <v>135</v>
      </c>
      <c r="L11" s="3">
        <f>K11/2</f>
        <v>67.5</v>
      </c>
      <c r="M11" s="4"/>
      <c r="N11" s="1"/>
      <c r="O11" s="1"/>
      <c r="P11" s="4"/>
    </row>
    <row r="12" spans="1:17" s="3" customFormat="1" ht="20.100000000000001" customHeight="1" x14ac:dyDescent="0.2">
      <c r="B12" s="45">
        <v>209</v>
      </c>
      <c r="C12" s="46" t="s">
        <v>58</v>
      </c>
      <c r="D12" s="99" t="s">
        <v>171</v>
      </c>
      <c r="E12" s="48"/>
      <c r="F12" s="49"/>
      <c r="G12" s="50"/>
      <c r="H12" s="51"/>
      <c r="I12" s="52"/>
      <c r="J12" s="53"/>
      <c r="K12" s="45">
        <v>417</v>
      </c>
      <c r="L12" s="3">
        <f>K12/2</f>
        <v>208.5</v>
      </c>
      <c r="M12" s="100">
        <v>2451</v>
      </c>
      <c r="N12" s="5"/>
      <c r="O12" s="5"/>
      <c r="Q12" s="4"/>
    </row>
    <row r="13" spans="1:17" s="3" customFormat="1" ht="20.100000000000001" customHeight="1" x14ac:dyDescent="0.2">
      <c r="B13" s="45">
        <v>2000</v>
      </c>
      <c r="C13" s="46" t="s">
        <v>58</v>
      </c>
      <c r="D13" s="99" t="s">
        <v>172</v>
      </c>
      <c r="E13" s="48"/>
      <c r="F13" s="49"/>
      <c r="G13" s="101"/>
      <c r="H13" s="51"/>
      <c r="I13" s="52"/>
      <c r="J13" s="53"/>
      <c r="K13" s="45">
        <v>3999</v>
      </c>
      <c r="L13" s="3">
        <f>K13/2</f>
        <v>1999.5</v>
      </c>
      <c r="M13" s="100"/>
      <c r="N13" s="5"/>
      <c r="P13" s="102"/>
      <c r="Q13" s="54"/>
    </row>
    <row r="14" spans="1:17" s="3" customFormat="1" ht="20.100000000000001" customHeight="1" x14ac:dyDescent="0.25">
      <c r="B14" s="45">
        <v>159</v>
      </c>
      <c r="C14" s="46" t="s">
        <v>58</v>
      </c>
      <c r="D14" s="99" t="s">
        <v>174</v>
      </c>
      <c r="E14" s="48"/>
      <c r="F14" s="49"/>
      <c r="G14" s="50"/>
      <c r="H14" s="51"/>
      <c r="I14" s="52"/>
      <c r="J14" s="53"/>
      <c r="K14" s="45">
        <v>318</v>
      </c>
      <c r="L14" s="3">
        <f>K14/2</f>
        <v>159</v>
      </c>
      <c r="M14" s="4"/>
      <c r="N14" s="1"/>
      <c r="O14" s="1"/>
      <c r="P14" s="4"/>
      <c r="Q14" s="54"/>
    </row>
    <row r="15" spans="1:17" s="3" customFormat="1" ht="20.100000000000001" customHeight="1" x14ac:dyDescent="0.25">
      <c r="B15" s="45">
        <v>645</v>
      </c>
      <c r="C15" s="46" t="s">
        <v>58</v>
      </c>
      <c r="D15" s="99" t="s">
        <v>173</v>
      </c>
      <c r="E15" s="48"/>
      <c r="F15" s="49"/>
      <c r="G15" s="101"/>
      <c r="H15" s="51"/>
      <c r="I15" s="52"/>
      <c r="J15" s="53"/>
      <c r="K15" s="45">
        <v>1290</v>
      </c>
      <c r="L15" s="3">
        <f>K15/2</f>
        <v>645</v>
      </c>
      <c r="M15" s="4"/>
      <c r="N15" s="1"/>
      <c r="O15" s="1"/>
      <c r="P15" s="4"/>
    </row>
    <row r="16" spans="1:17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M16" s="100"/>
      <c r="N16" s="5"/>
      <c r="P16" s="102"/>
      <c r="Q16" s="54"/>
    </row>
    <row r="17" spans="2:17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M17" s="4"/>
      <c r="N17" s="1"/>
      <c r="O17" s="1"/>
      <c r="P17" s="4"/>
      <c r="Q17" s="54"/>
    </row>
    <row r="18" spans="2:17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M18" s="4"/>
      <c r="N18" s="1"/>
      <c r="O18" s="1"/>
      <c r="P18" s="4"/>
    </row>
    <row r="19" spans="2:17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M19" s="4"/>
      <c r="N19" s="5"/>
      <c r="O19" s="63"/>
      <c r="P19" s="4"/>
    </row>
    <row r="20" spans="2:17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M20" s="4"/>
      <c r="N20" s="5"/>
      <c r="P20" s="4"/>
    </row>
    <row r="21" spans="2:17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M21" s="4"/>
      <c r="N21" s="5"/>
      <c r="P21" s="4"/>
    </row>
    <row r="22" spans="2:17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M22" s="4"/>
      <c r="N22" s="5"/>
      <c r="P22" s="4"/>
    </row>
    <row r="23" spans="2:17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M23" s="4"/>
      <c r="N23" s="5"/>
      <c r="P23" s="4"/>
    </row>
    <row r="24" spans="2:17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M24" s="4"/>
      <c r="N24" s="5"/>
      <c r="P24" s="4"/>
    </row>
    <row r="25" spans="2:17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M25" s="4">
        <f>6542.48+13381.86+13108.17</f>
        <v>33032.51</v>
      </c>
      <c r="N25" s="5"/>
      <c r="P25" s="4"/>
    </row>
    <row r="26" spans="2:17" s="3" customFormat="1" ht="20.100000000000001" customHeight="1" x14ac:dyDescent="0.2">
      <c r="B26" s="135"/>
      <c r="C26" s="137" t="s">
        <v>16</v>
      </c>
      <c r="D26" s="139" t="s">
        <v>178</v>
      </c>
      <c r="E26" s="140"/>
      <c r="F26" s="143" t="s">
        <v>17</v>
      </c>
      <c r="G26" s="144"/>
      <c r="H26" s="68"/>
      <c r="I26" s="68"/>
      <c r="J26" s="127">
        <f>SUM(J11:J25)</f>
        <v>0</v>
      </c>
      <c r="K26" s="127"/>
      <c r="L26" s="97"/>
      <c r="M26" s="168">
        <f>SUM(M11:M25)</f>
        <v>35483.51</v>
      </c>
      <c r="N26" s="71"/>
      <c r="P26" s="4"/>
    </row>
    <row r="27" spans="2:17" s="3" customFormat="1" ht="19.5" customHeight="1" x14ac:dyDescent="0.2">
      <c r="B27" s="136"/>
      <c r="C27" s="138"/>
      <c r="D27" s="141"/>
      <c r="E27" s="142"/>
      <c r="F27" s="145"/>
      <c r="G27" s="146"/>
      <c r="H27" s="68"/>
      <c r="I27" s="68"/>
      <c r="J27" s="128"/>
      <c r="K27" s="128"/>
      <c r="L27" s="98"/>
      <c r="M27" s="169"/>
      <c r="N27" s="5"/>
      <c r="P27" s="4"/>
    </row>
    <row r="28" spans="2:17" ht="3.75" customHeight="1" x14ac:dyDescent="0.2">
      <c r="E28" s="69"/>
      <c r="F28" s="69"/>
    </row>
    <row r="29" spans="2:17" ht="3.75" customHeight="1" x14ac:dyDescent="0.2">
      <c r="E29" s="69"/>
      <c r="F29" s="69"/>
    </row>
    <row r="30" spans="2:17" x14ac:dyDescent="0.2">
      <c r="E30" s="70"/>
      <c r="F30" s="70"/>
      <c r="G30" s="70"/>
      <c r="H30" s="70"/>
      <c r="I30" s="70"/>
      <c r="J30" s="70"/>
      <c r="N30" s="71"/>
    </row>
    <row r="31" spans="2:17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M31" s="5"/>
    </row>
    <row r="32" spans="2:17" x14ac:dyDescent="0.2">
      <c r="B32" s="75"/>
      <c r="C32" s="73"/>
      <c r="D32" s="73"/>
      <c r="E32" s="73"/>
      <c r="F32" s="73"/>
      <c r="G32" s="74"/>
      <c r="H32" s="73"/>
      <c r="I32" s="73"/>
      <c r="J32" s="73"/>
      <c r="M32" s="5"/>
    </row>
    <row r="33" spans="2:17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M33" s="5"/>
      <c r="N33" s="7"/>
    </row>
    <row r="34" spans="2:17" x14ac:dyDescent="0.2">
      <c r="B34" s="7"/>
      <c r="C34" s="73" t="s">
        <v>175</v>
      </c>
      <c r="D34" s="72"/>
      <c r="E34" s="74" t="s">
        <v>23</v>
      </c>
      <c r="F34" s="73"/>
      <c r="G34" s="73"/>
      <c r="H34" s="73"/>
      <c r="I34" s="73"/>
      <c r="J34" s="74" t="s">
        <v>24</v>
      </c>
      <c r="M34" s="5"/>
      <c r="N34" s="77"/>
    </row>
    <row r="35" spans="2:17" x14ac:dyDescent="0.2">
      <c r="B35" s="7"/>
      <c r="C35" s="73"/>
      <c r="D35" s="72"/>
      <c r="E35" s="74"/>
      <c r="F35" s="73"/>
      <c r="G35" s="73"/>
      <c r="H35" s="73"/>
      <c r="I35" s="73"/>
      <c r="J35" s="74"/>
      <c r="O35" s="77"/>
      <c r="P35" s="5"/>
      <c r="Q35" s="8"/>
    </row>
    <row r="36" spans="2:17" x14ac:dyDescent="0.2">
      <c r="B36" s="7"/>
      <c r="C36" s="74"/>
      <c r="D36" s="74"/>
      <c r="E36" s="73"/>
      <c r="F36" s="73"/>
      <c r="G36" s="73"/>
      <c r="H36" s="73"/>
      <c r="I36" s="73"/>
      <c r="J36" s="73"/>
      <c r="O36" s="77"/>
      <c r="P36" s="5"/>
      <c r="Q36" s="8"/>
    </row>
    <row r="37" spans="2:17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P37" s="5"/>
      <c r="Q37" s="8"/>
    </row>
    <row r="38" spans="2:17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7" x14ac:dyDescent="0.2">
      <c r="C39" s="74"/>
      <c r="D39" s="74"/>
      <c r="E39" s="73"/>
      <c r="F39" s="73"/>
      <c r="G39" s="73"/>
      <c r="H39" s="73"/>
      <c r="I39" s="73"/>
      <c r="J39" s="73"/>
    </row>
    <row r="40" spans="2:17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7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N41" s="81"/>
    </row>
    <row r="42" spans="2:17" x14ac:dyDescent="0.2">
      <c r="B42" s="130"/>
      <c r="C42" s="130"/>
      <c r="E42" s="7"/>
      <c r="F42" s="7"/>
    </row>
    <row r="43" spans="2:17" ht="15.75" customHeight="1" x14ac:dyDescent="0.2"/>
    <row r="45" spans="2:17" ht="15" x14ac:dyDescent="0.25">
      <c r="N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K26:K27"/>
    <mergeCell ref="M26:M27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F50-5897-49B4-97D6-165A2F51913B}">
  <sheetPr>
    <tabColor theme="5" tint="0.39997558519241921"/>
  </sheetPr>
  <dimension ref="A1:R45"/>
  <sheetViews>
    <sheetView view="pageBreakPreview" zoomScale="90" zoomScaleNormal="100" zoomScaleSheetLayoutView="90" workbookViewId="0">
      <selection activeCell="C12" sqref="C1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334</v>
      </c>
      <c r="D3" s="152"/>
      <c r="E3" s="152"/>
      <c r="F3" s="11" t="s">
        <v>3</v>
      </c>
      <c r="G3" s="11"/>
      <c r="H3" s="11"/>
      <c r="I3" s="11"/>
      <c r="J3" s="84">
        <v>68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337</v>
      </c>
      <c r="D4" s="10"/>
      <c r="E4" s="10"/>
      <c r="F4" s="16" t="s">
        <v>9</v>
      </c>
      <c r="G4" s="17"/>
      <c r="H4" s="17"/>
      <c r="I4" s="17"/>
      <c r="J4" s="18">
        <v>45469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 t="s">
        <v>339</v>
      </c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41</v>
      </c>
      <c r="D11" s="47" t="s">
        <v>338</v>
      </c>
      <c r="E11" s="48"/>
      <c r="F11" s="49"/>
      <c r="G11" s="50"/>
      <c r="H11" s="51"/>
      <c r="I11" s="52"/>
      <c r="J11" s="53"/>
      <c r="L11" s="92"/>
      <c r="M11" s="92"/>
      <c r="O11" s="4"/>
    </row>
    <row r="12" spans="1:18" s="3" customFormat="1" ht="20.100000000000001" customHeight="1" x14ac:dyDescent="0.25">
      <c r="B12" s="45">
        <v>10</v>
      </c>
      <c r="C12" s="46" t="s">
        <v>58</v>
      </c>
      <c r="D12" s="47" t="s">
        <v>341</v>
      </c>
      <c r="E12" s="48" t="s">
        <v>184</v>
      </c>
      <c r="F12" s="83"/>
      <c r="G12" s="56"/>
      <c r="H12" s="51"/>
      <c r="I12" s="52"/>
      <c r="J12" s="53"/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>
        <v>1</v>
      </c>
      <c r="C13" s="46" t="s">
        <v>41</v>
      </c>
      <c r="D13" s="47" t="s">
        <v>340</v>
      </c>
      <c r="E13" s="48"/>
      <c r="F13" s="83"/>
      <c r="G13" s="56"/>
      <c r="H13" s="51"/>
      <c r="I13" s="52"/>
      <c r="J13" s="53"/>
      <c r="L13" s="92">
        <f>600/25</f>
        <v>24</v>
      </c>
      <c r="M13" s="92"/>
      <c r="O13" s="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122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39CC-65A0-4C06-96BE-F67166B6F2CD}">
  <sheetPr codeName="Sheet5">
    <tabColor rgb="FF0070C0"/>
  </sheetPr>
  <dimension ref="A1:R45"/>
  <sheetViews>
    <sheetView view="pageBreakPreview" topLeftCell="A4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3" width="9.28515625" style="5" customWidth="1"/>
    <col min="14" max="14" width="14.28515625" style="8" bestFit="1" customWidth="1"/>
    <col min="15" max="15" width="11.140625" style="5" bestFit="1" customWidth="1"/>
    <col min="16" max="16" width="16.28515625" style="5" bestFit="1" customWidth="1"/>
    <col min="17" max="17" width="14.5703125" style="8" bestFit="1" customWidth="1"/>
    <col min="18" max="18" width="11.5703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M1" s="2"/>
      <c r="N1" s="93"/>
      <c r="Q1" s="4"/>
    </row>
    <row r="2" spans="1:18" ht="15" thickTop="1" x14ac:dyDescent="0.2"/>
    <row r="3" spans="1:18" s="3" customFormat="1" ht="30" customHeight="1" x14ac:dyDescent="0.25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23</v>
      </c>
      <c r="N3" s="4"/>
      <c r="Q3" s="4"/>
    </row>
    <row r="4" spans="1:18" s="3" customFormat="1" ht="30" customHeight="1" x14ac:dyDescent="0.25">
      <c r="B4" s="14" t="s">
        <v>8</v>
      </c>
      <c r="C4" s="15" t="s">
        <v>168</v>
      </c>
      <c r="D4" s="10"/>
      <c r="E4" s="10"/>
      <c r="F4" s="16" t="s">
        <v>9</v>
      </c>
      <c r="G4" s="17"/>
      <c r="H4" s="17"/>
      <c r="I4" s="17"/>
      <c r="J4" s="18">
        <v>45414</v>
      </c>
      <c r="N4" s="4"/>
      <c r="R4" s="4"/>
    </row>
    <row r="5" spans="1:18" s="3" customFormat="1" ht="30" customHeight="1" x14ac:dyDescent="0.25">
      <c r="B5" s="14" t="s">
        <v>10</v>
      </c>
      <c r="C5" s="170" t="s">
        <v>177</v>
      </c>
      <c r="D5" s="170"/>
      <c r="E5" s="170"/>
      <c r="F5" s="17" t="s">
        <v>11</v>
      </c>
      <c r="G5" s="17"/>
      <c r="H5" s="17"/>
      <c r="I5" s="17"/>
      <c r="J5" s="18"/>
      <c r="N5" s="4"/>
      <c r="R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N6" s="4"/>
      <c r="R6" s="4"/>
    </row>
    <row r="7" spans="1:18" s="3" customFormat="1" ht="13.5" customHeight="1" thickBot="1" x14ac:dyDescent="0.3">
      <c r="B7" s="27"/>
      <c r="C7" s="28"/>
      <c r="D7" s="28"/>
      <c r="G7" s="29"/>
      <c r="J7" s="30"/>
      <c r="N7" s="4"/>
      <c r="R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Q8" s="5"/>
      <c r="R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N9" s="38"/>
      <c r="O9" s="99" t="s">
        <v>169</v>
      </c>
      <c r="R9" s="38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N10" s="44"/>
      <c r="R10" s="44"/>
    </row>
    <row r="11" spans="1:18" s="3" customFormat="1" ht="20.100000000000001" customHeight="1" x14ac:dyDescent="0.25">
      <c r="B11" s="45">
        <v>133</v>
      </c>
      <c r="C11" s="46" t="s">
        <v>58</v>
      </c>
      <c r="D11" s="99" t="s">
        <v>170</v>
      </c>
      <c r="E11" s="48"/>
      <c r="F11" s="49"/>
      <c r="G11" s="56"/>
      <c r="H11" s="51"/>
      <c r="I11" s="52"/>
      <c r="J11" s="53"/>
      <c r="K11" s="45">
        <v>266</v>
      </c>
      <c r="L11" s="3">
        <f>K11/2</f>
        <v>133</v>
      </c>
      <c r="N11" s="4"/>
      <c r="O11" s="1"/>
      <c r="P11" s="1"/>
      <c r="Q11" s="4"/>
    </row>
    <row r="12" spans="1:18" s="3" customFormat="1" ht="20.100000000000001" customHeight="1" x14ac:dyDescent="0.2">
      <c r="B12" s="45">
        <v>416</v>
      </c>
      <c r="C12" s="46" t="s">
        <v>58</v>
      </c>
      <c r="D12" s="99" t="s">
        <v>171</v>
      </c>
      <c r="E12" s="48"/>
      <c r="F12" s="49"/>
      <c r="G12" s="50"/>
      <c r="H12" s="51"/>
      <c r="I12" s="52"/>
      <c r="J12" s="53"/>
      <c r="K12" s="45">
        <v>832</v>
      </c>
      <c r="L12" s="3">
        <f>K12/2</f>
        <v>416</v>
      </c>
      <c r="N12" s="100">
        <v>2451</v>
      </c>
      <c r="O12" s="5"/>
      <c r="P12" s="5"/>
      <c r="R12" s="4"/>
    </row>
    <row r="13" spans="1:18" s="3" customFormat="1" ht="20.100000000000001" customHeight="1" x14ac:dyDescent="0.2">
      <c r="B13" s="45">
        <v>4109</v>
      </c>
      <c r="C13" s="46" t="s">
        <v>58</v>
      </c>
      <c r="D13" s="99" t="s">
        <v>172</v>
      </c>
      <c r="E13" s="48"/>
      <c r="F13" s="49"/>
      <c r="G13" s="101"/>
      <c r="H13" s="51"/>
      <c r="I13" s="52"/>
      <c r="J13" s="53"/>
      <c r="K13" s="45">
        <v>8218</v>
      </c>
      <c r="L13" s="3">
        <f>K13/2</f>
        <v>4109</v>
      </c>
      <c r="N13" s="100"/>
      <c r="O13" s="5"/>
      <c r="Q13" s="102"/>
      <c r="R13" s="54"/>
    </row>
    <row r="14" spans="1:18" s="3" customFormat="1" ht="20.100000000000001" customHeight="1" x14ac:dyDescent="0.25">
      <c r="B14" s="45">
        <v>393</v>
      </c>
      <c r="C14" s="46" t="s">
        <v>58</v>
      </c>
      <c r="D14" s="99" t="s">
        <v>174</v>
      </c>
      <c r="E14" s="48"/>
      <c r="F14" s="49"/>
      <c r="G14" s="50"/>
      <c r="H14" s="51"/>
      <c r="I14" s="52"/>
      <c r="J14" s="53"/>
      <c r="K14" s="45">
        <v>786</v>
      </c>
      <c r="L14" s="3">
        <f>K14/2</f>
        <v>393</v>
      </c>
      <c r="N14" s="4"/>
      <c r="O14" s="1"/>
      <c r="P14" s="1"/>
      <c r="Q14" s="4"/>
      <c r="R14" s="54"/>
    </row>
    <row r="15" spans="1:18" s="3" customFormat="1" ht="20.100000000000001" customHeight="1" x14ac:dyDescent="0.25">
      <c r="B15" s="45">
        <v>1283</v>
      </c>
      <c r="C15" s="46" t="s">
        <v>58</v>
      </c>
      <c r="D15" s="99" t="s">
        <v>173</v>
      </c>
      <c r="E15" s="48"/>
      <c r="F15" s="49"/>
      <c r="G15" s="101"/>
      <c r="H15" s="51"/>
      <c r="I15" s="52"/>
      <c r="J15" s="53"/>
      <c r="K15" s="45">
        <v>2566</v>
      </c>
      <c r="L15" s="3">
        <f>K15/2</f>
        <v>1283</v>
      </c>
      <c r="N15" s="4"/>
      <c r="O15" s="1"/>
      <c r="P15" s="1"/>
      <c r="Q15" s="4"/>
    </row>
    <row r="16" spans="1:18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N16" s="100"/>
      <c r="O16" s="5"/>
      <c r="Q16" s="102"/>
      <c r="R16" s="54"/>
    </row>
    <row r="17" spans="2:18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N17" s="4"/>
      <c r="O17" s="1"/>
      <c r="P17" s="1"/>
      <c r="Q17" s="4"/>
      <c r="R17" s="54"/>
    </row>
    <row r="18" spans="2:18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N18" s="4"/>
      <c r="O18" s="1"/>
      <c r="P18" s="1"/>
      <c r="Q18" s="4"/>
    </row>
    <row r="19" spans="2:18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N19" s="4"/>
      <c r="O19" s="5"/>
      <c r="P19" s="63"/>
      <c r="Q19" s="4"/>
    </row>
    <row r="20" spans="2:18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N20" s="4"/>
      <c r="O20" s="5"/>
      <c r="Q20" s="4"/>
    </row>
    <row r="21" spans="2:18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N21" s="4"/>
      <c r="O21" s="5"/>
      <c r="Q21" s="4"/>
    </row>
    <row r="22" spans="2:18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N22" s="4"/>
      <c r="O22" s="5"/>
      <c r="Q22" s="4"/>
    </row>
    <row r="23" spans="2:18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N23" s="4"/>
      <c r="O23" s="5"/>
      <c r="Q23" s="4"/>
    </row>
    <row r="24" spans="2:18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N24" s="4"/>
      <c r="O24" s="5"/>
      <c r="Q24" s="4"/>
    </row>
    <row r="25" spans="2:18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N25" s="4">
        <f>6542.48+13381.86+13108.17</f>
        <v>33032.51</v>
      </c>
      <c r="O25" s="5"/>
      <c r="Q25" s="4"/>
    </row>
    <row r="26" spans="2:18" s="3" customFormat="1" ht="20.100000000000001" customHeight="1" x14ac:dyDescent="0.2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K26" s="127"/>
      <c r="L26" s="97"/>
      <c r="M26" s="97"/>
      <c r="N26" s="168">
        <f>SUM(N11:N25)</f>
        <v>35483.51</v>
      </c>
      <c r="O26" s="71"/>
      <c r="Q26" s="4"/>
    </row>
    <row r="27" spans="2:18" s="3" customFormat="1" ht="19.5" customHeight="1" x14ac:dyDescent="0.2">
      <c r="B27" s="136"/>
      <c r="C27" s="138"/>
      <c r="D27" s="141"/>
      <c r="E27" s="142"/>
      <c r="F27" s="145"/>
      <c r="G27" s="146"/>
      <c r="H27" s="68"/>
      <c r="I27" s="68"/>
      <c r="J27" s="128"/>
      <c r="K27" s="128"/>
      <c r="L27" s="98"/>
      <c r="M27" s="98"/>
      <c r="N27" s="169"/>
      <c r="O27" s="5"/>
      <c r="Q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O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5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N32" s="5"/>
    </row>
    <row r="33" spans="2:18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N33" s="5"/>
      <c r="O33" s="7"/>
    </row>
    <row r="34" spans="2:18" x14ac:dyDescent="0.2">
      <c r="B34" s="7"/>
      <c r="C34" s="73" t="s">
        <v>175</v>
      </c>
      <c r="D34" s="72"/>
      <c r="E34" s="74" t="s">
        <v>23</v>
      </c>
      <c r="F34" s="73"/>
      <c r="G34" s="73"/>
      <c r="H34" s="73"/>
      <c r="I34" s="73"/>
      <c r="J34" s="74" t="s">
        <v>24</v>
      </c>
      <c r="N34" s="5"/>
      <c r="O34" s="77"/>
    </row>
    <row r="35" spans="2:18" x14ac:dyDescent="0.2">
      <c r="B35" s="7"/>
      <c r="C35" s="73"/>
      <c r="D35" s="72"/>
      <c r="E35" s="74"/>
      <c r="F35" s="73"/>
      <c r="G35" s="73"/>
      <c r="H35" s="73"/>
      <c r="I35" s="73"/>
      <c r="J35" s="74"/>
      <c r="P35" s="77"/>
      <c r="Q35" s="5"/>
      <c r="R35" s="8"/>
    </row>
    <row r="36" spans="2:18" x14ac:dyDescent="0.2">
      <c r="B36" s="7"/>
      <c r="C36" s="74"/>
      <c r="D36" s="74"/>
      <c r="E36" s="73"/>
      <c r="F36" s="73"/>
      <c r="G36" s="73"/>
      <c r="H36" s="73"/>
      <c r="I36" s="73"/>
      <c r="J36" s="73"/>
      <c r="P36" s="77"/>
      <c r="Q36" s="5"/>
      <c r="R36" s="8"/>
    </row>
    <row r="37" spans="2:18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Q37" s="5"/>
      <c r="R37" s="8"/>
    </row>
    <row r="38" spans="2:18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8" x14ac:dyDescent="0.2">
      <c r="C39" s="74"/>
      <c r="D39" s="74"/>
      <c r="E39" s="73"/>
      <c r="F39" s="73"/>
      <c r="G39" s="73"/>
      <c r="H39" s="73"/>
      <c r="I39" s="73"/>
      <c r="J39" s="73"/>
    </row>
    <row r="40" spans="2:18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8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O41" s="81"/>
    </row>
    <row r="42" spans="2:18" x14ac:dyDescent="0.2">
      <c r="B42" s="130"/>
      <c r="C42" s="130"/>
      <c r="E42" s="7"/>
      <c r="F42" s="7"/>
    </row>
    <row r="43" spans="2:18" ht="15.75" customHeight="1" x14ac:dyDescent="0.2"/>
    <row r="45" spans="2:18" ht="15" x14ac:dyDescent="0.25">
      <c r="O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K26:K27"/>
    <mergeCell ref="N26:N27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AFE0-4BFF-4148-9B48-27362BCEEC41}">
  <sheetPr codeName="Sheet6">
    <tabColor rgb="FF0070C0"/>
  </sheetPr>
  <dimension ref="A1:R45"/>
  <sheetViews>
    <sheetView view="pageBreakPreview" zoomScale="90" zoomScaleNormal="100" zoomScaleSheetLayoutView="90" workbookViewId="0">
      <selection activeCell="J5" sqref="J5"/>
    </sheetView>
  </sheetViews>
  <sheetFormatPr defaultRowHeight="14.25" x14ac:dyDescent="0.2"/>
  <cols>
    <col min="1" max="1" width="0.5703125" style="5" customWidth="1"/>
    <col min="2" max="2" width="13.5703125" style="6" bestFit="1" customWidth="1"/>
    <col min="3" max="3" width="7.5703125" style="7" customWidth="1"/>
    <col min="4" max="4" width="25.85546875" style="7" customWidth="1"/>
    <col min="5" max="5" width="23.85546875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3" width="9.85546875" style="5" customWidth="1"/>
    <col min="14" max="14" width="14.28515625" style="8" bestFit="1" customWidth="1"/>
    <col min="15" max="15" width="11.140625" style="5" bestFit="1" customWidth="1"/>
    <col min="16" max="16" width="16.28515625" style="5" bestFit="1" customWidth="1"/>
    <col min="17" max="17" width="14.5703125" style="8" bestFit="1" customWidth="1"/>
    <col min="18" max="18" width="11.5703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M1" s="2"/>
      <c r="N1" s="93"/>
      <c r="Q1" s="4"/>
    </row>
    <row r="2" spans="1:18" ht="15" thickTop="1" x14ac:dyDescent="0.2"/>
    <row r="3" spans="1:18" s="3" customFormat="1" ht="30" customHeight="1" x14ac:dyDescent="0.25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22</v>
      </c>
      <c r="N3" s="4"/>
      <c r="Q3" s="4"/>
    </row>
    <row r="4" spans="1:18" s="3" customFormat="1" ht="30" customHeight="1" x14ac:dyDescent="0.25">
      <c r="B4" s="14" t="s">
        <v>8</v>
      </c>
      <c r="C4" s="15" t="s">
        <v>168</v>
      </c>
      <c r="D4" s="10"/>
      <c r="E4" s="10"/>
      <c r="F4" s="16" t="s">
        <v>9</v>
      </c>
      <c r="G4" s="17"/>
      <c r="H4" s="17"/>
      <c r="I4" s="17"/>
      <c r="J4" s="18">
        <v>45414</v>
      </c>
      <c r="N4" s="4"/>
      <c r="R4" s="4"/>
    </row>
    <row r="5" spans="1:18" s="3" customFormat="1" ht="30" customHeight="1" x14ac:dyDescent="0.25">
      <c r="B5" s="14" t="s">
        <v>10</v>
      </c>
      <c r="C5" s="170" t="s">
        <v>176</v>
      </c>
      <c r="D5" s="170"/>
      <c r="E5" s="170"/>
      <c r="F5" s="17" t="s">
        <v>11</v>
      </c>
      <c r="G5" s="17"/>
      <c r="H5" s="17"/>
      <c r="I5" s="17"/>
      <c r="J5" s="18"/>
      <c r="N5" s="4"/>
      <c r="R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N6" s="4"/>
      <c r="R6" s="4"/>
    </row>
    <row r="7" spans="1:18" s="3" customFormat="1" ht="13.5" customHeight="1" thickBot="1" x14ac:dyDescent="0.3">
      <c r="B7" s="27"/>
      <c r="C7" s="28"/>
      <c r="D7" s="28"/>
      <c r="G7" s="29"/>
      <c r="J7" s="30"/>
      <c r="N7" s="4"/>
      <c r="R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Q8" s="5"/>
      <c r="R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N9" s="38"/>
      <c r="O9" s="99" t="s">
        <v>169</v>
      </c>
      <c r="R9" s="38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N10" s="44"/>
      <c r="R10" s="44"/>
    </row>
    <row r="11" spans="1:18" s="3" customFormat="1" ht="20.100000000000001" customHeight="1" x14ac:dyDescent="0.25">
      <c r="B11" s="45">
        <v>133</v>
      </c>
      <c r="C11" s="46" t="s">
        <v>58</v>
      </c>
      <c r="D11" s="99" t="s">
        <v>170</v>
      </c>
      <c r="E11" s="48"/>
      <c r="F11" s="49"/>
      <c r="G11" s="56"/>
      <c r="H11" s="51"/>
      <c r="I11" s="52"/>
      <c r="J11" s="53"/>
      <c r="K11" s="45">
        <v>266</v>
      </c>
      <c r="L11" s="3">
        <f>K11/2</f>
        <v>133</v>
      </c>
      <c r="N11" s="4"/>
      <c r="O11" s="1"/>
      <c r="P11" s="1"/>
      <c r="Q11" s="4"/>
    </row>
    <row r="12" spans="1:18" s="3" customFormat="1" ht="20.100000000000001" customHeight="1" x14ac:dyDescent="0.2">
      <c r="B12" s="45">
        <v>416</v>
      </c>
      <c r="C12" s="46" t="s">
        <v>58</v>
      </c>
      <c r="D12" s="99" t="s">
        <v>171</v>
      </c>
      <c r="E12" s="48"/>
      <c r="F12" s="49"/>
      <c r="G12" s="50"/>
      <c r="H12" s="51"/>
      <c r="I12" s="52"/>
      <c r="J12" s="53"/>
      <c r="K12" s="45">
        <v>832</v>
      </c>
      <c r="L12" s="3">
        <f>K12/2</f>
        <v>416</v>
      </c>
      <c r="N12" s="100">
        <v>2451</v>
      </c>
      <c r="O12" s="5"/>
      <c r="P12" s="5"/>
      <c r="R12" s="4"/>
    </row>
    <row r="13" spans="1:18" s="3" customFormat="1" ht="20.100000000000001" customHeight="1" x14ac:dyDescent="0.2">
      <c r="B13" s="45">
        <v>4069</v>
      </c>
      <c r="C13" s="46" t="s">
        <v>58</v>
      </c>
      <c r="D13" s="99" t="s">
        <v>172</v>
      </c>
      <c r="E13" s="48"/>
      <c r="F13" s="49"/>
      <c r="G13" s="101"/>
      <c r="H13" s="51"/>
      <c r="I13" s="52"/>
      <c r="J13" s="53"/>
      <c r="K13" s="45">
        <v>8138</v>
      </c>
      <c r="L13" s="3">
        <f>K13/2</f>
        <v>4069</v>
      </c>
      <c r="N13" s="100"/>
      <c r="O13" s="5"/>
      <c r="Q13" s="102"/>
      <c r="R13" s="54"/>
    </row>
    <row r="14" spans="1:18" s="3" customFormat="1" ht="20.100000000000001" customHeight="1" x14ac:dyDescent="0.25">
      <c r="B14" s="45">
        <v>393</v>
      </c>
      <c r="C14" s="46" t="s">
        <v>58</v>
      </c>
      <c r="D14" s="99" t="s">
        <v>174</v>
      </c>
      <c r="E14" s="48"/>
      <c r="F14" s="49"/>
      <c r="G14" s="50"/>
      <c r="H14" s="51"/>
      <c r="I14" s="52"/>
      <c r="J14" s="53"/>
      <c r="K14" s="45">
        <v>786</v>
      </c>
      <c r="L14" s="3">
        <f>K14/2</f>
        <v>393</v>
      </c>
      <c r="N14" s="4"/>
      <c r="O14" s="1"/>
      <c r="P14" s="1"/>
      <c r="Q14" s="4"/>
      <c r="R14" s="54"/>
    </row>
    <row r="15" spans="1:18" s="3" customFormat="1" ht="20.100000000000001" customHeight="1" x14ac:dyDescent="0.25">
      <c r="B15" s="45">
        <v>1273</v>
      </c>
      <c r="C15" s="46" t="s">
        <v>58</v>
      </c>
      <c r="D15" s="99" t="s">
        <v>173</v>
      </c>
      <c r="E15" s="48"/>
      <c r="F15" s="49"/>
      <c r="G15" s="101"/>
      <c r="H15" s="51"/>
      <c r="I15" s="52"/>
      <c r="J15" s="53"/>
      <c r="K15" s="45">
        <v>2546</v>
      </c>
      <c r="L15" s="3">
        <f>K15/2</f>
        <v>1273</v>
      </c>
      <c r="N15" s="4"/>
      <c r="O15" s="1"/>
      <c r="P15" s="1"/>
      <c r="Q15" s="4"/>
    </row>
    <row r="16" spans="1:18" s="3" customFormat="1" ht="20.100000000000001" customHeight="1" x14ac:dyDescent="0.2">
      <c r="B16" s="45"/>
      <c r="C16" s="46"/>
      <c r="D16" s="47"/>
      <c r="E16" s="48"/>
      <c r="F16" s="49"/>
      <c r="G16" s="56"/>
      <c r="H16" s="51"/>
      <c r="I16" s="52"/>
      <c r="J16" s="53"/>
      <c r="N16" s="100"/>
      <c r="O16" s="5"/>
      <c r="Q16" s="102"/>
      <c r="R16" s="54"/>
    </row>
    <row r="17" spans="2:18" s="3" customFormat="1" ht="20.100000000000001" customHeight="1" x14ac:dyDescent="0.25">
      <c r="B17" s="45"/>
      <c r="C17" s="46"/>
      <c r="D17" s="47"/>
      <c r="E17" s="48"/>
      <c r="F17" s="49"/>
      <c r="G17" s="56"/>
      <c r="H17" s="51"/>
      <c r="I17" s="52"/>
      <c r="J17" s="53"/>
      <c r="N17" s="4"/>
      <c r="O17" s="1"/>
      <c r="P17" s="1"/>
      <c r="Q17" s="4"/>
      <c r="R17" s="54"/>
    </row>
    <row r="18" spans="2:18" s="3" customFormat="1" ht="20.100000000000001" customHeight="1" x14ac:dyDescent="0.25">
      <c r="B18" s="45"/>
      <c r="C18" s="46"/>
      <c r="D18" s="47"/>
      <c r="E18" s="48"/>
      <c r="F18" s="49"/>
      <c r="G18" s="56"/>
      <c r="H18" s="51"/>
      <c r="I18" s="52"/>
      <c r="J18" s="53"/>
      <c r="N18" s="4"/>
      <c r="O18" s="1"/>
      <c r="P18" s="1"/>
      <c r="Q18" s="4"/>
    </row>
    <row r="19" spans="2:18" s="3" customFormat="1" ht="20.100000000000001" customHeight="1" x14ac:dyDescent="0.2">
      <c r="B19" s="45"/>
      <c r="C19" s="57"/>
      <c r="D19" s="65"/>
      <c r="E19" s="62"/>
      <c r="F19" s="55"/>
      <c r="G19" s="56"/>
      <c r="H19" s="51"/>
      <c r="I19" s="52"/>
      <c r="J19" s="60"/>
      <c r="N19" s="4"/>
      <c r="O19" s="5"/>
      <c r="P19" s="63"/>
      <c r="Q19" s="4"/>
    </row>
    <row r="20" spans="2:18" s="3" customFormat="1" ht="20.100000000000001" customHeight="1" x14ac:dyDescent="0.2">
      <c r="B20" s="45"/>
      <c r="C20" s="57"/>
      <c r="D20" s="65"/>
      <c r="E20" s="64"/>
      <c r="F20" s="55"/>
      <c r="G20" s="56"/>
      <c r="H20" s="51"/>
      <c r="I20" s="52"/>
      <c r="J20" s="60"/>
      <c r="N20" s="4"/>
      <c r="O20" s="5"/>
      <c r="Q20" s="4"/>
    </row>
    <row r="21" spans="2:18" s="3" customFormat="1" ht="20.100000000000001" customHeight="1" x14ac:dyDescent="0.2">
      <c r="B21" s="45"/>
      <c r="C21" s="57"/>
      <c r="D21" s="103"/>
      <c r="E21" s="59"/>
      <c r="F21" s="55"/>
      <c r="G21" s="56"/>
      <c r="H21" s="51"/>
      <c r="I21" s="52"/>
      <c r="J21" s="60"/>
      <c r="N21" s="4"/>
      <c r="O21" s="5"/>
      <c r="Q21" s="4"/>
    </row>
    <row r="22" spans="2:18" s="3" customFormat="1" ht="20.100000000000001" customHeight="1" x14ac:dyDescent="0.2">
      <c r="B22" s="45"/>
      <c r="C22" s="46"/>
      <c r="D22" s="47"/>
      <c r="E22" s="48"/>
      <c r="F22" s="49"/>
      <c r="G22" s="56"/>
      <c r="H22" s="51"/>
      <c r="I22" s="52"/>
      <c r="J22" s="53"/>
      <c r="N22" s="4"/>
      <c r="O22" s="5"/>
      <c r="Q22" s="4"/>
    </row>
    <row r="23" spans="2:18" s="3" customFormat="1" ht="20.100000000000001" customHeight="1" x14ac:dyDescent="0.2">
      <c r="B23" s="45"/>
      <c r="C23" s="46"/>
      <c r="D23" s="47"/>
      <c r="E23" s="48"/>
      <c r="F23" s="49"/>
      <c r="G23" s="56"/>
      <c r="H23" s="51"/>
      <c r="I23" s="52"/>
      <c r="J23" s="53"/>
      <c r="N23" s="4"/>
      <c r="O23" s="5"/>
      <c r="Q23" s="4"/>
    </row>
    <row r="24" spans="2:18" s="3" customFormat="1" ht="20.100000000000001" customHeight="1" x14ac:dyDescent="0.2">
      <c r="B24" s="45"/>
      <c r="C24" s="46"/>
      <c r="D24" s="47"/>
      <c r="E24" s="48"/>
      <c r="F24" s="49"/>
      <c r="G24" s="56"/>
      <c r="H24" s="51"/>
      <c r="I24" s="52"/>
      <c r="J24" s="53"/>
      <c r="N24" s="4"/>
      <c r="O24" s="5"/>
      <c r="Q24" s="4"/>
    </row>
    <row r="25" spans="2:18" s="3" customFormat="1" ht="20.100000000000001" customHeight="1" x14ac:dyDescent="0.2">
      <c r="B25" s="45"/>
      <c r="C25" s="57"/>
      <c r="D25" s="66"/>
      <c r="E25" s="64"/>
      <c r="F25" s="55"/>
      <c r="G25" s="56"/>
      <c r="H25" s="51"/>
      <c r="I25" s="52"/>
      <c r="J25" s="67"/>
      <c r="N25" s="4">
        <f>6542.48+13381.86+13108.17</f>
        <v>33032.51</v>
      </c>
      <c r="O25" s="5"/>
      <c r="Q25" s="4"/>
    </row>
    <row r="26" spans="2:18" s="3" customFormat="1" ht="20.100000000000001" customHeight="1" x14ac:dyDescent="0.2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0</v>
      </c>
      <c r="K26" s="127"/>
      <c r="L26" s="97"/>
      <c r="M26" s="97"/>
      <c r="N26" s="168">
        <f>SUM(N11:N25)</f>
        <v>35483.51</v>
      </c>
      <c r="O26" s="71"/>
      <c r="Q26" s="4"/>
    </row>
    <row r="27" spans="2:18" s="3" customFormat="1" ht="19.5" customHeight="1" x14ac:dyDescent="0.2">
      <c r="B27" s="136"/>
      <c r="C27" s="138"/>
      <c r="D27" s="141"/>
      <c r="E27" s="142"/>
      <c r="F27" s="145"/>
      <c r="G27" s="146"/>
      <c r="H27" s="68"/>
      <c r="I27" s="68"/>
      <c r="J27" s="128"/>
      <c r="K27" s="128"/>
      <c r="L27" s="98"/>
      <c r="M27" s="98"/>
      <c r="N27" s="169"/>
      <c r="O27" s="5"/>
      <c r="Q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O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5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N32" s="5"/>
    </row>
    <row r="33" spans="2:18" ht="15" customHeight="1" x14ac:dyDescent="0.2">
      <c r="B33" s="7"/>
      <c r="C33" s="73" t="s">
        <v>21</v>
      </c>
      <c r="D33" s="73"/>
      <c r="E33" s="73" t="s">
        <v>21</v>
      </c>
      <c r="F33" s="73"/>
      <c r="G33" s="73"/>
      <c r="H33" s="73"/>
      <c r="I33" s="73"/>
      <c r="J33" s="73" t="s">
        <v>22</v>
      </c>
      <c r="N33" s="5"/>
      <c r="O33" s="7"/>
    </row>
    <row r="34" spans="2:18" x14ac:dyDescent="0.2">
      <c r="B34" s="7"/>
      <c r="C34" s="73" t="s">
        <v>175</v>
      </c>
      <c r="D34" s="72"/>
      <c r="E34" s="74" t="s">
        <v>23</v>
      </c>
      <c r="F34" s="73"/>
      <c r="G34" s="73"/>
      <c r="H34" s="73"/>
      <c r="I34" s="73"/>
      <c r="J34" s="74" t="s">
        <v>24</v>
      </c>
      <c r="N34" s="5"/>
      <c r="O34" s="77"/>
    </row>
    <row r="35" spans="2:18" x14ac:dyDescent="0.2">
      <c r="B35" s="7"/>
      <c r="C35" s="73"/>
      <c r="D35" s="72"/>
      <c r="E35" s="74"/>
      <c r="F35" s="73"/>
      <c r="G35" s="73"/>
      <c r="H35" s="73"/>
      <c r="I35" s="73"/>
      <c r="J35" s="74"/>
      <c r="P35" s="77"/>
      <c r="Q35" s="5"/>
      <c r="R35" s="8"/>
    </row>
    <row r="36" spans="2:18" x14ac:dyDescent="0.2">
      <c r="B36" s="7"/>
      <c r="C36" s="74"/>
      <c r="D36" s="74"/>
      <c r="E36" s="73"/>
      <c r="F36" s="73"/>
      <c r="G36" s="73"/>
      <c r="H36" s="73"/>
      <c r="I36" s="73"/>
      <c r="J36" s="73"/>
      <c r="P36" s="77"/>
      <c r="Q36" s="5"/>
      <c r="R36" s="8"/>
    </row>
    <row r="37" spans="2:18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Q37" s="5"/>
      <c r="R37" s="8"/>
    </row>
    <row r="38" spans="2:18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8" x14ac:dyDescent="0.2">
      <c r="C39" s="74"/>
      <c r="D39" s="74"/>
      <c r="E39" s="73"/>
      <c r="F39" s="73"/>
      <c r="G39" s="73"/>
      <c r="H39" s="73"/>
      <c r="I39" s="73"/>
      <c r="J39" s="73"/>
    </row>
    <row r="40" spans="2:18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8" ht="16.5" x14ac:dyDescent="0.35">
      <c r="B41" s="5"/>
      <c r="C41" s="73"/>
      <c r="D41" s="73"/>
      <c r="E41" s="73"/>
      <c r="F41" s="73"/>
      <c r="G41" s="73"/>
      <c r="H41" s="73"/>
      <c r="I41" s="73"/>
      <c r="J41" s="80" t="s">
        <v>28</v>
      </c>
      <c r="O41" s="81"/>
    </row>
    <row r="42" spans="2:18" x14ac:dyDescent="0.2">
      <c r="B42" s="130"/>
      <c r="C42" s="130"/>
      <c r="E42" s="7"/>
      <c r="F42" s="7"/>
    </row>
    <row r="43" spans="2:18" ht="15.75" customHeight="1" x14ac:dyDescent="0.2"/>
    <row r="45" spans="2:18" ht="15" x14ac:dyDescent="0.25">
      <c r="O45" s="82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K26:K27"/>
    <mergeCell ref="N26:N27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9" orientation="portrait" horizontalDpi="300" verticalDpi="300" r:id="rId1"/>
  <headerFooter>
    <oddFooter>&amp;L&amp;"-,Bold"&amp;9        F-PUR-003
     CBT Rev. 5-D 1/21/2024</oddFooter>
  </headerFooter>
  <colBreaks count="1" manualBreakCount="1">
    <brk id="10" max="38" man="1"/>
  </colBreak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0750-E0A7-40DF-822B-AE8BEA55C0D9}">
  <sheetPr codeName="Sheet7">
    <tabColor rgb="FFC00000"/>
  </sheetPr>
  <dimension ref="A1:R45"/>
  <sheetViews>
    <sheetView view="pageBreakPreview" topLeftCell="B3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160</v>
      </c>
      <c r="D3" s="152"/>
      <c r="E3" s="152"/>
      <c r="F3" s="11" t="s">
        <v>3</v>
      </c>
      <c r="G3" s="11"/>
      <c r="H3" s="11"/>
      <c r="I3" s="11"/>
      <c r="J3" s="84">
        <v>21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161</v>
      </c>
      <c r="D4" s="10"/>
      <c r="E4" s="10"/>
      <c r="F4" s="16" t="s">
        <v>9</v>
      </c>
      <c r="G4" s="17"/>
      <c r="H4" s="17"/>
      <c r="I4" s="17"/>
      <c r="J4" s="18">
        <v>45394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/>
      <c r="C11" s="46"/>
      <c r="D11" s="164" t="s">
        <v>162</v>
      </c>
      <c r="E11" s="165"/>
      <c r="F11" s="49">
        <f>6400/2</f>
        <v>3200</v>
      </c>
      <c r="G11" s="50"/>
      <c r="H11" s="51"/>
      <c r="I11" s="52"/>
      <c r="J11" s="53">
        <f>F11</f>
        <v>3200</v>
      </c>
      <c r="L11" s="92"/>
      <c r="M11" s="92"/>
      <c r="N11" s="5"/>
      <c r="P11" s="4"/>
    </row>
    <row r="12" spans="1:18" s="3" customFormat="1" ht="20.100000000000001" customHeight="1" x14ac:dyDescent="0.25">
      <c r="B12" s="45"/>
      <c r="C12" s="46"/>
      <c r="D12" s="164" t="s">
        <v>163</v>
      </c>
      <c r="E12" s="165"/>
      <c r="F12" s="49">
        <f>1900/2</f>
        <v>950</v>
      </c>
      <c r="G12" s="50"/>
      <c r="H12" s="51"/>
      <c r="I12" s="52"/>
      <c r="J12" s="53">
        <f>F12</f>
        <v>950</v>
      </c>
      <c r="L12" s="92"/>
      <c r="M12" s="92"/>
      <c r="N12" s="3">
        <f>12600-12595.13</f>
        <v>4.8700000000008004</v>
      </c>
      <c r="O12" s="4"/>
    </row>
    <row r="13" spans="1:18" s="3" customFormat="1" ht="20.100000000000001" customHeight="1" x14ac:dyDescent="0.25">
      <c r="B13" s="45"/>
      <c r="C13" s="46"/>
      <c r="D13" s="47" t="s">
        <v>164</v>
      </c>
      <c r="E13" s="48"/>
      <c r="F13" s="83">
        <f>(4719.25+4845)/2</f>
        <v>4782.125</v>
      </c>
      <c r="G13" s="56"/>
      <c r="H13" s="51"/>
      <c r="I13" s="52"/>
      <c r="J13" s="53">
        <f>F13</f>
        <v>4782.125</v>
      </c>
      <c r="L13" s="92">
        <f>4719.25+4845</f>
        <v>9564.25</v>
      </c>
      <c r="M13" s="92">
        <f>L13/2</f>
        <v>4782.125</v>
      </c>
      <c r="O13" s="4"/>
      <c r="P13" s="54"/>
    </row>
    <row r="14" spans="1:18" s="3" customFormat="1" ht="20.100000000000001" customHeight="1" x14ac:dyDescent="0.25">
      <c r="B14" s="45"/>
      <c r="C14" s="46"/>
      <c r="D14" s="47" t="s">
        <v>165</v>
      </c>
      <c r="E14" s="48"/>
      <c r="F14" s="83">
        <f>(156+2070)/2</f>
        <v>1113</v>
      </c>
      <c r="G14" s="56"/>
      <c r="H14" s="51"/>
      <c r="I14" s="52"/>
      <c r="J14" s="53">
        <f>F14</f>
        <v>1113</v>
      </c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 t="s">
        <v>166</v>
      </c>
      <c r="E15" s="48"/>
      <c r="F15" s="55">
        <f>5100/2</f>
        <v>2550</v>
      </c>
      <c r="G15" s="56"/>
      <c r="H15" s="51"/>
      <c r="I15" s="52"/>
      <c r="J15" s="53">
        <f>F15</f>
        <v>2550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 t="s">
        <v>167</v>
      </c>
      <c r="E26" s="140"/>
      <c r="F26" s="143" t="s">
        <v>17</v>
      </c>
      <c r="G26" s="144"/>
      <c r="H26" s="68"/>
      <c r="I26" s="68"/>
      <c r="J26" s="127">
        <f>SUM(J11:J25)</f>
        <v>12595.125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145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70C6-AAD1-4190-9681-5CF744019DB4}">
  <sheetPr codeName="Sheet8"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153</v>
      </c>
      <c r="D3" s="152"/>
      <c r="E3" s="152"/>
      <c r="F3" s="11" t="s">
        <v>3</v>
      </c>
      <c r="G3" s="11"/>
      <c r="H3" s="11"/>
      <c r="I3" s="11"/>
      <c r="J3" s="84">
        <v>20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154</v>
      </c>
      <c r="D4" s="10"/>
      <c r="E4" s="10"/>
      <c r="F4" s="16" t="s">
        <v>9</v>
      </c>
      <c r="G4" s="17"/>
      <c r="H4" s="17"/>
      <c r="I4" s="17"/>
      <c r="J4" s="18">
        <v>45390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8</v>
      </c>
      <c r="C11" s="46" t="s">
        <v>155</v>
      </c>
      <c r="D11" s="164" t="s">
        <v>156</v>
      </c>
      <c r="E11" s="165"/>
      <c r="F11" s="49">
        <v>4000</v>
      </c>
      <c r="G11" s="50"/>
      <c r="H11" s="51"/>
      <c r="I11" s="52"/>
      <c r="J11" s="53">
        <f>F11*B11</f>
        <v>32000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8</v>
      </c>
      <c r="C12" s="46" t="s">
        <v>155</v>
      </c>
      <c r="D12" s="164" t="s">
        <v>157</v>
      </c>
      <c r="E12" s="165"/>
      <c r="F12" s="49">
        <v>7000</v>
      </c>
      <c r="G12" s="50"/>
      <c r="H12" s="51"/>
      <c r="I12" s="52"/>
      <c r="J12" s="53">
        <f>F12*B12</f>
        <v>56000</v>
      </c>
      <c r="L12" s="92"/>
      <c r="M12" s="92"/>
      <c r="O12" s="4"/>
    </row>
    <row r="13" spans="1:18" s="3" customFormat="1" ht="20.100000000000001" customHeight="1" x14ac:dyDescent="0.25">
      <c r="B13" s="45">
        <v>8</v>
      </c>
      <c r="C13" s="46" t="s">
        <v>155</v>
      </c>
      <c r="D13" s="47" t="s">
        <v>158</v>
      </c>
      <c r="E13" s="48"/>
      <c r="F13" s="83">
        <v>5000</v>
      </c>
      <c r="G13" s="56"/>
      <c r="H13" s="51"/>
      <c r="I13" s="52"/>
      <c r="J13" s="53">
        <f>F13*B13</f>
        <v>40000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 t="s">
        <v>184</v>
      </c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159</v>
      </c>
      <c r="E26" s="158"/>
      <c r="F26" s="143" t="s">
        <v>17</v>
      </c>
      <c r="G26" s="144"/>
      <c r="H26" s="68"/>
      <c r="I26" s="68"/>
      <c r="J26" s="127">
        <f>SUM(J11:J25)</f>
        <v>128000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/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7A6-129E-401F-92C4-8A06C85AAF33}">
  <sheetPr codeName="Sheet9">
    <tabColor rgb="FF00B0F0"/>
  </sheetPr>
  <dimension ref="A1:R45"/>
  <sheetViews>
    <sheetView view="pageBreakPreview" zoomScale="70" zoomScaleNormal="100" zoomScaleSheetLayoutView="7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146</v>
      </c>
      <c r="D3" s="152"/>
      <c r="E3" s="152"/>
      <c r="F3" s="11" t="s">
        <v>3</v>
      </c>
      <c r="G3" s="11"/>
      <c r="H3" s="11"/>
      <c r="I3" s="11"/>
      <c r="J3" s="84">
        <v>19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129</v>
      </c>
      <c r="D4" s="10"/>
      <c r="E4" s="10"/>
      <c r="F4" s="16" t="s">
        <v>9</v>
      </c>
      <c r="G4" s="17"/>
      <c r="H4" s="17"/>
      <c r="I4" s="17"/>
      <c r="J4" s="18">
        <v>45384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164" t="s">
        <v>147</v>
      </c>
      <c r="E11" s="165"/>
      <c r="F11" s="49">
        <v>170</v>
      </c>
      <c r="G11" s="50"/>
      <c r="H11" s="51"/>
      <c r="I11" s="52"/>
      <c r="J11" s="53">
        <f>F11*B11</f>
        <v>170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2</v>
      </c>
      <c r="C12" s="46" t="s">
        <v>112</v>
      </c>
      <c r="D12" s="164" t="s">
        <v>148</v>
      </c>
      <c r="E12" s="165"/>
      <c r="F12" s="49">
        <v>80</v>
      </c>
      <c r="G12" s="50"/>
      <c r="H12" s="51"/>
      <c r="I12" s="52"/>
      <c r="J12" s="53">
        <f>F12*B12</f>
        <v>160</v>
      </c>
      <c r="L12" s="92"/>
      <c r="M12" s="9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149</v>
      </c>
      <c r="E13" s="48"/>
      <c r="F13" s="83">
        <v>200</v>
      </c>
      <c r="G13" s="56"/>
      <c r="H13" s="51"/>
      <c r="I13" s="52"/>
      <c r="J13" s="53">
        <f>F13*B13</f>
        <v>200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v>1</v>
      </c>
      <c r="C14" s="46" t="s">
        <v>58</v>
      </c>
      <c r="D14" s="47" t="s">
        <v>150</v>
      </c>
      <c r="E14" s="48"/>
      <c r="F14" s="83">
        <v>370</v>
      </c>
      <c r="G14" s="56"/>
      <c r="H14" s="51"/>
      <c r="I14" s="52"/>
      <c r="J14" s="53">
        <f>F14*B14</f>
        <v>370</v>
      </c>
      <c r="L14" s="92"/>
      <c r="M14" s="92"/>
      <c r="O14" s="4"/>
    </row>
    <row r="15" spans="1:18" s="3" customFormat="1" ht="20.100000000000001" customHeight="1" x14ac:dyDescent="0.25">
      <c r="B15" s="45">
        <v>4</v>
      </c>
      <c r="C15" s="46" t="s">
        <v>58</v>
      </c>
      <c r="D15" s="47" t="s">
        <v>151</v>
      </c>
      <c r="E15" s="48"/>
      <c r="F15" s="55">
        <v>150</v>
      </c>
      <c r="G15" s="56"/>
      <c r="H15" s="51"/>
      <c r="I15" s="52"/>
      <c r="J15" s="53">
        <f>F15*B15</f>
        <v>600</v>
      </c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1500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145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C41:D41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266C-F929-4350-B5AA-39E88A12DA41}">
  <sheetPr codeName="Sheet10">
    <tabColor rgb="FF00B0F0"/>
  </sheetPr>
  <dimension ref="A1:R45"/>
  <sheetViews>
    <sheetView view="pageBreakPreview" zoomScale="70" zoomScaleNormal="100" zoomScaleSheetLayoutView="70" workbookViewId="0">
      <selection activeCell="M15" sqref="M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128</v>
      </c>
      <c r="D3" s="152"/>
      <c r="E3" s="152"/>
      <c r="F3" s="11" t="s">
        <v>3</v>
      </c>
      <c r="G3" s="11"/>
      <c r="H3" s="11"/>
      <c r="I3" s="11"/>
      <c r="J3" s="84">
        <v>18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129</v>
      </c>
      <c r="D4" s="10"/>
      <c r="E4" s="10"/>
      <c r="F4" s="16" t="s">
        <v>9</v>
      </c>
      <c r="G4" s="17"/>
      <c r="H4" s="17"/>
      <c r="I4" s="17"/>
      <c r="J4" s="18">
        <v>45384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58</v>
      </c>
      <c r="D11" s="164" t="s">
        <v>130</v>
      </c>
      <c r="E11" s="165"/>
      <c r="F11" s="49">
        <v>220</v>
      </c>
      <c r="G11" s="50"/>
      <c r="H11" s="51"/>
      <c r="I11" s="52"/>
      <c r="J11" s="53">
        <f t="shared" ref="J11:J16" si="0">F11*B11</f>
        <v>440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0.5</v>
      </c>
      <c r="C12" s="46" t="s">
        <v>112</v>
      </c>
      <c r="D12" s="164" t="s">
        <v>131</v>
      </c>
      <c r="E12" s="165"/>
      <c r="F12" s="49">
        <v>100</v>
      </c>
      <c r="G12" s="50"/>
      <c r="H12" s="51"/>
      <c r="I12" s="52"/>
      <c r="J12" s="53">
        <f t="shared" si="0"/>
        <v>50</v>
      </c>
      <c r="L12" s="92"/>
      <c r="M12" s="92"/>
      <c r="O12" s="4"/>
    </row>
    <row r="13" spans="1:18" s="3" customFormat="1" ht="20.100000000000001" customHeight="1" x14ac:dyDescent="0.25">
      <c r="B13" s="45">
        <v>6</v>
      </c>
      <c r="C13" s="46" t="s">
        <v>112</v>
      </c>
      <c r="D13" s="47" t="s">
        <v>132</v>
      </c>
      <c r="E13" s="48"/>
      <c r="F13" s="83">
        <v>90</v>
      </c>
      <c r="G13" s="56"/>
      <c r="H13" s="51"/>
      <c r="I13" s="52"/>
      <c r="J13" s="53">
        <f t="shared" si="0"/>
        <v>540</v>
      </c>
      <c r="L13" s="92"/>
      <c r="M13" s="92"/>
      <c r="O13" s="4"/>
      <c r="P13" s="54"/>
    </row>
    <row r="14" spans="1:18" s="3" customFormat="1" ht="20.100000000000001" customHeight="1" x14ac:dyDescent="0.25">
      <c r="B14" s="45">
        <f>2+3</f>
        <v>5</v>
      </c>
      <c r="C14" s="46" t="s">
        <v>112</v>
      </c>
      <c r="D14" s="47" t="s">
        <v>133</v>
      </c>
      <c r="E14" s="48"/>
      <c r="F14" s="83">
        <v>90</v>
      </c>
      <c r="G14" s="56"/>
      <c r="H14" s="51"/>
      <c r="I14" s="52"/>
      <c r="J14" s="53">
        <f t="shared" si="0"/>
        <v>450</v>
      </c>
      <c r="L14" s="92"/>
      <c r="M14" s="92"/>
      <c r="O14" s="4"/>
    </row>
    <row r="15" spans="1:18" s="3" customFormat="1" ht="20.100000000000001" customHeight="1" x14ac:dyDescent="0.25">
      <c r="B15" s="45">
        <v>1</v>
      </c>
      <c r="C15" s="46" t="s">
        <v>112</v>
      </c>
      <c r="D15" s="47" t="s">
        <v>139</v>
      </c>
      <c r="E15" s="48"/>
      <c r="F15" s="55">
        <v>95</v>
      </c>
      <c r="G15" s="56"/>
      <c r="H15" s="51"/>
      <c r="I15" s="52"/>
      <c r="J15" s="53">
        <f t="shared" si="0"/>
        <v>95</v>
      </c>
      <c r="L15" s="92"/>
      <c r="M15" s="92"/>
      <c r="O15" s="4"/>
    </row>
    <row r="16" spans="1:18" s="3" customFormat="1" ht="20.100000000000001" customHeight="1" x14ac:dyDescent="0.25">
      <c r="B16" s="45">
        <v>3</v>
      </c>
      <c r="C16" s="46" t="s">
        <v>112</v>
      </c>
      <c r="D16" s="47" t="s">
        <v>140</v>
      </c>
      <c r="E16" s="48"/>
      <c r="F16" s="55">
        <v>95</v>
      </c>
      <c r="G16" s="56"/>
      <c r="H16" s="51"/>
      <c r="I16" s="52"/>
      <c r="J16" s="53">
        <f t="shared" si="0"/>
        <v>285</v>
      </c>
      <c r="L16" s="92"/>
      <c r="M16" s="92"/>
      <c r="O16" s="4"/>
    </row>
    <row r="17" spans="2:16" s="3" customFormat="1" ht="20.100000000000001" customHeight="1" x14ac:dyDescent="0.25">
      <c r="B17" s="45">
        <v>7</v>
      </c>
      <c r="C17" s="46" t="s">
        <v>58</v>
      </c>
      <c r="D17" s="47" t="s">
        <v>134</v>
      </c>
      <c r="E17" s="48"/>
      <c r="F17" s="55">
        <v>300</v>
      </c>
      <c r="G17" s="56"/>
      <c r="H17" s="51"/>
      <c r="I17" s="52"/>
      <c r="J17" s="53">
        <f t="shared" ref="J17:J24" si="1">F17*B17</f>
        <v>2100</v>
      </c>
      <c r="L17" s="92"/>
      <c r="M17" s="92"/>
      <c r="N17" s="4"/>
      <c r="O17" s="4"/>
    </row>
    <row r="18" spans="2:16" s="3" customFormat="1" ht="20.100000000000001" customHeight="1" x14ac:dyDescent="0.25">
      <c r="B18" s="45">
        <v>4</v>
      </c>
      <c r="C18" s="46" t="s">
        <v>58</v>
      </c>
      <c r="D18" s="47" t="s">
        <v>136</v>
      </c>
      <c r="E18" s="48"/>
      <c r="F18" s="55">
        <v>90</v>
      </c>
      <c r="G18" s="56"/>
      <c r="H18" s="51"/>
      <c r="I18" s="52"/>
      <c r="J18" s="53">
        <f t="shared" si="1"/>
        <v>360</v>
      </c>
      <c r="L18" s="92"/>
      <c r="M18" s="92"/>
      <c r="N18" s="4"/>
      <c r="O18" s="4"/>
    </row>
    <row r="19" spans="2:16" s="3" customFormat="1" ht="20.100000000000001" customHeight="1" x14ac:dyDescent="0.25">
      <c r="B19" s="45">
        <v>2</v>
      </c>
      <c r="C19" s="46" t="s">
        <v>58</v>
      </c>
      <c r="D19" s="47" t="s">
        <v>135</v>
      </c>
      <c r="E19" s="59"/>
      <c r="F19" s="55">
        <v>100</v>
      </c>
      <c r="G19" s="56"/>
      <c r="H19" s="51"/>
      <c r="I19" s="52"/>
      <c r="J19" s="53">
        <f t="shared" si="1"/>
        <v>200</v>
      </c>
      <c r="L19" s="92"/>
      <c r="M19" s="92"/>
      <c r="N19" s="4"/>
      <c r="O19" s="4"/>
    </row>
    <row r="20" spans="2:16" s="3" customFormat="1" ht="20.100000000000001" customHeight="1" x14ac:dyDescent="0.25">
      <c r="B20" s="45">
        <v>2</v>
      </c>
      <c r="C20" s="46" t="s">
        <v>58</v>
      </c>
      <c r="D20" s="47" t="s">
        <v>137</v>
      </c>
      <c r="E20" s="59"/>
      <c r="F20" s="55">
        <v>30</v>
      </c>
      <c r="G20" s="56"/>
      <c r="H20" s="51"/>
      <c r="I20" s="52"/>
      <c r="J20" s="53">
        <f t="shared" si="1"/>
        <v>60</v>
      </c>
      <c r="L20" s="92"/>
      <c r="M20" s="92"/>
      <c r="O20" s="4"/>
    </row>
    <row r="21" spans="2:16" s="3" customFormat="1" ht="20.100000000000001" customHeight="1" x14ac:dyDescent="0.25">
      <c r="B21" s="45">
        <v>1</v>
      </c>
      <c r="C21" s="46" t="s">
        <v>58</v>
      </c>
      <c r="D21" s="47" t="s">
        <v>138</v>
      </c>
      <c r="E21" s="59"/>
      <c r="F21" s="55">
        <v>90</v>
      </c>
      <c r="G21" s="56"/>
      <c r="H21" s="51"/>
      <c r="I21" s="52"/>
      <c r="J21" s="53">
        <f t="shared" si="1"/>
        <v>90</v>
      </c>
      <c r="L21" s="92"/>
      <c r="M21" s="92"/>
      <c r="O21" s="4"/>
    </row>
    <row r="22" spans="2:16" s="3" customFormat="1" ht="20.100000000000001" customHeight="1" x14ac:dyDescent="0.25">
      <c r="B22" s="45">
        <v>1</v>
      </c>
      <c r="C22" s="46" t="s">
        <v>58</v>
      </c>
      <c r="D22" s="47" t="s">
        <v>143</v>
      </c>
      <c r="E22" s="59"/>
      <c r="F22" s="55">
        <v>680</v>
      </c>
      <c r="G22" s="56"/>
      <c r="H22" s="51"/>
      <c r="I22" s="52"/>
      <c r="J22" s="53">
        <f t="shared" si="1"/>
        <v>680</v>
      </c>
      <c r="L22" s="92"/>
      <c r="M22" s="92"/>
      <c r="O22" s="4"/>
    </row>
    <row r="23" spans="2:16" s="3" customFormat="1" ht="20.100000000000001" customHeight="1" x14ac:dyDescent="0.25">
      <c r="B23" s="45">
        <v>3</v>
      </c>
      <c r="C23" s="46" t="s">
        <v>141</v>
      </c>
      <c r="D23" s="47" t="s">
        <v>142</v>
      </c>
      <c r="E23" s="59"/>
      <c r="F23" s="55">
        <v>260</v>
      </c>
      <c r="G23" s="56"/>
      <c r="H23" s="51"/>
      <c r="I23" s="52"/>
      <c r="J23" s="53">
        <f t="shared" si="1"/>
        <v>780</v>
      </c>
      <c r="L23" s="92"/>
      <c r="M23" s="92"/>
      <c r="O23" s="4"/>
    </row>
    <row r="24" spans="2:16" s="3" customFormat="1" ht="20.100000000000001" customHeight="1" x14ac:dyDescent="0.25">
      <c r="B24" s="45">
        <v>1</v>
      </c>
      <c r="C24" s="46" t="s">
        <v>58</v>
      </c>
      <c r="D24" s="47" t="s">
        <v>144</v>
      </c>
      <c r="E24" s="64"/>
      <c r="F24" s="55">
        <v>105</v>
      </c>
      <c r="G24" s="56"/>
      <c r="H24" s="51"/>
      <c r="I24" s="52"/>
      <c r="J24" s="53">
        <f t="shared" si="1"/>
        <v>105</v>
      </c>
      <c r="L24" s="92">
        <f>440+50</f>
        <v>490</v>
      </c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>
        <f>180+180</f>
        <v>360</v>
      </c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6235</v>
      </c>
      <c r="L26" s="92">
        <f>2100+360+200+60+90</f>
        <v>2810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270+95+780+360+285+680+105</f>
        <v>2575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SUM(L24:L29)</f>
        <v>6235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>
        <f>L30+1500</f>
        <v>7735</v>
      </c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145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>
        <f>6235+1500</f>
        <v>7735</v>
      </c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8">
    <mergeCell ref="J26:J27"/>
    <mergeCell ref="C34:D34"/>
    <mergeCell ref="B42:C42"/>
    <mergeCell ref="C41:D41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C537-243E-4A90-A03A-0E023FE274F3}">
  <sheetPr>
    <tabColor rgb="FF00B0F0"/>
  </sheetPr>
  <dimension ref="A1:R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185</v>
      </c>
      <c r="D3" s="152"/>
      <c r="E3" s="152"/>
      <c r="F3" s="11" t="s">
        <v>3</v>
      </c>
      <c r="G3" s="11"/>
      <c r="H3" s="11"/>
      <c r="I3" s="11"/>
      <c r="J3" s="84">
        <v>17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186</v>
      </c>
      <c r="D4" s="10"/>
      <c r="E4" s="10"/>
      <c r="F4" s="16" t="s">
        <v>9</v>
      </c>
      <c r="G4" s="17"/>
      <c r="H4" s="17"/>
      <c r="I4" s="17"/>
      <c r="J4" s="18">
        <v>45421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47" t="s">
        <v>187</v>
      </c>
      <c r="E11" s="48"/>
      <c r="F11" s="49">
        <v>2730</v>
      </c>
      <c r="G11" s="50"/>
      <c r="H11" s="51"/>
      <c r="I11" s="52"/>
      <c r="J11" s="53">
        <f>F11*B11</f>
        <v>2730</v>
      </c>
      <c r="L11"/>
      <c r="M11"/>
      <c r="N11" s="5"/>
      <c r="P11" s="4"/>
    </row>
    <row r="12" spans="1:18" s="3" customFormat="1" ht="20.100000000000001" customHeight="1" x14ac:dyDescent="0.25">
      <c r="B12" s="45">
        <v>5</v>
      </c>
      <c r="C12" s="46" t="s">
        <v>58</v>
      </c>
      <c r="D12" s="47" t="s">
        <v>188</v>
      </c>
      <c r="E12" s="48"/>
      <c r="F12" s="49">
        <v>33</v>
      </c>
      <c r="G12" s="50"/>
      <c r="H12" s="51"/>
      <c r="I12" s="52"/>
      <c r="J12" s="53">
        <f>F12*B12</f>
        <v>165</v>
      </c>
      <c r="L12"/>
      <c r="M12"/>
      <c r="O12" s="4"/>
    </row>
    <row r="13" spans="1:18" s="3" customFormat="1" ht="20.100000000000001" customHeight="1" x14ac:dyDescent="0.25">
      <c r="B13" s="45">
        <v>2</v>
      </c>
      <c r="C13" s="46" t="s">
        <v>58</v>
      </c>
      <c r="D13" s="47" t="s">
        <v>189</v>
      </c>
      <c r="E13" s="48"/>
      <c r="F13" s="83">
        <v>98</v>
      </c>
      <c r="G13" s="56"/>
      <c r="H13" s="51"/>
      <c r="I13" s="52"/>
      <c r="J13" s="53">
        <f>F13*B13</f>
        <v>196</v>
      </c>
      <c r="L13"/>
      <c r="M13"/>
      <c r="O13" s="4"/>
      <c r="P13" s="54"/>
    </row>
    <row r="14" spans="1:18" s="3" customFormat="1" ht="20.100000000000001" customHeight="1" x14ac:dyDescent="0.25">
      <c r="B14" s="45">
        <v>1</v>
      </c>
      <c r="C14" s="46" t="s">
        <v>58</v>
      </c>
      <c r="D14" s="47" t="s">
        <v>190</v>
      </c>
      <c r="E14" s="48"/>
      <c r="F14" s="83">
        <v>25</v>
      </c>
      <c r="G14" s="56"/>
      <c r="H14" s="51"/>
      <c r="I14" s="52"/>
      <c r="J14" s="53">
        <f>F14*B14</f>
        <v>25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8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60"/>
      <c r="L17"/>
      <c r="M17"/>
      <c r="N17" s="4"/>
      <c r="O17" s="4"/>
    </row>
    <row r="18" spans="2:18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60"/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8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8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3116</v>
      </c>
      <c r="L26"/>
      <c r="M26"/>
      <c r="O26" s="4"/>
      <c r="P26" s="86"/>
    </row>
    <row r="27" spans="2:18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9F19-D0C6-410A-81EB-54CC0057B9DA}">
  <sheetPr codeName="Sheet11">
    <tabColor rgb="FF7030A0"/>
  </sheetPr>
  <dimension ref="A1:R45"/>
  <sheetViews>
    <sheetView view="pageBreakPreview" zoomScale="70" zoomScaleNormal="100" zoomScaleSheetLayoutView="70" workbookViewId="0">
      <selection activeCell="D18" sqref="D18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116</v>
      </c>
      <c r="D3" s="152"/>
      <c r="E3" s="152"/>
      <c r="F3" s="11" t="s">
        <v>3</v>
      </c>
      <c r="G3" s="11"/>
      <c r="H3" s="11"/>
      <c r="I3" s="11"/>
      <c r="J3" s="84">
        <v>16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126</v>
      </c>
      <c r="D4" s="10"/>
      <c r="E4" s="10"/>
      <c r="F4" s="16" t="s">
        <v>9</v>
      </c>
      <c r="G4" s="17"/>
      <c r="H4" s="17"/>
      <c r="I4" s="17"/>
      <c r="J4" s="18">
        <v>45386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</v>
      </c>
      <c r="C11" s="46" t="s">
        <v>58</v>
      </c>
      <c r="D11" s="47" t="s">
        <v>122</v>
      </c>
      <c r="E11" s="48"/>
      <c r="F11" s="49">
        <v>799</v>
      </c>
      <c r="G11" s="50"/>
      <c r="H11" s="51"/>
      <c r="I11" s="52"/>
      <c r="J11" s="53">
        <f>F11*B11</f>
        <v>799</v>
      </c>
      <c r="L11"/>
      <c r="M11"/>
      <c r="N11" s="5"/>
      <c r="P11" s="4"/>
    </row>
    <row r="12" spans="1:18" s="3" customFormat="1" ht="20.100000000000001" customHeight="1" x14ac:dyDescent="0.25">
      <c r="B12" s="45">
        <v>1</v>
      </c>
      <c r="C12" s="46" t="s">
        <v>41</v>
      </c>
      <c r="D12" s="47" t="s">
        <v>123</v>
      </c>
      <c r="E12" s="48"/>
      <c r="F12" s="49">
        <v>1599</v>
      </c>
      <c r="G12" s="50"/>
      <c r="H12" s="51"/>
      <c r="I12" s="52"/>
      <c r="J12" s="53">
        <f>F12*B12</f>
        <v>1599</v>
      </c>
      <c r="L12"/>
      <c r="M12"/>
      <c r="O12" s="4"/>
    </row>
    <row r="13" spans="1:18" s="3" customFormat="1" ht="20.100000000000001" customHeight="1" x14ac:dyDescent="0.25">
      <c r="B13" s="45">
        <v>1</v>
      </c>
      <c r="C13" s="46" t="s">
        <v>58</v>
      </c>
      <c r="D13" s="47" t="s">
        <v>124</v>
      </c>
      <c r="E13" s="48"/>
      <c r="F13" s="83">
        <v>539</v>
      </c>
      <c r="G13" s="56"/>
      <c r="H13" s="51"/>
      <c r="I13" s="52"/>
      <c r="J13" s="53">
        <f>F13*B13</f>
        <v>539</v>
      </c>
      <c r="L13"/>
      <c r="M13"/>
      <c r="O13" s="4"/>
      <c r="P13" s="54"/>
    </row>
    <row r="14" spans="1:18" s="3" customFormat="1" ht="20.100000000000001" customHeight="1" x14ac:dyDescent="0.25">
      <c r="B14" s="45">
        <v>1</v>
      </c>
      <c r="C14" s="46" t="s">
        <v>41</v>
      </c>
      <c r="D14" s="47" t="s">
        <v>125</v>
      </c>
      <c r="E14" s="48"/>
      <c r="F14" s="83">
        <v>1285</v>
      </c>
      <c r="G14" s="56"/>
      <c r="H14" s="51"/>
      <c r="I14" s="52"/>
      <c r="J14" s="53">
        <f>F14*B14</f>
        <v>1285</v>
      </c>
      <c r="L14"/>
      <c r="M14"/>
      <c r="O14" s="4"/>
      <c r="Q14" s="3">
        <f>496*2</f>
        <v>992</v>
      </c>
    </row>
    <row r="15" spans="1:18" s="3" customFormat="1" ht="20.100000000000001" customHeight="1" x14ac:dyDescent="0.25">
      <c r="B15" s="45">
        <v>1</v>
      </c>
      <c r="C15" s="46" t="s">
        <v>58</v>
      </c>
      <c r="D15" s="47" t="s">
        <v>152</v>
      </c>
      <c r="E15" s="48"/>
      <c r="F15" s="55">
        <v>499</v>
      </c>
      <c r="G15" s="56"/>
      <c r="H15" s="51"/>
      <c r="I15" s="52"/>
      <c r="J15" s="53">
        <f>F15*B15</f>
        <v>499</v>
      </c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8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60"/>
      <c r="L17"/>
      <c r="M17"/>
      <c r="N17" s="4"/>
      <c r="O17" s="4"/>
    </row>
    <row r="18" spans="2:18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60"/>
      <c r="L18"/>
      <c r="M18"/>
      <c r="N18" s="4"/>
      <c r="O18" s="4"/>
      <c r="R18" s="3">
        <f>4350-43.5</f>
        <v>4306.5</v>
      </c>
    </row>
    <row r="19" spans="2:18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8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8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8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8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8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8" s="3" customFormat="1" ht="20.100000000000001" customHeight="1" x14ac:dyDescent="0.25">
      <c r="B25" s="45"/>
      <c r="C25" s="57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8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4721</v>
      </c>
      <c r="L26"/>
      <c r="M26"/>
      <c r="O26" s="4"/>
      <c r="P26" s="86"/>
    </row>
    <row r="27" spans="2:18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8" ht="3.75" customHeight="1" x14ac:dyDescent="0.2">
      <c r="E28" s="69"/>
      <c r="F28" s="69"/>
    </row>
    <row r="29" spans="2:18" ht="3.75" customHeight="1" x14ac:dyDescent="0.2">
      <c r="E29" s="69"/>
      <c r="F29" s="69"/>
    </row>
    <row r="30" spans="2:18" x14ac:dyDescent="0.2">
      <c r="E30" s="70"/>
      <c r="F30" s="70"/>
      <c r="G30" s="70"/>
      <c r="H30" s="70"/>
      <c r="I30" s="70"/>
      <c r="J30" s="70"/>
      <c r="M30" s="71"/>
    </row>
    <row r="31" spans="2:18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8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EB3A-AEFB-4FDF-8111-90E8C5A2D096}">
  <sheetPr codeName="Sheet12">
    <tabColor rgb="FF00B0F0"/>
  </sheetPr>
  <dimension ref="A1:R45"/>
  <sheetViews>
    <sheetView view="pageBreakPreview" zoomScale="70" zoomScaleNormal="100" zoomScaleSheetLayoutView="70" workbookViewId="0">
      <selection activeCell="L20" sqref="L20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120</v>
      </c>
      <c r="D3" s="152"/>
      <c r="E3" s="152"/>
      <c r="F3" s="11" t="s">
        <v>3</v>
      </c>
      <c r="G3" s="11"/>
      <c r="H3" s="11"/>
      <c r="I3" s="11"/>
      <c r="J3" s="84">
        <v>15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117</v>
      </c>
      <c r="D4" s="10"/>
      <c r="E4" s="10"/>
      <c r="F4" s="16" t="s">
        <v>9</v>
      </c>
      <c r="G4" s="17"/>
      <c r="H4" s="17"/>
      <c r="I4" s="17"/>
      <c r="J4" s="18">
        <v>45357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171" t="s">
        <v>127</v>
      </c>
      <c r="M6" s="171"/>
      <c r="N6" s="171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171"/>
      <c r="M7" s="171"/>
      <c r="N7" s="171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L8" s="171"/>
      <c r="M8" s="171"/>
      <c r="N8" s="171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171"/>
      <c r="M9" s="171"/>
      <c r="N9" s="171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171"/>
      <c r="M10" s="171"/>
      <c r="N10" s="171"/>
      <c r="P10" s="44"/>
    </row>
    <row r="11" spans="1:18" s="3" customFormat="1" ht="20.100000000000001" customHeight="1" x14ac:dyDescent="0.25">
      <c r="B11" s="45">
        <v>2</v>
      </c>
      <c r="C11" s="46" t="s">
        <v>41</v>
      </c>
      <c r="D11" s="47" t="s">
        <v>119</v>
      </c>
      <c r="E11" s="48"/>
      <c r="F11" s="49">
        <v>2519.85</v>
      </c>
      <c r="G11" s="50"/>
      <c r="H11" s="51"/>
      <c r="I11" s="52"/>
      <c r="J11" s="53">
        <f>F11*B11</f>
        <v>5039.7</v>
      </c>
      <c r="L11" s="171"/>
      <c r="M11" s="171"/>
      <c r="N11" s="171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  <c r="P23" s="3">
        <f>2356.2-2380</f>
        <v>-23.800000000000182</v>
      </c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121</v>
      </c>
      <c r="E26" s="158"/>
      <c r="F26" s="143" t="s">
        <v>17</v>
      </c>
      <c r="G26" s="144"/>
      <c r="H26" s="68"/>
      <c r="I26" s="68"/>
      <c r="J26" s="127">
        <f>SUM(J11:J25)</f>
        <v>5039.7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6">
    <mergeCell ref="L6:N11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3257-C8DD-4A16-B4DA-15A13C39DD80}">
  <sheetPr codeName="Sheet13">
    <tabColor rgb="FF00B0F0"/>
  </sheetPr>
  <dimension ref="A1:R45"/>
  <sheetViews>
    <sheetView view="pageBreakPreview" zoomScale="70" zoomScaleNormal="100" zoomScaleSheetLayoutView="7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116</v>
      </c>
      <c r="D3" s="152"/>
      <c r="E3" s="152"/>
      <c r="F3" s="11" t="s">
        <v>3</v>
      </c>
      <c r="G3" s="11"/>
      <c r="H3" s="11"/>
      <c r="I3" s="11"/>
      <c r="J3" s="84">
        <v>14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117</v>
      </c>
      <c r="D4" s="10"/>
      <c r="E4" s="10"/>
      <c r="F4" s="16" t="s">
        <v>9</v>
      </c>
      <c r="G4" s="17"/>
      <c r="H4" s="17"/>
      <c r="I4" s="17"/>
      <c r="J4" s="18">
        <v>45357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3</v>
      </c>
      <c r="C11" s="46" t="s">
        <v>58</v>
      </c>
      <c r="D11" s="47" t="s">
        <v>118</v>
      </c>
      <c r="E11" s="48"/>
      <c r="F11" s="49">
        <v>799</v>
      </c>
      <c r="G11" s="50"/>
      <c r="H11" s="51"/>
      <c r="I11" s="52"/>
      <c r="J11" s="53">
        <f>F11*B11</f>
        <v>2397</v>
      </c>
      <c r="L11"/>
      <c r="M11"/>
      <c r="N11" s="5"/>
      <c r="P11" s="4"/>
    </row>
    <row r="12" spans="1:18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2397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1F96-54C7-46D7-9A53-52F10F720696}">
  <sheetPr>
    <tabColor rgb="FF00B0F0"/>
  </sheetPr>
  <dimension ref="A1:R45"/>
  <sheetViews>
    <sheetView view="pageBreakPreview" topLeftCell="B1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208</v>
      </c>
      <c r="D3" s="152"/>
      <c r="E3" s="152"/>
      <c r="F3" s="11" t="s">
        <v>3</v>
      </c>
      <c r="G3" s="11"/>
      <c r="H3" s="11"/>
      <c r="I3" s="11"/>
      <c r="J3" s="84">
        <v>67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293</v>
      </c>
      <c r="D4" s="10"/>
      <c r="E4" s="10"/>
      <c r="F4" s="16" t="s">
        <v>9</v>
      </c>
      <c r="G4" s="17"/>
      <c r="H4" s="17"/>
      <c r="I4" s="17"/>
      <c r="J4" s="18">
        <v>45468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211</v>
      </c>
      <c r="D11" s="47" t="s">
        <v>212</v>
      </c>
      <c r="E11" s="48"/>
      <c r="F11" s="49">
        <v>1090</v>
      </c>
      <c r="G11" s="50"/>
      <c r="H11" s="51"/>
      <c r="I11" s="52"/>
      <c r="J11" s="53">
        <f>F11*B11</f>
        <v>2180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211</v>
      </c>
      <c r="D12" s="47" t="s">
        <v>215</v>
      </c>
      <c r="E12" s="48" t="s">
        <v>184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13580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4119-CC9E-4382-8A07-B5740C9ECD17}">
  <sheetPr codeName="Sheet14">
    <tabColor rgb="FF00B0F0"/>
  </sheetPr>
  <dimension ref="A1:R45"/>
  <sheetViews>
    <sheetView view="pageBreakPreview" zoomScale="70" zoomScaleNormal="100" zoomScaleSheetLayoutView="70" workbookViewId="0">
      <selection activeCell="P11" sqref="P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108</v>
      </c>
      <c r="D3" s="152"/>
      <c r="E3" s="152"/>
      <c r="F3" s="11" t="s">
        <v>3</v>
      </c>
      <c r="G3" s="11"/>
      <c r="H3" s="11"/>
      <c r="I3" s="11"/>
      <c r="J3" s="84">
        <v>13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109</v>
      </c>
      <c r="D4" s="10"/>
      <c r="E4" s="10"/>
      <c r="F4" s="16" t="s">
        <v>9</v>
      </c>
      <c r="G4" s="17"/>
      <c r="H4" s="17"/>
      <c r="I4" s="17"/>
      <c r="J4" s="18">
        <v>45356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24</v>
      </c>
      <c r="C11" s="46" t="s">
        <v>58</v>
      </c>
      <c r="D11" s="164" t="s">
        <v>107</v>
      </c>
      <c r="E11" s="165"/>
      <c r="F11" s="49">
        <v>338</v>
      </c>
      <c r="G11" s="50"/>
      <c r="H11" s="51"/>
      <c r="I11" s="52"/>
      <c r="J11" s="53">
        <f>F11*B11</f>
        <v>8112</v>
      </c>
      <c r="L11" s="92">
        <f>15+9</f>
        <v>24</v>
      </c>
      <c r="M11" s="92">
        <f>L11*F11</f>
        <v>8112</v>
      </c>
      <c r="N11" s="5"/>
      <c r="P11" s="4"/>
    </row>
    <row r="12" spans="1:18" s="3" customFormat="1" ht="20.100000000000001" customHeight="1" x14ac:dyDescent="0.25">
      <c r="B12" s="45">
        <v>100</v>
      </c>
      <c r="C12" s="46" t="s">
        <v>58</v>
      </c>
      <c r="D12" s="164" t="s">
        <v>110</v>
      </c>
      <c r="E12" s="165"/>
      <c r="F12" s="49">
        <v>64</v>
      </c>
      <c r="G12" s="50"/>
      <c r="H12" s="51"/>
      <c r="I12" s="52"/>
      <c r="J12" s="53">
        <f>F12*B12</f>
        <v>6400</v>
      </c>
      <c r="L12" s="92">
        <f>50+40</f>
        <v>90</v>
      </c>
      <c r="M12" s="92">
        <f>L12*F12</f>
        <v>5760</v>
      </c>
      <c r="O12" s="4"/>
    </row>
    <row r="13" spans="1:18" s="3" customFormat="1" ht="20.100000000000001" customHeight="1" x14ac:dyDescent="0.25">
      <c r="B13" s="45">
        <v>16</v>
      </c>
      <c r="C13" s="46" t="s">
        <v>58</v>
      </c>
      <c r="D13" s="47" t="s">
        <v>111</v>
      </c>
      <c r="E13" s="48"/>
      <c r="F13" s="83">
        <v>80</v>
      </c>
      <c r="G13" s="56"/>
      <c r="H13" s="51"/>
      <c r="I13" s="52"/>
      <c r="J13" s="53">
        <f>F13*B13</f>
        <v>1280</v>
      </c>
      <c r="L13" s="92">
        <v>16</v>
      </c>
      <c r="M13" s="92">
        <f>L13*F13</f>
        <v>1280</v>
      </c>
      <c r="O13" s="4"/>
      <c r="P13" s="54"/>
    </row>
    <row r="14" spans="1:18" s="3" customFormat="1" ht="20.100000000000001" customHeight="1" x14ac:dyDescent="0.25">
      <c r="B14" s="45">
        <v>5</v>
      </c>
      <c r="C14" s="46" t="s">
        <v>112</v>
      </c>
      <c r="D14" s="47" t="s">
        <v>113</v>
      </c>
      <c r="E14" s="48"/>
      <c r="F14" s="83">
        <v>98</v>
      </c>
      <c r="G14" s="56"/>
      <c r="H14" s="51"/>
      <c r="I14" s="52"/>
      <c r="J14" s="53">
        <f>F14*B14</f>
        <v>490</v>
      </c>
      <c r="L14" s="92">
        <f>2+3</f>
        <v>5</v>
      </c>
      <c r="M14" s="92">
        <f>L14*F14</f>
        <v>490</v>
      </c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>
        <f>SUM(M11:M14)</f>
        <v>15642</v>
      </c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16282</v>
      </c>
      <c r="L26" s="92">
        <f>196+294+1280+3200+5070</f>
        <v>10040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3042+2560</f>
        <v>5602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15642</v>
      </c>
      <c r="M30" s="94">
        <f>L30-16282</f>
        <v>-640</v>
      </c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7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9F9F-FA1E-4B2E-ABC4-51979DB5AD2B}">
  <sheetPr codeName="Sheet15">
    <tabColor rgb="FFC00000"/>
  </sheetPr>
  <dimension ref="A1:Q45"/>
  <sheetViews>
    <sheetView view="pageBreakPreview" topLeftCell="A4" zoomScale="60" zoomScaleNormal="100" workbookViewId="0">
      <selection activeCell="D11" sqref="D1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5703125" style="5" bestFit="1" customWidth="1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12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95</v>
      </c>
      <c r="D4" s="10"/>
      <c r="E4" s="10"/>
      <c r="F4" s="16" t="s">
        <v>9</v>
      </c>
      <c r="G4" s="17"/>
      <c r="H4" s="17"/>
      <c r="I4" s="17"/>
      <c r="J4" s="18">
        <v>45355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 s="88">
        <f>N9-1500</f>
        <v>2762.74</v>
      </c>
      <c r="N9" s="38">
        <f>5762.74-1500</f>
        <v>4262.74</v>
      </c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17</v>
      </c>
      <c r="C11" s="46"/>
      <c r="D11" s="47" t="s">
        <v>94</v>
      </c>
      <c r="E11" s="48"/>
      <c r="F11" s="49">
        <v>3000</v>
      </c>
      <c r="G11" s="50"/>
      <c r="H11" s="51"/>
      <c r="I11" s="52"/>
      <c r="J11" s="53">
        <f>F11*B11</f>
        <v>51000</v>
      </c>
      <c r="L11"/>
      <c r="M11">
        <f>250+63.5+5+68+5</f>
        <v>391.5</v>
      </c>
      <c r="N11" s="5"/>
      <c r="P11" s="4"/>
    </row>
    <row r="12" spans="1:17" s="3" customFormat="1" ht="20.100000000000001" customHeight="1" x14ac:dyDescent="0.25">
      <c r="B12" s="45">
        <v>2</v>
      </c>
      <c r="C12" s="46"/>
      <c r="D12" s="47" t="s">
        <v>96</v>
      </c>
      <c r="E12" s="48"/>
      <c r="F12" s="49">
        <v>3000</v>
      </c>
      <c r="G12" s="50"/>
      <c r="H12" s="51"/>
      <c r="I12" s="52"/>
      <c r="J12" s="53">
        <f>F12*B12</f>
        <v>6000</v>
      </c>
      <c r="L12"/>
      <c r="M12">
        <f>M11-500</f>
        <v>-108.5</v>
      </c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>
        <f>57000-19000</f>
        <v>38000</v>
      </c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57000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1DF6-3875-4095-B1F9-27BD33F61E93}">
  <sheetPr codeName="Sheet16">
    <tabColor rgb="FFC00000"/>
  </sheetPr>
  <dimension ref="A1:Q45"/>
  <sheetViews>
    <sheetView view="pageBreakPreview" zoomScale="80" zoomScaleNormal="100" zoomScaleSheetLayoutView="80" workbookViewId="0">
      <selection activeCell="D14" sqref="D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84</v>
      </c>
      <c r="D3" s="152"/>
      <c r="E3" s="152"/>
      <c r="F3" s="11" t="s">
        <v>3</v>
      </c>
      <c r="G3" s="11"/>
      <c r="H3" s="11"/>
      <c r="I3" s="11"/>
      <c r="J3" s="84">
        <v>11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91</v>
      </c>
      <c r="D4" s="10"/>
      <c r="E4" s="10"/>
      <c r="F4" s="16" t="s">
        <v>9</v>
      </c>
      <c r="G4" s="17"/>
      <c r="H4" s="17"/>
      <c r="I4" s="17"/>
      <c r="J4" s="18">
        <v>45353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6" t="s">
        <v>88</v>
      </c>
      <c r="E11" s="167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58" t="s">
        <v>90</v>
      </c>
      <c r="E12" s="87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92</v>
      </c>
      <c r="E13" s="48"/>
      <c r="F13" s="83"/>
      <c r="G13" s="56"/>
      <c r="H13" s="51"/>
      <c r="I13" s="52"/>
      <c r="J13" s="53">
        <f>20000*4</f>
        <v>80000</v>
      </c>
      <c r="L13" t="s">
        <v>250</v>
      </c>
      <c r="M13"/>
      <c r="O13" s="4"/>
    </row>
    <row r="14" spans="1:17" s="3" customFormat="1" ht="20.100000000000001" customHeight="1" x14ac:dyDescent="0.25">
      <c r="B14" s="45"/>
      <c r="C14" s="46"/>
      <c r="D14" s="47" t="s">
        <v>87</v>
      </c>
      <c r="E14" s="48"/>
      <c r="F14" s="55"/>
      <c r="G14" s="56"/>
      <c r="H14" s="51"/>
      <c r="I14" s="52"/>
      <c r="J14" s="53">
        <v>40000</v>
      </c>
      <c r="L14"/>
      <c r="M14">
        <f>16*5</f>
        <v>80</v>
      </c>
      <c r="N14" s="3">
        <f>16*37</f>
        <v>592</v>
      </c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 t="s">
        <v>184</v>
      </c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120000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6"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296-5F37-4CC9-8134-5DCA3385A3B2}">
  <sheetPr codeName="Sheet17">
    <tabColor rgb="FFC00000"/>
  </sheetPr>
  <dimension ref="A1:Q45"/>
  <sheetViews>
    <sheetView view="pageBreakPreview" zoomScale="80" zoomScaleNormal="100" zoomScaleSheetLayoutView="8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84</v>
      </c>
      <c r="D3" s="152"/>
      <c r="E3" s="152"/>
      <c r="F3" s="11" t="s">
        <v>3</v>
      </c>
      <c r="G3" s="11"/>
      <c r="H3" s="11"/>
      <c r="I3" s="11"/>
      <c r="J3" s="84">
        <v>10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85</v>
      </c>
      <c r="D4" s="10"/>
      <c r="E4" s="10"/>
      <c r="F4" s="16" t="s">
        <v>9</v>
      </c>
      <c r="G4" s="17"/>
      <c r="H4" s="17"/>
      <c r="I4" s="17"/>
      <c r="J4" s="18">
        <v>45353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166" t="s">
        <v>89</v>
      </c>
      <c r="E11" s="167"/>
      <c r="F11" s="49"/>
      <c r="G11" s="50"/>
      <c r="H11" s="51"/>
      <c r="I11" s="52"/>
      <c r="J11" s="53"/>
      <c r="L11"/>
      <c r="M11"/>
      <c r="N11" s="5"/>
      <c r="P11" s="4">
        <f>2000-1902.86</f>
        <v>97.1400000000001</v>
      </c>
    </row>
    <row r="12" spans="1:17" s="3" customFormat="1" ht="20.100000000000001" customHeight="1" x14ac:dyDescent="0.25">
      <c r="B12" s="45"/>
      <c r="C12" s="46"/>
      <c r="D12" s="58" t="s">
        <v>86</v>
      </c>
      <c r="E12" s="87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93</v>
      </c>
      <c r="E13" s="48"/>
      <c r="F13" s="83"/>
      <c r="G13" s="56"/>
      <c r="H13" s="51"/>
      <c r="I13" s="52"/>
      <c r="J13" s="53">
        <f>20000</f>
        <v>20000</v>
      </c>
      <c r="L13"/>
      <c r="M13"/>
      <c r="O13" s="4"/>
    </row>
    <row r="14" spans="1:17" s="3" customFormat="1" ht="20.100000000000001" customHeight="1" x14ac:dyDescent="0.25">
      <c r="B14" s="45"/>
      <c r="C14" s="46"/>
      <c r="D14" s="47" t="s">
        <v>87</v>
      </c>
      <c r="E14" s="48"/>
      <c r="F14" s="55"/>
      <c r="G14" s="56"/>
      <c r="H14" s="51"/>
      <c r="I14" s="52"/>
      <c r="J14" s="53">
        <v>40000</v>
      </c>
      <c r="L14"/>
      <c r="M14">
        <f>16*5</f>
        <v>80</v>
      </c>
      <c r="N14" s="3">
        <f>16*37</f>
        <v>592</v>
      </c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60000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6">
    <mergeCell ref="J26:J27"/>
    <mergeCell ref="C34:D34"/>
    <mergeCell ref="B42:C42"/>
    <mergeCell ref="D10:E10"/>
    <mergeCell ref="F10:G10"/>
    <mergeCell ref="D11:E11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D7E5-CB9A-403F-9E52-03661FE71DA9}">
  <sheetPr codeName="Sheet18">
    <tabColor rgb="FF00B0F0"/>
  </sheetPr>
  <dimension ref="A1:Q45"/>
  <sheetViews>
    <sheetView view="pageBreakPreview" zoomScale="80" zoomScaleNormal="100" zoomScaleSheetLayoutView="80" workbookViewId="0">
      <selection activeCell="G15" sqref="G15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5.42578125" style="5" customWidth="1"/>
    <col min="13" max="13" width="16.7109375" style="5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0" t="s">
        <v>115</v>
      </c>
      <c r="M1" s="3" t="s">
        <v>114</v>
      </c>
      <c r="N1" s="89">
        <v>9520</v>
      </c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75</v>
      </c>
      <c r="D3" s="152"/>
      <c r="E3" s="152"/>
      <c r="F3" s="11" t="s">
        <v>3</v>
      </c>
      <c r="G3" s="11"/>
      <c r="H3" s="11"/>
      <c r="I3" s="11"/>
      <c r="J3" s="84">
        <v>9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83</v>
      </c>
      <c r="D4" s="10"/>
      <c r="E4" s="10"/>
      <c r="F4" s="16" t="s">
        <v>9</v>
      </c>
      <c r="G4" s="17"/>
      <c r="H4" s="17"/>
      <c r="I4" s="17"/>
      <c r="J4" s="18">
        <v>45352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71</v>
      </c>
      <c r="D11" s="164" t="s">
        <v>76</v>
      </c>
      <c r="E11" s="165"/>
      <c r="F11" s="49">
        <v>1360</v>
      </c>
      <c r="G11" s="50"/>
      <c r="H11" s="51"/>
      <c r="I11" s="52"/>
      <c r="J11" s="53">
        <f>F11*B11</f>
        <v>9520</v>
      </c>
      <c r="L11">
        <f>1360*3</f>
        <v>4080</v>
      </c>
      <c r="M11"/>
      <c r="N11" s="5"/>
      <c r="P11" s="4"/>
    </row>
    <row r="12" spans="1:17" s="3" customFormat="1" ht="20.100000000000001" customHeight="1" x14ac:dyDescent="0.25">
      <c r="B12" s="45"/>
      <c r="C12" s="46"/>
      <c r="D12" s="164"/>
      <c r="E12" s="165"/>
      <c r="F12" s="49"/>
      <c r="G12" s="50"/>
      <c r="H12" s="51"/>
      <c r="I12" s="52"/>
      <c r="J12" s="53"/>
      <c r="L12" s="91">
        <f>L11-J11</f>
        <v>-5440</v>
      </c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 t="s">
        <v>29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 t="s">
        <v>77</v>
      </c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 t="s">
        <v>78</v>
      </c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 t="s">
        <v>79</v>
      </c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 t="s">
        <v>80</v>
      </c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 t="s">
        <v>81</v>
      </c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 t="s">
        <v>82</v>
      </c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9520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7"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F2D3-C9FC-4106-88A2-75AB3B8332B4}">
  <sheetPr codeName="Sheet19">
    <tabColor rgb="FF00B0F0"/>
  </sheetPr>
  <dimension ref="A1:Q45"/>
  <sheetViews>
    <sheetView view="pageBreakPreview" zoomScale="80" zoomScaleNormal="100" zoomScaleSheetLayoutView="80" workbookViewId="0">
      <selection activeCell="L13" sqref="L1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74</v>
      </c>
      <c r="D3" s="152"/>
      <c r="E3" s="152"/>
      <c r="F3" s="11" t="s">
        <v>3</v>
      </c>
      <c r="G3" s="11"/>
      <c r="H3" s="11"/>
      <c r="I3" s="11"/>
      <c r="J3" s="84">
        <v>8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73</v>
      </c>
      <c r="D4" s="10"/>
      <c r="E4" s="10"/>
      <c r="F4" s="16" t="s">
        <v>9</v>
      </c>
      <c r="G4" s="17"/>
      <c r="H4" s="17"/>
      <c r="I4" s="17"/>
      <c r="J4" s="18">
        <v>45352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71</v>
      </c>
      <c r="D11" s="164" t="s">
        <v>72</v>
      </c>
      <c r="E11" s="165"/>
      <c r="F11" s="49">
        <v>3000</v>
      </c>
      <c r="G11" s="50"/>
      <c r="H11" s="51"/>
      <c r="I11" s="52"/>
      <c r="J11" s="53">
        <f>F11*B11</f>
        <v>21000</v>
      </c>
      <c r="L11">
        <f>3*3000</f>
        <v>9000</v>
      </c>
      <c r="M11"/>
      <c r="N11" s="5"/>
      <c r="P11" s="4"/>
    </row>
    <row r="12" spans="1:17" s="3" customFormat="1" ht="20.100000000000001" customHeight="1" x14ac:dyDescent="0.25">
      <c r="B12" s="45"/>
      <c r="C12" s="46"/>
      <c r="D12" s="164"/>
      <c r="E12" s="165"/>
      <c r="F12" s="49"/>
      <c r="G12" s="50"/>
      <c r="H12" s="51"/>
      <c r="I12" s="52"/>
      <c r="J12" s="53"/>
      <c r="L12" s="91">
        <f>L11-J11</f>
        <v>-12000</v>
      </c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>
        <f>M15*37</f>
        <v>2960</v>
      </c>
      <c r="O16" s="4"/>
    </row>
    <row r="17" spans="2:16" s="3" customFormat="1" ht="20.100000000000001" customHeight="1" x14ac:dyDescent="0.25">
      <c r="B17" s="45"/>
      <c r="C17" s="46"/>
      <c r="D17" s="47" t="s">
        <v>29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46"/>
      <c r="D18" s="47" t="s">
        <v>77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 t="s">
        <v>78</v>
      </c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 t="s">
        <v>79</v>
      </c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 t="s">
        <v>80</v>
      </c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 t="s">
        <v>81</v>
      </c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 t="s">
        <v>82</v>
      </c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21000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7">
    <mergeCell ref="J26:J27"/>
    <mergeCell ref="C34:D34"/>
    <mergeCell ref="B42:C42"/>
    <mergeCell ref="D10:E10"/>
    <mergeCell ref="F10:G10"/>
    <mergeCell ref="D11:E11"/>
    <mergeCell ref="D12:E12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B6F9-3AC0-4253-9C05-758A5926C830}">
  <sheetPr codeName="Sheet20">
    <tabColor rgb="FF00B0F0"/>
  </sheetPr>
  <dimension ref="A1:Q45"/>
  <sheetViews>
    <sheetView view="pageBreakPreview" topLeftCell="A4" zoomScale="80" zoomScaleNormal="100" zoomScaleSheetLayoutView="80" workbookViewId="0">
      <selection activeCell="E22" sqref="E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97</v>
      </c>
      <c r="D3" s="152"/>
      <c r="E3" s="152"/>
      <c r="F3" s="11" t="s">
        <v>3</v>
      </c>
      <c r="G3" s="11"/>
      <c r="H3" s="11"/>
      <c r="I3" s="11"/>
      <c r="J3" s="84">
        <v>7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70</v>
      </c>
      <c r="D4" s="10"/>
      <c r="E4" s="10"/>
      <c r="F4" s="16" t="s">
        <v>9</v>
      </c>
      <c r="G4" s="17"/>
      <c r="H4" s="17"/>
      <c r="I4" s="17"/>
      <c r="J4" s="18">
        <v>45355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</v>
      </c>
      <c r="C11" s="46" t="s">
        <v>99</v>
      </c>
      <c r="D11" s="47" t="s">
        <v>98</v>
      </c>
      <c r="E11" s="48"/>
      <c r="F11" s="49">
        <f>480*3</f>
        <v>1440</v>
      </c>
      <c r="G11" s="50"/>
      <c r="H11" s="51"/>
      <c r="I11" s="52"/>
      <c r="J11" s="53">
        <f>B11*F11</f>
        <v>1440</v>
      </c>
      <c r="L11">
        <f>480*3</f>
        <v>1440</v>
      </c>
      <c r="M11">
        <f>L11*8</f>
        <v>11520</v>
      </c>
      <c r="N11" s="5"/>
      <c r="P11" s="4"/>
    </row>
    <row r="12" spans="1:17" s="3" customFormat="1" ht="20.100000000000001" customHeight="1" x14ac:dyDescent="0.25">
      <c r="B12" s="45">
        <v>1</v>
      </c>
      <c r="C12" s="46" t="s">
        <v>99</v>
      </c>
      <c r="D12" s="47" t="s">
        <v>100</v>
      </c>
      <c r="E12" s="48"/>
      <c r="F12" s="49">
        <f t="shared" ref="F12:F18" si="0">480*3</f>
        <v>1440</v>
      </c>
      <c r="G12" s="50"/>
      <c r="H12" s="51"/>
      <c r="I12" s="52"/>
      <c r="J12" s="53">
        <f t="shared" ref="J12:J18" si="1">B12*F12</f>
        <v>1440</v>
      </c>
      <c r="L12"/>
      <c r="M12"/>
      <c r="O12" s="4"/>
    </row>
    <row r="13" spans="1:17" s="3" customFormat="1" ht="20.100000000000001" customHeight="1" x14ac:dyDescent="0.25">
      <c r="B13" s="45">
        <v>1</v>
      </c>
      <c r="C13" s="46" t="s">
        <v>99</v>
      </c>
      <c r="D13" s="47" t="s">
        <v>101</v>
      </c>
      <c r="E13" s="48"/>
      <c r="F13" s="49">
        <f t="shared" si="0"/>
        <v>1440</v>
      </c>
      <c r="G13" s="56"/>
      <c r="H13" s="51"/>
      <c r="I13" s="52"/>
      <c r="J13" s="53">
        <f t="shared" si="1"/>
        <v>1440</v>
      </c>
      <c r="L13"/>
      <c r="M13"/>
      <c r="O13" s="4"/>
      <c r="P13" s="54"/>
    </row>
    <row r="14" spans="1:17" s="3" customFormat="1" ht="20.100000000000001" customHeight="1" x14ac:dyDescent="0.25">
      <c r="B14" s="45">
        <v>1</v>
      </c>
      <c r="C14" s="46" t="s">
        <v>99</v>
      </c>
      <c r="D14" s="47" t="s">
        <v>102</v>
      </c>
      <c r="E14" s="48"/>
      <c r="F14" s="49">
        <f t="shared" si="0"/>
        <v>1440</v>
      </c>
      <c r="G14" s="56"/>
      <c r="H14" s="51"/>
      <c r="I14" s="52"/>
      <c r="J14" s="53">
        <f t="shared" si="1"/>
        <v>1440</v>
      </c>
      <c r="L14"/>
      <c r="M14"/>
      <c r="O14" s="4"/>
    </row>
    <row r="15" spans="1:17" s="3" customFormat="1" ht="20.100000000000001" customHeight="1" x14ac:dyDescent="0.25">
      <c r="B15" s="45">
        <v>1</v>
      </c>
      <c r="C15" s="46" t="s">
        <v>99</v>
      </c>
      <c r="D15" s="47" t="s">
        <v>103</v>
      </c>
      <c r="E15" s="48"/>
      <c r="F15" s="49">
        <f t="shared" si="0"/>
        <v>1440</v>
      </c>
      <c r="G15" s="56"/>
      <c r="H15" s="51"/>
      <c r="I15" s="52"/>
      <c r="J15" s="53">
        <f t="shared" si="1"/>
        <v>1440</v>
      </c>
      <c r="L15"/>
      <c r="M15">
        <f>16*5</f>
        <v>80</v>
      </c>
      <c r="N15" s="3">
        <f>16*37</f>
        <v>592</v>
      </c>
      <c r="O15" s="4"/>
    </row>
    <row r="16" spans="1:17" s="3" customFormat="1" ht="20.100000000000001" customHeight="1" x14ac:dyDescent="0.25">
      <c r="B16" s="45">
        <v>1</v>
      </c>
      <c r="C16" s="46" t="s">
        <v>99</v>
      </c>
      <c r="D16" s="47" t="s">
        <v>104</v>
      </c>
      <c r="E16" s="48"/>
      <c r="F16" s="49">
        <f t="shared" si="0"/>
        <v>1440</v>
      </c>
      <c r="G16" s="56"/>
      <c r="H16" s="51"/>
      <c r="I16" s="52"/>
      <c r="J16" s="53">
        <f t="shared" si="1"/>
        <v>1440</v>
      </c>
      <c r="L16"/>
      <c r="M16">
        <f>M15*37</f>
        <v>2960</v>
      </c>
      <c r="O16" s="4"/>
    </row>
    <row r="17" spans="2:16" s="3" customFormat="1" ht="20.100000000000001" customHeight="1" x14ac:dyDescent="0.25">
      <c r="B17" s="45">
        <v>1</v>
      </c>
      <c r="C17" s="46" t="s">
        <v>99</v>
      </c>
      <c r="D17" s="47" t="s">
        <v>105</v>
      </c>
      <c r="E17" s="59"/>
      <c r="F17" s="49">
        <f t="shared" si="0"/>
        <v>1440</v>
      </c>
      <c r="G17" s="56"/>
      <c r="H17" s="51"/>
      <c r="I17" s="52"/>
      <c r="J17" s="53">
        <f t="shared" si="1"/>
        <v>1440</v>
      </c>
      <c r="L17"/>
      <c r="M17"/>
      <c r="N17" s="4"/>
      <c r="O17" s="4"/>
    </row>
    <row r="18" spans="2:16" s="3" customFormat="1" ht="20.100000000000001" customHeight="1" x14ac:dyDescent="0.25">
      <c r="B18" s="45">
        <v>1</v>
      </c>
      <c r="C18" s="46" t="s">
        <v>99</v>
      </c>
      <c r="D18" s="47" t="s">
        <v>106</v>
      </c>
      <c r="E18" s="59"/>
      <c r="F18" s="49">
        <f t="shared" si="0"/>
        <v>1440</v>
      </c>
      <c r="G18" s="56"/>
      <c r="H18" s="51"/>
      <c r="I18" s="52"/>
      <c r="J18" s="53">
        <f t="shared" si="1"/>
        <v>1440</v>
      </c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11520</v>
      </c>
      <c r="L26" s="92">
        <f>11520-9600</f>
        <v>1920</v>
      </c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CC6-4E3D-4FAC-8A3B-D55B7581F08B}">
  <sheetPr codeName="Sheet21">
    <tabColor rgb="FF0070C0"/>
  </sheetPr>
  <dimension ref="A1:Q45"/>
  <sheetViews>
    <sheetView view="pageBreakPreview" zoomScale="80" zoomScaleNormal="100" zoomScaleSheetLayoutView="80" workbookViewId="0">
      <selection activeCell="C4" sqref="C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/>
      <c r="D3" s="152"/>
      <c r="E3" s="152"/>
      <c r="F3" s="11" t="s">
        <v>3</v>
      </c>
      <c r="G3" s="11"/>
      <c r="H3" s="11"/>
      <c r="I3" s="11"/>
      <c r="J3" s="84">
        <v>6</v>
      </c>
      <c r="L3" s="12" t="s">
        <v>4</v>
      </c>
      <c r="M3" s="13" t="s">
        <v>5</v>
      </c>
      <c r="N3" s="13" t="s">
        <v>6</v>
      </c>
      <c r="O3" s="12"/>
    </row>
    <row r="4" spans="1:17" s="3" customFormat="1" ht="30" customHeight="1" x14ac:dyDescent="0.25">
      <c r="B4" s="14" t="s">
        <v>8</v>
      </c>
      <c r="C4" s="15" t="s">
        <v>69</v>
      </c>
      <c r="D4" s="10"/>
      <c r="E4" s="10"/>
      <c r="F4" s="16" t="s">
        <v>9</v>
      </c>
      <c r="G4" s="17"/>
      <c r="H4" s="17"/>
      <c r="I4" s="17"/>
      <c r="J4" s="18">
        <v>45349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1300</v>
      </c>
      <c r="C11" s="46" t="s">
        <v>60</v>
      </c>
      <c r="D11" s="47" t="s">
        <v>63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>
        <v>1000</v>
      </c>
      <c r="C12" s="46" t="s">
        <v>60</v>
      </c>
      <c r="D12" s="47" t="s">
        <v>62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>
        <v>1200</v>
      </c>
      <c r="C13" s="46" t="s">
        <v>60</v>
      </c>
      <c r="D13" s="47" t="s">
        <v>61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>
        <v>600</v>
      </c>
      <c r="C14" s="46" t="s">
        <v>60</v>
      </c>
      <c r="D14" s="47" t="s">
        <v>64</v>
      </c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>
        <v>1300</v>
      </c>
      <c r="C15" s="46" t="s">
        <v>60</v>
      </c>
      <c r="D15" s="47" t="s">
        <v>65</v>
      </c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>
        <v>1100</v>
      </c>
      <c r="C16" s="46" t="s">
        <v>60</v>
      </c>
      <c r="D16" s="47" t="s">
        <v>66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>
        <v>450</v>
      </c>
      <c r="C17" s="46" t="s">
        <v>60</v>
      </c>
      <c r="D17" s="47" t="s">
        <v>67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>
        <v>450</v>
      </c>
      <c r="C18" s="46" t="s">
        <v>60</v>
      </c>
      <c r="D18" s="47" t="s">
        <v>68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60"/>
      <c r="L19"/>
      <c r="M19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46"/>
      <c r="D23" s="47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>
        <f>SUM(B11:B25)</f>
        <v>7400</v>
      </c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7E26-0469-4D96-8123-372F026DC8AA}">
  <sheetPr codeName="Sheet22">
    <tabColor rgb="FF00B0F0"/>
  </sheetPr>
  <dimension ref="A1:Q45"/>
  <sheetViews>
    <sheetView view="pageBreakPreview" zoomScale="80" zoomScaleNormal="100" zoomScaleSheetLayoutView="80" workbookViewId="0">
      <selection activeCell="D21" sqref="D21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8.1406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56</v>
      </c>
      <c r="D3" s="152"/>
      <c r="E3" s="152"/>
      <c r="F3" s="11" t="s">
        <v>3</v>
      </c>
      <c r="G3" s="11"/>
      <c r="H3" s="11"/>
      <c r="I3" s="11"/>
      <c r="J3" s="84">
        <v>5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57</v>
      </c>
      <c r="D4" s="10"/>
      <c r="E4" s="10"/>
      <c r="F4" s="16" t="s">
        <v>9</v>
      </c>
      <c r="G4" s="17"/>
      <c r="H4" s="17"/>
      <c r="I4" s="17"/>
      <c r="J4" s="18">
        <v>45348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7</v>
      </c>
      <c r="C11" s="46" t="s">
        <v>58</v>
      </c>
      <c r="D11" s="47" t="s">
        <v>59</v>
      </c>
      <c r="E11" s="48"/>
      <c r="F11" s="49">
        <v>1200</v>
      </c>
      <c r="G11" s="50"/>
      <c r="H11" s="51"/>
      <c r="I11" s="52"/>
      <c r="J11" s="53">
        <f>F11*B11</f>
        <v>8400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  <c r="P23" s="4">
        <f>28112981.7+20370159.11+31000816.93+11244001.36+19707754.27+23580926.37+21148081</f>
        <v>155164720.74000001</v>
      </c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8400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4893-D412-45DF-BEA7-A91025B338FE}">
  <sheetPr codeName="Sheet23">
    <tabColor rgb="FF00B0F0"/>
  </sheetPr>
  <dimension ref="A1:Q45"/>
  <sheetViews>
    <sheetView view="pageBreakPreview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46</v>
      </c>
      <c r="D3" s="152"/>
      <c r="E3" s="152"/>
      <c r="F3" s="11" t="s">
        <v>3</v>
      </c>
      <c r="G3" s="11"/>
      <c r="H3" s="11"/>
      <c r="I3" s="11"/>
      <c r="J3" s="84">
        <v>4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49</v>
      </c>
      <c r="D4" s="10"/>
      <c r="E4" s="10"/>
      <c r="F4" s="16" t="s">
        <v>9</v>
      </c>
      <c r="G4" s="17"/>
      <c r="H4" s="17"/>
      <c r="I4" s="17"/>
      <c r="J4" s="18">
        <v>45345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55</v>
      </c>
      <c r="E11" s="48"/>
      <c r="F11" s="49">
        <v>10000</v>
      </c>
      <c r="G11" s="50"/>
      <c r="H11" s="51"/>
      <c r="I11" s="52"/>
      <c r="J11" s="53">
        <f>F11</f>
        <v>10000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 t="s">
        <v>50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 t="s">
        <v>51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 t="s">
        <v>53</v>
      </c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 t="s">
        <v>52</v>
      </c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 t="s">
        <v>54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10000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2195-85CB-42C1-BC2E-0155EB7082E8}">
  <sheetPr>
    <tabColor rgb="FF00B0F0"/>
  </sheetPr>
  <dimension ref="A1:R45"/>
  <sheetViews>
    <sheetView view="pageBreakPreview" zoomScale="90" zoomScaleNormal="100" zoomScaleSheetLayoutView="90" workbookViewId="0">
      <selection activeCell="P14" sqref="P14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208</v>
      </c>
      <c r="D3" s="152"/>
      <c r="E3" s="152"/>
      <c r="F3" s="11" t="s">
        <v>3</v>
      </c>
      <c r="G3" s="11"/>
      <c r="H3" s="11"/>
      <c r="I3" s="11"/>
      <c r="J3" s="84">
        <v>66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293</v>
      </c>
      <c r="D4" s="10"/>
      <c r="E4" s="10"/>
      <c r="F4" s="16" t="s">
        <v>9</v>
      </c>
      <c r="G4" s="17"/>
      <c r="H4" s="17"/>
      <c r="I4" s="17"/>
      <c r="J4" s="18">
        <v>45468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275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>
        <f>123/8</f>
        <v>15.375</v>
      </c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2</v>
      </c>
      <c r="C11" s="46" t="s">
        <v>211</v>
      </c>
      <c r="D11" s="47" t="s">
        <v>212</v>
      </c>
      <c r="E11" s="48"/>
      <c r="F11" s="49">
        <v>1090</v>
      </c>
      <c r="G11" s="50"/>
      <c r="H11" s="51"/>
      <c r="I11" s="52"/>
      <c r="J11" s="53">
        <f>F11*B11</f>
        <v>2180</v>
      </c>
      <c r="L11" s="92"/>
      <c r="M11" s="92"/>
      <c r="O11" s="4"/>
    </row>
    <row r="12" spans="1:18" s="3" customFormat="1" ht="20.100000000000001" customHeight="1" x14ac:dyDescent="0.25">
      <c r="B12" s="45">
        <f>4*3</f>
        <v>12</v>
      </c>
      <c r="C12" s="46" t="s">
        <v>211</v>
      </c>
      <c r="D12" s="47" t="s">
        <v>215</v>
      </c>
      <c r="E12" s="48" t="s">
        <v>184</v>
      </c>
      <c r="F12" s="83">
        <v>950</v>
      </c>
      <c r="G12" s="56"/>
      <c r="H12" s="51"/>
      <c r="I12" s="52"/>
      <c r="J12" s="53">
        <f>F12*B12</f>
        <v>11400</v>
      </c>
      <c r="L12" s="92">
        <f>600/25</f>
        <v>24</v>
      </c>
      <c r="M12" s="92"/>
      <c r="O12" s="4"/>
    </row>
    <row r="13" spans="1:18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 s="92"/>
      <c r="M13" s="92"/>
      <c r="O13" s="4"/>
      <c r="P13" s="54">
        <f>1206.98+600.6</f>
        <v>1807.58</v>
      </c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47"/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/>
      <c r="C19" s="46"/>
      <c r="D19" s="47"/>
      <c r="E19" s="59"/>
      <c r="F19" s="55"/>
      <c r="G19" s="56"/>
      <c r="H19" s="51"/>
      <c r="I19" s="52"/>
      <c r="J19" s="53"/>
      <c r="L19" s="92"/>
      <c r="M19" s="92"/>
      <c r="N19" s="4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39"/>
      <c r="E26" s="140"/>
      <c r="F26" s="143" t="s">
        <v>17</v>
      </c>
      <c r="G26" s="144"/>
      <c r="H26" s="68"/>
      <c r="I26" s="68"/>
      <c r="J26" s="127">
        <f>SUM(J11:J25)</f>
        <v>13580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41"/>
      <c r="E27" s="142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BC0F-5D62-4F2B-9685-2205283E52BF}">
  <sheetPr codeName="Sheet24">
    <tabColor rgb="FF00B0F0"/>
  </sheetPr>
  <dimension ref="A1:Q45"/>
  <sheetViews>
    <sheetView view="pageBreakPreview" zoomScale="90" zoomScaleNormal="100" zoomScaleSheetLayoutView="90" workbookViewId="0">
      <selection activeCell="C3" sqref="C3:E3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46</v>
      </c>
      <c r="D3" s="152"/>
      <c r="E3" s="152"/>
      <c r="F3" s="11" t="s">
        <v>3</v>
      </c>
      <c r="G3" s="11"/>
      <c r="H3" s="11"/>
      <c r="I3" s="11"/>
      <c r="J3" s="84">
        <v>3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47</v>
      </c>
      <c r="D4" s="10"/>
      <c r="E4" s="10"/>
      <c r="F4" s="16" t="s">
        <v>9</v>
      </c>
      <c r="G4" s="17"/>
      <c r="H4" s="17"/>
      <c r="I4" s="17"/>
      <c r="J4" s="18">
        <v>45345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/>
      <c r="C11" s="46"/>
      <c r="D11" s="47" t="s">
        <v>48</v>
      </c>
      <c r="E11" s="48"/>
      <c r="F11" s="49">
        <v>15000</v>
      </c>
      <c r="G11" s="50"/>
      <c r="H11" s="51"/>
      <c r="I11" s="52"/>
      <c r="J11" s="53">
        <f>F11</f>
        <v>15000</v>
      </c>
      <c r="L11"/>
      <c r="M11"/>
      <c r="N11" s="5"/>
      <c r="P11" s="4"/>
    </row>
    <row r="12" spans="1:17" s="3" customFormat="1" ht="20.100000000000001" customHeight="1" x14ac:dyDescent="0.25">
      <c r="B12" s="45"/>
      <c r="C12" s="46"/>
      <c r="D12" s="47"/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/>
      <c r="C13" s="46"/>
      <c r="D13" s="47"/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15000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1:F1"/>
    <mergeCell ref="G1:J1"/>
    <mergeCell ref="C3:E3"/>
    <mergeCell ref="C5:E5"/>
    <mergeCell ref="D9:E9"/>
    <mergeCell ref="F9:H9"/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1D70-ECD0-4EC9-8BA9-80920399B8EA}">
  <sheetPr codeName="Sheet25">
    <tabColor rgb="FFC00000"/>
  </sheetPr>
  <dimension ref="A1:Q45"/>
  <sheetViews>
    <sheetView view="pageBreakPreview" zoomScale="80" zoomScaleNormal="100" zoomScaleSheetLayoutView="80" workbookViewId="0">
      <selection activeCell="F26" sqref="F26:G2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2.42578125" style="5" bestFit="1" customWidth="1"/>
    <col min="17" max="16384" width="9.140625" style="5"/>
  </cols>
  <sheetData>
    <row r="1" spans="1:17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7" ht="15" thickTop="1" x14ac:dyDescent="0.2"/>
    <row r="3" spans="1:17" s="3" customFormat="1" ht="30" customHeight="1" x14ac:dyDescent="0.2">
      <c r="B3" s="9" t="s">
        <v>2</v>
      </c>
      <c r="C3" s="152" t="s">
        <v>244</v>
      </c>
      <c r="D3" s="152"/>
      <c r="E3" s="152"/>
      <c r="F3" s="11" t="s">
        <v>3</v>
      </c>
      <c r="G3" s="11"/>
      <c r="H3" s="11"/>
      <c r="I3" s="11"/>
      <c r="J3" s="84">
        <v>2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7" s="3" customFormat="1" ht="30" customHeight="1" x14ac:dyDescent="0.25">
      <c r="B4" s="14" t="s">
        <v>8</v>
      </c>
      <c r="C4" s="15" t="s">
        <v>43</v>
      </c>
      <c r="D4" s="10"/>
      <c r="E4" s="10"/>
      <c r="F4" s="16" t="s">
        <v>9</v>
      </c>
      <c r="G4" s="17"/>
      <c r="H4" s="17"/>
      <c r="I4" s="17"/>
      <c r="J4" s="18">
        <v>45447</v>
      </c>
      <c r="L4" s="19"/>
      <c r="M4" s="20"/>
      <c r="N4" s="21"/>
      <c r="O4" s="20"/>
      <c r="P4" s="4"/>
    </row>
    <row r="5" spans="1:17" s="3" customFormat="1" ht="30" customHeight="1" x14ac:dyDescent="0.25">
      <c r="B5" s="14" t="s">
        <v>10</v>
      </c>
      <c r="C5" s="153" t="s">
        <v>40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7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7" s="3" customFormat="1" ht="13.5" customHeight="1" thickBot="1" x14ac:dyDescent="0.3">
      <c r="B7" s="27"/>
      <c r="C7" s="28"/>
      <c r="D7" s="28"/>
      <c r="G7" s="29"/>
      <c r="J7" s="30"/>
      <c r="P7" s="4"/>
    </row>
    <row r="8" spans="1:17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7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/>
      <c r="P9" s="38"/>
      <c r="Q9" s="85"/>
    </row>
    <row r="10" spans="1:17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7" s="3" customFormat="1" ht="20.100000000000001" customHeight="1" x14ac:dyDescent="0.25">
      <c r="B11" s="45">
        <v>1</v>
      </c>
      <c r="C11" s="46" t="s">
        <v>41</v>
      </c>
      <c r="D11" s="47" t="s">
        <v>42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7" s="3" customFormat="1" ht="20.100000000000001" customHeight="1" x14ac:dyDescent="0.25">
      <c r="B12" s="45">
        <v>1</v>
      </c>
      <c r="C12" s="46" t="s">
        <v>41</v>
      </c>
      <c r="D12" s="47" t="s">
        <v>44</v>
      </c>
      <c r="E12" s="48"/>
      <c r="F12" s="49"/>
      <c r="G12" s="50"/>
      <c r="H12" s="51"/>
      <c r="I12" s="52"/>
      <c r="J12" s="53"/>
      <c r="L12"/>
      <c r="M12"/>
      <c r="O12" s="4"/>
    </row>
    <row r="13" spans="1:17" s="3" customFormat="1" ht="20.100000000000001" customHeight="1" x14ac:dyDescent="0.25">
      <c r="B13" s="45">
        <v>1</v>
      </c>
      <c r="C13" s="46" t="s">
        <v>41</v>
      </c>
      <c r="D13" s="47" t="s">
        <v>45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7" s="3" customFormat="1" ht="20.100000000000001" customHeight="1" x14ac:dyDescent="0.25">
      <c r="B14" s="45">
        <v>1</v>
      </c>
      <c r="C14" s="46" t="s">
        <v>41</v>
      </c>
      <c r="D14" s="47" t="s">
        <v>243</v>
      </c>
      <c r="E14" s="48"/>
      <c r="F14" s="83">
        <v>5495</v>
      </c>
      <c r="G14" s="56"/>
      <c r="H14" s="51"/>
      <c r="I14" s="52"/>
      <c r="J14" s="53">
        <f>F14*B14</f>
        <v>5495</v>
      </c>
      <c r="L14"/>
      <c r="M14"/>
      <c r="O14" s="4"/>
    </row>
    <row r="15" spans="1:17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/>
      <c r="M15"/>
      <c r="O15" s="4"/>
    </row>
    <row r="16" spans="1:17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/>
      <c r="E17" s="59"/>
      <c r="F17" s="55"/>
      <c r="G17" s="56"/>
      <c r="H17" s="51"/>
      <c r="I17" s="52"/>
      <c r="J17" s="60"/>
      <c r="L17"/>
      <c r="M17"/>
      <c r="N17" s="4">
        <f>68+102</f>
        <v>170</v>
      </c>
      <c r="O17" s="4">
        <f>468+169+512</f>
        <v>1149</v>
      </c>
    </row>
    <row r="18" spans="2:16" s="3" customFormat="1" ht="20.100000000000001" customHeight="1" x14ac:dyDescent="0.25">
      <c r="B18" s="45"/>
      <c r="C18" s="57"/>
      <c r="D18" s="47"/>
      <c r="E18" s="59"/>
      <c r="F18" s="55"/>
      <c r="G18" s="56"/>
      <c r="H18" s="51"/>
      <c r="I18" s="52"/>
      <c r="J18" s="60"/>
      <c r="L18"/>
      <c r="M18"/>
      <c r="N18" s="4">
        <f>N17/2</f>
        <v>85</v>
      </c>
      <c r="O18" s="4">
        <f>O17/2</f>
        <v>574.5</v>
      </c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>
        <f>574-85</f>
        <v>489</v>
      </c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5495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J26:J27"/>
    <mergeCell ref="C34:D34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1F3B-AE14-489E-B1D8-DF864BE2B1D7}">
  <sheetPr codeName="Sheet26">
    <tabColor rgb="FFC00000"/>
  </sheetPr>
  <dimension ref="A1:P45"/>
  <sheetViews>
    <sheetView view="pageBreakPreview" zoomScale="80" zoomScaleNormal="100" zoomScaleSheetLayoutView="80" workbookViewId="0">
      <selection activeCell="F17" sqref="F1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1.5703125" style="5" bestFit="1" customWidth="1"/>
    <col min="17" max="16384" width="9.140625" style="5"/>
  </cols>
  <sheetData>
    <row r="1" spans="1:16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6" ht="15" thickTop="1" x14ac:dyDescent="0.2"/>
    <row r="3" spans="1:16" s="3" customFormat="1" ht="30" customHeight="1" x14ac:dyDescent="0.2">
      <c r="B3" s="9" t="s">
        <v>2</v>
      </c>
      <c r="C3" s="172"/>
      <c r="D3" s="172"/>
      <c r="E3" s="172"/>
      <c r="F3" s="11" t="s">
        <v>3</v>
      </c>
      <c r="G3" s="11"/>
      <c r="H3" s="11"/>
      <c r="I3" s="11"/>
      <c r="J3" s="84">
        <v>1</v>
      </c>
      <c r="L3" s="12" t="s">
        <v>4</v>
      </c>
      <c r="M3" s="13" t="s">
        <v>5</v>
      </c>
      <c r="N3" s="13" t="s">
        <v>6</v>
      </c>
      <c r="O3" s="12" t="s">
        <v>7</v>
      </c>
    </row>
    <row r="4" spans="1:16" s="3" customFormat="1" ht="30" customHeight="1" x14ac:dyDescent="0.25">
      <c r="B4" s="14" t="s">
        <v>8</v>
      </c>
      <c r="C4" s="15" t="s">
        <v>30</v>
      </c>
      <c r="D4" s="10"/>
      <c r="E4" s="10"/>
      <c r="F4" s="16" t="s">
        <v>9</v>
      </c>
      <c r="G4" s="17"/>
      <c r="H4" s="17"/>
      <c r="I4" s="17"/>
      <c r="J4" s="18">
        <v>45334</v>
      </c>
      <c r="L4" s="19"/>
      <c r="M4" s="20"/>
      <c r="N4" s="21"/>
      <c r="O4" s="20"/>
      <c r="P4" s="4"/>
    </row>
    <row r="5" spans="1:16" s="3" customFormat="1" ht="30" customHeight="1" x14ac:dyDescent="0.25">
      <c r="B5" s="14" t="s">
        <v>10</v>
      </c>
      <c r="C5" s="153" t="s">
        <v>39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6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6" s="3" customFormat="1" ht="13.5" customHeight="1" thickBot="1" x14ac:dyDescent="0.3">
      <c r="B7" s="27"/>
      <c r="C7" s="28"/>
      <c r="D7" s="28"/>
      <c r="G7" s="29"/>
      <c r="J7" s="30"/>
      <c r="P7" s="4"/>
    </row>
    <row r="8" spans="1:16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6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P9" s="38"/>
    </row>
    <row r="10" spans="1:16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6" s="3" customFormat="1" ht="20.100000000000001" customHeight="1" x14ac:dyDescent="0.25">
      <c r="B11" s="45"/>
      <c r="C11" s="46"/>
      <c r="D11" s="47" t="s">
        <v>31</v>
      </c>
      <c r="E11" s="48"/>
      <c r="F11" s="49"/>
      <c r="G11" s="50"/>
      <c r="H11" s="51"/>
      <c r="I11" s="52"/>
      <c r="J11" s="53"/>
      <c r="L11"/>
      <c r="M11"/>
      <c r="N11" s="5"/>
      <c r="P11" s="4"/>
    </row>
    <row r="12" spans="1:16" s="3" customFormat="1" ht="20.100000000000001" customHeight="1" x14ac:dyDescent="0.25">
      <c r="B12" s="45"/>
      <c r="C12" s="46"/>
      <c r="D12" s="47" t="s">
        <v>32</v>
      </c>
      <c r="E12" s="48"/>
      <c r="F12" s="49"/>
      <c r="G12" s="50"/>
      <c r="H12" s="51"/>
      <c r="I12" s="52"/>
      <c r="J12" s="53"/>
      <c r="L12"/>
      <c r="M12"/>
      <c r="O12" s="4"/>
    </row>
    <row r="13" spans="1:16" s="3" customFormat="1" ht="20.100000000000001" customHeight="1" x14ac:dyDescent="0.25">
      <c r="B13" s="45"/>
      <c r="C13" s="46"/>
      <c r="D13" s="47" t="s">
        <v>33</v>
      </c>
      <c r="E13" s="48"/>
      <c r="F13" s="83"/>
      <c r="G13" s="56"/>
      <c r="H13" s="51"/>
      <c r="I13" s="52"/>
      <c r="J13" s="53"/>
      <c r="L13"/>
      <c r="M13"/>
      <c r="O13" s="4"/>
      <c r="P13" s="54"/>
    </row>
    <row r="14" spans="1:16" s="3" customFormat="1" ht="20.100000000000001" customHeight="1" x14ac:dyDescent="0.25">
      <c r="B14" s="45"/>
      <c r="C14" s="46"/>
      <c r="D14" s="47" t="s">
        <v>34</v>
      </c>
      <c r="E14" s="48"/>
      <c r="F14" s="83"/>
      <c r="G14" s="56"/>
      <c r="H14" s="51"/>
      <c r="I14" s="52"/>
      <c r="J14" s="53"/>
      <c r="L14"/>
      <c r="M14"/>
      <c r="O14" s="4"/>
    </row>
    <row r="15" spans="1:16" s="3" customFormat="1" ht="20.100000000000001" customHeight="1" x14ac:dyDescent="0.25">
      <c r="B15" s="45"/>
      <c r="C15" s="46"/>
      <c r="D15" s="47" t="s">
        <v>35</v>
      </c>
      <c r="E15" s="48"/>
      <c r="F15" s="55"/>
      <c r="G15" s="56"/>
      <c r="H15" s="51"/>
      <c r="I15" s="52"/>
      <c r="J15" s="53"/>
      <c r="L15"/>
      <c r="M15"/>
      <c r="O15" s="4"/>
    </row>
    <row r="16" spans="1:16" s="3" customFormat="1" ht="20.100000000000001" customHeight="1" x14ac:dyDescent="0.25">
      <c r="B16" s="45"/>
      <c r="C16" s="46"/>
      <c r="D16" s="47" t="s">
        <v>36</v>
      </c>
      <c r="E16" s="48"/>
      <c r="F16" s="55"/>
      <c r="G16" s="56"/>
      <c r="H16" s="51"/>
      <c r="I16" s="52"/>
      <c r="J16" s="53"/>
      <c r="L16"/>
      <c r="M16"/>
      <c r="O16" s="4"/>
    </row>
    <row r="17" spans="2:16" s="3" customFormat="1" ht="20.100000000000001" customHeight="1" x14ac:dyDescent="0.25">
      <c r="B17" s="45"/>
      <c r="C17" s="57"/>
      <c r="D17" s="47" t="s">
        <v>37</v>
      </c>
      <c r="E17" s="59"/>
      <c r="F17" s="55"/>
      <c r="G17" s="56"/>
      <c r="H17" s="51"/>
      <c r="I17" s="52"/>
      <c r="J17" s="60"/>
      <c r="L17"/>
      <c r="M17"/>
      <c r="N17" s="4"/>
      <c r="O17" s="4"/>
    </row>
    <row r="18" spans="2:16" s="3" customFormat="1" ht="20.100000000000001" customHeight="1" x14ac:dyDescent="0.25">
      <c r="B18" s="45"/>
      <c r="C18" s="57"/>
      <c r="D18" s="47" t="s">
        <v>38</v>
      </c>
      <c r="E18" s="59"/>
      <c r="F18" s="55"/>
      <c r="G18" s="56"/>
      <c r="H18" s="51"/>
      <c r="I18" s="52"/>
      <c r="J18" s="60"/>
      <c r="L18"/>
      <c r="M18"/>
      <c r="N18" s="4"/>
      <c r="O18" s="4"/>
    </row>
    <row r="19" spans="2:16" s="3" customFormat="1" ht="20.100000000000001" customHeight="1" x14ac:dyDescent="0.25">
      <c r="B19" s="45"/>
      <c r="C19" s="57"/>
      <c r="D19" s="61"/>
      <c r="E19" s="62"/>
      <c r="F19" s="55"/>
      <c r="G19" s="56"/>
      <c r="H19" s="51"/>
      <c r="I19" s="52"/>
      <c r="J19" s="60"/>
      <c r="L19"/>
      <c r="M19"/>
      <c r="N19" s="63"/>
      <c r="O19" s="4"/>
    </row>
    <row r="20" spans="2:16" s="3" customFormat="1" ht="20.100000000000001" customHeight="1" x14ac:dyDescent="0.25">
      <c r="B20" s="45"/>
      <c r="C20" s="57"/>
      <c r="D20" s="61"/>
      <c r="E20" s="64"/>
      <c r="F20" s="55"/>
      <c r="G20" s="56"/>
      <c r="H20" s="51"/>
      <c r="I20" s="52"/>
      <c r="J20" s="60"/>
      <c r="L20"/>
      <c r="M20"/>
      <c r="O20" s="4"/>
    </row>
    <row r="21" spans="2:16" s="3" customFormat="1" ht="20.100000000000001" customHeight="1" x14ac:dyDescent="0.25">
      <c r="B21" s="45"/>
      <c r="C21" s="57"/>
      <c r="D21" s="58"/>
      <c r="E21" s="59"/>
      <c r="F21" s="55"/>
      <c r="G21" s="56"/>
      <c r="H21" s="51"/>
      <c r="I21" s="52"/>
      <c r="J21" s="60"/>
      <c r="L21"/>
      <c r="M21"/>
      <c r="O21" s="4"/>
    </row>
    <row r="22" spans="2:16" s="3" customFormat="1" ht="20.100000000000001" customHeight="1" x14ac:dyDescent="0.25">
      <c r="B22" s="45"/>
      <c r="C22" s="57"/>
      <c r="D22" s="58"/>
      <c r="E22" s="59"/>
      <c r="F22" s="55"/>
      <c r="G22" s="56"/>
      <c r="H22" s="51"/>
      <c r="I22" s="52"/>
      <c r="J22" s="60"/>
      <c r="L22"/>
      <c r="M22"/>
      <c r="O22" s="4"/>
    </row>
    <row r="23" spans="2:16" s="3" customFormat="1" ht="20.100000000000001" customHeight="1" x14ac:dyDescent="0.25">
      <c r="B23" s="45"/>
      <c r="C23" s="57"/>
      <c r="D23" s="65"/>
      <c r="E23" s="62"/>
      <c r="F23" s="55"/>
      <c r="G23" s="56"/>
      <c r="H23" s="51"/>
      <c r="I23" s="52"/>
      <c r="J23" s="60"/>
      <c r="L23"/>
      <c r="M23"/>
      <c r="O23" s="4"/>
    </row>
    <row r="24" spans="2:16" s="3" customFormat="1" ht="20.100000000000001" customHeight="1" x14ac:dyDescent="0.25">
      <c r="B24" s="45"/>
      <c r="C24" s="57"/>
      <c r="D24" s="65"/>
      <c r="E24" s="64"/>
      <c r="F24" s="55"/>
      <c r="G24" s="56"/>
      <c r="H24" s="51"/>
      <c r="I24" s="52"/>
      <c r="J24" s="60"/>
      <c r="L24"/>
      <c r="M24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/>
      <c r="E26" s="158"/>
      <c r="F26" s="143" t="s">
        <v>17</v>
      </c>
      <c r="G26" s="144"/>
      <c r="H26" s="68"/>
      <c r="I26" s="68"/>
      <c r="J26" s="127">
        <f>SUM(J11:J25)</f>
        <v>0</v>
      </c>
      <c r="L26"/>
      <c r="M26"/>
      <c r="O26" s="4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73" t="s">
        <v>21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29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79"/>
      <c r="D41" s="73"/>
      <c r="E41" s="73"/>
      <c r="F41" s="73"/>
      <c r="G41" s="73"/>
      <c r="H41" s="73"/>
      <c r="I41" s="73"/>
      <c r="J41" s="80" t="s">
        <v>28</v>
      </c>
      <c r="M41" s="81"/>
    </row>
    <row r="42" spans="2:16" x14ac:dyDescent="0.2">
      <c r="B42" s="130"/>
      <c r="C42" s="130"/>
      <c r="E42" s="7"/>
      <c r="F42" s="7"/>
    </row>
    <row r="45" spans="2:16" ht="15" x14ac:dyDescent="0.25">
      <c r="M45" s="82"/>
    </row>
  </sheetData>
  <mergeCells count="15">
    <mergeCell ref="B42:C42"/>
    <mergeCell ref="B26:B27"/>
    <mergeCell ref="C26:C27"/>
    <mergeCell ref="D26:E27"/>
    <mergeCell ref="F26:G27"/>
    <mergeCell ref="J26:J27"/>
    <mergeCell ref="C34:D34"/>
    <mergeCell ref="B1:F1"/>
    <mergeCell ref="G1:J1"/>
    <mergeCell ref="C3:E3"/>
    <mergeCell ref="D9:E9"/>
    <mergeCell ref="F9:H9"/>
    <mergeCell ref="D10:E10"/>
    <mergeCell ref="F10:G10"/>
    <mergeCell ref="C5:E5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7237-E8BC-438C-97A0-D34E421A29CE}">
  <sheetPr>
    <tabColor rgb="FF00B0F0"/>
  </sheetPr>
  <dimension ref="A1:R45"/>
  <sheetViews>
    <sheetView view="pageBreakPreview" zoomScale="80" zoomScaleNormal="100" zoomScaleSheetLayoutView="80" workbookViewId="0">
      <selection activeCell="D22" sqref="D22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3" width="12" style="8" bestFit="1" customWidth="1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93"/>
      <c r="M1" s="4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260</v>
      </c>
      <c r="D3" s="152"/>
      <c r="E3" s="152"/>
      <c r="F3" s="11" t="s">
        <v>3</v>
      </c>
      <c r="G3" s="11"/>
      <c r="H3" s="11"/>
      <c r="I3" s="11"/>
      <c r="J3" s="84">
        <v>65</v>
      </c>
      <c r="L3" s="13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330</v>
      </c>
      <c r="D4" s="10"/>
      <c r="E4" s="10"/>
      <c r="F4" s="16" t="s">
        <v>9</v>
      </c>
      <c r="G4" s="17"/>
      <c r="H4" s="17"/>
      <c r="I4" s="17"/>
      <c r="J4" s="18">
        <v>45464</v>
      </c>
      <c r="L4" s="20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L5" s="4"/>
      <c r="M5" s="4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L6" s="4"/>
      <c r="M6" s="4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L7" s="4"/>
      <c r="M7" s="4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 s="92"/>
      <c r="M9" s="92"/>
      <c r="N9" s="38"/>
      <c r="O9" s="38"/>
      <c r="P9" s="38"/>
      <c r="Q9" s="85"/>
      <c r="R9" s="85"/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 s="92"/>
      <c r="M10" s="92"/>
      <c r="P10" s="44"/>
    </row>
    <row r="11" spans="1:18" s="3" customFormat="1" ht="20.100000000000001" customHeight="1" x14ac:dyDescent="0.25">
      <c r="B11" s="45">
        <v>165</v>
      </c>
      <c r="C11" s="46" t="s">
        <v>58</v>
      </c>
      <c r="D11" s="47" t="s">
        <v>229</v>
      </c>
      <c r="E11" s="48"/>
      <c r="F11" s="49">
        <v>84</v>
      </c>
      <c r="G11" s="50"/>
      <c r="H11" s="51"/>
      <c r="I11" s="52"/>
      <c r="J11" s="53">
        <f>F11*B11</f>
        <v>13860</v>
      </c>
      <c r="L11" s="92"/>
      <c r="M11" s="92"/>
      <c r="N11" s="5"/>
      <c r="P11" s="4"/>
    </row>
    <row r="12" spans="1:18" s="3" customFormat="1" ht="20.100000000000001" customHeight="1" x14ac:dyDescent="0.25">
      <c r="B12" s="45">
        <v>54</v>
      </c>
      <c r="C12" s="46" t="s">
        <v>58</v>
      </c>
      <c r="D12" s="47" t="s">
        <v>230</v>
      </c>
      <c r="E12" s="48"/>
      <c r="F12" s="49">
        <v>126</v>
      </c>
      <c r="G12" s="50"/>
      <c r="H12" s="51"/>
      <c r="I12" s="52"/>
      <c r="J12" s="53">
        <f>F12*B12</f>
        <v>6804</v>
      </c>
      <c r="L12" s="92"/>
      <c r="M12" s="92"/>
      <c r="O12" s="4"/>
    </row>
    <row r="13" spans="1:18" s="3" customFormat="1" ht="20.100000000000001" customHeight="1" x14ac:dyDescent="0.25">
      <c r="B13" s="45">
        <v>36</v>
      </c>
      <c r="C13" s="46" t="s">
        <v>58</v>
      </c>
      <c r="D13" s="47" t="s">
        <v>231</v>
      </c>
      <c r="E13" s="48"/>
      <c r="F13" s="83">
        <v>168</v>
      </c>
      <c r="G13" s="56"/>
      <c r="H13" s="51"/>
      <c r="I13" s="52"/>
      <c r="J13" s="53">
        <f>F13*B13</f>
        <v>6048</v>
      </c>
      <c r="L13" s="92"/>
      <c r="M13" s="92"/>
      <c r="O13" s="4"/>
      <c r="P13" s="54"/>
    </row>
    <row r="14" spans="1:18" s="3" customFormat="1" ht="20.100000000000001" customHeight="1" x14ac:dyDescent="0.25">
      <c r="B14" s="45"/>
      <c r="C14" s="46"/>
      <c r="D14" s="47"/>
      <c r="E14" s="48"/>
      <c r="F14" s="83"/>
      <c r="G14" s="56"/>
      <c r="H14" s="51"/>
      <c r="I14" s="52"/>
      <c r="J14" s="53"/>
      <c r="L14" s="92"/>
      <c r="M14" s="92"/>
      <c r="O14" s="4"/>
    </row>
    <row r="15" spans="1:18" s="3" customFormat="1" ht="20.100000000000001" customHeight="1" x14ac:dyDescent="0.25">
      <c r="B15" s="45"/>
      <c r="C15" s="46"/>
      <c r="D15" s="47"/>
      <c r="E15" s="48"/>
      <c r="F15" s="55"/>
      <c r="G15" s="56"/>
      <c r="H15" s="51"/>
      <c r="I15" s="52"/>
      <c r="J15" s="53"/>
      <c r="L15" s="92"/>
      <c r="M15" s="92"/>
      <c r="O15" s="4"/>
    </row>
    <row r="16" spans="1:18" s="3" customFormat="1" ht="20.100000000000001" customHeight="1" x14ac:dyDescent="0.25">
      <c r="B16" s="45"/>
      <c r="C16" s="46"/>
      <c r="D16" s="47"/>
      <c r="E16" s="48"/>
      <c r="F16" s="55"/>
      <c r="G16" s="56"/>
      <c r="H16" s="51"/>
      <c r="I16" s="52"/>
      <c r="J16" s="53"/>
      <c r="L16" s="92"/>
      <c r="M16" s="92"/>
      <c r="O16" s="4"/>
    </row>
    <row r="17" spans="2:16" s="3" customFormat="1" ht="20.100000000000001" customHeight="1" x14ac:dyDescent="0.25">
      <c r="B17" s="45"/>
      <c r="C17" s="46"/>
      <c r="D17" s="47"/>
      <c r="E17" s="48"/>
      <c r="F17" s="55"/>
      <c r="G17" s="56"/>
      <c r="H17" s="51"/>
      <c r="I17" s="52"/>
      <c r="J17" s="53"/>
      <c r="L17" s="92"/>
      <c r="M17" s="92"/>
      <c r="N17" s="4"/>
      <c r="O17" s="4"/>
    </row>
    <row r="18" spans="2:16" s="3" customFormat="1" ht="20.100000000000001" customHeight="1" x14ac:dyDescent="0.25">
      <c r="B18" s="45"/>
      <c r="C18" s="46"/>
      <c r="D18" s="122" t="s">
        <v>261</v>
      </c>
      <c r="E18" s="48"/>
      <c r="F18" s="55"/>
      <c r="G18" s="56"/>
      <c r="H18" s="51"/>
      <c r="I18" s="52"/>
      <c r="J18" s="53"/>
      <c r="L18" s="92"/>
      <c r="M18" s="92"/>
      <c r="N18" s="4"/>
      <c r="O18" s="4"/>
    </row>
    <row r="19" spans="2:16" s="3" customFormat="1" ht="20.100000000000001" customHeight="1" x14ac:dyDescent="0.25">
      <c r="B19" s="45">
        <v>33</v>
      </c>
      <c r="C19" s="46" t="s">
        <v>58</v>
      </c>
      <c r="D19" s="47" t="s">
        <v>232</v>
      </c>
      <c r="E19" s="48"/>
      <c r="F19" s="83">
        <v>250</v>
      </c>
      <c r="G19" s="56"/>
      <c r="H19" s="51"/>
      <c r="I19" s="52"/>
      <c r="J19" s="53">
        <f>F19*B19</f>
        <v>8250</v>
      </c>
      <c r="L19" s="92"/>
      <c r="M19" s="92"/>
      <c r="O19" s="4"/>
    </row>
    <row r="20" spans="2:16" s="3" customFormat="1" ht="20.100000000000001" customHeight="1" x14ac:dyDescent="0.25">
      <c r="B20" s="45"/>
      <c r="C20" s="46"/>
      <c r="D20" s="47"/>
      <c r="E20" s="59"/>
      <c r="F20" s="55"/>
      <c r="G20" s="56"/>
      <c r="H20" s="51"/>
      <c r="I20" s="52"/>
      <c r="J20" s="53"/>
      <c r="L20" s="92"/>
      <c r="M20" s="92"/>
      <c r="O20" s="4"/>
    </row>
    <row r="21" spans="2:16" s="3" customFormat="1" ht="20.100000000000001" customHeight="1" x14ac:dyDescent="0.25">
      <c r="B21" s="45"/>
      <c r="C21" s="46"/>
      <c r="D21" s="47"/>
      <c r="E21" s="59"/>
      <c r="F21" s="55"/>
      <c r="G21" s="56"/>
      <c r="H21" s="51"/>
      <c r="I21" s="52"/>
      <c r="J21" s="53"/>
      <c r="L21" s="92"/>
      <c r="M21" s="92"/>
      <c r="O21" s="4"/>
    </row>
    <row r="22" spans="2:16" s="3" customFormat="1" ht="20.100000000000001" customHeight="1" x14ac:dyDescent="0.25">
      <c r="B22" s="45"/>
      <c r="C22" s="46"/>
      <c r="D22" s="47"/>
      <c r="E22" s="59"/>
      <c r="F22" s="55"/>
      <c r="G22" s="56"/>
      <c r="H22" s="51"/>
      <c r="I22" s="52"/>
      <c r="J22" s="53"/>
      <c r="L22" s="92"/>
      <c r="M22" s="92"/>
      <c r="O22" s="4"/>
    </row>
    <row r="23" spans="2:16" s="3" customFormat="1" ht="20.100000000000001" customHeight="1" x14ac:dyDescent="0.25">
      <c r="B23" s="45"/>
      <c r="C23" s="46"/>
      <c r="D23" s="47"/>
      <c r="E23" s="59"/>
      <c r="F23" s="55"/>
      <c r="G23" s="56"/>
      <c r="H23" s="51"/>
      <c r="I23" s="52"/>
      <c r="J23" s="53"/>
      <c r="L23" s="92"/>
      <c r="M23" s="92"/>
      <c r="O23" s="4"/>
    </row>
    <row r="24" spans="2:16" s="3" customFormat="1" ht="20.100000000000001" customHeight="1" x14ac:dyDescent="0.25">
      <c r="B24" s="45"/>
      <c r="C24" s="46"/>
      <c r="D24" s="47"/>
      <c r="E24" s="64"/>
      <c r="F24" s="55"/>
      <c r="G24" s="56"/>
      <c r="H24" s="51"/>
      <c r="I24" s="52"/>
      <c r="J24" s="53"/>
      <c r="L24" s="92"/>
      <c r="M24" s="92"/>
      <c r="O24" s="4"/>
    </row>
    <row r="25" spans="2:16" s="3" customFormat="1" ht="20.100000000000001" customHeight="1" x14ac:dyDescent="0.25">
      <c r="B25" s="45"/>
      <c r="C25" s="57"/>
      <c r="D25" s="66"/>
      <c r="E25" s="64"/>
      <c r="F25" s="55"/>
      <c r="G25" s="56"/>
      <c r="H25" s="51"/>
      <c r="I25" s="52"/>
      <c r="J25" s="67"/>
      <c r="L25" s="92"/>
      <c r="M25" s="92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332</v>
      </c>
      <c r="E26" s="158"/>
      <c r="F26" s="143" t="s">
        <v>17</v>
      </c>
      <c r="G26" s="144"/>
      <c r="H26" s="68"/>
      <c r="I26" s="68"/>
      <c r="J26" s="127">
        <f>SUM(J11:J25)</f>
        <v>34962</v>
      </c>
      <c r="L26" s="92">
        <f>170+160+200</f>
        <v>530</v>
      </c>
      <c r="M26" s="92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 s="92">
        <f>370+600</f>
        <v>970</v>
      </c>
      <c r="M27" s="92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L30" s="8">
        <f>SUM(L26:L29)</f>
        <v>1500</v>
      </c>
      <c r="M30" s="94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</row>
    <row r="39" spans="2:16" x14ac:dyDescent="0.2">
      <c r="C39" s="74"/>
      <c r="D39" s="74"/>
      <c r="E39" s="73"/>
      <c r="F39" s="73"/>
      <c r="G39" s="73"/>
      <c r="H39" s="73"/>
      <c r="I39" s="73"/>
      <c r="J39" s="73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M41" s="95"/>
    </row>
    <row r="42" spans="2:16" x14ac:dyDescent="0.2">
      <c r="B42" s="130"/>
      <c r="C42" s="130"/>
      <c r="E42" s="7"/>
      <c r="F42" s="7"/>
    </row>
    <row r="45" spans="2:16" ht="15" x14ac:dyDescent="0.25">
      <c r="M45" s="96"/>
    </row>
  </sheetData>
  <mergeCells count="16">
    <mergeCell ref="B1:F1"/>
    <mergeCell ref="G1:J1"/>
    <mergeCell ref="C3:E3"/>
    <mergeCell ref="C5:E5"/>
    <mergeCell ref="D9:E9"/>
    <mergeCell ref="F9:H9"/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D137-282E-49C8-86E6-56C02130E4D5}">
  <sheetPr>
    <tabColor rgb="FF00B0F0"/>
  </sheetPr>
  <dimension ref="A1:R45"/>
  <sheetViews>
    <sheetView view="pageBreakPreview" topLeftCell="B1" zoomScale="90" zoomScaleNormal="100" zoomScaleSheetLayoutView="90" workbookViewId="0">
      <selection activeCell="F37" sqref="F37"/>
    </sheetView>
  </sheetViews>
  <sheetFormatPr defaultRowHeight="14.25" x14ac:dyDescent="0.2"/>
  <cols>
    <col min="1" max="1" width="0.5703125" style="5" customWidth="1"/>
    <col min="2" max="2" width="12" style="6" customWidth="1"/>
    <col min="3" max="3" width="7.5703125" style="7" customWidth="1"/>
    <col min="4" max="4" width="29" style="7" customWidth="1"/>
    <col min="5" max="5" width="27" style="5" customWidth="1"/>
    <col min="6" max="6" width="14.7109375" style="5" customWidth="1"/>
    <col min="7" max="7" width="2.5703125" style="5" customWidth="1"/>
    <col min="8" max="8" width="1.140625" style="5" hidden="1" customWidth="1"/>
    <col min="9" max="9" width="0.7109375" style="5" hidden="1" customWidth="1"/>
    <col min="10" max="10" width="24.5703125" style="5" customWidth="1"/>
    <col min="11" max="11" width="3.7109375" style="5" customWidth="1"/>
    <col min="12" max="12" width="11" style="5" bestFit="1" customWidth="1"/>
    <col min="13" max="13" width="9.140625" style="5"/>
    <col min="14" max="14" width="16.28515625" style="5" bestFit="1" customWidth="1"/>
    <col min="15" max="15" width="14.5703125" style="8" bestFit="1" customWidth="1"/>
    <col min="16" max="16" width="17" style="5" bestFit="1" customWidth="1"/>
    <col min="17" max="17" width="9.140625" style="5"/>
    <col min="18" max="18" width="10.42578125" style="5" bestFit="1" customWidth="1"/>
    <col min="19" max="16384" width="9.140625" style="5"/>
  </cols>
  <sheetData>
    <row r="1" spans="1:18" s="3" customFormat="1" ht="75" customHeight="1" thickTop="1" thickBot="1" x14ac:dyDescent="0.25">
      <c r="A1" s="1"/>
      <c r="B1" s="147" t="s">
        <v>0</v>
      </c>
      <c r="C1" s="148"/>
      <c r="D1" s="148"/>
      <c r="E1" s="148"/>
      <c r="F1" s="148"/>
      <c r="G1" s="149" t="s">
        <v>1</v>
      </c>
      <c r="H1" s="150"/>
      <c r="I1" s="150"/>
      <c r="J1" s="151"/>
      <c r="K1" s="2"/>
      <c r="L1" s="2"/>
      <c r="O1" s="4"/>
    </row>
    <row r="2" spans="1:18" ht="15" thickTop="1" x14ac:dyDescent="0.2"/>
    <row r="3" spans="1:18" s="3" customFormat="1" ht="30" customHeight="1" x14ac:dyDescent="0.2">
      <c r="B3" s="9" t="s">
        <v>2</v>
      </c>
      <c r="C3" s="152" t="s">
        <v>235</v>
      </c>
      <c r="D3" s="152"/>
      <c r="E3" s="152"/>
      <c r="F3" s="11" t="s">
        <v>3</v>
      </c>
      <c r="G3" s="11"/>
      <c r="H3" s="11"/>
      <c r="I3" s="11"/>
      <c r="J3" s="84">
        <v>64</v>
      </c>
      <c r="L3" s="12" t="s">
        <v>4</v>
      </c>
      <c r="M3" s="13" t="s">
        <v>5</v>
      </c>
      <c r="N3" s="13" t="s">
        <v>6</v>
      </c>
      <c r="O3" s="12"/>
    </row>
    <row r="4" spans="1:18" s="3" customFormat="1" ht="30" customHeight="1" x14ac:dyDescent="0.25">
      <c r="B4" s="14" t="s">
        <v>8</v>
      </c>
      <c r="C4" s="15" t="s">
        <v>330</v>
      </c>
      <c r="D4" s="10"/>
      <c r="E4" s="10"/>
      <c r="F4" s="16" t="s">
        <v>9</v>
      </c>
      <c r="G4" s="17"/>
      <c r="H4" s="17"/>
      <c r="I4" s="17"/>
      <c r="J4" s="18">
        <v>45464</v>
      </c>
      <c r="L4" s="19"/>
      <c r="M4" s="20"/>
      <c r="N4" s="21"/>
      <c r="O4" s="20"/>
      <c r="P4" s="4"/>
    </row>
    <row r="5" spans="1:18" s="3" customFormat="1" ht="30" customHeight="1" x14ac:dyDescent="0.25">
      <c r="B5" s="14" t="s">
        <v>10</v>
      </c>
      <c r="C5" s="153" t="s">
        <v>282</v>
      </c>
      <c r="D5" s="153"/>
      <c r="E5" s="153"/>
      <c r="F5" s="17" t="s">
        <v>11</v>
      </c>
      <c r="G5" s="17"/>
      <c r="H5" s="17"/>
      <c r="I5" s="17"/>
      <c r="J5" s="18"/>
      <c r="P5" s="4"/>
    </row>
    <row r="6" spans="1:18" s="3" customFormat="1" ht="20.100000000000001" customHeight="1" x14ac:dyDescent="0.25">
      <c r="B6" s="22"/>
      <c r="C6" s="23"/>
      <c r="D6" s="23"/>
      <c r="E6" s="24"/>
      <c r="F6" s="24"/>
      <c r="G6" s="25"/>
      <c r="H6" s="24"/>
      <c r="I6" s="24"/>
      <c r="J6" s="26"/>
      <c r="P6" s="4"/>
    </row>
    <row r="7" spans="1:18" s="3" customFormat="1" ht="13.5" customHeight="1" thickBot="1" x14ac:dyDescent="0.3">
      <c r="B7" s="27"/>
      <c r="C7" s="28"/>
      <c r="D7" s="28"/>
      <c r="G7" s="29"/>
      <c r="J7" s="30"/>
      <c r="P7" s="4"/>
    </row>
    <row r="8" spans="1:18" ht="4.5" hidden="1" customHeight="1" x14ac:dyDescent="0.25">
      <c r="B8" s="31"/>
      <c r="C8" s="32"/>
      <c r="D8" s="32"/>
      <c r="E8" s="32"/>
      <c r="F8" s="32"/>
      <c r="G8" s="32"/>
      <c r="H8" s="32"/>
      <c r="I8" s="32"/>
      <c r="J8" s="32"/>
      <c r="O8" s="5"/>
      <c r="P8" s="8"/>
    </row>
    <row r="9" spans="1:18" s="33" customFormat="1" ht="24.95" customHeight="1" thickBot="1" x14ac:dyDescent="0.3">
      <c r="B9" s="34" t="s">
        <v>12</v>
      </c>
      <c r="C9" s="35" t="s">
        <v>13</v>
      </c>
      <c r="D9" s="154" t="s">
        <v>14</v>
      </c>
      <c r="E9" s="155"/>
      <c r="F9" s="154" t="s">
        <v>15</v>
      </c>
      <c r="G9" s="156"/>
      <c r="H9" s="156"/>
      <c r="I9" s="36"/>
      <c r="J9" s="37" t="s">
        <v>7</v>
      </c>
      <c r="L9"/>
      <c r="M9"/>
      <c r="N9" s="38"/>
      <c r="O9" s="38">
        <f>124+48+67.5+44+500</f>
        <v>783.5</v>
      </c>
      <c r="P9" s="38">
        <f>O9+20</f>
        <v>803.5</v>
      </c>
      <c r="Q9" s="85">
        <f>105.5+250+68.5+68+5+98+5</f>
        <v>600</v>
      </c>
      <c r="R9" s="85">
        <f>P9+Q9</f>
        <v>1403.5</v>
      </c>
    </row>
    <row r="10" spans="1:18" s="28" customFormat="1" ht="2.25" customHeight="1" x14ac:dyDescent="0.25">
      <c r="B10" s="39"/>
      <c r="C10" s="40"/>
      <c r="D10" s="131"/>
      <c r="E10" s="132"/>
      <c r="F10" s="133"/>
      <c r="G10" s="134"/>
      <c r="H10" s="41"/>
      <c r="I10" s="42"/>
      <c r="J10" s="43"/>
      <c r="L10"/>
      <c r="M10"/>
      <c r="P10" s="44"/>
    </row>
    <row r="11" spans="1:18" s="3" customFormat="1" ht="20.100000000000001" customHeight="1" x14ac:dyDescent="0.25">
      <c r="B11" s="45">
        <v>16</v>
      </c>
      <c r="C11" s="46" t="s">
        <v>58</v>
      </c>
      <c r="D11" s="47" t="s">
        <v>262</v>
      </c>
      <c r="E11" s="48"/>
      <c r="F11" s="109">
        <v>413</v>
      </c>
      <c r="G11" s="50"/>
      <c r="H11" s="51"/>
      <c r="I11" s="52"/>
      <c r="J11" s="53">
        <f>F11*B11</f>
        <v>6608</v>
      </c>
      <c r="L11"/>
      <c r="M11"/>
      <c r="N11" s="5"/>
      <c r="P11" s="4"/>
      <c r="R11" s="3">
        <f>67*25</f>
        <v>1675</v>
      </c>
    </row>
    <row r="12" spans="1:18" s="110" customFormat="1" ht="20.100000000000001" customHeight="1" x14ac:dyDescent="0.25">
      <c r="B12" s="111">
        <v>2</v>
      </c>
      <c r="C12" s="112" t="s">
        <v>240</v>
      </c>
      <c r="D12" s="113" t="s">
        <v>263</v>
      </c>
      <c r="E12" s="114"/>
      <c r="F12" s="109">
        <v>335</v>
      </c>
      <c r="G12" s="115"/>
      <c r="H12" s="51"/>
      <c r="I12" s="116"/>
      <c r="J12" s="53">
        <f>F12*B12</f>
        <v>670</v>
      </c>
      <c r="L12" s="117"/>
      <c r="M12" s="117"/>
      <c r="O12" s="118"/>
      <c r="R12" s="110">
        <f>65*25</f>
        <v>1625</v>
      </c>
    </row>
    <row r="13" spans="1:18" s="110" customFormat="1" ht="20.100000000000001" customHeight="1" x14ac:dyDescent="0.25">
      <c r="B13" s="111">
        <v>5</v>
      </c>
      <c r="C13" s="112" t="s">
        <v>112</v>
      </c>
      <c r="D13" s="113" t="s">
        <v>140</v>
      </c>
      <c r="E13" s="114"/>
      <c r="F13" s="109">
        <v>69</v>
      </c>
      <c r="G13" s="120"/>
      <c r="H13" s="51"/>
      <c r="I13" s="116"/>
      <c r="J13" s="53">
        <f t="shared" ref="J13:J24" si="0">F13*B13</f>
        <v>345</v>
      </c>
      <c r="L13" s="117"/>
      <c r="M13" s="117"/>
      <c r="O13" s="118"/>
      <c r="P13" s="121"/>
    </row>
    <row r="14" spans="1:18" s="3" customFormat="1" ht="20.100000000000001" customHeight="1" x14ac:dyDescent="0.25">
      <c r="B14" s="45">
        <v>10</v>
      </c>
      <c r="C14" s="46" t="s">
        <v>112</v>
      </c>
      <c r="D14" s="47" t="s">
        <v>132</v>
      </c>
      <c r="E14" s="48"/>
      <c r="F14" s="106">
        <v>67</v>
      </c>
      <c r="G14" s="107"/>
      <c r="H14" s="51"/>
      <c r="I14" s="52"/>
      <c r="J14" s="53">
        <f t="shared" si="0"/>
        <v>670</v>
      </c>
      <c r="L14"/>
      <c r="M14"/>
      <c r="O14" s="4"/>
    </row>
    <row r="15" spans="1:18" s="3" customFormat="1" ht="20.100000000000001" customHeight="1" x14ac:dyDescent="0.25">
      <c r="B15" s="45">
        <v>15</v>
      </c>
      <c r="C15" s="46" t="s">
        <v>112</v>
      </c>
      <c r="D15" s="47" t="s">
        <v>133</v>
      </c>
      <c r="E15" s="48"/>
      <c r="F15" s="108">
        <v>65</v>
      </c>
      <c r="G15" s="107"/>
      <c r="H15" s="51"/>
      <c r="I15" s="52"/>
      <c r="J15" s="53">
        <f t="shared" si="0"/>
        <v>975</v>
      </c>
      <c r="L15"/>
      <c r="M15"/>
      <c r="O15" s="4"/>
    </row>
    <row r="16" spans="1:18" s="3" customFormat="1" ht="20.100000000000001" customHeight="1" x14ac:dyDescent="0.25">
      <c r="B16" s="111">
        <v>5</v>
      </c>
      <c r="C16" s="112" t="s">
        <v>112</v>
      </c>
      <c r="D16" s="113" t="s">
        <v>220</v>
      </c>
      <c r="E16" s="114"/>
      <c r="F16" s="119">
        <v>82</v>
      </c>
      <c r="G16" s="107"/>
      <c r="H16" s="51"/>
      <c r="I16" s="52"/>
      <c r="J16" s="53">
        <f t="shared" si="0"/>
        <v>410</v>
      </c>
      <c r="L16"/>
      <c r="M16"/>
      <c r="O16" s="4"/>
    </row>
    <row r="17" spans="2:16" s="3" customFormat="1" ht="20.100000000000001" customHeight="1" x14ac:dyDescent="0.25">
      <c r="B17" s="45">
        <v>16</v>
      </c>
      <c r="C17" s="46" t="s">
        <v>58</v>
      </c>
      <c r="D17" s="47" t="s">
        <v>264</v>
      </c>
      <c r="E17" s="48"/>
      <c r="F17" s="108">
        <v>642</v>
      </c>
      <c r="G17" s="107"/>
      <c r="H17" s="51"/>
      <c r="I17" s="52"/>
      <c r="J17" s="53">
        <f t="shared" si="0"/>
        <v>10272</v>
      </c>
      <c r="L17"/>
      <c r="M17"/>
      <c r="N17" s="4"/>
      <c r="O17" s="4"/>
    </row>
    <row r="18" spans="2:16" s="3" customFormat="1" ht="20.100000000000001" customHeight="1" x14ac:dyDescent="0.25">
      <c r="B18" s="45">
        <v>3</v>
      </c>
      <c r="C18" s="46" t="s">
        <v>58</v>
      </c>
      <c r="D18" s="47" t="s">
        <v>222</v>
      </c>
      <c r="E18" s="48"/>
      <c r="F18" s="108">
        <v>970</v>
      </c>
      <c r="G18" s="56"/>
      <c r="H18" s="51"/>
      <c r="I18" s="52"/>
      <c r="J18" s="53">
        <f t="shared" si="0"/>
        <v>2910</v>
      </c>
      <c r="L18"/>
      <c r="M18"/>
      <c r="N18" s="4"/>
      <c r="O18" s="4"/>
    </row>
    <row r="19" spans="2:16" s="3" customFormat="1" ht="20.100000000000001" customHeight="1" x14ac:dyDescent="0.25">
      <c r="B19" s="45">
        <v>10</v>
      </c>
      <c r="C19" s="46" t="s">
        <v>58</v>
      </c>
      <c r="D19" s="47" t="s">
        <v>257</v>
      </c>
      <c r="E19" s="48"/>
      <c r="F19" s="108">
        <v>225</v>
      </c>
      <c r="G19" s="56"/>
      <c r="H19" s="51"/>
      <c r="I19" s="52"/>
      <c r="J19" s="53">
        <f t="shared" si="0"/>
        <v>2250</v>
      </c>
      <c r="L19"/>
      <c r="M19"/>
      <c r="O19" s="4"/>
    </row>
    <row r="20" spans="2:16" s="3" customFormat="1" ht="20.100000000000001" customHeight="1" x14ac:dyDescent="0.25">
      <c r="B20" s="45">
        <v>10</v>
      </c>
      <c r="C20" s="46" t="s">
        <v>58</v>
      </c>
      <c r="D20" s="47" t="s">
        <v>270</v>
      </c>
      <c r="E20" s="59"/>
      <c r="F20" s="108">
        <v>35</v>
      </c>
      <c r="G20" s="56"/>
      <c r="H20" s="51"/>
      <c r="I20" s="52"/>
      <c r="J20" s="53">
        <f t="shared" si="0"/>
        <v>350</v>
      </c>
      <c r="L20"/>
      <c r="M20"/>
      <c r="O20" s="4"/>
    </row>
    <row r="21" spans="2:16" s="3" customFormat="1" ht="20.100000000000001" customHeight="1" x14ac:dyDescent="0.25">
      <c r="B21" s="45">
        <v>8</v>
      </c>
      <c r="C21" s="46" t="s">
        <v>58</v>
      </c>
      <c r="D21" s="47" t="s">
        <v>258</v>
      </c>
      <c r="E21" s="59"/>
      <c r="F21" s="108">
        <v>55</v>
      </c>
      <c r="G21" s="56"/>
      <c r="H21" s="51"/>
      <c r="I21" s="52"/>
      <c r="J21" s="53">
        <f t="shared" si="0"/>
        <v>440</v>
      </c>
      <c r="L21"/>
      <c r="M21"/>
      <c r="O21" s="4"/>
    </row>
    <row r="22" spans="2:16" s="3" customFormat="1" ht="20.100000000000001" customHeight="1" x14ac:dyDescent="0.25">
      <c r="B22" s="45">
        <v>4</v>
      </c>
      <c r="C22" s="46" t="s">
        <v>58</v>
      </c>
      <c r="D22" s="47" t="s">
        <v>259</v>
      </c>
      <c r="E22" s="64"/>
      <c r="F22" s="108">
        <v>45</v>
      </c>
      <c r="G22" s="56"/>
      <c r="H22" s="51"/>
      <c r="I22" s="52"/>
      <c r="J22" s="53">
        <f t="shared" si="0"/>
        <v>180</v>
      </c>
      <c r="L22"/>
      <c r="M22"/>
      <c r="O22" s="4"/>
    </row>
    <row r="23" spans="2:16" s="3" customFormat="1" ht="20.100000000000001" customHeight="1" x14ac:dyDescent="0.25">
      <c r="B23" s="45">
        <v>3</v>
      </c>
      <c r="C23" s="46" t="s">
        <v>58</v>
      </c>
      <c r="D23" s="47" t="s">
        <v>271</v>
      </c>
      <c r="E23" s="59"/>
      <c r="F23" s="108">
        <v>50</v>
      </c>
      <c r="G23" s="56"/>
      <c r="H23" s="51"/>
      <c r="I23" s="52"/>
      <c r="J23" s="53">
        <f t="shared" si="0"/>
        <v>150</v>
      </c>
      <c r="L23"/>
      <c r="M23"/>
      <c r="O23" s="4"/>
    </row>
    <row r="24" spans="2:16" s="3" customFormat="1" ht="20.100000000000001" customHeight="1" x14ac:dyDescent="0.25">
      <c r="B24" s="45">
        <v>2</v>
      </c>
      <c r="C24" s="46" t="s">
        <v>265</v>
      </c>
      <c r="D24" s="47" t="s">
        <v>272</v>
      </c>
      <c r="E24" s="64"/>
      <c r="F24" s="55">
        <v>4200</v>
      </c>
      <c r="G24" s="56"/>
      <c r="H24" s="51"/>
      <c r="I24" s="52"/>
      <c r="J24" s="67">
        <f t="shared" si="0"/>
        <v>8400</v>
      </c>
      <c r="L24"/>
      <c r="M24"/>
      <c r="O24" s="4"/>
    </row>
    <row r="25" spans="2:16" s="3" customFormat="1" ht="20.100000000000001" customHeight="1" x14ac:dyDescent="0.25">
      <c r="B25" s="45"/>
      <c r="C25" s="46"/>
      <c r="D25" s="47"/>
      <c r="E25" s="64"/>
      <c r="F25" s="55"/>
      <c r="G25" s="56"/>
      <c r="H25" s="51"/>
      <c r="I25" s="52"/>
      <c r="J25" s="67"/>
      <c r="L25"/>
      <c r="M25"/>
      <c r="O25" s="4"/>
    </row>
    <row r="26" spans="2:16" s="3" customFormat="1" ht="20.100000000000001" customHeight="1" x14ac:dyDescent="0.25">
      <c r="B26" s="135"/>
      <c r="C26" s="137" t="s">
        <v>16</v>
      </c>
      <c r="D26" s="157" t="s">
        <v>332</v>
      </c>
      <c r="E26" s="158"/>
      <c r="F26" s="143" t="s">
        <v>17</v>
      </c>
      <c r="G26" s="144"/>
      <c r="H26" s="68"/>
      <c r="I26" s="68"/>
      <c r="J26" s="127">
        <f>SUM(J11:J25)</f>
        <v>34630</v>
      </c>
      <c r="L26"/>
      <c r="M26"/>
      <c r="O26" s="4"/>
      <c r="P26" s="86"/>
    </row>
    <row r="27" spans="2:16" s="3" customFormat="1" ht="19.5" customHeight="1" x14ac:dyDescent="0.25">
      <c r="B27" s="136"/>
      <c r="C27" s="138"/>
      <c r="D27" s="159"/>
      <c r="E27" s="160"/>
      <c r="F27" s="145"/>
      <c r="G27" s="146"/>
      <c r="H27" s="68"/>
      <c r="I27" s="68"/>
      <c r="J27" s="128"/>
      <c r="L27"/>
      <c r="M27"/>
      <c r="O27" s="4"/>
      <c r="P27" s="4"/>
    </row>
    <row r="28" spans="2:16" ht="3.75" customHeight="1" x14ac:dyDescent="0.2">
      <c r="E28" s="69"/>
      <c r="F28" s="69"/>
    </row>
    <row r="29" spans="2:16" ht="3.75" customHeight="1" x14ac:dyDescent="0.2">
      <c r="E29" s="69"/>
      <c r="F29" s="69"/>
    </row>
    <row r="30" spans="2:16" x14ac:dyDescent="0.2">
      <c r="E30" s="70"/>
      <c r="F30" s="70"/>
      <c r="G30" s="70"/>
      <c r="H30" s="70"/>
      <c r="I30" s="70"/>
      <c r="J30" s="70"/>
      <c r="M30" s="71"/>
    </row>
    <row r="31" spans="2:16" x14ac:dyDescent="0.2">
      <c r="C31" s="72" t="s">
        <v>18</v>
      </c>
      <c r="D31" s="73"/>
      <c r="E31" s="73" t="s">
        <v>19</v>
      </c>
      <c r="F31" s="73"/>
      <c r="G31" s="74"/>
      <c r="H31" s="73"/>
      <c r="I31" s="73"/>
      <c r="J31" s="73" t="s">
        <v>20</v>
      </c>
      <c r="L31" s="8"/>
      <c r="M31" s="8"/>
      <c r="N31" s="71"/>
      <c r="O31" s="5"/>
      <c r="P31" s="8"/>
    </row>
    <row r="32" spans="2:16" x14ac:dyDescent="0.2">
      <c r="B32" s="75"/>
      <c r="C32" s="73"/>
      <c r="D32" s="73"/>
      <c r="E32" s="73"/>
      <c r="F32" s="73"/>
      <c r="G32" s="74"/>
      <c r="H32" s="73"/>
      <c r="I32" s="73"/>
      <c r="J32" s="73"/>
      <c r="L32" s="8"/>
      <c r="M32" s="8"/>
      <c r="O32" s="5"/>
      <c r="P32" s="8"/>
    </row>
    <row r="33" spans="2:16" ht="15" customHeight="1" x14ac:dyDescent="0.2">
      <c r="B33" s="7"/>
      <c r="C33" s="105" t="s">
        <v>217</v>
      </c>
      <c r="D33" s="76"/>
      <c r="E33" s="73" t="s">
        <v>21</v>
      </c>
      <c r="F33" s="73"/>
      <c r="G33" s="73"/>
      <c r="H33" s="73"/>
      <c r="I33" s="73"/>
      <c r="J33" s="73" t="s">
        <v>22</v>
      </c>
      <c r="L33" s="8"/>
      <c r="M33" s="8"/>
      <c r="O33" s="5"/>
      <c r="P33" s="8"/>
    </row>
    <row r="34" spans="2:16" ht="15" customHeight="1" x14ac:dyDescent="0.2">
      <c r="B34" s="7"/>
      <c r="C34" s="129" t="s">
        <v>266</v>
      </c>
      <c r="D34" s="129"/>
      <c r="E34" s="74" t="s">
        <v>23</v>
      </c>
      <c r="F34" s="73"/>
      <c r="G34" s="73"/>
      <c r="H34" s="73"/>
      <c r="I34" s="73"/>
      <c r="J34" s="74" t="s">
        <v>24</v>
      </c>
      <c r="L34" s="8"/>
      <c r="M34" s="8"/>
      <c r="N34" s="7"/>
      <c r="O34" s="5"/>
      <c r="P34" s="8"/>
    </row>
    <row r="35" spans="2:16" x14ac:dyDescent="0.2">
      <c r="B35" s="7"/>
      <c r="C35" s="73"/>
      <c r="D35" s="72"/>
      <c r="E35" s="74"/>
      <c r="F35" s="73"/>
      <c r="G35" s="73"/>
      <c r="H35" s="73"/>
      <c r="I35" s="73"/>
      <c r="J35" s="74"/>
      <c r="L35" s="8"/>
      <c r="M35" s="8"/>
      <c r="N35" s="77"/>
      <c r="O35" s="5"/>
      <c r="P35" s="8"/>
    </row>
    <row r="36" spans="2:16" x14ac:dyDescent="0.2">
      <c r="B36" s="7"/>
      <c r="C36" s="74"/>
      <c r="D36" s="74"/>
      <c r="E36" s="73"/>
      <c r="F36" s="73"/>
      <c r="G36" s="73"/>
      <c r="H36" s="73"/>
      <c r="I36" s="73"/>
      <c r="J36" s="73"/>
      <c r="L36" s="8"/>
      <c r="M36" s="8"/>
    </row>
    <row r="37" spans="2:16" x14ac:dyDescent="0.2">
      <c r="B37" s="75"/>
      <c r="C37" s="73" t="s">
        <v>25</v>
      </c>
      <c r="D37" s="73"/>
      <c r="E37" s="73"/>
      <c r="F37" s="73"/>
      <c r="G37" s="74"/>
      <c r="H37" s="73"/>
      <c r="I37" s="73"/>
      <c r="J37" s="73" t="s">
        <v>26</v>
      </c>
      <c r="L37" s="8"/>
      <c r="M37" s="8"/>
    </row>
    <row r="38" spans="2:16" x14ac:dyDescent="0.2">
      <c r="B38" s="7"/>
      <c r="C38" s="74"/>
      <c r="D38" s="74"/>
      <c r="E38" s="73"/>
      <c r="F38" s="73"/>
      <c r="G38" s="73"/>
      <c r="H38" s="73"/>
      <c r="I38" s="73"/>
      <c r="J38" s="73"/>
      <c r="L38" s="8"/>
      <c r="M38" s="8"/>
    </row>
    <row r="39" spans="2:16" x14ac:dyDescent="0.2">
      <c r="C39" s="74"/>
      <c r="D39" s="74"/>
      <c r="E39" s="73"/>
      <c r="F39" s="73"/>
      <c r="G39" s="73"/>
      <c r="H39" s="73"/>
      <c r="I39" s="73"/>
      <c r="J39" s="73"/>
      <c r="L39" s="8"/>
      <c r="M39" s="8"/>
    </row>
    <row r="40" spans="2:16" ht="15" customHeight="1" x14ac:dyDescent="0.2">
      <c r="B40" s="7"/>
      <c r="C40" s="73" t="s">
        <v>27</v>
      </c>
      <c r="D40" s="73"/>
      <c r="E40" s="73"/>
      <c r="F40" s="73"/>
      <c r="G40" s="78"/>
      <c r="H40" s="78"/>
      <c r="I40" s="78"/>
      <c r="J40" s="78"/>
      <c r="L40" s="8"/>
      <c r="M40" s="8"/>
    </row>
    <row r="41" spans="2:16" ht="16.5" x14ac:dyDescent="0.35">
      <c r="B41" s="5"/>
      <c r="C41" s="129" t="s">
        <v>29</v>
      </c>
      <c r="D41" s="129"/>
      <c r="E41" s="73"/>
      <c r="F41" s="73"/>
      <c r="G41" s="73"/>
      <c r="H41" s="73"/>
      <c r="I41" s="73"/>
      <c r="J41" s="80" t="s">
        <v>28</v>
      </c>
      <c r="L41" s="8"/>
      <c r="M41" s="95"/>
    </row>
    <row r="42" spans="2:16" x14ac:dyDescent="0.2">
      <c r="B42" s="130"/>
      <c r="C42" s="130"/>
      <c r="E42" s="7"/>
      <c r="F42" s="7"/>
      <c r="L42" s="8"/>
      <c r="M42" s="8"/>
    </row>
    <row r="43" spans="2:16" x14ac:dyDescent="0.2">
      <c r="L43" s="8"/>
      <c r="M43" s="8"/>
    </row>
    <row r="44" spans="2:16" x14ac:dyDescent="0.2">
      <c r="L44" s="8"/>
      <c r="M44" s="8"/>
    </row>
    <row r="45" spans="2:16" ht="15" x14ac:dyDescent="0.25">
      <c r="M45" s="82"/>
    </row>
  </sheetData>
  <mergeCells count="16">
    <mergeCell ref="J26:J27"/>
    <mergeCell ref="C34:D34"/>
    <mergeCell ref="C41:D41"/>
    <mergeCell ref="B42:C42"/>
    <mergeCell ref="D10:E10"/>
    <mergeCell ref="F10:G10"/>
    <mergeCell ref="B26:B27"/>
    <mergeCell ref="C26:C27"/>
    <mergeCell ref="D26:E27"/>
    <mergeCell ref="F26:G27"/>
    <mergeCell ref="B1:F1"/>
    <mergeCell ref="G1:J1"/>
    <mergeCell ref="C3:E3"/>
    <mergeCell ref="C5:E5"/>
    <mergeCell ref="D9:E9"/>
    <mergeCell ref="F9:H9"/>
  </mergeCells>
  <pageMargins left="0.23622047244094491" right="0" top="0.6692913385826772" bottom="0.74803149606299213" header="0.31496062992125984" footer="0.31496062992125984"/>
  <pageSetup scale="85" orientation="portrait" horizontalDpi="300" verticalDpi="300" r:id="rId1"/>
  <headerFooter>
    <oddFooter>&amp;L&amp;"-,Bold"&amp;9        F-PUR-003
       BKN Rev. 5-D 1/21/2024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72</vt:i4>
      </vt:variant>
    </vt:vector>
  </HeadingPairs>
  <TitlesOfParts>
    <vt:vector size="144" baseType="lpstr">
      <vt:lpstr>000</vt:lpstr>
      <vt:lpstr>071</vt:lpstr>
      <vt:lpstr>070</vt:lpstr>
      <vt:lpstr>069</vt:lpstr>
      <vt:lpstr>068</vt:lpstr>
      <vt:lpstr>067</vt:lpstr>
      <vt:lpstr>066</vt:lpstr>
      <vt:lpstr>065</vt:lpstr>
      <vt:lpstr>064</vt:lpstr>
      <vt:lpstr>063</vt:lpstr>
      <vt:lpstr>062</vt:lpstr>
      <vt:lpstr>061</vt:lpstr>
      <vt:lpstr>060</vt:lpstr>
      <vt:lpstr>059</vt:lpstr>
      <vt:lpstr>058</vt:lpstr>
      <vt:lpstr>057</vt:lpstr>
      <vt:lpstr>056</vt:lpstr>
      <vt:lpstr>055</vt:lpstr>
      <vt:lpstr>054</vt:lpstr>
      <vt:lpstr>053</vt:lpstr>
      <vt:lpstr>052</vt:lpstr>
      <vt:lpstr>051</vt:lpstr>
      <vt:lpstr>050</vt:lpstr>
      <vt:lpstr>049</vt:lpstr>
      <vt:lpstr>048</vt:lpstr>
      <vt:lpstr>047</vt:lpstr>
      <vt:lpstr>046</vt:lpstr>
      <vt:lpstr>045</vt:lpstr>
      <vt:lpstr>044</vt:lpstr>
      <vt:lpstr>043</vt:lpstr>
      <vt:lpstr>042</vt:lpstr>
      <vt:lpstr>041</vt:lpstr>
      <vt:lpstr>040</vt:lpstr>
      <vt:lpstr>039</vt:lpstr>
      <vt:lpstr>038</vt:lpstr>
      <vt:lpstr>037</vt:lpstr>
      <vt:lpstr>036</vt:lpstr>
      <vt:lpstr>035</vt:lpstr>
      <vt:lpstr>034</vt:lpstr>
      <vt:lpstr>033</vt:lpstr>
      <vt:lpstr>032</vt:lpstr>
      <vt:lpstr>031</vt:lpstr>
      <vt:lpstr>030</vt:lpstr>
      <vt:lpstr>029</vt:lpstr>
      <vt:lpstr>028</vt:lpstr>
      <vt:lpstr>027</vt:lpstr>
      <vt:lpstr>026</vt:lpstr>
      <vt:lpstr>025</vt:lpstr>
      <vt:lpstr>024</vt:lpstr>
      <vt:lpstr>023</vt:lpstr>
      <vt:lpstr>022</vt:lpstr>
      <vt:lpstr>021</vt:lpstr>
      <vt:lpstr>020</vt:lpstr>
      <vt:lpstr>019</vt:lpstr>
      <vt:lpstr>018</vt:lpstr>
      <vt:lpstr>017</vt:lpstr>
      <vt:lpstr>016</vt:lpstr>
      <vt:lpstr>015</vt:lpstr>
      <vt:lpstr>014</vt:lpstr>
      <vt:lpstr>013</vt:lpstr>
      <vt:lpstr>012</vt:lpstr>
      <vt:lpstr>011</vt:lpstr>
      <vt:lpstr>010</vt:lpstr>
      <vt:lpstr>009</vt:lpstr>
      <vt:lpstr>008</vt:lpstr>
      <vt:lpstr>007</vt:lpstr>
      <vt:lpstr>006</vt:lpstr>
      <vt:lpstr>005</vt:lpstr>
      <vt:lpstr>004</vt:lpstr>
      <vt:lpstr>003</vt:lpstr>
      <vt:lpstr>002</vt:lpstr>
      <vt:lpstr>001</vt:lpstr>
      <vt:lpstr>'000'!Print_Area</vt:lpstr>
      <vt:lpstr>'001'!Print_Area</vt:lpstr>
      <vt:lpstr>'002'!Print_Area</vt:lpstr>
      <vt:lpstr>'003'!Print_Area</vt:lpstr>
      <vt:lpstr>'004'!Print_Area</vt:lpstr>
      <vt:lpstr>'005'!Print_Area</vt:lpstr>
      <vt:lpstr>'006'!Print_Area</vt:lpstr>
      <vt:lpstr>'007'!Print_Area</vt:lpstr>
      <vt:lpstr>'008'!Print_Area</vt:lpstr>
      <vt:lpstr>'009'!Print_Area</vt:lpstr>
      <vt:lpstr>'010'!Print_Area</vt:lpstr>
      <vt:lpstr>'011'!Print_Area</vt:lpstr>
      <vt:lpstr>'012'!Print_Area</vt:lpstr>
      <vt:lpstr>'013'!Print_Area</vt:lpstr>
      <vt:lpstr>'014'!Print_Area</vt:lpstr>
      <vt:lpstr>'015'!Print_Area</vt:lpstr>
      <vt:lpstr>'016'!Print_Area</vt:lpstr>
      <vt:lpstr>'017'!Print_Area</vt:lpstr>
      <vt:lpstr>'018'!Print_Area</vt:lpstr>
      <vt:lpstr>'019'!Print_Area</vt:lpstr>
      <vt:lpstr>'020'!Print_Area</vt:lpstr>
      <vt:lpstr>'021'!Print_Area</vt:lpstr>
      <vt:lpstr>'022'!Print_Area</vt:lpstr>
      <vt:lpstr>'023'!Print_Area</vt:lpstr>
      <vt:lpstr>'024'!Print_Area</vt:lpstr>
      <vt:lpstr>'025'!Print_Area</vt:lpstr>
      <vt:lpstr>'026'!Print_Area</vt:lpstr>
      <vt:lpstr>'027'!Print_Area</vt:lpstr>
      <vt:lpstr>'028'!Print_Area</vt:lpstr>
      <vt:lpstr>'029'!Print_Area</vt:lpstr>
      <vt:lpstr>'030'!Print_Area</vt:lpstr>
      <vt:lpstr>'031'!Print_Area</vt:lpstr>
      <vt:lpstr>'032'!Print_Area</vt:lpstr>
      <vt:lpstr>'033'!Print_Area</vt:lpstr>
      <vt:lpstr>'034'!Print_Area</vt:lpstr>
      <vt:lpstr>'035'!Print_Area</vt:lpstr>
      <vt:lpstr>'036'!Print_Area</vt:lpstr>
      <vt:lpstr>'037'!Print_Area</vt:lpstr>
      <vt:lpstr>'038'!Print_Area</vt:lpstr>
      <vt:lpstr>'039'!Print_Area</vt:lpstr>
      <vt:lpstr>'040'!Print_Area</vt:lpstr>
      <vt:lpstr>'041'!Print_Area</vt:lpstr>
      <vt:lpstr>'042'!Print_Area</vt:lpstr>
      <vt:lpstr>'043'!Print_Area</vt:lpstr>
      <vt:lpstr>'044'!Print_Area</vt:lpstr>
      <vt:lpstr>'045'!Print_Area</vt:lpstr>
      <vt:lpstr>'046'!Print_Area</vt:lpstr>
      <vt:lpstr>'047'!Print_Area</vt:lpstr>
      <vt:lpstr>'048'!Print_Area</vt:lpstr>
      <vt:lpstr>'049'!Print_Area</vt:lpstr>
      <vt:lpstr>'050'!Print_Area</vt:lpstr>
      <vt:lpstr>'051'!Print_Area</vt:lpstr>
      <vt:lpstr>'052'!Print_Area</vt:lpstr>
      <vt:lpstr>'053'!Print_Area</vt:lpstr>
      <vt:lpstr>'054'!Print_Area</vt:lpstr>
      <vt:lpstr>'055'!Print_Area</vt:lpstr>
      <vt:lpstr>'056'!Print_Area</vt:lpstr>
      <vt:lpstr>'057'!Print_Area</vt:lpstr>
      <vt:lpstr>'058'!Print_Area</vt:lpstr>
      <vt:lpstr>'059'!Print_Area</vt:lpstr>
      <vt:lpstr>'060'!Print_Area</vt:lpstr>
      <vt:lpstr>'061'!Print_Area</vt:lpstr>
      <vt:lpstr>'062'!Print_Area</vt:lpstr>
      <vt:lpstr>'063'!Print_Area</vt:lpstr>
      <vt:lpstr>'064'!Print_Area</vt:lpstr>
      <vt:lpstr>'065'!Print_Area</vt:lpstr>
      <vt:lpstr>'066'!Print_Area</vt:lpstr>
      <vt:lpstr>'067'!Print_Area</vt:lpstr>
      <vt:lpstr>'068'!Print_Area</vt:lpstr>
      <vt:lpstr>'069'!Print_Area</vt:lpstr>
      <vt:lpstr>'070'!Print_Area</vt:lpstr>
      <vt:lpstr>'071'!Print_Area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newington mindanao</dc:creator>
  <cp:lastModifiedBy>newington mindanao</cp:lastModifiedBy>
  <cp:lastPrinted>2024-06-27T08:37:53Z</cp:lastPrinted>
  <dcterms:created xsi:type="dcterms:W3CDTF">2024-01-04T08:04:39Z</dcterms:created>
  <dcterms:modified xsi:type="dcterms:W3CDTF">2024-06-28T10:55:34Z</dcterms:modified>
</cp:coreProperties>
</file>