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8F2BCC80-C2EC-431B-B79E-B6B25BA4B4FB}" xr6:coauthVersionLast="41" xr6:coauthVersionMax="41" xr10:uidLastSave="{00000000-0000-0000-0000-000000000000}"/>
  <bookViews>
    <workbookView xWindow="28680" yWindow="-120" windowWidth="29040" windowHeight="15840" tabRatio="781" firstSheet="1" activeTab="2" xr2:uid="{00000000-000D-0000-FFFF-FFFF00000000}"/>
  </bookViews>
  <sheets>
    <sheet name="import" sheetId="1" r:id="rId1"/>
    <sheet name="lookup_helper" sheetId="5" r:id="rId2"/>
    <sheet name="0ATitlePg" sheetId="4" r:id="rId3"/>
    <sheet name="0BUsingThisReport" sheetId="13"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state="hidden" r:id="rId12"/>
  </sheets>
  <definedNames>
    <definedName name="_xlnm._FilterDatabase" localSheetId="0" hidden="1">import!$A$1:$G$117</definedName>
    <definedName name="_xlnm._FilterDatabase" localSheetId="1" hidden="1">lookup_helper!$A$3:$I$119</definedName>
    <definedName name="_Hlk20929805" localSheetId="7">'4EconProsperity'!$A$80</definedName>
    <definedName name="_Hlk20929868" localSheetId="10">'7SGR'!$A$4</definedName>
    <definedName name="_xlnm.Print_Area" localSheetId="4">'1ReduceVMT'!$A$1:$H$42</definedName>
    <definedName name="_xlnm.Print_Area" localSheetId="6">'3Multimodal'!$A$1:$H$25</definedName>
    <definedName name="_xlnm.Print_Area" localSheetId="8">'5Freight'!$A$1:$H$25</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4" i="5" l="1"/>
  <c r="E64" i="5"/>
  <c r="F64" i="5"/>
  <c r="G64" i="5"/>
  <c r="H64" i="5"/>
  <c r="I64" i="5"/>
  <c r="E113" i="5" l="1"/>
  <c r="F113" i="5"/>
  <c r="G113" i="5"/>
  <c r="H113" i="5"/>
  <c r="I113" i="5"/>
  <c r="D113" i="5" l="1"/>
  <c r="E32" i="4" s="1"/>
  <c r="Q18" i="5" l="1" a="1"/>
  <c r="Q18" i="5" s="1"/>
  <c r="A44" i="4"/>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B14" i="5"/>
  <c r="B15" i="5"/>
  <c r="B16" i="5"/>
  <c r="H2" i="11" s="1"/>
  <c r="B17" i="5"/>
  <c r="B12" i="5"/>
  <c r="H1" i="3" l="1"/>
  <c r="C39" i="9"/>
  <c r="Q14" i="5" a="1"/>
  <c r="Q14" i="5" s="1"/>
  <c r="A8" i="9"/>
  <c r="A11" i="8"/>
  <c r="R14" i="5" a="1"/>
  <c r="R8" i="5" a="1"/>
  <c r="Q16" i="5" a="1"/>
  <c r="H1" i="9"/>
  <c r="H2" i="6"/>
  <c r="H1" i="7"/>
  <c r="H2" i="9"/>
  <c r="H1" i="8"/>
  <c r="H2" i="7"/>
  <c r="A39" i="9"/>
  <c r="Q17" i="5" a="1"/>
  <c r="Q17" i="5" s="1"/>
  <c r="H1" i="2"/>
  <c r="H2" i="8"/>
  <c r="R17" i="5" a="1"/>
  <c r="Q8" i="5" a="1"/>
  <c r="Q8" i="5" s="1"/>
  <c r="R16" i="5" a="1"/>
  <c r="H1" i="11"/>
  <c r="H2" i="2"/>
  <c r="B39" i="9"/>
  <c r="R15" i="5" a="1"/>
  <c r="R9" i="5" a="1"/>
  <c r="H1" i="10"/>
  <c r="A11" i="11"/>
  <c r="H2" i="3"/>
  <c r="C11" i="11"/>
  <c r="B11" i="11"/>
  <c r="Q9" i="5" a="1"/>
  <c r="Q9" i="5" s="1"/>
  <c r="H1" i="6"/>
  <c r="H2" i="10"/>
  <c r="A6" i="8"/>
  <c r="A26" i="3"/>
  <c r="B22" i="3"/>
  <c r="R14" i="5"/>
  <c r="Q16" i="5"/>
  <c r="Q15" i="5"/>
  <c r="A2" i="4"/>
  <c r="B23" i="3" l="1"/>
  <c r="R16" i="5"/>
  <c r="R15" i="5"/>
  <c r="R9" i="5"/>
  <c r="R17" i="5"/>
  <c r="R8" i="5"/>
  <c r="C23" i="3" l="1"/>
</calcChain>
</file>

<file path=xl/sharedStrings.xml><?xml version="1.0" encoding="utf-8"?>
<sst xmlns="http://schemas.openxmlformats.org/spreadsheetml/2006/main" count="607" uniqueCount="292">
  <si>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</si>
  <si>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</si>
  <si>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</si>
  <si>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</si>
  <si>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</si>
  <si>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</si>
  <si>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</si>
  <si>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</si>
  <si>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</si>
  <si>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</si>
  <si>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</si>
  <si>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</si>
  <si>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</si>
  <si>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</si>
  <si>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</si>
  <si>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</si>
  <si>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</si>
  <si>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</si>
  <si>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</si>
  <si>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</si>
  <si>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</si>
  <si>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</si>
  <si>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</si>
  <si>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</si>
  <si>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</si>
  <si>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</si>
  <si>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</si>
  <si>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</si>
  <si>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</si>
  <si>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</si>
  <si>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</si>
  <si>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</si>
  <si>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</si>
  <si>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</si>
  <si>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</si>
  <si>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</si>
  <si>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</si>
  <si>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</si>
  <si>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</si>
  <si>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</si>
  <si>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</si>
  <si>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</si>
  <si>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</si>
  <si>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</si>
  <si>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</si>
  <si>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</si>
  <si>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</si>
  <si>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</si>
  <si>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</si>
  <si>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</si>
  <si>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</si>
  <si>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</si>
  <si>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</si>
  <si>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</si>
  <si>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</si>
  <si>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</si>
  <si>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</si>
  <si>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</si>
  <si>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</si>
  <si>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</si>
  <si>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</si>
  <si>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</si>
  <si>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</si>
  <si>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</si>
  <si>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</si>
  <si>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</si>
  <si>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</si>
  <si>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</si>
  <si>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</si>
  <si>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</si>
  <si>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</si>
  <si>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</si>
  <si>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</si>
  <si>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</si>
  <si>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</si>
  <si>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</si>
  <si>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</si>
  <si>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</si>
  <si>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</si>
  <si>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</si>
  <si>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</si>
  <si>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</si>
  <si>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</si>
  <si>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</si>
  <si>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</si>
  <si>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</si>
  <si>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</si>
  <si>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</si>
  <si>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</si>
  <si>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</si>
  <si>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</si>
  <si>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</si>
  <si>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</si>
  <si>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</si>
  <si>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</si>
  <si>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</si>
  <si>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</si>
  <si>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</si>
  <si>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</si>
  <si>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</si>
  <si>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</si>
  <si>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</si>
  <si>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</si>
  <si>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</si>
  <si>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</si>
  <si>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</si>
  <si>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</si>
  <si>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</si>
  <si>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</si>
  <si>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</si>
  <si>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</si>
  <si>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</si>
  <si>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</si>
  <si>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</si>
  <si>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</si>
  <si>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</si>
  <si>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</si>
  <si>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</si>
  <si>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</si>
  <si>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</si>
  <si>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</si>
  <si>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</si>
  <si>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</si>
  <si>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</si>
  <si>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</si>
  <si>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</si>
  <si>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</si>
  <si>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</si>
  <si>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</si>
  <si>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</si>
  <si>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</si>
  <si>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</si>
  <si>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</si>
  <si>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</si>
  <si>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</si>
  <si>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</si>
  <si>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</si>
  <si>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</si>
  <si>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</si>
  <si>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</si>
  <si>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</si>
  <si>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</si>
  <si>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</si>
  <si>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</si>
  <si>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</si>
  <si>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</si>
  <si>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</si>
  <si>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</si>
  <si>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</si>
  <si>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</si>
  <si>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</si>
  <si>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</si>
  <si>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</si>
  <si>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</si>
  <si>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</si>
  <si>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</si>
  <si>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</si>
  <si>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</si>
  <si>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</si>
  <si>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</si>
  <si>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</si>
  <si>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</si>
  <si>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</si>
  <si>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</si>
  <si>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</si>
  <si>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</si>
  <si>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</si>
  <si>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</si>
  <si>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</si>
  <si>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</si>
  <si>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</si>
  <si>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</si>
  <si>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</si>
  <si>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</si>
  <si>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</si>
  <si>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</si>
  <si>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</si>
  <si>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</si>
  <si>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</si>
  <si>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</si>
  <si>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</si>
  <si>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</si>
  <si>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</si>
  <si>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</si>
  <si>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</si>
  <si>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</si>
  <si>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</si>
  <si>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</si>
  <si>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</si>
  <si>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</si>
  <si>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</si>
  <si>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</si>
  <si>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</si>
  <si>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</si>
  <si>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</si>
  <si>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</si>
  <si>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</si>
  <si>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</si>
  <si>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</si>
  <si>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</si>
  <si>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</si>
  <si>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</si>
  <si>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</si>
  <si>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</si>
  <si>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</si>
  <si>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</si>
  <si>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</si>
  <si>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</si>
  <si>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</si>
  <si>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</si>
  <si>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</si>
  <si>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</si>
  <si>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</si>
  <si>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</si>
  <si>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</si>
  <si>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</si>
  <si>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</si>
  <si>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</si>
  <si>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</si>
  <si>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</si>
  <si>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</si>
  <si>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</si>
  <si>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</si>
  <si>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</si>
  <si>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Promote Economic Prosperity</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</si>
  <si>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</si>
  <si>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</si>
  <si>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</si>
  <si>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</si>
  <si>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</si>
  <si>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Improve Freight Movement</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</si>
  <si>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</si>
  <si>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</si>
  <si>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</si>
  <si>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</si>
  <si>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</si>
  <si>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</si>
  <si>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project_cline_len</t>
  </si>
  <si>
    <t>Project Length (Centerline Miles)</t>
  </si>
  <si>
    <t>Maintain a state of good repair</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</si>
  <si>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</si>
  <si>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</si>
  <si>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</si>
  <si>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</si>
  <si>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</si>
  <si>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</si>
  <si>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</si>
  <si>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</si>
  <si>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</si>
  <si>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</si>
  <si>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</si>
  <si>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</si>
  <si>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</si>
  <si>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On project segment</t>
  </si>
  <si>
    <t>Freight Performance Indicator 1: Percent of project that is on federally-recognized STAA truck route*:</t>
  </si>
  <si>
    <t>Increase Job Access</t>
  </si>
  <si>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</si>
  <si>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</si>
  <si>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</si>
  <si>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</si>
  <si>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</si>
  <si>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</si>
  <si>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</si>
  <si>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</si>
  <si>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</si>
  <si>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</si>
  <si>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</si>
  <si>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</si>
  <si>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</si>
  <si>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</si>
  <si>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</si>
  <si>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</si>
  <si>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Using This Report</t>
  </si>
  <si>
    <t>VMT Indicator 2: Average Weekday Vehicle Occupancy on Project Segment</t>
  </si>
  <si>
    <t>Economic Prosperity Indicator 1: Total jobs within 30-min car trip</t>
  </si>
  <si>
    <t>Economic Prosperity Indicator 2: Education facilities (K-12 schools and higher-education) ccessible within 30-minute car trip</t>
  </si>
  <si>
    <t>Freight Performance Indicator 2: Share of traffic on segment that is trucks</t>
  </si>
  <si>
    <t>Safety Indicator 3: Share of collisions that are fatal on project segment</t>
  </si>
  <si>
    <t>CURRENTLY A PLACEHOLDER ONLY</t>
  </si>
  <si>
    <t>Average weekday transit person trips</t>
  </si>
  <si>
    <t>Multi-modal indicator 1: Daily Transit Person-Trips on Project Segment*</t>
  </si>
  <si>
    <t>*NOTE: transit trips are estimated by SACOG's SACSIM19 travel demand model</t>
  </si>
  <si>
    <r>
      <t>*For freeways, 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</si>
  <si>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</si>
  <si>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</si>
  <si>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t>What this report does NOT do</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</si>
  <si>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</si>
  <si>
    <t>&lt;insert job accessibility map&gt;</t>
  </si>
  <si>
    <t>&lt;insert higher ed facility accessibility map&gt;</t>
  </si>
  <si>
    <t>*STAA = Surface Transportation Assistance Act. Under this act, designated STAA truck routes must meet federal design guidelines to safely accommodate large trucks.
All grade-separated freeways within the SACOG region are designated STAA truck routes</t>
  </si>
  <si>
    <t>Due to receiving funding through Caltrans's SHOPP program, freeway projects are not evaluated for Funding Round money based on maintenance need. Therefore, state-of-good-repair metrics are omitted from the Project Performance Assessment report for freeway projects.</t>
  </si>
  <si>
    <t>VMT Indicator 1: Average Weekday Transit Passenger Trips on Project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</si>
</sst>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i/>
      <sz val="10"/>
      <color theme="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3">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6" fillId="0" borderId="0" xfId="0" applyFont="1" applyAlignment="1">
      <alignment vertical="center"/>
    </xf>
    <xf numFmtId="0" fontId="0" fillId="0" borderId="21" xfId="0" applyBorder="1"/>
    <xf numFmtId="0" fontId="0" fillId="0" borderId="0" xfId="0" applyAlignment="1">
      <alignment vertical="center"/>
    </xf>
    <xf numFmtId="0" fontId="26" fillId="0" borderId="0" xfId="0" applyFont="1"/>
    <xf numFmtId="165" fontId="0" fillId="0" borderId="20" xfId="1" applyNumberFormat="1" applyFont="1" applyBorder="1" applyAlignment="1">
      <alignment horizontal="center" vertical="center" wrapText="1"/>
    </xf>
    <xf numFmtId="166" fontId="0" fillId="0" borderId="0" xfId="1" applyNumberFormat="1" applyFont="1" applyAlignment="1">
      <alignment horizontal="left"/>
    </xf>
    <xf numFmtId="3" fontId="0" fillId="0" borderId="21"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7"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1" xfId="0" applyBorder="1" applyAlignment="1">
      <alignment horizontal="center"/>
    </xf>
    <xf numFmtId="0" fontId="0" fillId="0" borderId="21" xfId="0" applyFont="1" applyBorder="1" applyAlignment="1">
      <alignment vertical="center" wrapText="1"/>
    </xf>
    <xf numFmtId="0" fontId="26" fillId="0" borderId="21" xfId="0" applyFont="1" applyBorder="1" applyAlignment="1">
      <alignment horizontal="left" vertical="center" indent="2"/>
    </xf>
    <xf numFmtId="43" fontId="0" fillId="0" borderId="0" xfId="1" applyNumberFormat="1" applyFont="1"/>
    <xf numFmtId="2" fontId="0" fillId="0" borderId="21"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165" fontId="0" fillId="0" borderId="0" xfId="0" applyNumberFormat="1"/>
    <xf numFmtId="0" fontId="0" fillId="0" borderId="0" xfId="0" applyFill="1"/>
    <xf numFmtId="0" fontId="0" fillId="0" borderId="0" xfId="0" applyFill="1" applyAlignment="1">
      <alignment wrapText="1"/>
    </xf>
    <xf numFmtId="164" fontId="0" fillId="0" borderId="0" xfId="1" applyNumberFormat="1" applyFont="1" applyFill="1"/>
    <xf numFmtId="43" fontId="0" fillId="0" borderId="0" xfId="1" applyFont="1" applyFill="1"/>
    <xf numFmtId="0" fontId="0" fillId="33" borderId="0" xfId="0" applyFill="1"/>
    <xf numFmtId="164" fontId="0" fillId="0" borderId="0" xfId="1" applyNumberFormat="1" applyFont="1" applyBorder="1"/>
    <xf numFmtId="0" fontId="0" fillId="0" borderId="0" xfId="0" applyFont="1" applyBorder="1"/>
    <xf numFmtId="0" fontId="0" fillId="0" borderId="0" xfId="0" applyFont="1" applyBorder="1" applyAlignment="1">
      <alignment horizontal="center" vertical="center" wrapText="1"/>
    </xf>
    <xf numFmtId="9" fontId="1" fillId="0" borderId="0" xfId="2" applyFont="1" applyBorder="1" applyAlignment="1">
      <alignment horizontal="center" vertical="center" wrapText="1"/>
    </xf>
    <xf numFmtId="9" fontId="0" fillId="0" borderId="18" xfId="2" applyFont="1" applyBorder="1" applyAlignment="1">
      <alignment horizontal="left"/>
    </xf>
    <xf numFmtId="0" fontId="0" fillId="33" borderId="0" xfId="0" applyFont="1" applyFill="1" applyAlignment="1">
      <alignment horizontal="left"/>
    </xf>
    <xf numFmtId="0" fontId="30" fillId="0" borderId="0" xfId="0" applyFont="1"/>
    <xf numFmtId="0" fontId="29" fillId="0" borderId="0" xfId="0" applyFont="1" applyAlignment="1">
      <alignment vertical="center" wrapText="1"/>
    </xf>
    <xf numFmtId="0" fontId="31" fillId="0" borderId="0" xfId="0" applyFont="1" applyAlignment="1">
      <alignment vertical="center"/>
    </xf>
    <xf numFmtId="0" fontId="0" fillId="0" borderId="0" xfId="0" applyFont="1" applyFill="1" applyBorder="1" applyAlignment="1">
      <alignment vertical="center"/>
    </xf>
    <xf numFmtId="0" fontId="16" fillId="0" borderId="0" xfId="0" applyFont="1" applyBorder="1" applyAlignment="1">
      <alignment vertical="center"/>
    </xf>
    <xf numFmtId="3" fontId="0" fillId="0" borderId="0" xfId="0" applyNumberFormat="1" applyBorder="1"/>
    <xf numFmtId="0" fontId="0" fillId="0" borderId="0" xfId="0" applyFont="1" applyFill="1" applyAlignment="1">
      <alignment horizontal="left"/>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21" fillId="0" borderId="0" xfId="0" applyFont="1" applyAlignment="1">
      <alignment vertical="center" wrapText="1"/>
    </xf>
    <xf numFmtId="0" fontId="16" fillId="0" borderId="0" xfId="0" applyFont="1" applyAlignment="1">
      <alignment horizontal="left" vertical="center" wrapText="1"/>
    </xf>
    <xf numFmtId="0" fontId="0" fillId="0" borderId="0" xfId="0" applyAlignment="1">
      <alignment horizontal="left" vertical="top" wrapText="1"/>
    </xf>
    <xf numFmtId="0" fontId="16"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Average Weekday Vehicle Occupancy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lookup_helper!$B$63</c:f>
              <c:strCache>
                <c:ptCount val="1"/>
                <c:pt idx="0">
                  <c:v>Average vehicle occupancy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lookup_helper!$D$63:$E$63</c:f>
              <c:numCache>
                <c:formatCode>0.0</c:formatCode>
                <c:ptCount val="2"/>
                <c:pt idx="0">
                  <c:v>1.3710956366053659</c:v>
                </c:pt>
                <c:pt idx="1">
                  <c:v>1.3582230858271871</c:v>
                </c:pt>
              </c:numCache>
            </c:numRef>
          </c:val>
          <c:extLst>
            <c:ext xmlns:c16="http://schemas.microsoft.com/office/drawing/2014/chart" uri="{C3380CC4-5D6E-409C-BE32-E72D297353CC}">
              <c16:uniqueId val="{00000001-B491-414D-87FE-EBCCFE3DFA5E}"/>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Vehicle Occupancy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layout>
        <c:manualLayout>
          <c:xMode val="edge"/>
          <c:yMode val="edge"/>
          <c:x val="0.1313432145714617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CECD-4877-919E-CB650305B17F}"/>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96B7-428C-B82A-26DF7FB4D57E}"/>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Auto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lookup_helper!$B$45</c:f>
              <c:strCache>
                <c:ptCount val="1"/>
                <c:pt idx="0">
                  <c:v>Jobs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(lookup_helper!$D$45,lookup_helper!$F$45,lookup_helper!$G$45)</c:f>
              <c:numCache>
                <c:formatCode>_(* #,##0_);_(* \(#,##0\);_(* "-"??_);_(@_)</c:formatCode>
                <c:ptCount val="3"/>
                <c:pt idx="0">
                  <c:v>45512.183253012037</c:v>
                </c:pt>
                <c:pt idx="1">
                  <c:v>115470.05312773889</c:v>
                </c:pt>
                <c:pt idx="2">
                  <c:v>475047.24569611409</c:v>
                </c:pt>
              </c:numCache>
            </c:numRef>
          </c:val>
          <c:extLst>
            <c:ext xmlns:c16="http://schemas.microsoft.com/office/drawing/2014/chart" uri="{C3380CC4-5D6E-409C-BE32-E72D297353CC}">
              <c16:uniqueId val="{00000000-CD7C-481A-9B7F-2CB203CF8E1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Auto Access to Higher</a:t>
            </a:r>
            <a:r>
              <a:rPr lang="en-US" baseline="0"/>
              <a:t> Ed 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lookup_helper!$B$49</c:f>
              <c:strCache>
                <c:ptCount val="1"/>
                <c:pt idx="0">
                  <c:v>Edu Facilities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(lookup_helper!$D$49,lookup_helper!$F$49,lookup_helper!$G$49)</c:f>
              <c:numCache>
                <c:formatCode>_(* #,##0_);_(* \(#,##0\);_(* "-"??_);_(@_)</c:formatCode>
                <c:ptCount val="3"/>
                <c:pt idx="0">
                  <c:v>94.170281124498004</c:v>
                </c:pt>
                <c:pt idx="1">
                  <c:v>163.7723231043594</c:v>
                </c:pt>
                <c:pt idx="2">
                  <c:v>492.55290133648589</c:v>
                </c:pt>
              </c:numCache>
            </c:numRef>
          </c:val>
          <c:extLst>
            <c:ext xmlns:c16="http://schemas.microsoft.com/office/drawing/2014/chart" uri="{C3380CC4-5D6E-409C-BE32-E72D297353CC}">
              <c16:uniqueId val="{00000000-C0E9-4CCC-B819-0EA5E379B4E4}"/>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Ed Facilities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38816488548911826"/>
          <c:h val="6.61770644054108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Collisions that are Fatal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lookup_helper!$B$90</c:f>
              <c:strCache>
                <c:ptCount val="1"/>
                <c:pt idx="0">
                  <c:v>Pct of collisions that are fatal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(lookup_helper!$D$90,lookup_helper!$F$90,lookup_helper!$G$90)</c:f>
              <c:numCache>
                <c:formatCode>0%</c:formatCode>
                <c:ptCount val="3"/>
                <c:pt idx="0">
                  <c:v>3.5714285714285719E-2</c:v>
                </c:pt>
                <c:pt idx="1">
                  <c:v>2.7369826435246991E-2</c:v>
                </c:pt>
                <c:pt idx="2">
                  <c:v>2.022900763358779E-2</c:v>
                </c:pt>
              </c:numCache>
            </c:numRef>
          </c:val>
          <c:extLst>
            <c:ext xmlns:c16="http://schemas.microsoft.com/office/drawing/2014/chart" uri="{C3380CC4-5D6E-409C-BE32-E72D297353CC}">
              <c16:uniqueId val="{00000000-D52C-4E6F-9CD2-E93D7EFB0F67}"/>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23</xdr:row>
      <xdr:rowOff>114300</xdr:rowOff>
    </xdr:from>
    <xdr:to>
      <xdr:col>6</xdr:col>
      <xdr:colOff>142875</xdr:colOff>
      <xdr:row>39</xdr:row>
      <xdr:rowOff>133350</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5</xdr:row>
      <xdr:rowOff>38100</xdr:rowOff>
    </xdr:from>
    <xdr:to>
      <xdr:col>6</xdr:col>
      <xdr:colOff>300038</xdr:colOff>
      <xdr:row>19</xdr:row>
      <xdr:rowOff>114300</xdr:rowOff>
    </xdr:to>
    <xdr:graphicFrame macro="">
      <xdr:nvGraphicFramePr>
        <xdr:cNvPr id="4" name="Chart 3">
          <a:extLst>
            <a:ext uri="{FF2B5EF4-FFF2-40B4-BE49-F238E27FC236}">
              <a16:creationId xmlns:a16="http://schemas.microsoft.com/office/drawing/2014/main" id="{CF33AE87-B3B9-4E41-9D49-9E77164EF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328611</xdr:colOff>
      <xdr:row>5</xdr:row>
      <xdr:rowOff>176212</xdr:rowOff>
    </xdr:from>
    <xdr:to>
      <xdr:col>6</xdr:col>
      <xdr:colOff>428624</xdr:colOff>
      <xdr:row>20</xdr:row>
      <xdr:rowOff>61912</xdr:rowOff>
    </xdr:to>
    <xdr:graphicFrame macro="">
      <xdr:nvGraphicFramePr>
        <xdr:cNvPr id="2" name="Chart 1">
          <a:extLst>
            <a:ext uri="{FF2B5EF4-FFF2-40B4-BE49-F238E27FC236}">
              <a16:creationId xmlns:a16="http://schemas.microsoft.com/office/drawing/2014/main" id="{64B4C2DA-2C44-4534-947B-135130204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90486</xdr:colOff>
      <xdr:row>8</xdr:row>
      <xdr:rowOff>66675</xdr:rowOff>
    </xdr:from>
    <xdr:to>
      <xdr:col>7</xdr:col>
      <xdr:colOff>552450</xdr:colOff>
      <xdr:row>21</xdr:row>
      <xdr:rowOff>161925</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45</xdr:row>
      <xdr:rowOff>114300</xdr:rowOff>
    </xdr:from>
    <xdr:to>
      <xdr:col>7</xdr:col>
      <xdr:colOff>642938</xdr:colOff>
      <xdr:row>60</xdr:row>
      <xdr:rowOff>28575</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46</xdr:row>
      <xdr:rowOff>76200</xdr:rowOff>
    </xdr:from>
    <xdr:to>
      <xdr:col>6</xdr:col>
      <xdr:colOff>314324</xdr:colOff>
      <xdr:row>63</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265</v>
      </c>
      <c r="B3" t="s">
        <v>263</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237</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1">
        <v>1.3624389724527719</v>
      </c>
    </row>
    <row r="69" spans="1:5" x14ac:dyDescent="0.25">
      <c r="A69" s="2" t="s">
        <v>66</v>
      </c>
      <c r="B69" s="7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B1" sqref="B1"/>
      <selection pane="bottomLeft" activeCell="F16" sqref="F16"/>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175</v>
      </c>
    </row>
    <row r="4" spans="1:18" x14ac:dyDescent="0.25">
      <c r="A4" t="s">
        <v>31</v>
      </c>
      <c r="B4" s="28" t="s">
        <v>160</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56" t="s">
        <v>257</v>
      </c>
      <c r="Q18" s="54">
        <f t="array" ref="Q18">MAX(IF(ISNUMBER(SEARCH("calc_len",import!$A:$A)),import!$B:$B))</f>
        <v>7460.2525126827086</v>
      </c>
      <c r="R18" s="55"/>
    </row>
    <row r="19" spans="1:18" x14ac:dyDescent="0.25">
      <c r="A19" t="s">
        <v>35</v>
      </c>
      <c r="B19" s="28" t="s">
        <v>163</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53" t="s">
        <v>256</v>
      </c>
      <c r="Q19" s="57">
        <f>(Q18/5280)/D118</f>
        <v>1.0020756115251865</v>
      </c>
    </row>
    <row r="20" spans="1:18" x14ac:dyDescent="0.25">
      <c r="A20" t="s">
        <v>36</v>
      </c>
      <c r="B20" s="28" t="s">
        <v>164</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228</v>
      </c>
      <c r="C60" t="s">
        <v>210</v>
      </c>
      <c r="D60" s="5">
        <f>VLOOKUP($A60,import!$A:$G,MATCH(lookup_helper!D$1,import!$A$1:$G$1,0),FALSE)</f>
        <v>0.1021114271418558</v>
      </c>
      <c r="E60" s="5">
        <f>VLOOKUP($A60,import!$A:$G,MATCH(lookup_helper!E$1,import!$A$1:$G$1,0),FALSE)</f>
        <v>0</v>
      </c>
      <c r="F60" s="5">
        <f>VLOOKUP($A60,import!$A:$G,MATCH(lookup_helper!F$1,import!$A$1:$G$1,0),FALSE)</f>
        <v>5.8844134774233253E-2</v>
      </c>
      <c r="G60" s="5">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210</v>
      </c>
      <c r="D61" s="75">
        <f>VLOOKUP($A61,import!$A:$G,MATCH(lookup_helper!D$1,import!$A$1:$G$1,0),FALSE)</f>
        <v>1.872619731652339</v>
      </c>
      <c r="E61" s="75">
        <f>VLOOKUP($A61,import!$A:$G,MATCH(lookup_helper!E$1,import!$A$1:$G$1,0),FALSE)</f>
        <v>0</v>
      </c>
      <c r="F61" s="75">
        <f>VLOOKUP($A61,import!$A:$G,MATCH(lookup_helper!F$1,import!$A$1:$G$1,0),FALSE)</f>
        <v>7.4149284958128156E-2</v>
      </c>
      <c r="G61" s="75">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227</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106</v>
      </c>
      <c r="B63" s="28" t="s">
        <v>196</v>
      </c>
      <c r="C63" t="s">
        <v>216</v>
      </c>
      <c r="D63" s="75">
        <f>VLOOKUP($A63,import!$A:$G,MATCH(lookup_helper!D$1,import!$A$1:$G$1,0),FALSE)</f>
        <v>1.3710956366053659</v>
      </c>
      <c r="E63" s="75">
        <f>VLOOKUP($A63,import!$A:$G,MATCH(lookup_helper!E$1,import!$A$1:$G$1,0),FALSE)</f>
        <v>1.3582230858271871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s="76" customFormat="1" x14ac:dyDescent="0.25">
      <c r="A64" s="76" t="s">
        <v>105</v>
      </c>
      <c r="B64" s="77" t="s">
        <v>279</v>
      </c>
      <c r="C64" s="76" t="s">
        <v>216</v>
      </c>
      <c r="D64" s="75">
        <f>VLOOKUP($A64,import!$A:$G,MATCH(lookup_helper!D$1,import!$A$1:$G$1,0),FALSE)</f>
        <v>13.047842643653521</v>
      </c>
      <c r="E64" s="75">
        <f>VLOOKUP($A64,import!$A:$G,MATCH(lookup_helper!E$1,import!$A$1:$G$1,0),FALSE)</f>
        <v>69.301955921047991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6" customFormat="1" ht="30" x14ac:dyDescent="0.25">
      <c r="A65" s="76" t="s">
        <v>30</v>
      </c>
      <c r="B65" s="77" t="s">
        <v>159</v>
      </c>
      <c r="C65" s="76" t="s">
        <v>208</v>
      </c>
      <c r="D65" s="78">
        <f>VLOOKUP($A65,import!$A:$G,MATCH(lookup_helper!D$1,import!$A$1:$G$1,0),FALSE)</f>
        <v>1175.845221386116</v>
      </c>
      <c r="E65" s="78">
        <f>VLOOKUP($A65,import!$A:$G,MATCH(lookup_helper!E$1,import!$A$1:$G$1,0),FALSE)</f>
        <v>0</v>
      </c>
      <c r="F65" s="78">
        <f>VLOOKUP($A65,import!$A:$G,MATCH(lookup_helper!F$1,import!$A$1:$G$1,0),FALSE)</f>
        <v>0</v>
      </c>
      <c r="G65" s="78">
        <f>VLOOKUP($A65,import!$A:$G,MATCH(lookup_helper!G$1,import!$A$1:$G$1,0),FALSE)</f>
        <v>0</v>
      </c>
      <c r="H65" s="76">
        <f>VLOOKUP($A65,import!$A:$G,MATCH(lookup_helper!H$1,import!$A$1:$G$1,0),FALSE)</f>
        <v>0</v>
      </c>
      <c r="I65" s="76">
        <f>VLOOKUP($A65,import!$A:$G,MATCH(lookup_helper!I$1,import!$A$1:$G$1,0),FALSE)</f>
        <v>0</v>
      </c>
    </row>
    <row r="66" spans="1:9" x14ac:dyDescent="0.25">
      <c r="A66" t="s">
        <v>34</v>
      </c>
      <c r="B66" s="28" t="s">
        <v>162</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6" customFormat="1" x14ac:dyDescent="0.25">
      <c r="A80" s="76" t="s">
        <v>88</v>
      </c>
      <c r="B80" s="77" t="s">
        <v>186</v>
      </c>
      <c r="C80" s="76" t="s">
        <v>213</v>
      </c>
      <c r="D80" s="78">
        <f>VLOOKUP($A80,import!$A:$G,MATCH(lookup_helper!D$1,import!$A$1:$G$1,0),FALSE)</f>
        <v>1916</v>
      </c>
      <c r="E80" s="78">
        <f>VLOOKUP($A80,import!$A:$G,MATCH(lookup_helper!E$1,import!$A$1:$G$1,0),FALSE)</f>
        <v>2072.611115859987</v>
      </c>
      <c r="F80" s="76">
        <f>VLOOKUP($A80,import!$A:$G,MATCH(lookup_helper!F$1,import!$A$1:$G$1,0),FALSE)</f>
        <v>0</v>
      </c>
      <c r="G80" s="76">
        <f>VLOOKUP($A80,import!$A:$G,MATCH(lookup_helper!G$1,import!$A$1:$G$1,0),FALSE)</f>
        <v>0</v>
      </c>
      <c r="H80" s="76">
        <f>VLOOKUP($A80,import!$A:$G,MATCH(lookup_helper!H$1,import!$A$1:$G$1,0),FALSE)</f>
        <v>0</v>
      </c>
      <c r="I80" s="76">
        <f>VLOOKUP($A80,import!$A:$G,MATCH(lookup_helper!I$1,import!$A$1:$G$1,0),FALSE)</f>
        <v>0</v>
      </c>
    </row>
    <row r="81" spans="1:16" s="76" customFormat="1" x14ac:dyDescent="0.25">
      <c r="A81" s="76" t="s">
        <v>89</v>
      </c>
      <c r="B81" s="77" t="s">
        <v>184</v>
      </c>
      <c r="C81" s="76" t="s">
        <v>213</v>
      </c>
      <c r="D81" s="78">
        <f>VLOOKUP($A81,import!$A:$G,MATCH(lookup_helper!D$1,import!$A$1:$G$1,0),FALSE)</f>
        <v>1769</v>
      </c>
      <c r="E81" s="78">
        <f>VLOOKUP($A81,import!$A:$G,MATCH(lookup_helper!E$1,import!$A$1:$G$1,0),FALSE)</f>
        <v>2761.6599999999989</v>
      </c>
      <c r="F81" s="76">
        <f>VLOOKUP($A81,import!$A:$G,MATCH(lookup_helper!F$1,import!$A$1:$G$1,0),FALSE)</f>
        <v>0</v>
      </c>
      <c r="G81" s="76">
        <f>VLOOKUP($A81,import!$A:$G,MATCH(lookup_helper!G$1,import!$A$1:$G$1,0),FALSE)</f>
        <v>0</v>
      </c>
      <c r="H81" s="76">
        <f>VLOOKUP($A81,import!$A:$G,MATCH(lookup_helper!H$1,import!$A$1:$G$1,0),FALSE)</f>
        <v>0</v>
      </c>
      <c r="I81" s="76">
        <f>VLOOKUP($A81,import!$A:$G,MATCH(lookup_helper!I$1,import!$A$1:$G$1,0),FALSE)</f>
        <v>0</v>
      </c>
    </row>
    <row r="82" spans="1:16" s="76" customFormat="1" x14ac:dyDescent="0.25">
      <c r="A82" s="76" t="s">
        <v>104</v>
      </c>
      <c r="B82" s="77" t="s">
        <v>195</v>
      </c>
      <c r="C82" s="76" t="s">
        <v>213</v>
      </c>
      <c r="D82" s="78">
        <f>VLOOKUP($A82,import!$A:$G,MATCH(lookup_helper!D$1,import!$A$1:$G$1,0),FALSE)</f>
        <v>3685</v>
      </c>
      <c r="E82" s="78">
        <f>VLOOKUP($A82,import!$A:$G,MATCH(lookup_helper!E$1,import!$A$1:$G$1,0),FALSE)</f>
        <v>4834.2711158599859</v>
      </c>
      <c r="F82" s="76">
        <f>VLOOKUP($A82,import!$A:$G,MATCH(lookup_helper!F$1,import!$A$1:$G$1,0),FALSE)</f>
        <v>0</v>
      </c>
      <c r="G82" s="76">
        <f>VLOOKUP($A82,import!$A:$G,MATCH(lookup_helper!G$1,import!$A$1:$G$1,0),FALSE)</f>
        <v>0</v>
      </c>
      <c r="H82" s="76">
        <f>VLOOKUP($A82,import!$A:$G,MATCH(lookup_helper!H$1,import!$A$1:$G$1,0),FALSE)</f>
        <v>0</v>
      </c>
      <c r="I82" s="76">
        <f>VLOOKUP($A82,import!$A:$G,MATCH(lookup_helper!I$1,import!$A$1:$G$1,0),FALSE)</f>
        <v>0</v>
      </c>
    </row>
    <row r="83" spans="1:16" s="76" customFormat="1" x14ac:dyDescent="0.25">
      <c r="A83" s="78" t="s">
        <v>65</v>
      </c>
      <c r="B83" s="77" t="s">
        <v>177</v>
      </c>
      <c r="C83" s="76" t="s">
        <v>214</v>
      </c>
      <c r="D83" s="79">
        <f>VLOOKUP($A83,import!$A:$G,MATCH(lookup_helper!D$1,import!$A$1:$G$1,0),FALSE)</f>
        <v>1.3624389724527719</v>
      </c>
      <c r="E83" s="79">
        <f>VLOOKUP($A83,import!$A:$G,MATCH(lookup_helper!E$1,import!$A$1:$G$1,0),FALSE)</f>
        <v>0</v>
      </c>
      <c r="F83" s="79">
        <f>VLOOKUP($A83,import!$A:$G,MATCH(lookup_helper!F$1,import!$A$1:$G$1,0),FALSE)</f>
        <v>0</v>
      </c>
      <c r="G83" s="79">
        <f>VLOOKUP($A83,import!$A:$G,MATCH(lookup_helper!G$1,import!$A$1:$G$1,0),FALSE)</f>
        <v>0</v>
      </c>
      <c r="H83" s="79">
        <f>VLOOKUP($A83,import!$A:$G,MATCH(lookup_helper!H$1,import!$A$1:$G$1,0),FALSE)</f>
        <v>0</v>
      </c>
      <c r="I83" s="79">
        <f>VLOOKUP($A83,import!$A:$G,MATCH(lookup_helper!I$1,import!$A$1:$G$1,0),FALSE)</f>
        <v>0</v>
      </c>
    </row>
    <row r="84" spans="1:16" s="76" customFormat="1" ht="30" x14ac:dyDescent="0.25">
      <c r="A84" s="78" t="s">
        <v>66</v>
      </c>
      <c r="B84" s="77" t="s">
        <v>178</v>
      </c>
      <c r="C84" s="76" t="s">
        <v>214</v>
      </c>
      <c r="D84" s="79">
        <f>VLOOKUP($A84,import!$A:$G,MATCH(lookup_helper!D$1,import!$A$1:$G$1,0),FALSE)</f>
        <v>1.475654647382425</v>
      </c>
      <c r="E84" s="79">
        <f>VLOOKUP($A84,import!$A:$G,MATCH(lookup_helper!E$1,import!$A$1:$G$1,0),FALSE)</f>
        <v>0</v>
      </c>
      <c r="F84" s="79">
        <f>VLOOKUP($A84,import!$A:$G,MATCH(lookup_helper!F$1,import!$A$1:$G$1,0),FALSE)</f>
        <v>0</v>
      </c>
      <c r="G84" s="79">
        <f>VLOOKUP($A84,import!$A:$G,MATCH(lookup_helper!G$1,import!$A$1:$G$1,0),FALSE)</f>
        <v>0</v>
      </c>
      <c r="H84" s="79">
        <f>VLOOKUP($A84,import!$A:$G,MATCH(lookup_helper!H$1,import!$A$1:$G$1,0),FALSE)</f>
        <v>0</v>
      </c>
      <c r="I84" s="79">
        <f>VLOOKUP($A84,import!$A:$G,MATCH(lookup_helper!I$1,import!$A$1:$G$1,0),FALSE)</f>
        <v>0</v>
      </c>
    </row>
    <row r="85" spans="1:16" s="76" customFormat="1" ht="30" x14ac:dyDescent="0.25">
      <c r="A85" s="78" t="s">
        <v>67</v>
      </c>
      <c r="B85" s="77" t="s">
        <v>179</v>
      </c>
      <c r="C85" s="76" t="s">
        <v>214</v>
      </c>
      <c r="D85" s="79">
        <f>VLOOKUP($A85,import!$A:$G,MATCH(lookup_helper!D$1,import!$A$1:$G$1,0),FALSE)</f>
        <v>2.8380936198351971</v>
      </c>
      <c r="E85" s="79">
        <f>VLOOKUP($A85,import!$A:$G,MATCH(lookup_helper!E$1,import!$A$1:$G$1,0),FALSE)</f>
        <v>0</v>
      </c>
      <c r="F85" s="79">
        <f>VLOOKUP($A85,import!$A:$G,MATCH(lookup_helper!F$1,import!$A$1:$G$1,0),FALSE)</f>
        <v>1.4432109489386511</v>
      </c>
      <c r="G85" s="79">
        <f>VLOOKUP($A85,import!$A:$G,MATCH(lookup_helper!G$1,import!$A$1:$G$1,0),FALSE)</f>
        <v>0.38506745756398192</v>
      </c>
      <c r="H85" s="79">
        <f>VLOOKUP($A85,import!$A:$G,MATCH(lookup_helper!H$1,import!$A$1:$G$1,0),FALSE)</f>
        <v>0</v>
      </c>
      <c r="I85" s="79">
        <f>VLOOKUP($A85,import!$A:$G,MATCH(lookup_helper!I$1,import!$A$1:$G$1,0),FALSE)</f>
        <v>0</v>
      </c>
    </row>
    <row r="86" spans="1:16" s="76" customFormat="1" x14ac:dyDescent="0.25">
      <c r="A86" s="79" t="s">
        <v>19</v>
      </c>
      <c r="B86" s="77" t="s">
        <v>148</v>
      </c>
      <c r="C86" s="76" t="s">
        <v>205</v>
      </c>
      <c r="D86" s="76">
        <f>VLOOKUP($A86,import!$A:$G,MATCH(lookup_helper!D$1,import!$A$1:$G$1,0),FALSE)</f>
        <v>56</v>
      </c>
      <c r="E86" s="76">
        <f>VLOOKUP($A86,import!$A:$G,MATCH(lookup_helper!E$1,import!$A$1:$G$1,0),FALSE)</f>
        <v>0</v>
      </c>
      <c r="F86" s="76">
        <f>VLOOKUP($A86,import!$A:$G,MATCH(lookup_helper!F$1,import!$A$1:$G$1,0),FALSE)</f>
        <v>1498</v>
      </c>
      <c r="G86" s="76">
        <f>VLOOKUP($A86,import!$A:$G,MATCH(lookup_helper!G$1,import!$A$1:$G$1,0),FALSE)</f>
        <v>55020</v>
      </c>
      <c r="H86" s="76">
        <f>VLOOKUP($A86,import!$A:$G,MATCH(lookup_helper!H$1,import!$A$1:$G$1,0),FALSE)</f>
        <v>0</v>
      </c>
      <c r="I86" s="76">
        <f>VLOOKUP($A86,import!$A:$G,MATCH(lookup_helper!I$1,import!$A$1:$G$1,0),FALSE)</f>
        <v>0</v>
      </c>
    </row>
    <row r="87" spans="1:16" x14ac:dyDescent="0.25">
      <c r="A87" s="3" t="s">
        <v>20</v>
      </c>
      <c r="B87" s="28" t="s">
        <v>149</v>
      </c>
      <c r="C87" t="s">
        <v>205</v>
      </c>
      <c r="D87" s="75">
        <f>VLOOKUP($A87,import!$A:$G,MATCH(lookup_helper!D$1,import!$A$1:$G$1,0),FALSE)</f>
        <v>41.285465803940781</v>
      </c>
      <c r="E87" s="75">
        <f>VLOOKUP($A87,import!$A:$G,MATCH(lookup_helper!E$1,import!$A$1:$G$1,0),FALSE)</f>
        <v>0</v>
      </c>
      <c r="F87" s="75">
        <f>VLOOKUP($A87,import!$A:$G,MATCH(lookup_helper!F$1,import!$A$1:$G$1,0),FALSE)</f>
        <v>61.135362311155802</v>
      </c>
      <c r="G87" s="75">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75">
        <f>VLOOKUP($A89,import!$A:$G,MATCH(lookup_helper!D$1,import!$A$1:$G$1,0),FALSE)</f>
        <v>1.474480921569314</v>
      </c>
      <c r="E89" s="75">
        <f>VLOOKUP($A89,import!$A:$G,MATCH(lookup_helper!E$1,import!$A$1:$G$1,0),FALSE)</f>
        <v>0</v>
      </c>
      <c r="F89" s="75">
        <f>VLOOKUP($A89,import!$A:$G,MATCH(lookup_helper!F$1,import!$A$1:$G$1,0),FALSE)</f>
        <v>1.6732642555122741</v>
      </c>
      <c r="G89" s="75">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248</v>
      </c>
      <c r="C96" t="s">
        <v>215</v>
      </c>
      <c r="D96" s="46">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244</v>
      </c>
      <c r="P96" s="28"/>
    </row>
    <row r="97" spans="1:16" x14ac:dyDescent="0.25">
      <c r="A97" s="2" t="s">
        <v>72</v>
      </c>
      <c r="B97" s="28" t="s">
        <v>249</v>
      </c>
      <c r="C97" t="s">
        <v>215</v>
      </c>
      <c r="D97" s="46">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244</v>
      </c>
      <c r="P97" s="28"/>
    </row>
    <row r="98" spans="1:16" x14ac:dyDescent="0.25">
      <c r="A98" s="1" t="s">
        <v>73</v>
      </c>
      <c r="B98" s="28" t="s">
        <v>250</v>
      </c>
      <c r="C98" t="s">
        <v>215</v>
      </c>
      <c r="D98" s="46">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244</v>
      </c>
      <c r="P98" s="28"/>
    </row>
    <row r="99" spans="1:16" x14ac:dyDescent="0.25">
      <c r="A99" s="1" t="s">
        <v>74</v>
      </c>
      <c r="B99" s="28" t="s">
        <v>251</v>
      </c>
      <c r="C99" t="s">
        <v>215</v>
      </c>
      <c r="D99" s="46">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244</v>
      </c>
      <c r="P99" s="28"/>
    </row>
    <row r="100" spans="1:16" x14ac:dyDescent="0.25">
      <c r="A100" s="1" t="s">
        <v>75</v>
      </c>
      <c r="B100" s="28" t="s">
        <v>248</v>
      </c>
      <c r="C100" t="s">
        <v>215</v>
      </c>
      <c r="D100" s="46">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245</v>
      </c>
      <c r="P100" s="28"/>
    </row>
    <row r="101" spans="1:16" x14ac:dyDescent="0.25">
      <c r="A101" s="1" t="s">
        <v>76</v>
      </c>
      <c r="B101" s="28" t="s">
        <v>249</v>
      </c>
      <c r="C101" t="s">
        <v>215</v>
      </c>
      <c r="D101" s="46">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245</v>
      </c>
      <c r="P101" s="28"/>
    </row>
    <row r="102" spans="1:16" x14ac:dyDescent="0.25">
      <c r="A102" s="1" t="s">
        <v>77</v>
      </c>
      <c r="B102" s="28" t="s">
        <v>250</v>
      </c>
      <c r="C102" t="s">
        <v>215</v>
      </c>
      <c r="D102" s="46">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245</v>
      </c>
      <c r="P102" s="28"/>
    </row>
    <row r="103" spans="1:16" x14ac:dyDescent="0.25">
      <c r="A103" s="1" t="s">
        <v>78</v>
      </c>
      <c r="B103" s="28" t="s">
        <v>251</v>
      </c>
      <c r="C103" t="s">
        <v>215</v>
      </c>
      <c r="D103" s="46">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245</v>
      </c>
      <c r="P103" s="28"/>
    </row>
    <row r="104" spans="1:16" x14ac:dyDescent="0.25">
      <c r="A104" t="s">
        <v>79</v>
      </c>
      <c r="B104" s="28" t="s">
        <v>248</v>
      </c>
      <c r="C104" t="s">
        <v>215</v>
      </c>
      <c r="D104" s="46">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246</v>
      </c>
      <c r="P104" s="28"/>
    </row>
    <row r="105" spans="1:16" x14ac:dyDescent="0.25">
      <c r="A105" t="s">
        <v>80</v>
      </c>
      <c r="B105" s="28" t="s">
        <v>249</v>
      </c>
      <c r="C105" t="s">
        <v>215</v>
      </c>
      <c r="D105" s="46">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246</v>
      </c>
      <c r="P105" s="28"/>
    </row>
    <row r="106" spans="1:16" x14ac:dyDescent="0.25">
      <c r="A106" t="s">
        <v>81</v>
      </c>
      <c r="B106" s="28" t="s">
        <v>250</v>
      </c>
      <c r="C106" t="s">
        <v>215</v>
      </c>
      <c r="D106" s="46">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246</v>
      </c>
      <c r="P106" s="28"/>
    </row>
    <row r="107" spans="1:16" x14ac:dyDescent="0.25">
      <c r="A107" t="s">
        <v>82</v>
      </c>
      <c r="B107" s="28" t="s">
        <v>251</v>
      </c>
      <c r="C107" t="s">
        <v>215</v>
      </c>
      <c r="D107" s="46">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246</v>
      </c>
      <c r="P107" s="28"/>
    </row>
    <row r="108" spans="1:16" x14ac:dyDescent="0.25">
      <c r="A108" t="s">
        <v>83</v>
      </c>
      <c r="B108" s="28" t="s">
        <v>248</v>
      </c>
      <c r="C108" t="s">
        <v>215</v>
      </c>
      <c r="D108" s="46">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247</v>
      </c>
      <c r="P108" s="28"/>
    </row>
    <row r="109" spans="1:16" x14ac:dyDescent="0.25">
      <c r="A109" t="s">
        <v>84</v>
      </c>
      <c r="B109" s="28" t="s">
        <v>249</v>
      </c>
      <c r="C109" t="s">
        <v>215</v>
      </c>
      <c r="D109" s="46">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247</v>
      </c>
      <c r="P109" s="28"/>
    </row>
    <row r="110" spans="1:16" x14ac:dyDescent="0.25">
      <c r="A110" t="s">
        <v>85</v>
      </c>
      <c r="B110" s="28" t="s">
        <v>252</v>
      </c>
      <c r="C110" t="s">
        <v>215</v>
      </c>
      <c r="D110" s="46">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247</v>
      </c>
      <c r="P110" s="28"/>
    </row>
    <row r="111" spans="1:16" x14ac:dyDescent="0.25">
      <c r="A111" t="s">
        <v>86</v>
      </c>
      <c r="B111" s="28" t="s">
        <v>251</v>
      </c>
      <c r="C111" t="s">
        <v>215</v>
      </c>
      <c r="D111" s="46">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247</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265</v>
      </c>
      <c r="B113" s="28" t="s">
        <v>264</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237</v>
      </c>
      <c r="B118" s="28" t="s">
        <v>238</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5" t="str">
        <f>"Project Performance Assessment Report: "&amp;import!$B$2</f>
        <v>Project Performance Assessment Report: test_project_YubaCity</v>
      </c>
      <c r="B2" s="95"/>
      <c r="C2" s="95"/>
      <c r="D2" s="95"/>
      <c r="E2" s="95"/>
      <c r="F2" s="95"/>
      <c r="G2" s="95"/>
      <c r="H2" s="95"/>
      <c r="I2" s="95"/>
    </row>
    <row r="3" spans="1:9" x14ac:dyDescent="0.25">
      <c r="A3" s="95"/>
      <c r="B3" s="95"/>
      <c r="C3" s="95"/>
      <c r="D3" s="95"/>
      <c r="E3" s="95"/>
      <c r="F3" s="95"/>
      <c r="G3" s="95"/>
      <c r="H3" s="95"/>
      <c r="I3" s="95"/>
    </row>
    <row r="4" spans="1:9" x14ac:dyDescent="0.25">
      <c r="A4" s="95"/>
      <c r="B4" s="95"/>
      <c r="C4" s="95"/>
      <c r="D4" s="95"/>
      <c r="E4" s="95"/>
      <c r="F4" s="95"/>
      <c r="G4" s="95"/>
      <c r="H4" s="95"/>
      <c r="I4" s="95"/>
    </row>
    <row r="6" spans="1:9" x14ac:dyDescent="0.25">
      <c r="A6" t="s">
        <v>123</v>
      </c>
    </row>
    <row r="30" spans="1:5" ht="21" x14ac:dyDescent="0.25">
      <c r="A30" s="8" t="s">
        <v>124</v>
      </c>
    </row>
    <row r="31" spans="1:5" x14ac:dyDescent="0.25">
      <c r="A31" s="94" t="s">
        <v>129</v>
      </c>
      <c r="B31" s="94"/>
      <c r="C31" s="94"/>
      <c r="D31" s="94"/>
      <c r="E31" s="31" t="str">
        <f>VLOOKUP(A31,lookup_helper!$B$112:$D$119,3,FALSE)</f>
        <v>test_project_YubaCity</v>
      </c>
    </row>
    <row r="32" spans="1:5" x14ac:dyDescent="0.25">
      <c r="A32" s="62" t="s">
        <v>264</v>
      </c>
      <c r="B32" s="62"/>
      <c r="C32" s="62"/>
      <c r="D32" s="62"/>
      <c r="E32" s="31" t="str">
        <f>VLOOKUP(A32,lookup_helper!$B$112:$D$119,3,FALSE)</f>
        <v>anyplace</v>
      </c>
    </row>
    <row r="33" spans="1:9" x14ac:dyDescent="0.25">
      <c r="A33" s="94" t="s">
        <v>130</v>
      </c>
      <c r="B33" s="94"/>
      <c r="C33" s="94"/>
      <c r="D33" s="94"/>
      <c r="E33" s="31" t="str">
        <f>VLOOKUP(A33,lookup_helper!$B$112:$D$119,3,FALSE)</f>
        <v>Freeway</v>
      </c>
    </row>
    <row r="34" spans="1:9" x14ac:dyDescent="0.25">
      <c r="A34" s="94" t="s">
        <v>131</v>
      </c>
      <c r="B34" s="94"/>
      <c r="C34" s="94"/>
      <c r="D34" s="94"/>
      <c r="E34" s="32">
        <f>VLOOKUP(A34,lookup_helper!$B$112:$D$119,3,FALSE)</f>
        <v>60000</v>
      </c>
    </row>
    <row r="35" spans="1:9" x14ac:dyDescent="0.25">
      <c r="A35" s="94" t="s">
        <v>132</v>
      </c>
      <c r="B35" s="94"/>
      <c r="C35" s="94"/>
      <c r="D35" s="94"/>
      <c r="E35" s="32">
        <f>VLOOKUP(A35,lookup_helper!$B$112:$D$119,3,FALSE)</f>
        <v>60</v>
      </c>
    </row>
    <row r="36" spans="1:9" x14ac:dyDescent="0.25">
      <c r="A36" s="94" t="s">
        <v>133</v>
      </c>
      <c r="B36" s="94"/>
      <c r="C36" s="94"/>
      <c r="D36" s="94"/>
      <c r="E36" s="32">
        <f>VLOOKUP(A36,lookup_helper!$B$112:$D$119,3,FALSE)</f>
        <v>65</v>
      </c>
    </row>
    <row r="37" spans="1:9" x14ac:dyDescent="0.25">
      <c r="A37" s="94" t="s">
        <v>238</v>
      </c>
      <c r="B37" s="94"/>
      <c r="C37" s="94"/>
      <c r="D37" s="94"/>
      <c r="E37" s="41">
        <f>VLOOKUP(A37,lookup_helper!$B$112:$D$119,3,FALSE)</f>
        <v>1.41</v>
      </c>
      <c r="F37" s="30"/>
      <c r="G37" s="30"/>
      <c r="H37" s="30"/>
      <c r="I37" s="30"/>
    </row>
    <row r="38" spans="1:9" x14ac:dyDescent="0.25">
      <c r="A38" s="94" t="s">
        <v>134</v>
      </c>
      <c r="B38" s="94"/>
      <c r="C38" s="94"/>
      <c r="D38" s="94"/>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48" t="s">
        <v>259</v>
      </c>
      <c r="B43" s="11"/>
      <c r="C43" s="11"/>
      <c r="D43" s="11"/>
      <c r="E43" s="11"/>
      <c r="F43" s="11"/>
      <c r="G43" s="11"/>
      <c r="H43" s="11"/>
      <c r="I43" s="11"/>
    </row>
    <row r="44" spans="1:9" x14ac:dyDescent="0.25">
      <c r="A44" s="49">
        <f ca="1">NOW()</f>
        <v>43900.457546759259</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C148-A6EC-4AC3-946F-AF230771E67E}">
  <dimension ref="A3:I42"/>
  <sheetViews>
    <sheetView view="pageLayout" zoomScaleNormal="100" workbookViewId="0">
      <selection activeCell="A2" sqref="A2"/>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272</v>
      </c>
    </row>
    <row r="4" spans="1:9" x14ac:dyDescent="0.25">
      <c r="B4" s="88"/>
      <c r="C4" s="88"/>
      <c r="D4" s="88"/>
      <c r="E4" s="88"/>
      <c r="F4" s="88"/>
      <c r="G4" s="88"/>
      <c r="H4" s="88"/>
      <c r="I4" s="88"/>
    </row>
    <row r="5" spans="1:9" x14ac:dyDescent="0.25">
      <c r="A5" s="89" t="s">
        <v>283</v>
      </c>
    </row>
    <row r="6" spans="1:9" ht="159" customHeight="1" x14ac:dyDescent="0.25">
      <c r="A6" s="96" t="s">
        <v>284</v>
      </c>
      <c r="B6" s="96"/>
      <c r="C6" s="96"/>
      <c r="D6" s="96"/>
      <c r="E6" s="96"/>
      <c r="F6" s="96"/>
      <c r="G6" s="96"/>
      <c r="H6" s="96"/>
      <c r="I6" s="96"/>
    </row>
    <row r="9" spans="1:9" x14ac:dyDescent="0.25">
      <c r="A9" s="89" t="s">
        <v>285</v>
      </c>
    </row>
    <row r="10" spans="1:9" ht="223.5" customHeight="1" x14ac:dyDescent="0.25">
      <c r="A10" s="96" t="s">
        <v>286</v>
      </c>
      <c r="B10" s="96"/>
      <c r="C10" s="96"/>
      <c r="D10" s="96"/>
      <c r="E10" s="96"/>
      <c r="F10" s="96"/>
      <c r="G10" s="96"/>
      <c r="H10" s="96"/>
      <c r="I10" s="96"/>
    </row>
    <row r="28" spans="1:5" x14ac:dyDescent="0.25">
      <c r="A28" s="62"/>
      <c r="B28" s="62"/>
      <c r="C28" s="62"/>
      <c r="D28" s="62"/>
      <c r="E28" s="31"/>
    </row>
    <row r="29" spans="1:5" x14ac:dyDescent="0.25">
      <c r="A29" s="73"/>
      <c r="E29" s="31"/>
    </row>
    <row r="30" spans="1:5" x14ac:dyDescent="0.25">
      <c r="A30" s="62"/>
      <c r="B30" s="62"/>
      <c r="C30" s="62"/>
      <c r="D30" s="62"/>
      <c r="E30" s="31"/>
    </row>
    <row r="31" spans="1:5" x14ac:dyDescent="0.25">
      <c r="A31" s="62"/>
      <c r="B31" s="62"/>
      <c r="C31" s="62"/>
      <c r="D31" s="62"/>
      <c r="E31" s="31"/>
    </row>
    <row r="32" spans="1:5" x14ac:dyDescent="0.25">
      <c r="A32" s="62"/>
      <c r="B32" s="62"/>
      <c r="C32" s="62"/>
      <c r="D32" s="62"/>
      <c r="E32" s="32"/>
    </row>
    <row r="33" spans="1:9" x14ac:dyDescent="0.25">
      <c r="A33" s="62"/>
      <c r="B33" s="62"/>
      <c r="C33" s="62"/>
      <c r="D33" s="62"/>
      <c r="E33" s="41"/>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48"/>
      <c r="B39" s="11"/>
      <c r="C39" s="11"/>
      <c r="D39" s="11"/>
      <c r="E39" s="11"/>
      <c r="F39" s="11"/>
      <c r="G39" s="11"/>
      <c r="H39" s="11"/>
      <c r="I39" s="11"/>
    </row>
    <row r="40" spans="1:9" x14ac:dyDescent="0.25">
      <c r="A40" s="49"/>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3"/>
  <sheetViews>
    <sheetView view="pageLayout" zoomScaleNormal="100" zoomScaleSheetLayoutView="100" workbookViewId="0">
      <selection activeCell="A2" sqref="A2"/>
    </sheetView>
  </sheetViews>
  <sheetFormatPr defaultRowHeight="15" x14ac:dyDescent="0.25"/>
  <cols>
    <col min="1" max="1" width="13.85546875" customWidth="1"/>
  </cols>
  <sheetData>
    <row r="1" spans="1:8" s="39" customFormat="1" x14ac:dyDescent="0.25">
      <c r="H1" s="50" t="str">
        <f>"Project name: "&amp;VLOOKUP("Project name",lookup_helper!$B:$D,3,FALSE)</f>
        <v>Project name: test_project_YubaCity</v>
      </c>
    </row>
    <row r="2" spans="1:8" s="39" customFormat="1" x14ac:dyDescent="0.25">
      <c r="H2" s="50" t="str">
        <f>"Project community type: "&amp;VLOOKUP("Project Community Type",lookup_helper!$B:$D,3,FALSE)</f>
        <v>Project community type: Small-Town Established Communities</v>
      </c>
    </row>
    <row r="4" spans="1:8" ht="17.25" x14ac:dyDescent="0.25">
      <c r="A4" s="12" t="s">
        <v>125</v>
      </c>
    </row>
    <row r="5" spans="1:8" x14ac:dyDescent="0.25">
      <c r="A5" s="29" t="s">
        <v>291</v>
      </c>
    </row>
    <row r="6" spans="1:8" x14ac:dyDescent="0.25">
      <c r="B6" s="76"/>
    </row>
    <row r="22" spans="1:1" x14ac:dyDescent="0.25">
      <c r="A22" s="29" t="s">
        <v>273</v>
      </c>
    </row>
    <row r="41" spans="1:8" ht="15" customHeight="1" x14ac:dyDescent="0.25">
      <c r="B41" s="63"/>
      <c r="C41" s="63"/>
      <c r="D41" s="63"/>
      <c r="E41" s="63"/>
      <c r="F41" s="63"/>
      <c r="G41" s="63"/>
      <c r="H41" s="63"/>
    </row>
    <row r="42" spans="1:8" x14ac:dyDescent="0.25">
      <c r="A42" s="63"/>
      <c r="B42" s="63"/>
      <c r="C42" s="63"/>
      <c r="D42" s="63"/>
      <c r="E42" s="63"/>
      <c r="F42" s="63"/>
      <c r="G42" s="63"/>
      <c r="H42" s="63"/>
    </row>
    <row r="43" spans="1:8" ht="30" customHeight="1" x14ac:dyDescent="0.25">
      <c r="A43" s="63"/>
      <c r="B43" s="63"/>
      <c r="C43" s="63"/>
      <c r="D43" s="63"/>
      <c r="E43" s="63"/>
      <c r="F43" s="63"/>
      <c r="G43" s="63"/>
      <c r="H43" s="63"/>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E23" sqref="E23"/>
    </sheetView>
  </sheetViews>
  <sheetFormatPr defaultRowHeight="15" x14ac:dyDescent="0.25"/>
  <cols>
    <col min="1" max="1" width="22.5703125" customWidth="1"/>
    <col min="8" max="8" width="11"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1"/>
    </row>
    <row r="4" spans="1:8" ht="17.25" x14ac:dyDescent="0.25">
      <c r="A4" s="12" t="s">
        <v>126</v>
      </c>
    </row>
    <row r="5" spans="1:8" x14ac:dyDescent="0.25">
      <c r="A5" s="29" t="s">
        <v>266</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0" t="s">
        <v>267</v>
      </c>
      <c r="B22" s="68" t="str">
        <f>lookup_helper!Q7</f>
        <v>EB</v>
      </c>
      <c r="C22" s="68" t="str">
        <f>lookup_helper!R7</f>
        <v>WB</v>
      </c>
    </row>
    <row r="23" spans="1:8" ht="30" x14ac:dyDescent="0.25">
      <c r="A23" s="69" t="s">
        <v>270</v>
      </c>
      <c r="B23" s="72">
        <f>IFERROR(lookup_helper!Q9/lookup_helper!Q8,0)</f>
        <v>0.62906584321456371</v>
      </c>
      <c r="C23" s="72">
        <f>IFERROR(lookup_helper!R9/lookup_helper!R8,0)</f>
        <v>0.81902208942477273</v>
      </c>
    </row>
    <row r="25" spans="1:8" ht="15.75" thickBot="1" x14ac:dyDescent="0.3">
      <c r="A25" s="73" t="s">
        <v>131</v>
      </c>
      <c r="C25" s="65"/>
    </row>
    <row r="26" spans="1:8" ht="15.75" thickBot="1" x14ac:dyDescent="0.3">
      <c r="A26" s="74">
        <f>VLOOKUP(A25,lookup_helper!$B:$D,3,FALSE)</f>
        <v>60000</v>
      </c>
    </row>
    <row r="27" spans="1:8" x14ac:dyDescent="0.25">
      <c r="D27" s="66"/>
      <c r="E27" s="66"/>
      <c r="F27" s="66"/>
      <c r="G27" s="66"/>
      <c r="H27" s="66"/>
    </row>
    <row r="28" spans="1:8" x14ac:dyDescent="0.25">
      <c r="A28" s="64"/>
      <c r="B28" s="67"/>
      <c r="C28" s="67"/>
      <c r="D28" s="66"/>
      <c r="E28" s="66"/>
      <c r="F28" s="66"/>
      <c r="G28" s="66"/>
      <c r="H28" s="66"/>
    </row>
    <row r="29" spans="1:8" ht="68.25" customHeight="1" x14ac:dyDescent="0.25">
      <c r="A29" s="97" t="s">
        <v>282</v>
      </c>
      <c r="B29" s="97"/>
      <c r="C29" s="97"/>
      <c r="D29" s="97"/>
      <c r="E29" s="97"/>
      <c r="F29" s="97"/>
      <c r="G29" s="97"/>
      <c r="H29" s="97"/>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44" spans="1:8" x14ac:dyDescent="0.25">
      <c r="A44" s="29" t="s">
        <v>271</v>
      </c>
    </row>
    <row r="62" spans="1:8" ht="42" customHeight="1" x14ac:dyDescent="0.25">
      <c r="A62" s="97" t="s">
        <v>258</v>
      </c>
      <c r="B62" s="97"/>
      <c r="C62" s="97"/>
      <c r="D62" s="97"/>
      <c r="E62" s="97"/>
      <c r="F62" s="97"/>
      <c r="G62" s="97"/>
      <c r="H62" s="97"/>
    </row>
    <row r="65" spans="1:1" x14ac:dyDescent="0.25">
      <c r="A65" s="29" t="s">
        <v>268</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H32"/>
  <sheetViews>
    <sheetView view="pageLayout" zoomScaleNormal="100" zoomScaleSheetLayoutView="100" workbookViewId="0">
      <selection activeCell="D2" sqref="D2"/>
    </sheetView>
  </sheetViews>
  <sheetFormatPr defaultRowHeight="15" x14ac:dyDescent="0.25"/>
  <cols>
    <col min="1" max="1" width="14.5703125" customWidth="1"/>
    <col min="2" max="2" width="10" customWidth="1"/>
    <col min="3" max="3" width="9.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223</v>
      </c>
    </row>
    <row r="5" spans="1:8" x14ac:dyDescent="0.25">
      <c r="A5" s="98" t="s">
        <v>280</v>
      </c>
      <c r="B5" s="98"/>
      <c r="C5" s="98"/>
      <c r="D5" s="98"/>
      <c r="E5" s="98"/>
    </row>
    <row r="6" spans="1:8" x14ac:dyDescent="0.25">
      <c r="A6" s="76"/>
      <c r="B6" s="76"/>
      <c r="C6" s="76"/>
    </row>
    <row r="7" spans="1:8" x14ac:dyDescent="0.25">
      <c r="A7" s="76"/>
      <c r="B7" s="76"/>
      <c r="C7" s="76"/>
    </row>
    <row r="22" spans="1:1" x14ac:dyDescent="0.25">
      <c r="A22" s="87" t="s">
        <v>281</v>
      </c>
    </row>
    <row r="32" spans="1:1" ht="28.5" customHeight="1" x14ac:dyDescent="0.25"/>
  </sheetData>
  <mergeCells count="1">
    <mergeCell ref="A5:E5"/>
  </mergeCells>
  <pageMargins left="0.7" right="0.7" top="0.75" bottom="0.75" header="0.3" footer="0.3"/>
  <pageSetup scale="9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82"/>
  <sheetViews>
    <sheetView view="pageLayout" zoomScaleNormal="100" workbookViewId="0">
      <selection activeCell="B2" sqref="B2"/>
    </sheetView>
  </sheetViews>
  <sheetFormatPr defaultRowHeight="15" x14ac:dyDescent="0.25"/>
  <cols>
    <col min="8" max="8" width="18.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ht="6" customHeight="1" x14ac:dyDescent="0.25">
      <c r="A3" s="52"/>
    </row>
    <row r="4" spans="1:8" ht="17.25" x14ac:dyDescent="0.25">
      <c r="A4" s="12" t="s">
        <v>224</v>
      </c>
    </row>
    <row r="5" spans="1:8" ht="61.5" customHeight="1" x14ac:dyDescent="0.25">
      <c r="A5" s="99" t="s">
        <v>269</v>
      </c>
      <c r="B5" s="99"/>
      <c r="C5" s="99"/>
      <c r="D5" s="99"/>
      <c r="E5" s="99"/>
      <c r="F5" s="99"/>
      <c r="G5" s="99"/>
      <c r="H5" s="99"/>
    </row>
    <row r="6" spans="1:8" ht="5.25" customHeight="1" x14ac:dyDescent="0.25">
      <c r="A6" s="29"/>
    </row>
    <row r="7" spans="1:8" ht="15.75" x14ac:dyDescent="0.25">
      <c r="A7" s="33" t="s">
        <v>255</v>
      </c>
    </row>
    <row r="8" spans="1:8" x14ac:dyDescent="0.25">
      <c r="A8" s="29" t="s">
        <v>274</v>
      </c>
    </row>
    <row r="9" spans="1:8" x14ac:dyDescent="0.25">
      <c r="A9" s="29"/>
    </row>
    <row r="10" spans="1:8" x14ac:dyDescent="0.25">
      <c r="A10" s="29"/>
    </row>
    <row r="11" spans="1:8" x14ac:dyDescent="0.25">
      <c r="A11" s="29"/>
    </row>
    <row r="12" spans="1:8" x14ac:dyDescent="0.25">
      <c r="A12" s="29"/>
    </row>
    <row r="13" spans="1:8" x14ac:dyDescent="0.25">
      <c r="A13" s="29"/>
    </row>
    <row r="14" spans="1:8" x14ac:dyDescent="0.25">
      <c r="A14" s="29"/>
    </row>
    <row r="15" spans="1:8" x14ac:dyDescent="0.25">
      <c r="A15" s="29"/>
    </row>
    <row r="24" spans="1:8" x14ac:dyDescent="0.25">
      <c r="A24" s="90" t="s">
        <v>287</v>
      </c>
    </row>
    <row r="29" spans="1:8" x14ac:dyDescent="0.25">
      <c r="B29" s="18"/>
      <c r="C29" s="18"/>
      <c r="D29" s="18"/>
      <c r="E29" s="18"/>
      <c r="F29" s="18"/>
      <c r="G29" s="18"/>
      <c r="H29" s="18"/>
    </row>
    <row r="30" spans="1:8" x14ac:dyDescent="0.25">
      <c r="A30" s="81"/>
      <c r="B30" s="18"/>
      <c r="C30" s="18"/>
      <c r="D30" s="18"/>
      <c r="E30" s="18"/>
      <c r="F30" s="18"/>
      <c r="G30" s="18"/>
      <c r="H30" s="18"/>
    </row>
    <row r="45" spans="1:8" x14ac:dyDescent="0.25">
      <c r="A45" s="100" t="s">
        <v>275</v>
      </c>
      <c r="B45" s="100"/>
      <c r="C45" s="100"/>
      <c r="D45" s="100"/>
      <c r="E45" s="100"/>
      <c r="F45" s="100"/>
      <c r="G45" s="100"/>
      <c r="H45" s="100"/>
    </row>
    <row r="46" spans="1:8" ht="30.75" customHeight="1" x14ac:dyDescent="0.25"/>
    <row r="63" spans="1:1" x14ac:dyDescent="0.25">
      <c r="A63" s="90" t="s">
        <v>288</v>
      </c>
    </row>
    <row r="80" spans="1:1" ht="15.75" x14ac:dyDescent="0.25">
      <c r="A80" s="33"/>
    </row>
    <row r="82" spans="1:1" x14ac:dyDescent="0.25">
      <c r="A82" s="29"/>
    </row>
  </sheetData>
  <mergeCells count="2">
    <mergeCell ref="A5:H5"/>
    <mergeCell ref="A45:H45"/>
  </mergeCells>
  <pageMargins left="0.7" right="0.7" top="0.75" bottom="0.94791666666666663"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15"/>
  <sheetViews>
    <sheetView view="pageLayout" zoomScaleNormal="100" zoomScaleSheetLayoutView="100" workbookViewId="0"/>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59" customFormat="1" x14ac:dyDescent="0.25">
      <c r="H1" s="61" t="str">
        <f>"Project name: "&amp;VLOOKUP("Project name",lookup_helper!$B:$D,3,FALSE)</f>
        <v>Project name: test_project_YubaCity</v>
      </c>
    </row>
    <row r="2" spans="1:9" s="59" customFormat="1" x14ac:dyDescent="0.25">
      <c r="H2" s="61" t="str">
        <f>"Project community type: "&amp;VLOOKUP("Project Community Type",lookup_helper!$B:$D,3,FALSE)</f>
        <v>Project community type: Small-Town Established Communities</v>
      </c>
    </row>
    <row r="3" spans="1:9" x14ac:dyDescent="0.25">
      <c r="A3" s="52"/>
    </row>
    <row r="4" spans="1:9" ht="17.25" x14ac:dyDescent="0.25">
      <c r="A4" s="12" t="s">
        <v>230</v>
      </c>
    </row>
    <row r="5" spans="1:9" ht="37.5" customHeight="1" thickBot="1" x14ac:dyDescent="0.3">
      <c r="A5" s="102" t="s">
        <v>254</v>
      </c>
      <c r="B5" s="102"/>
      <c r="C5" s="102"/>
      <c r="D5" s="102"/>
      <c r="E5" s="102"/>
      <c r="F5" s="102"/>
      <c r="G5" s="102"/>
      <c r="H5" s="102"/>
      <c r="I5" s="47"/>
    </row>
    <row r="6" spans="1:9" ht="15.75" thickBot="1" x14ac:dyDescent="0.3">
      <c r="A6" s="8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68.25" customHeight="1" x14ac:dyDescent="0.25">
      <c r="A8" s="101" t="s">
        <v>289</v>
      </c>
      <c r="B8" s="101"/>
      <c r="C8" s="101"/>
      <c r="D8" s="101"/>
      <c r="E8" s="101"/>
      <c r="F8" s="101"/>
      <c r="G8" s="101"/>
      <c r="H8" s="101"/>
      <c r="I8" s="47"/>
    </row>
    <row r="10" spans="1:9" ht="15.75" thickBot="1" x14ac:dyDescent="0.3">
      <c r="A10" s="29" t="s">
        <v>276</v>
      </c>
    </row>
    <row r="11" spans="1:9" s="82" customFormat="1" ht="15.75" thickBot="1" x14ac:dyDescent="0.3">
      <c r="A11" s="85">
        <f>VLOOKUP("Percent of traffic that is trucks",lookup_helper!$B:$D,3,FALSE)</f>
        <v>7.8499999999999986E-2</v>
      </c>
    </row>
    <row r="12" spans="1:9" s="82" customFormat="1" x14ac:dyDescent="0.25">
      <c r="A12" s="83"/>
      <c r="B12" s="83"/>
      <c r="C12" s="83"/>
    </row>
    <row r="13" spans="1:9" s="82" customFormat="1" x14ac:dyDescent="0.25">
      <c r="A13" s="84"/>
      <c r="B13" s="84"/>
      <c r="C13" s="84"/>
    </row>
    <row r="15" spans="1:9" x14ac:dyDescent="0.25">
      <c r="A15" s="29"/>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6"/>
  <sheetViews>
    <sheetView view="pageLayout" zoomScaleNormal="100" workbookViewId="0"/>
  </sheetViews>
  <sheetFormatPr defaultRowHeight="15" x14ac:dyDescent="0.25"/>
  <cols>
    <col min="1" max="1" width="14.7109375" customWidth="1"/>
    <col min="2" max="2" width="15.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231</v>
      </c>
    </row>
    <row r="5" spans="1:8" s="28" customFormat="1" ht="35.25" customHeight="1" x14ac:dyDescent="0.25">
      <c r="A5" s="101" t="s">
        <v>232</v>
      </c>
      <c r="B5" s="101"/>
      <c r="C5" s="101"/>
      <c r="D5" s="101"/>
      <c r="E5" s="101"/>
      <c r="F5" s="101"/>
      <c r="G5" s="101"/>
      <c r="H5" s="101"/>
    </row>
    <row r="7" spans="1:8" x14ac:dyDescent="0.25">
      <c r="A7" s="29" t="s">
        <v>234</v>
      </c>
    </row>
    <row r="8" spans="1:8" x14ac:dyDescent="0.25">
      <c r="A8" s="37">
        <f>VLOOKUP(lookup_helper!B86,lookup_helper!$B:$D,3,FALSE)</f>
        <v>56</v>
      </c>
    </row>
    <row r="11" spans="1:8" x14ac:dyDescent="0.25">
      <c r="A11" s="36" t="s">
        <v>233</v>
      </c>
    </row>
    <row r="12" spans="1:8" x14ac:dyDescent="0.25">
      <c r="A12" t="s">
        <v>235</v>
      </c>
    </row>
    <row r="35" spans="1:3" x14ac:dyDescent="0.25">
      <c r="A35" s="29" t="s">
        <v>236</v>
      </c>
    </row>
    <row r="36" spans="1:3" x14ac:dyDescent="0.25">
      <c r="A36" s="29"/>
    </row>
    <row r="37" spans="1:3" ht="15.75" thickBot="1" x14ac:dyDescent="0.3">
      <c r="A37" s="39" t="s">
        <v>149</v>
      </c>
    </row>
    <row r="38" spans="1:3" ht="45.75" thickBot="1" x14ac:dyDescent="0.3">
      <c r="A38" s="34" t="s">
        <v>253</v>
      </c>
      <c r="B38" s="35" t="s">
        <v>225</v>
      </c>
      <c r="C38" s="35" t="s">
        <v>226</v>
      </c>
    </row>
    <row r="39" spans="1:3" ht="15.75" thickBot="1" x14ac:dyDescent="0.3">
      <c r="A39" s="40">
        <f>VLOOKUP($A37,lookup_helper!$B:$I,MATCH("projval_2016",lookup_helper!$1:$1,0)-1,FALSE)</f>
        <v>41.285465803940781</v>
      </c>
      <c r="B39" s="40">
        <f>VLOOKUP($A37,lookup_helper!$B:$I,MATCH("CommunityType_2016",lookup_helper!$B$1:$I$1,0),FALSE)</f>
        <v>61.135362311155802</v>
      </c>
      <c r="C39" s="40">
        <f>VLOOKUP($A37,lookup_helper!$B:$I,MATCH("REGION_2016",lookup_helper!$B$1:$I$1,0),FALSE)</f>
        <v>63.369834818958772</v>
      </c>
    </row>
    <row r="46" spans="1:3" x14ac:dyDescent="0.25">
      <c r="A46" s="29" t="s">
        <v>277</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1"/>
  <sheetViews>
    <sheetView view="pageLayout" zoomScaleNormal="100" workbookViewId="0">
      <selection activeCell="A2" sqref="A2"/>
    </sheetView>
  </sheetViews>
  <sheetFormatPr defaultRowHeight="15" x14ac:dyDescent="0.25"/>
  <cols>
    <col min="7" max="7" width="15.7109375" customWidth="1"/>
    <col min="8" max="8" width="14.8554687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93"/>
      <c r="B3" s="76"/>
      <c r="C3" s="76"/>
      <c r="D3" s="76"/>
      <c r="E3" s="76"/>
      <c r="F3" s="76"/>
      <c r="G3" s="76"/>
      <c r="H3" s="76"/>
    </row>
    <row r="4" spans="1:8" ht="17.25" x14ac:dyDescent="0.25">
      <c r="A4" s="12" t="s">
        <v>239</v>
      </c>
    </row>
    <row r="5" spans="1:8" ht="48.75" customHeight="1" x14ac:dyDescent="0.25">
      <c r="A5" s="96" t="s">
        <v>290</v>
      </c>
      <c r="B5" s="96"/>
      <c r="C5" s="96"/>
      <c r="D5" s="96"/>
      <c r="E5" s="96"/>
      <c r="F5" s="96"/>
      <c r="G5" s="96"/>
      <c r="H5" s="96"/>
    </row>
    <row r="6" spans="1:8" x14ac:dyDescent="0.25">
      <c r="A6" s="91"/>
      <c r="B6" s="18"/>
      <c r="C6" s="18"/>
    </row>
    <row r="7" spans="1:8" x14ac:dyDescent="0.25">
      <c r="A7" s="18"/>
      <c r="B7" s="18"/>
      <c r="C7" s="18"/>
    </row>
    <row r="8" spans="1:8" x14ac:dyDescent="0.25">
      <c r="A8" s="18"/>
      <c r="B8" s="18"/>
      <c r="C8" s="18"/>
    </row>
    <row r="9" spans="1:8" x14ac:dyDescent="0.25">
      <c r="A9" s="91"/>
      <c r="B9" s="18"/>
      <c r="C9" s="18"/>
    </row>
    <row r="10" spans="1:8" x14ac:dyDescent="0.25">
      <c r="A10" s="92"/>
      <c r="B10" s="18"/>
      <c r="C10" s="18"/>
    </row>
    <row r="11" spans="1:8" x14ac:dyDescent="0.25">
      <c r="A11" s="18"/>
      <c r="B11" s="18"/>
      <c r="C11" s="18"/>
    </row>
  </sheetData>
  <mergeCells count="1">
    <mergeCell ref="A5:H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F9" sqref="F9"/>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86" t="s">
        <v>278</v>
      </c>
      <c r="B3" s="80"/>
      <c r="C3" s="80"/>
      <c r="D3" s="80"/>
      <c r="E3" s="80"/>
      <c r="F3" s="80"/>
      <c r="G3" s="80"/>
      <c r="H3" s="80"/>
    </row>
    <row r="4" spans="1:8" ht="17.25" x14ac:dyDescent="0.25">
      <c r="A4" s="12" t="s">
        <v>240</v>
      </c>
    </row>
    <row r="5" spans="1:8" x14ac:dyDescent="0.25">
      <c r="A5" s="29" t="s">
        <v>260</v>
      </c>
    </row>
    <row r="6" spans="1:8" x14ac:dyDescent="0.25">
      <c r="A6" s="42">
        <f>lookup_helper!D95*lookup_helper!D72</f>
        <v>4050</v>
      </c>
    </row>
    <row r="9" spans="1:8" ht="15.75" thickBot="1" x14ac:dyDescent="0.3">
      <c r="A9" s="29" t="s">
        <v>261</v>
      </c>
    </row>
    <row r="10" spans="1:8" ht="45.75" thickBot="1" x14ac:dyDescent="0.3">
      <c r="A10" s="34" t="s">
        <v>241</v>
      </c>
      <c r="B10" s="35" t="s">
        <v>225</v>
      </c>
      <c r="C10" s="35" t="s">
        <v>226</v>
      </c>
    </row>
    <row r="11" spans="1:8" ht="15.75" thickBot="1" x14ac:dyDescent="0.3">
      <c r="A11" s="43">
        <f>VLOOKUP("Percent of project area residents within an EJ community",lookup_helper!$B:$D,3,FALSE)</f>
        <v>0.69863722615145762</v>
      </c>
      <c r="B11" s="43">
        <f>VLOOKUP("Percent of project area residents within an EJ community",lookup_helper!$B:$F,5,FALSE)</f>
        <v>0.34730153421679688</v>
      </c>
      <c r="C11" s="43">
        <f>VLOOKUP("Percent of project area residents within an EJ community",lookup_helper!$B:$G,6,FALSE)</f>
        <v>0.3746385676273582</v>
      </c>
    </row>
    <row r="12" spans="1:8" x14ac:dyDescent="0.25">
      <c r="A12" s="38" t="s">
        <v>242</v>
      </c>
    </row>
    <row r="16" spans="1:8" x14ac:dyDescent="0.25">
      <c r="A16" s="29" t="s">
        <v>262</v>
      </c>
    </row>
    <row r="17" spans="1:5" s="18" customFormat="1" x14ac:dyDescent="0.25">
      <c r="B17" s="44"/>
      <c r="C17" s="44"/>
      <c r="D17" s="44"/>
      <c r="E17" s="44"/>
    </row>
    <row r="18" spans="1:5" s="18" customFormat="1" x14ac:dyDescent="0.25">
      <c r="A18" s="44"/>
      <c r="B18" s="44"/>
      <c r="C18" s="44"/>
      <c r="D18" s="44"/>
      <c r="E18" s="44"/>
    </row>
    <row r="19" spans="1:5" s="18" customFormat="1" x14ac:dyDescent="0.25">
      <c r="A19" s="45"/>
      <c r="B19" s="44"/>
      <c r="C19" s="44"/>
      <c r="D19" s="44"/>
      <c r="E19" s="44"/>
    </row>
    <row r="20" spans="1:5" s="18" customFormat="1" x14ac:dyDescent="0.25">
      <c r="A20" s="44"/>
      <c r="B20" s="44"/>
      <c r="C20" s="44"/>
      <c r="D20" s="44"/>
      <c r="E20" s="44"/>
    </row>
    <row r="21" spans="1:5" s="18" customFormat="1" x14ac:dyDescent="0.25">
      <c r="A21" s="44"/>
      <c r="B21" s="44"/>
      <c r="C21" s="44"/>
      <c r="D21" s="44"/>
      <c r="E21" s="44"/>
    </row>
    <row r="37" spans="1:1" x14ac:dyDescent="0.25">
      <c r="A37" s="60" t="s">
        <v>243</v>
      </c>
    </row>
    <row r="86" spans="1:9" ht="28.5" customHeight="1" x14ac:dyDescent="0.25">
      <c r="A86" s="97" t="s">
        <v>229</v>
      </c>
      <c r="B86" s="97"/>
      <c r="C86" s="97"/>
      <c r="D86" s="97"/>
      <c r="E86" s="97"/>
      <c r="F86" s="97"/>
      <c r="G86" s="97"/>
      <c r="H86" s="58"/>
      <c r="I86" s="58"/>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0ATitlePg</vt:lpstr>
      <vt:lpstr>0BUsingThisReport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2020-03-10T17:58:52Z</dcterms:modified>
</cp:coreProperties>
</file>