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arcserver-svr\D\PPA_v2_SVR\PPA2\Input_Template\XLSX\"/>
    </mc:Choice>
  </mc:AlternateContent>
  <xr:revisionPtr revIDLastSave="0" documentId="13_ncr:1_{B234714C-4D13-4500-B79D-703CAE3E88E7}" xr6:coauthVersionLast="41" xr6:coauthVersionMax="41" xr10:uidLastSave="{00000000-0000-0000-0000-000000000000}"/>
  <bookViews>
    <workbookView xWindow="28680" yWindow="-120" windowWidth="29040" windowHeight="15840" tabRatio="781" firstSheet="1" activeTab="5" xr2:uid="{00000000-000D-0000-FFFF-FFFF00000000}"/>
  </bookViews>
  <sheets>
    <sheet name="import" sheetId="1" r:id="rId1"/>
    <sheet name="lookup_helper" sheetId="5" r:id="rId2"/>
    <sheet name="0ATitlePg" sheetId="4" r:id="rId3"/>
    <sheet name="0BUsingThisReport" sheetId="12" r:id="rId4"/>
    <sheet name="1ReduceVMT" sheetId="2" r:id="rId5"/>
    <sheet name="2ReduceCongestion" sheetId="3" r:id="rId6"/>
    <sheet name="3Multimodal" sheetId="6" r:id="rId7"/>
    <sheet name="4EconProsperity" sheetId="7" r:id="rId8"/>
    <sheet name="5Freight" sheetId="8" r:id="rId9"/>
    <sheet name="6Safety" sheetId="9" r:id="rId10"/>
    <sheet name="7SGR" sheetId="10" r:id="rId11"/>
    <sheet name="8SocioEconEquity" sheetId="11" r:id="rId12"/>
  </sheets>
  <definedNames>
    <definedName name="_xlnm._FilterDatabase" localSheetId="0" hidden="1">import!$A$1:$G$117</definedName>
    <definedName name="_xlnm._FilterDatabase" localSheetId="1" hidden="1">lookup_helper!$A$3:$I$119</definedName>
    <definedName name="_Hlk20929805" localSheetId="7">'4EconProsperity'!$A$86</definedName>
    <definedName name="_Hlk20929868" localSheetId="10">'7SGR'!$A$4</definedName>
    <definedName name="_xlnm.Print_Area" localSheetId="4">'1ReduceVMT'!$A$1:$H$43</definedName>
    <definedName name="_xlnm.Print_Area" localSheetId="6">'3Multimodal'!$A$1:$H$56</definedName>
    <definedName name="_xlnm.Print_Area" localSheetId="8">'5Freight'!$A$1:$H$41</definedName>
    <definedName name="_xlnm.Print_Area" localSheetId="11">'8SocioEconEquity'!$A$1:$H$88</definedName>
    <definedName name="_xlnm.Print_Titles" localSheetId="4">'1ReduceVMT'!$1:$2</definedName>
    <definedName name="_xlnm.Print_Titles" localSheetId="5">'2ReduceCongestion'!$1:$2</definedName>
    <definedName name="_xlnm.Print_Titles" localSheetId="6">'3Multimodal'!$1:$2</definedName>
    <definedName name="_xlnm.Print_Titles" localSheetId="7">'4EconProsperity'!$1:$2</definedName>
    <definedName name="_xlnm.Print_Titles" localSheetId="8">'5Freight'!$1:$2</definedName>
    <definedName name="_xlnm.Print_Titles" localSheetId="9">'6Safety'!$1:$2</definedName>
    <definedName name="_xlnm.Print_Titles" localSheetId="10">'7SGR'!$1:$2</definedName>
    <definedName name="_xlnm.Print_Titles" localSheetId="11">'8SocioEconEquity'!$1:$2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3" i="3" l="1"/>
  <c r="B23" i="3"/>
  <c r="A26" i="3"/>
  <c r="C22" i="3"/>
  <c r="B22" i="3"/>
  <c r="E113" i="5" l="1"/>
  <c r="F113" i="5"/>
  <c r="G113" i="5"/>
  <c r="H113" i="5"/>
  <c r="I113" i="5"/>
  <c r="D113" i="5" l="1"/>
  <c r="E32" i="4" s="1"/>
  <c r="Q18" i="5" l="1" a="1"/>
  <c r="Q18" i="5" s="1"/>
  <c r="A44" i="4"/>
  <c r="D118" i="5" l="1"/>
  <c r="E37" i="4" s="1"/>
  <c r="E118" i="5"/>
  <c r="F118" i="5"/>
  <c r="G118" i="5"/>
  <c r="H118" i="5"/>
  <c r="I118" i="5"/>
  <c r="Q19" i="5" l="1"/>
  <c r="D62" i="5"/>
  <c r="A16" i="6" s="1"/>
  <c r="D57" i="5"/>
  <c r="D5" i="5" l="1"/>
  <c r="E5" i="5"/>
  <c r="F5" i="5"/>
  <c r="G5" i="5"/>
  <c r="H5" i="5"/>
  <c r="I5" i="5"/>
  <c r="D6" i="5"/>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A67" i="7" s="1"/>
  <c r="E55" i="5"/>
  <c r="F55" i="5"/>
  <c r="G55" i="5"/>
  <c r="H55" i="5"/>
  <c r="I55" i="5"/>
  <c r="D56" i="5"/>
  <c r="A6" i="8" s="1"/>
  <c r="E56" i="5"/>
  <c r="F56" i="5"/>
  <c r="G56" i="5"/>
  <c r="H56" i="5"/>
  <c r="I56" i="5"/>
  <c r="E57" i="5"/>
  <c r="F57" i="5"/>
  <c r="G57" i="5"/>
  <c r="H57" i="5"/>
  <c r="I57" i="5"/>
  <c r="D58" i="5"/>
  <c r="E58" i="5"/>
  <c r="F58" i="5"/>
  <c r="G58" i="5"/>
  <c r="H58" i="5"/>
  <c r="I58" i="5"/>
  <c r="D59" i="5"/>
  <c r="A29" i="8" s="1"/>
  <c r="E59" i="5"/>
  <c r="F59" i="5"/>
  <c r="B29" i="8" s="1"/>
  <c r="G59" i="5"/>
  <c r="C29" i="8" s="1"/>
  <c r="H59" i="5"/>
  <c r="I59" i="5"/>
  <c r="D60" i="5"/>
  <c r="A9" i="6" s="1"/>
  <c r="E60" i="5"/>
  <c r="F60" i="5"/>
  <c r="B9" i="6" s="1"/>
  <c r="G60" i="5"/>
  <c r="C9" i="6" s="1"/>
  <c r="H60" i="5"/>
  <c r="I60" i="5"/>
  <c r="D61" i="5"/>
  <c r="A52" i="6" s="1"/>
  <c r="E61" i="5"/>
  <c r="F61" i="5"/>
  <c r="B52" i="6" s="1"/>
  <c r="G61" i="5"/>
  <c r="C52" i="6" s="1"/>
  <c r="H61" i="5"/>
  <c r="I61" i="5"/>
  <c r="E62" i="5"/>
  <c r="F62" i="5"/>
  <c r="B16" i="6" s="1"/>
  <c r="G62" i="5"/>
  <c r="C16" i="6" s="1"/>
  <c r="H62" i="5"/>
  <c r="I62" i="5"/>
  <c r="D63" i="5"/>
  <c r="E63" i="5"/>
  <c r="F63" i="5"/>
  <c r="G63" i="5"/>
  <c r="H63" i="5"/>
  <c r="I63" i="5"/>
  <c r="D64" i="5"/>
  <c r="E64" i="5"/>
  <c r="F64" i="5"/>
  <c r="G64" i="5"/>
  <c r="H64" i="5"/>
  <c r="I64"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A8" i="9" s="1"/>
  <c r="E86" i="5"/>
  <c r="F86" i="5"/>
  <c r="G86" i="5"/>
  <c r="H86" i="5"/>
  <c r="I86" i="5"/>
  <c r="D87" i="5"/>
  <c r="A36" i="9" s="1"/>
  <c r="E87" i="5"/>
  <c r="F87" i="5"/>
  <c r="B36" i="9" s="1"/>
  <c r="G87" i="5"/>
  <c r="C36" i="9" s="1"/>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E94" i="5"/>
  <c r="F94" i="5"/>
  <c r="G94" i="5"/>
  <c r="H94" i="5"/>
  <c r="I94" i="5"/>
  <c r="D95" i="5"/>
  <c r="E95" i="5"/>
  <c r="F95" i="5"/>
  <c r="B11" i="11" s="1"/>
  <c r="G95" i="5"/>
  <c r="C11" i="11" s="1"/>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3" i="4" s="1"/>
  <c r="E114" i="5"/>
  <c r="F114" i="5"/>
  <c r="G114" i="5"/>
  <c r="H114" i="5"/>
  <c r="I114" i="5"/>
  <c r="D115" i="5"/>
  <c r="E115" i="5"/>
  <c r="F115" i="5"/>
  <c r="G115" i="5"/>
  <c r="H115" i="5"/>
  <c r="I115" i="5"/>
  <c r="D116" i="5"/>
  <c r="E116" i="5"/>
  <c r="F116" i="5"/>
  <c r="G116" i="5"/>
  <c r="H116" i="5"/>
  <c r="I116" i="5"/>
  <c r="D117" i="5"/>
  <c r="E36" i="4" s="1"/>
  <c r="E117" i="5"/>
  <c r="F117" i="5"/>
  <c r="G117" i="5"/>
  <c r="H117" i="5"/>
  <c r="I117" i="5"/>
  <c r="D119" i="5"/>
  <c r="E119" i="5"/>
  <c r="F119" i="5"/>
  <c r="G119" i="5"/>
  <c r="H119" i="5"/>
  <c r="I119" i="5"/>
  <c r="E4" i="5"/>
  <c r="F4" i="5"/>
  <c r="G4" i="5"/>
  <c r="H4" i="5"/>
  <c r="I4" i="5"/>
  <c r="D4" i="5"/>
  <c r="E38" i="4" l="1"/>
  <c r="H2" i="8"/>
  <c r="H2" i="7"/>
  <c r="H2" i="9"/>
  <c r="H2" i="6"/>
  <c r="H2" i="10"/>
  <c r="H2" i="3"/>
  <c r="H2" i="11"/>
  <c r="H2" i="2"/>
  <c r="E34" i="4"/>
  <c r="A10" i="10"/>
  <c r="E35" i="4"/>
  <c r="A7" i="10"/>
  <c r="A6" i="11"/>
  <c r="A11" i="11"/>
  <c r="E31" i="4"/>
  <c r="H1" i="11"/>
  <c r="H1" i="2"/>
  <c r="H1" i="8"/>
  <c r="H1" i="7"/>
  <c r="H1" i="9"/>
  <c r="H1" i="6"/>
  <c r="H1" i="10"/>
  <c r="H1" i="3"/>
  <c r="A32" i="7"/>
  <c r="Q13" i="5"/>
  <c r="Q7" i="5"/>
  <c r="Q9" i="5" s="1"/>
  <c r="R13" i="5"/>
  <c r="R7" i="5"/>
  <c r="Q15" i="5" a="1"/>
  <c r="R15" i="5" a="1"/>
  <c r="Q16" i="5" a="1"/>
  <c r="R16" i="5" a="1"/>
  <c r="Q17" i="5" a="1"/>
  <c r="R17" i="5" a="1"/>
  <c r="R14" i="5" a="1"/>
  <c r="Q14" i="5" a="1"/>
  <c r="Q9" i="5" a="1"/>
  <c r="R9" i="5" a="1"/>
  <c r="R8" i="5" a="1"/>
  <c r="Q8" i="5" a="1"/>
  <c r="B13" i="5"/>
  <c r="B14" i="5"/>
  <c r="B15" i="5"/>
  <c r="B16" i="5"/>
  <c r="B17" i="5"/>
  <c r="B12" i="5"/>
  <c r="Q14" i="5" l="1"/>
  <c r="R14" i="5"/>
  <c r="Q17" i="5"/>
  <c r="Q16" i="5"/>
  <c r="Q15" i="5"/>
  <c r="Q8" i="5"/>
  <c r="A2" i="4"/>
  <c r="R16" i="5" l="1"/>
  <c r="R15" i="5"/>
  <c r="R9" i="5"/>
  <c r="R17" i="5"/>
  <c r="R8" i="5"/>
</calcChain>
</file>

<file path=xl/sharedStrings.xml><?xml version="1.0" encoding="utf-8"?>
<sst xmlns="http://schemas.openxmlformats.org/spreadsheetml/2006/main" count="634" uniqueCount="304">
  <si>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</si>
  <si>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</si>
  <si>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</si>
  <si>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</si>
  <si>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</si>
  <si>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</si>
  <si>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</si>
  <si>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</si>
  <si>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</si>
  <si>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</si>
  <si>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</si>
  <si>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</si>
  <si>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</si>
  <si>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</si>
  <si>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</si>
  <si>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</si>
  <si>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</si>
  <si>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</si>
  <si>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</si>
  <si>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</si>
  <si>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</si>
  <si>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</si>
  <si>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</si>
  <si>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</si>
  <si>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</si>
  <si>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</si>
  <si>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</si>
  <si>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</si>
  <si>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</si>
  <si>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</si>
  <si>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</si>
  <si>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</si>
  <si>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</si>
  <si>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</si>
  <si>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</si>
  <si>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</si>
  <si>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</si>
  <si>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</si>
  <si>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</si>
  <si>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</si>
  <si>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</si>
  <si>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</si>
  <si>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</si>
  <si>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</si>
  <si>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</si>
  <si>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</si>
  <si>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</si>
  <si>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</si>
  <si>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</si>
  <si>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</si>
  <si>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</si>
  <si>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</si>
  <si>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</si>
  <si>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</si>
  <si>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</si>
  <si>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</si>
  <si>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</si>
  <si>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</si>
  <si>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</si>
  <si>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</si>
  <si>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</si>
  <si>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</si>
  <si>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</si>
  <si>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</si>
  <si>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</si>
  <si>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</si>
  <si>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</si>
  <si>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</si>
  <si>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</si>
  <si>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</si>
  <si>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</si>
  <si>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</si>
  <si>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</si>
  <si>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</si>
  <si>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</si>
  <si>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</si>
  <si>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</si>
  <si>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</si>
  <si>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</si>
  <si>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</si>
  <si>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</si>
  <si>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</si>
  <si>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</si>
  <si>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</si>
  <si>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</si>
  <si>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</si>
  <si>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</si>
  <si>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</si>
  <si>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</si>
  <si>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</si>
  <si>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</si>
  <si>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</si>
  <si>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</si>
  <si>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</si>
  <si>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</si>
  <si>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</si>
  <si>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</si>
  <si>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</si>
  <si>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</si>
  <si>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</si>
  <si>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</si>
  <si>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</si>
  <si>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</si>
  <si>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</si>
  <si>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</si>
  <si>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</si>
  <si>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</si>
  <si>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</si>
  <si>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</si>
  <si>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</si>
  <si>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</si>
  <si>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</si>
  <si>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</si>
  <si>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</si>
  <si>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</si>
  <si>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</si>
  <si>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</si>
  <si>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</si>
  <si>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</si>
  <si>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</si>
  <si>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</si>
  <si>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</si>
  <si>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</si>
  <si>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</si>
  <si>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</si>
  <si>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Reduce Vehicle Miles Traveled (VMT) per Capita</t>
  </si>
  <si>
    <t>Reduce congestion</t>
  </si>
  <si>
    <t>data_item_raw</t>
  </si>
  <si>
    <t>item_report_name</t>
  </si>
  <si>
    <t>Project name</t>
  </si>
  <si>
    <t>Project type</t>
  </si>
  <si>
    <t>Project AADT</t>
  </si>
  <si>
    <t>Project Pavement Condition Index (PCI)</t>
  </si>
  <si>
    <t>Posted Speed Limit</t>
  </si>
  <si>
    <t>Project Community Type</t>
  </si>
  <si>
    <t>Jobs within 30-Min Walk</t>
  </si>
  <si>
    <t>Jobs within 30-Min Biking</t>
  </si>
  <si>
    <t>Jobs within 30-Min Drive</t>
  </si>
  <si>
    <t>Jobs within 45-Min Transit</t>
  </si>
  <si>
    <t>Edu Facilities within 30-Min Walk</t>
  </si>
  <si>
    <t>Edu Facilities within 30-Min Biking</t>
  </si>
  <si>
    <t>Edu Facilities within 30-Min Drive</t>
  </si>
  <si>
    <t>Edu Facilities within 45-Min Transit</t>
  </si>
  <si>
    <t>Services within 30-Min Walk</t>
  </si>
  <si>
    <t>Services within 30-Min Biking</t>
  </si>
  <si>
    <t>Services within 15-Min Drive</t>
  </si>
  <si>
    <t>Services within 45-Min Transit</t>
  </si>
  <si>
    <t>PerformanceOutcomes</t>
  </si>
  <si>
    <t>Total collisions</t>
  </si>
  <si>
    <t>Collisions per 100M VMT</t>
  </si>
  <si>
    <t>Fatal collisions</t>
  </si>
  <si>
    <t>Fatal collisions per 100M VMT</t>
  </si>
  <si>
    <t>Pct of collisions that are fatal</t>
  </si>
  <si>
    <t>Bike/ped collisions per project centerline mile</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</si>
  <si>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</si>
  <si>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</si>
  <si>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</si>
  <si>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</si>
  <si>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</si>
  <si>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</si>
  <si>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</si>
  <si>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</si>
  <si>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</si>
  <si>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</si>
  <si>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</si>
  <si>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</si>
  <si>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</si>
  <si>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</si>
  <si>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</si>
  <si>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</si>
  <si>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</si>
  <si>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</si>
  <si>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</si>
  <si>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</si>
  <si>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</si>
  <si>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</si>
  <si>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</si>
  <si>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</si>
  <si>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</si>
  <si>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</si>
  <si>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</si>
  <si>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</si>
  <si>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</si>
  <si>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</si>
  <si>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</si>
  <si>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</si>
  <si>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</si>
  <si>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</si>
  <si>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</si>
  <si>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</si>
  <si>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</si>
  <si>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</si>
  <si>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</si>
  <si>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</si>
  <si>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</si>
  <si>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</si>
  <si>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weekday transit vehicle trips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</si>
  <si>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</si>
  <si>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</si>
  <si>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</si>
  <si>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</si>
  <si>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</si>
  <si>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</si>
  <si>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</si>
  <si>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</si>
  <si>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</si>
  <si>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</si>
  <si>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</si>
  <si>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</si>
  <si>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</si>
  <si>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</si>
  <si>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</si>
  <si>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</si>
  <si>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</si>
  <si>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</si>
  <si>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</si>
  <si>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</si>
  <si>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</si>
  <si>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</si>
  <si>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</si>
  <si>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</si>
  <si>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</si>
  <si>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</si>
  <si>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</si>
  <si>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Increase multi-modal travel</t>
  </si>
  <si>
    <t>Multi-modal indicator 1: Street connectivity (total 3- and 4-way intersections per acre):</t>
  </si>
  <si>
    <t>Multi-modal indicator 2: Percent of total network centerline miles that are either off-street bike paths or streets with bike lanes:</t>
  </si>
  <si>
    <t>Project Area Bikeway Map</t>
  </si>
  <si>
    <t>Multi-modal indicator 3: Transit activity:</t>
  </si>
  <si>
    <t>&lt;insert bikeway map here&gt;</t>
  </si>
  <si>
    <t>&lt;insert transit activity map here&gt;</t>
  </si>
  <si>
    <t>Promote Economic Prosperity</t>
  </si>
  <si>
    <t>Economic Prosperity Indicator 1: Access to jobs in all sectors by mode</t>
  </si>
  <si>
    <t>Economic Prosperity Indicator 2: Total new jobs added within 0.5mi of project area by 2040</t>
  </si>
  <si>
    <t>Within 0.25mi of project</t>
  </si>
  <si>
    <t>Within community type</t>
  </si>
  <si>
    <t>Within region</t>
  </si>
  <si>
    <t>Bike lanes and paths as share of total road miles</t>
  </si>
  <si>
    <t>Intersections per acre</t>
  </si>
  <si>
    <t>Economic Prosperity Indicator 3: Access to services*:</t>
  </si>
  <si>
    <t>*”Services” include parks, K-12 schools, higher education facilities, libraries, hospitals, other medical service facilities, grocery stores, pharmacies, clothing stores, and banks.</t>
  </si>
  <si>
    <t>Economic Prosperity Indicator 4: K-12 Enrollment within 0.5mi of project location:</t>
  </si>
  <si>
    <t>Economic Prosperity Indicator 5: Education Facility (K12 schools and higher education) Access</t>
  </si>
  <si>
    <t>Support Ag Economy</t>
  </si>
  <si>
    <t>Improve Freight Movement</t>
  </si>
  <si>
    <t>*STAA = Surface Transportation Assistance Act. Under this act, designated STAA truck routes must meet federal design guidelines to safely accommodate large trucks.</t>
  </si>
  <si>
    <t>Map of project against STAA network</t>
  </si>
  <si>
    <t>&lt;insert STAA routes in project area map&gt;</t>
  </si>
  <si>
    <t>Freight Performance Indicator 2: Share of jobs within industrial sectors</t>
  </si>
  <si>
    <t>Make a safer transportation system</t>
  </si>
  <si>
    <t>Note: Collision data only include collisions involving an injury or fatality and are from UC Berkeley’s Transportation Injury Mapping System (TIMS)</t>
  </si>
  <si>
    <t>Collision heat map of corridor</t>
  </si>
  <si>
    <t>Safety Indicator 1: Total collisions (2014-2018)</t>
  </si>
  <si>
    <t>&lt;insert collision heat map, with heat parameters scaled to zoom level?&gt;</t>
  </si>
  <si>
    <t>Safety Indicator 2: Collisions per million 100 MVMT*</t>
  </si>
  <si>
    <t>Safety Indicator 3: Fatalities and bike/pedestrian involvement</t>
  </si>
  <si>
    <t>project_cline_len</t>
  </si>
  <si>
    <t>Project Length (Centerline Miles)</t>
  </si>
  <si>
    <t>Maintain a state of good repair</t>
  </si>
  <si>
    <t>State of good repair indicator 1: PCI</t>
  </si>
  <si>
    <t>State of good repair indicator 2: AADT</t>
  </si>
  <si>
    <t>Promote Socioeconomic Equity</t>
  </si>
  <si>
    <t>Within 0.5mi of project location</t>
  </si>
  <si>
    <t>*EJ Categories include: &lt;insert categories here&gt;</t>
  </si>
  <si>
    <t>*Weighted based on population that lives both within 0.5mi of project segment and within an EJ area.</t>
  </si>
  <si>
    <t>Total Jobs</t>
  </si>
  <si>
    <t>Entry-level Jobs</t>
  </si>
  <si>
    <t>Ed Facilities</t>
  </si>
  <si>
    <t>Services</t>
  </si>
  <si>
    <t>30-min walk</t>
  </si>
  <si>
    <t>30-min biking</t>
  </si>
  <si>
    <t>30-min drive</t>
  </si>
  <si>
    <t>45-min transit</t>
  </si>
  <si>
    <t>15-min drive</t>
  </si>
  <si>
    <t>VMT Indicator 1: Total change in jobs and dwelling units within 0.5mi of project:</t>
  </si>
  <si>
    <t>*The land use diversity index ranges from 0 to 1 and measures an area’s ratio of households to K-12 student enrollment, park acreage, and employment in the retail, service, and food sectors. A score of 1 indicates an “ideal” ratio of households to amenities that people use on a daily basis like shopping, restaurants, schools, etc. that in turn increases the likelihood that people living in those households will either walk or bike to these destinations, or drive a shorter distance.</t>
  </si>
  <si>
    <t>On project segment</t>
  </si>
  <si>
    <t>Freight Performance Indicator 1: Percent of project that is on federally-recognized STAA truck route*:</t>
  </si>
  <si>
    <t>Increase Job Access</t>
  </si>
  <si>
    <t>Increase School Access</t>
  </si>
  <si>
    <r>
      <t>Transit service density near project area</t>
    </r>
    <r>
      <rPr>
        <i/>
        <sz val="8"/>
        <color theme="1"/>
        <rFont val="Calibri"/>
        <family val="2"/>
        <scheme val="minor"/>
      </rPr>
      <t> </t>
    </r>
  </si>
  <si>
    <t>Share of project length with NPMRDS data</t>
  </si>
  <si>
    <t>Project length with NPMRDS overlap</t>
  </si>
  <si>
    <t>*Travel time reliability (TTR) = 80th percentile travel time / 50th percentile travel time. Per 2017 MAP-21 performance criteria, a TTR score greater than 1.5 is considered "unreliable" for the indicated time period. A TTR of 1.00 corresponds to perfect reliability (i.e., it always takes the same amount of time to travel the project segment).</t>
  </si>
  <si>
    <t>Within 0.5mi of project</t>
  </si>
  <si>
    <t>PDF report generated:</t>
  </si>
  <si>
    <t>Equity Indicator 1: Population within 0.5mi of project living in designated Environmental justice (EJ) community</t>
  </si>
  <si>
    <t>Equity Indicator 2: Share of population living in EJ community</t>
  </si>
  <si>
    <t>Equity Indicator 3: Accessibility for people in EJ communities that are near project segment*</t>
  </si>
  <si>
    <t>anyplace</t>
  </si>
  <si>
    <t>Jurisdiction</t>
  </si>
  <si>
    <t>jurisdiction</t>
  </si>
  <si>
    <t>Congestion indicator 1: Traffic congestion severity on project segment</t>
  </si>
  <si>
    <t>Congestion Ratio</t>
  </si>
  <si>
    <t>Congestion indicator 3: Total change in jobs plus dwelling units within 0.5mi of project :</t>
  </si>
  <si>
    <t>The Promote Economic Prosperity performance outcome includes three suboutcomes: job access, school access, and supporting the agricultural economy. Each of these suboutcomes has its own set of performance indicators. In your application you can choose which of these suboutcomes you want to be evaluated on. You can choose to be evaluated on one, two, or all three .</t>
  </si>
  <si>
    <t>Congested speed / Free-flow speed</t>
  </si>
  <si>
    <t>Congestion indicator 2: Travel time reliability* on project segment</t>
  </si>
  <si>
    <t>VMT Indicator 2: Land use diversity index*</t>
  </si>
  <si>
    <t>Economic Prosperity Indicator 6: Change in Ag acreage share within 0.5mi of project location</t>
  </si>
  <si>
    <t>Freight Performance Indicator 3: Change in share of industrial jobs within 0.5mi of project location</t>
  </si>
  <si>
    <t>Using This Report</t>
  </si>
  <si>
    <t>When we get to final layout, I think we should think about including a text box somewhere up front. On the title page maybe if we have the space. Which explains, like you said in documentation outline, what the tool is and what it is not. I.e., that the 2016 is base year without the project, while the 2040 is what the MTP envisions for the project corridor. That the reviewer then needs to make the step of thinking does the project help the corridor move towards this vision?   I noticed that the 2018 funding round Community Design reviewers thought the 2040 was a Project/No Project change. We need to emphasize that the 2040 indicators are about plan consistency, not about project/no-project benefits, especially as Community Design-type projects are generally lump sum in our plan. No need to tackle now, but put some thought into this and let’s talk about where best to try to emphasize this. Maybe it is laid out in the documentation and it is overkill to also include here.</t>
  </si>
  <si>
    <t>For arterials, the free-flow speed is the 60th percentile speed from 8pm-6am. It is supposed to approximate uncongested travel speed while excluding signal delay (i.e., delay not caused by demand exceeding supply).
Congested speed is the average speed during the slowest four hours of a typical weekday and for most project segments is during the AM and PM peak periods.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</si>
</sst>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
    <numFmt numFmtId="166" formatCode="0.000"/>
    <numFmt numFmtId="167" formatCode="#,##0.0"/>
    <numFmt numFmtId="168" formatCode="[$-409]m/d/yy\ h:mm\ AM/PM;@"/>
  </numFmts>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sz val="12"/>
      <color rgb="FF1F3763"/>
      <name val="Calibri Light"/>
      <family val="2"/>
    </font>
    <font>
      <i/>
      <sz val="11"/>
      <color theme="1"/>
      <name val="Calibri"/>
      <family val="2"/>
      <scheme val="minor"/>
    </font>
    <font>
      <i/>
      <sz val="8"/>
      <color theme="1"/>
      <name val="Calibri"/>
      <family val="2"/>
      <scheme val="minor"/>
    </font>
    <font>
      <i/>
      <sz val="11"/>
      <color indexed="8"/>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8">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21"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applyAlignment="1">
      <alignment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16" fillId="0" borderId="0" xfId="0" applyFont="1" applyAlignment="1">
      <alignment vertical="center" wrapText="1"/>
    </xf>
    <xf numFmtId="2" fontId="0" fillId="0" borderId="20" xfId="1" applyNumberFormat="1" applyFont="1" applyBorder="1" applyAlignment="1">
      <alignment horizontal="center" vertical="center" wrapText="1"/>
    </xf>
    <xf numFmtId="2" fontId="0" fillId="0" borderId="0" xfId="1" applyNumberFormat="1" applyFont="1" applyBorder="1" applyAlignment="1">
      <alignment horizontal="center" vertical="center" wrapText="1"/>
    </xf>
    <xf numFmtId="166" fontId="0" fillId="0" borderId="0" xfId="1" applyNumberFormat="1" applyFont="1" applyBorder="1" applyAlignment="1">
      <alignment horizontal="center" vertical="center" wrapText="1"/>
    </xf>
    <xf numFmtId="0" fontId="0" fillId="0" borderId="0" xfId="0" applyBorder="1" applyAlignment="1">
      <alignment horizontal="center" vertical="center" wrapText="1"/>
    </xf>
    <xf numFmtId="0" fontId="26" fillId="0" borderId="0" xfId="0" applyFont="1" applyAlignment="1">
      <alignment vertical="center"/>
    </xf>
    <xf numFmtId="9" fontId="0" fillId="0" borderId="20" xfId="2" applyFont="1" applyBorder="1" applyAlignment="1">
      <alignment horizontal="center" vertical="center" wrapText="1"/>
    </xf>
    <xf numFmtId="0" fontId="0" fillId="0" borderId="22" xfId="0" applyBorder="1"/>
    <xf numFmtId="0" fontId="0" fillId="0" borderId="0" xfId="0" applyAlignment="1">
      <alignment vertical="center"/>
    </xf>
    <xf numFmtId="9" fontId="0" fillId="0" borderId="22" xfId="2" applyFont="1" applyBorder="1" applyAlignment="1">
      <alignment horizontal="left"/>
    </xf>
    <xf numFmtId="0" fontId="26" fillId="0" borderId="0" xfId="0" applyFont="1"/>
    <xf numFmtId="165" fontId="0" fillId="0" borderId="20" xfId="1" applyNumberFormat="1" applyFont="1" applyBorder="1" applyAlignment="1">
      <alignment horizontal="center" vertical="center" wrapText="1"/>
    </xf>
    <xf numFmtId="167" fontId="0" fillId="0" borderId="0" xfId="1" applyNumberFormat="1" applyFont="1" applyAlignment="1">
      <alignment horizontal="left"/>
    </xf>
    <xf numFmtId="3" fontId="0" fillId="0" borderId="22" xfId="0" applyNumberFormat="1" applyBorder="1"/>
    <xf numFmtId="9" fontId="0" fillId="0" borderId="20" xfId="0" applyNumberFormat="1" applyBorder="1" applyAlignment="1">
      <alignment horizontal="center" vertical="center" wrapText="1"/>
    </xf>
    <xf numFmtId="0" fontId="0" fillId="0" borderId="0" xfId="0" applyBorder="1" applyAlignment="1">
      <alignment vertical="center" wrapText="1"/>
    </xf>
    <xf numFmtId="0" fontId="26" fillId="0" borderId="0" xfId="0" applyFont="1" applyBorder="1" applyAlignment="1">
      <alignment vertical="center"/>
    </xf>
    <xf numFmtId="3" fontId="0" fillId="0" borderId="0" xfId="0" applyNumberFormat="1"/>
    <xf numFmtId="164" fontId="0" fillId="0" borderId="18" xfId="1" applyNumberFormat="1" applyFont="1" applyBorder="1"/>
    <xf numFmtId="0" fontId="0" fillId="0" borderId="18" xfId="0" applyBorder="1"/>
    <xf numFmtId="0" fontId="0" fillId="0" borderId="0" xfId="0" applyAlignment="1">
      <alignment vertical="center" wrapText="1"/>
    </xf>
    <xf numFmtId="0" fontId="26" fillId="0" borderId="0" xfId="0" applyFont="1" applyAlignment="1">
      <alignment horizontal="left"/>
    </xf>
    <xf numFmtId="168" fontId="26" fillId="0" borderId="0" xfId="0" applyNumberFormat="1" applyFont="1" applyAlignment="1">
      <alignment horizontal="left"/>
    </xf>
    <xf numFmtId="0" fontId="26" fillId="0" borderId="0" xfId="0" applyFont="1" applyAlignment="1">
      <alignment horizontal="right"/>
    </xf>
    <xf numFmtId="0" fontId="26" fillId="0" borderId="0" xfId="0" applyFont="1" applyAlignment="1">
      <alignment horizontal="right" wrapText="1"/>
    </xf>
    <xf numFmtId="0" fontId="0" fillId="0" borderId="0" xfId="0" applyFont="1" applyAlignment="1">
      <alignment horizontal="lef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21" fillId="0" borderId="0" xfId="0" applyFont="1" applyAlignment="1">
      <alignment vertical="center" wrapText="1"/>
    </xf>
    <xf numFmtId="0" fontId="28" fillId="0" borderId="0" xfId="0" applyFont="1"/>
    <xf numFmtId="0" fontId="21" fillId="0" borderId="0" xfId="0" applyFont="1" applyBorder="1" applyAlignment="1">
      <alignment vertical="center"/>
    </xf>
    <xf numFmtId="0" fontId="28" fillId="0" borderId="0" xfId="0" applyFont="1" applyAlignment="1">
      <alignment horizontal="right"/>
    </xf>
    <xf numFmtId="0" fontId="16" fillId="0" borderId="0" xfId="0" applyFont="1" applyAlignment="1"/>
    <xf numFmtId="0" fontId="0" fillId="0" borderId="0" xfId="0" applyAlignment="1">
      <alignment vertical="center" wrapText="1"/>
    </xf>
    <xf numFmtId="0" fontId="0" fillId="0" borderId="0" xfId="0" applyFont="1" applyAlignment="1">
      <alignment vertical="center"/>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22" xfId="0" applyBorder="1" applyAlignment="1">
      <alignment horizontal="center"/>
    </xf>
    <xf numFmtId="0" fontId="0" fillId="0" borderId="22" xfId="0" applyFont="1" applyBorder="1" applyAlignment="1">
      <alignment vertical="center" wrapText="1"/>
    </xf>
    <xf numFmtId="0" fontId="26" fillId="0" borderId="22" xfId="0" applyFont="1" applyBorder="1" applyAlignment="1">
      <alignment horizontal="left" vertical="center" indent="2"/>
    </xf>
    <xf numFmtId="0" fontId="0" fillId="0" borderId="0" xfId="0" applyAlignment="1">
      <alignment horizontal="left" vertical="top" wrapText="1"/>
    </xf>
    <xf numFmtId="0" fontId="0" fillId="33" borderId="0" xfId="0" applyFill="1"/>
    <xf numFmtId="0" fontId="0" fillId="33" borderId="0" xfId="0" applyFill="1" applyAlignment="1">
      <alignment wrapText="1"/>
    </xf>
    <xf numFmtId="164" fontId="0" fillId="33" borderId="0" xfId="1" applyNumberFormat="1" applyFont="1" applyFill="1"/>
    <xf numFmtId="43" fontId="0" fillId="33" borderId="0" xfId="1" applyFont="1" applyFill="1"/>
    <xf numFmtId="43" fontId="0" fillId="0" borderId="0" xfId="1" applyNumberFormat="1" applyFont="1"/>
    <xf numFmtId="2" fontId="0" fillId="0" borderId="22" xfId="2" applyNumberFormat="1" applyFont="1" applyBorder="1" applyAlignment="1">
      <alignment horizontal="center"/>
    </xf>
    <xf numFmtId="0" fontId="16" fillId="0" borderId="0" xfId="0" applyFont="1"/>
    <xf numFmtId="3" fontId="0" fillId="0" borderId="18" xfId="0" applyNumberFormat="1" applyBorder="1" applyAlignment="1">
      <alignment horizontal="left"/>
    </xf>
    <xf numFmtId="0" fontId="16" fillId="0" borderId="0" xfId="0" applyFont="1" applyAlignment="1">
      <alignment horizontal="left"/>
    </xf>
    <xf numFmtId="0" fontId="18" fillId="0" borderId="0" xfId="3" applyFont="1" applyAlignment="1">
      <alignment horizontal="center" wrapText="1"/>
    </xf>
    <xf numFmtId="0" fontId="29" fillId="0" borderId="0" xfId="0" applyFont="1" applyAlignment="1">
      <alignment horizontal="left" vertical="center" wrapText="1"/>
    </xf>
    <xf numFmtId="0" fontId="0" fillId="0" borderId="0" xfId="0" applyAlignment="1">
      <alignment horizontal="left" vertical="center" wrapText="1"/>
    </xf>
    <xf numFmtId="0" fontId="21" fillId="0" borderId="0" xfId="0" applyFont="1" applyAlignment="1">
      <alignment vertical="center" wrapText="1"/>
    </xf>
    <xf numFmtId="0" fontId="16" fillId="0" borderId="0" xfId="0" applyFont="1" applyAlignment="1">
      <alignment horizontal="left" vertical="center" wrapText="1"/>
    </xf>
    <xf numFmtId="0" fontId="26" fillId="0" borderId="21" xfId="0" applyFont="1" applyBorder="1" applyAlignment="1">
      <alignment horizontal="left" wrapText="1"/>
    </xf>
    <xf numFmtId="0" fontId="0" fillId="0" borderId="0" xfId="0" applyAlignment="1">
      <alignment horizontal="left" vertical="top" wrapText="1"/>
    </xf>
    <xf numFmtId="0" fontId="0" fillId="0" borderId="0" xfId="0" applyAlignment="1">
      <alignment vertical="center"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83C4-4D02-8672-A14EFE4AD4B7}"/>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83C4-4D02-8672-A14EFE4AD4B7}"/>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AE5B-4CDB-B8C1-A06FFC3AAC86}"/>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0-35B7-4846-B2B6-AF6AF72A33E8}"/>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Land Use Diversity within 1mi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(lookup_helper!$D$79,lookup_helper!$F$79,lookup_helper!$G$79)</c:f>
              <c:numCache>
                <c:formatCode>_(* #,##0.00_);_(* \(#,##0.00\);_(* "-"??_);_(@_)</c:formatCode>
                <c:ptCount val="3"/>
                <c:pt idx="0">
                  <c:v>0.68447077769432152</c:v>
                </c:pt>
                <c:pt idx="1">
                  <c:v>0.62622069700880123</c:v>
                </c:pt>
                <c:pt idx="2">
                  <c:v>0.99998912009623475</c:v>
                </c:pt>
              </c:numCache>
            </c:numRef>
          </c:val>
          <c:extLst>
            <c:ext xmlns:c16="http://schemas.microsoft.com/office/drawing/2014/chart" uri="{C3380CC4-5D6E-409C-BE32-E72D297353CC}">
              <c16:uniqueId val="{00000002-F163-4D78-949C-9B4AA96BEDDC}"/>
            </c:ext>
          </c:extLst>
        </c:ser>
        <c:ser>
          <c:idx val="1"/>
          <c:order val="1"/>
          <c:tx>
            <c:v>2040</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(lookup_helper!$E$79,lookup_helper!$H$79,lookup_helper!$I$79)</c:f>
              <c:numCache>
                <c:formatCode>_(* #,##0.00_);_(* \(#,##0.00\);_(* "-"??_);_(@_)</c:formatCode>
                <c:ptCount val="3"/>
                <c:pt idx="0">
                  <c:v>0.68192319179405259</c:v>
                </c:pt>
                <c:pt idx="1">
                  <c:v>0.65824713128427348</c:v>
                </c:pt>
                <c:pt idx="2">
                  <c:v>0.93085349575304976</c:v>
                </c:pt>
              </c:numCache>
            </c:numRef>
          </c:val>
          <c:extLst>
            <c:ext xmlns:c16="http://schemas.microsoft.com/office/drawing/2014/chart" uri="{C3380CC4-5D6E-409C-BE32-E72D297353CC}">
              <c16:uniqueId val="{00000003-F163-4D78-949C-9B4AA96BEDDC}"/>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Land Use Mix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Free-flow vs. Congested</a:t>
            </a:r>
            <a:r>
              <a:rPr lang="en-US" baseline="0"/>
              <a:t> Speeds* (MPH)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lookup_helper!$P$8</c:f>
              <c:strCache>
                <c:ptCount val="1"/>
                <c:pt idx="0">
                  <c:v>Free-flow speed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lookup_helper!$Q$8:$R$8</c:f>
              <c:numCache>
                <c:formatCode>0</c:formatCode>
                <c:ptCount val="2"/>
                <c:pt idx="0">
                  <c:v>63.359266107107317</c:v>
                </c:pt>
                <c:pt idx="1">
                  <c:v>66.431990942696686</c:v>
                </c:pt>
              </c:numCache>
            </c:numRef>
          </c:val>
          <c:extLst>
            <c:ext xmlns:c16="http://schemas.microsoft.com/office/drawing/2014/chart" uri="{C3380CC4-5D6E-409C-BE32-E72D297353CC}">
              <c16:uniqueId val="{00000000-892B-4BC5-8EB9-CDF8E4686D75}"/>
            </c:ext>
          </c:extLst>
        </c:ser>
        <c:ser>
          <c:idx val="1"/>
          <c:order val="1"/>
          <c:tx>
            <c:strRef>
              <c:f>lookup_helper!$P$9</c:f>
              <c:strCache>
                <c:ptCount val="1"/>
                <c:pt idx="0">
                  <c:v>Average congested speed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lookup_helper!$Q$9:$R$9</c:f>
              <c:numCache>
                <c:formatCode>0</c:formatCode>
                <c:ptCount val="2"/>
                <c:pt idx="0">
                  <c:v>39.857150159123393</c:v>
                </c:pt>
                <c:pt idx="1">
                  <c:v>54.409268026535017</c:v>
                </c:pt>
              </c:numCache>
            </c:numRef>
          </c:val>
          <c:extLst>
            <c:ext xmlns:c16="http://schemas.microsoft.com/office/drawing/2014/chart" uri="{C3380CC4-5D6E-409C-BE32-E72D297353CC}">
              <c16:uniqueId val="{00000001-892B-4BC5-8EB9-CDF8E4686D75}"/>
            </c:ext>
          </c:extLst>
        </c:ser>
        <c:dLbls>
          <c:showLegendKey val="0"/>
          <c:showVal val="0"/>
          <c:showCatName val="0"/>
          <c:showSerName val="0"/>
          <c:showPercent val="0"/>
          <c:showBubbleSize val="0"/>
        </c:dLbls>
        <c:gapWidth val="219"/>
        <c:overlap val="-27"/>
        <c:axId val="413144992"/>
        <c:axId val="476843424"/>
      </c:barChart>
      <c:catAx>
        <c:axId val="41314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43424"/>
        <c:crosses val="autoZero"/>
        <c:auto val="1"/>
        <c:lblAlgn val="ctr"/>
        <c:lblOffset val="100"/>
        <c:noMultiLvlLbl val="0"/>
      </c:catAx>
      <c:valAx>
        <c:axId val="47684342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14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Travel Time Reliability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lookup_helper!$P$14</c:f>
              <c:strCache>
                <c:ptCount val="1"/>
                <c:pt idx="0">
                  <c:v>AM peak TT reliability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lookup_helper!$Q$14:$R$14</c:f>
              <c:numCache>
                <c:formatCode>0.00</c:formatCode>
                <c:ptCount val="2"/>
                <c:pt idx="0">
                  <c:v>1.1478152403679189</c:v>
                </c:pt>
                <c:pt idx="1">
                  <c:v>1.081819835884438</c:v>
                </c:pt>
              </c:numCache>
            </c:numRef>
          </c:val>
          <c:extLst>
            <c:ext xmlns:c16="http://schemas.microsoft.com/office/drawing/2014/chart" uri="{C3380CC4-5D6E-409C-BE32-E72D297353CC}">
              <c16:uniqueId val="{00000000-2F3E-4412-8F1B-4BE757E31B71}"/>
            </c:ext>
          </c:extLst>
        </c:ser>
        <c:ser>
          <c:idx val="2"/>
          <c:order val="1"/>
          <c:tx>
            <c:strRef>
              <c:f>lookup_helper!$P$16</c:f>
              <c:strCache>
                <c:ptCount val="1"/>
                <c:pt idx="0">
                  <c:v>PM peak TT reliability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lookup_helper!$Q$16:$R$16</c:f>
              <c:numCache>
                <c:formatCode>0.00</c:formatCode>
                <c:ptCount val="2"/>
                <c:pt idx="0">
                  <c:v>1.323087321541778</c:v>
                </c:pt>
                <c:pt idx="1">
                  <c:v>1.10910333948567</c:v>
                </c:pt>
              </c:numCache>
            </c:numRef>
          </c:val>
          <c:extLst>
            <c:ext xmlns:c16="http://schemas.microsoft.com/office/drawing/2014/chart" uri="{C3380CC4-5D6E-409C-BE32-E72D297353CC}">
              <c16:uniqueId val="{00000002-2F3E-4412-8F1B-4BE757E31B71}"/>
            </c:ext>
          </c:extLst>
        </c:ser>
        <c:ser>
          <c:idx val="1"/>
          <c:order val="2"/>
          <c:tx>
            <c:strRef>
              <c:f>lookup_helper!$P$15</c:f>
              <c:strCache>
                <c:ptCount val="1"/>
                <c:pt idx="0">
                  <c:v>Midday TT reliability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lookup_helper!$Q$15:$R$15</c:f>
              <c:numCache>
                <c:formatCode>0.00</c:formatCode>
                <c:ptCount val="2"/>
                <c:pt idx="0">
                  <c:v>1.162867114075685</c:v>
                </c:pt>
                <c:pt idx="1">
                  <c:v>1.091630634013671</c:v>
                </c:pt>
              </c:numCache>
            </c:numRef>
          </c:val>
          <c:extLst>
            <c:ext xmlns:c16="http://schemas.microsoft.com/office/drawing/2014/chart" uri="{C3380CC4-5D6E-409C-BE32-E72D297353CC}">
              <c16:uniqueId val="{00000001-2F3E-4412-8F1B-4BE757E31B71}"/>
            </c:ext>
          </c:extLst>
        </c:ser>
        <c:ser>
          <c:idx val="3"/>
          <c:order val="3"/>
          <c:tx>
            <c:strRef>
              <c:f>lookup_helper!$P$17</c:f>
              <c:strCache>
                <c:ptCount val="1"/>
                <c:pt idx="0">
                  <c:v>Weekend TT reliability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lookup_helper!$Q$17:$R$17</c:f>
              <c:numCache>
                <c:formatCode>0.00</c:formatCode>
                <c:ptCount val="2"/>
                <c:pt idx="0">
                  <c:v>1.2010105753672351</c:v>
                </c:pt>
                <c:pt idx="1">
                  <c:v>1.0947187607200981</c:v>
                </c:pt>
              </c:numCache>
            </c:numRef>
          </c:val>
          <c:extLst>
            <c:ext xmlns:c16="http://schemas.microsoft.com/office/drawing/2014/chart" uri="{C3380CC4-5D6E-409C-BE32-E72D297353CC}">
              <c16:uniqueId val="{00000003-2F3E-4412-8F1B-4BE757E31B71}"/>
            </c:ext>
          </c:extLst>
        </c:ser>
        <c:dLbls>
          <c:showLegendKey val="0"/>
          <c:showVal val="0"/>
          <c:showCatName val="0"/>
          <c:showSerName val="0"/>
          <c:showPercent val="0"/>
          <c:showBubbleSize val="0"/>
        </c:dLbls>
        <c:gapWidth val="219"/>
        <c:overlap val="-27"/>
        <c:axId val="204223727"/>
        <c:axId val="782932191"/>
      </c:barChart>
      <c:catAx>
        <c:axId val="20422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932191"/>
        <c:crosses val="autoZero"/>
        <c:auto val="1"/>
        <c:lblAlgn val="ctr"/>
        <c:lblOffset val="100"/>
        <c:noMultiLvlLbl val="0"/>
      </c:catAx>
      <c:valAx>
        <c:axId val="782932191"/>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23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219A-48EA-8286-43B18AE1050F}"/>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219A-48EA-8286-43B18AE1050F}"/>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Footer>&amp;L*If no data appear for speed or reliability charts, it means no data were available for the project.</c:oddFooter>
    </c:headerFooter>
    <c:pageMargins b="0.75" l="0.7" r="0.7" t="0.75" header="0.3" footer="0.3"/>
    <c:pageSetup orientation="portrait"/>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Job Accessibility by Mode from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22537084398976981"/>
          <c:w val="0.80231580396512936"/>
          <c:h val="0.58005652106785899"/>
        </c:manualLayout>
      </c:layout>
      <c:barChart>
        <c:barDir val="col"/>
        <c:grouping val="clustered"/>
        <c:varyColors val="0"/>
        <c:ser>
          <c:idx val="0"/>
          <c:order val="0"/>
          <c:tx>
            <c:strRef>
              <c:f>lookup_helper!$E$2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(lookup_helper!$D$43,lookup_helper!$D$44,lookup_helper!$D$45,lookup_helper!$D$46)</c:f>
              <c:numCache>
                <c:formatCode>_(* #,##0_);_(* \(#,##0\);_(* "-"??_);_(@_)</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16-4117-43AC-B556-577713FCE445}"/>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(lookup_helper!$F$43,lookup_helper!$F$44,lookup_helper!$F$45,lookup_helper!$F$46)</c:f>
              <c:numCache>
                <c:formatCode>_(* #,##0_);_(* \(#,##0\);_(* "-"??_);_(@_)</c:formatCode>
                <c:ptCount val="4"/>
                <c:pt idx="0">
                  <c:v>1364.000856776242</c:v>
                </c:pt>
                <c:pt idx="1">
                  <c:v>7127.5982283250496</c:v>
                </c:pt>
                <c:pt idx="2">
                  <c:v>115470.05312773889</c:v>
                </c:pt>
                <c:pt idx="3">
                  <c:v>3942.7378655082048</c:v>
                </c:pt>
              </c:numCache>
            </c:numRef>
          </c:val>
          <c:extLst>
            <c:ext xmlns:c16="http://schemas.microsoft.com/office/drawing/2014/chart" uri="{C3380CC4-5D6E-409C-BE32-E72D297353CC}">
              <c16:uniqueId val="{00000017-4117-43AC-B556-577713FCE445}"/>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(lookup_helper!$G$43,lookup_helper!$G$44,lookup_helper!$G$45,lookup_helper!$G$46)</c:f>
              <c:numCache>
                <c:formatCode>_(* #,##0_);_(* \(#,##0\);_(* "-"??_);_(@_)</c:formatCode>
                <c:ptCount val="4"/>
                <c:pt idx="0">
                  <c:v>3842.410877719361</c:v>
                </c:pt>
                <c:pt idx="1">
                  <c:v>37354.023709342597</c:v>
                </c:pt>
                <c:pt idx="2">
                  <c:v>475047.24569611409</c:v>
                </c:pt>
                <c:pt idx="3">
                  <c:v>22213.193547074628</c:v>
                </c:pt>
              </c:numCache>
            </c:numRef>
          </c:val>
          <c:extLst>
            <c:ext xmlns:c16="http://schemas.microsoft.com/office/drawing/2014/chart" uri="{C3380CC4-5D6E-409C-BE32-E72D297353CC}">
              <c16:uniqueId val="{00000018-4117-43AC-B556-577713FCE445}"/>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Jobs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Service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13517461787864751"/>
          <c:w val="0.80231580396512936"/>
          <c:h val="0.67025258607379956"/>
        </c:manualLayout>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(lookup_helper!$D$51,lookup_helper!$D$52,lookup_helper!$D$53,lookup_helper!$D$54)</c:f>
              <c:numCache>
                <c:formatCode>_(* #,##0_);_(* \(#,##0\);_(* "-"??_);_(@_)</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13-C6EE-4C16-B6BC-53FADD444E3F}"/>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(lookup_helper!$F$51,lookup_helper!$F$52,lookup_helper!$F$53,lookup_helper!$F$54)</c:f>
              <c:numCache>
                <c:formatCode>_(* #,##0_);_(* \(#,##0\);_(* "-"??_);_(@_)</c:formatCode>
                <c:ptCount val="4"/>
                <c:pt idx="0">
                  <c:v>9.6835892389165004</c:v>
                </c:pt>
                <c:pt idx="1">
                  <c:v>43.011998510238037</c:v>
                </c:pt>
                <c:pt idx="2">
                  <c:v>144.64461021519989</c:v>
                </c:pt>
                <c:pt idx="3">
                  <c:v>25.241365850741079</c:v>
                </c:pt>
              </c:numCache>
            </c:numRef>
          </c:val>
          <c:extLst>
            <c:ext xmlns:c16="http://schemas.microsoft.com/office/drawing/2014/chart" uri="{C3380CC4-5D6E-409C-BE32-E72D297353CC}">
              <c16:uniqueId val="{00000014-C6EE-4C16-B6BC-53FADD444E3F}"/>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(lookup_helper!$G$51,lookup_helper!$G$52,lookup_helper!$G$53,lookup_helper!$G$54)</c:f>
              <c:numCache>
                <c:formatCode>_(* #,##0_);_(* \(#,##0\);_(* "-"??_);_(@_)</c:formatCode>
                <c:ptCount val="4"/>
                <c:pt idx="0">
                  <c:v>17.147198276435411</c:v>
                </c:pt>
                <c:pt idx="1">
                  <c:v>140.10012353515299</c:v>
                </c:pt>
                <c:pt idx="2">
                  <c:v>520.32769799543757</c:v>
                </c:pt>
                <c:pt idx="3">
                  <c:v>77.938922900995635</c:v>
                </c:pt>
              </c:numCache>
            </c:numRef>
          </c:val>
          <c:extLst>
            <c:ext xmlns:c16="http://schemas.microsoft.com/office/drawing/2014/chart" uri="{C3380CC4-5D6E-409C-BE32-E72D297353CC}">
              <c16:uniqueId val="{00000015-C6EE-4C16-B6BC-53FADD444E3F}"/>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Education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13517461787864751"/>
          <c:w val="0.80231580396512936"/>
          <c:h val="0.67025258607379956"/>
        </c:manualLayout>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lookup_helper!$D$47:$D$50</c:f>
              <c:numCache>
                <c:formatCode>_(* #,##0_);_(* \(#,##0\);_(* "-"??_);_(@_)</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4136-4FB2-B332-E360D914229A}"/>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lookup_helper!$F$47:$F$50</c:f>
              <c:numCache>
                <c:formatCode>_(* #,##0_);_(* \(#,##0\);_(* "-"??_);_(@_)</c:formatCode>
                <c:ptCount val="4"/>
                <c:pt idx="0">
                  <c:v>2.8359657898456958</c:v>
                </c:pt>
                <c:pt idx="1">
                  <c:v>11.725412674938291</c:v>
                </c:pt>
                <c:pt idx="2">
                  <c:v>163.7723231043594</c:v>
                </c:pt>
                <c:pt idx="3">
                  <c:v>6.3673234849555804</c:v>
                </c:pt>
              </c:numCache>
            </c:numRef>
          </c:val>
          <c:extLst>
            <c:ext xmlns:c16="http://schemas.microsoft.com/office/drawing/2014/chart" uri="{C3380CC4-5D6E-409C-BE32-E72D297353CC}">
              <c16:uniqueId val="{00000001-4136-4FB2-B332-E360D914229A}"/>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lookup_helper!$G$47:$G$50</c:f>
              <c:numCache>
                <c:formatCode>_(* #,##0_);_(* \(#,##0\);_(* "-"??_);_(@_)</c:formatCode>
                <c:ptCount val="4"/>
                <c:pt idx="0">
                  <c:v>4.6382414187566914</c:v>
                </c:pt>
                <c:pt idx="1">
                  <c:v>38.186082797940898</c:v>
                </c:pt>
                <c:pt idx="2">
                  <c:v>492.55290133648589</c:v>
                </c:pt>
                <c:pt idx="3">
                  <c:v>19.46065842045931</c:v>
                </c:pt>
              </c:numCache>
            </c:numRef>
          </c:val>
          <c:extLst>
            <c:ext xmlns:c16="http://schemas.microsoft.com/office/drawing/2014/chart" uri="{C3380CC4-5D6E-409C-BE32-E72D297353CC}">
              <c16:uniqueId val="{00000002-4136-4FB2-B332-E360D914229A}"/>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lookup_helper!$B$5</c:f>
              <c:strCache>
                <c:ptCount val="1"/>
                <c:pt idx="0">
                  <c:v>Share of land that is Ag use within project area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lookup_helper!$D$5:$E$5</c:f>
              <c:numCache>
                <c:formatCode>0%</c:formatCode>
                <c:ptCount val="2"/>
                <c:pt idx="0">
                  <c:v>0.1236248623319337</c:v>
                </c:pt>
                <c:pt idx="1">
                  <c:v>0</c:v>
                </c:pt>
              </c:numCache>
            </c:numRef>
          </c:val>
          <c:extLst>
            <c:ext xmlns:c16="http://schemas.microsoft.com/office/drawing/2014/chart" uri="{C3380CC4-5D6E-409C-BE32-E72D297353CC}">
              <c16:uniqueId val="{00000000-5FE6-4D93-BAA4-2F8C28BC2782}"/>
            </c:ext>
          </c:extLst>
        </c:ser>
        <c:dLbls>
          <c:showLegendKey val="0"/>
          <c:showVal val="0"/>
          <c:showCatName val="0"/>
          <c:showSerName val="0"/>
          <c:showPercent val="0"/>
          <c:showBubbleSize val="0"/>
        </c:dLbls>
        <c:gapWidth val="219"/>
        <c:overlap val="-27"/>
        <c:axId val="1814706704"/>
        <c:axId val="1818653760"/>
      </c:barChart>
      <c:catAx>
        <c:axId val="181470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53760"/>
        <c:crosses val="autoZero"/>
        <c:auto val="1"/>
        <c:lblAlgn val="ctr"/>
        <c:lblOffset val="100"/>
        <c:noMultiLvlLbl val="0"/>
      </c:catAx>
      <c:valAx>
        <c:axId val="181865376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0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 of Industrial Jobs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lookup_helper!$D$59:$E$59</c:f>
              <c:numCache>
                <c:formatCode>0%</c:formatCode>
                <c:ptCount val="2"/>
                <c:pt idx="0">
                  <c:v>7.072357263990954E-2</c:v>
                </c:pt>
                <c:pt idx="1">
                  <c:v>4.853240442342649E-2</c:v>
                </c:pt>
              </c:numCache>
            </c:numRef>
          </c:val>
          <c:extLst>
            <c:ext xmlns:c16="http://schemas.microsoft.com/office/drawing/2014/chart" uri="{C3380CC4-5D6E-409C-BE32-E72D297353CC}">
              <c16:uniqueId val="{00000004-E36C-408F-93E4-698F12DD9E84}"/>
            </c:ext>
          </c:extLst>
        </c:ser>
        <c:dLbls>
          <c:showLegendKey val="0"/>
          <c:showVal val="0"/>
          <c:showCatName val="0"/>
          <c:showSerName val="0"/>
          <c:showPercent val="0"/>
          <c:showBubbleSize val="0"/>
        </c:dLbls>
        <c:gapWidth val="219"/>
        <c:overlap val="-27"/>
        <c:axId val="1814738704"/>
        <c:axId val="1818661248"/>
      </c:barChart>
      <c:catAx>
        <c:axId val="181473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61248"/>
        <c:crosses val="autoZero"/>
        <c:auto val="1"/>
        <c:lblAlgn val="ctr"/>
        <c:lblOffset val="100"/>
        <c:noMultiLvlLbl val="0"/>
      </c:catAx>
      <c:valAx>
        <c:axId val="181866124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38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Fatal and Bike-Ped Collisions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(lookup_helper!$D$90,lookup_helper!$D$93)</c:f>
              <c:numCache>
                <c:formatCode>0%</c:formatCode>
                <c:ptCount val="2"/>
                <c:pt idx="0">
                  <c:v>3.5714285714285719E-2</c:v>
                </c:pt>
                <c:pt idx="1">
                  <c:v>5.3571428571428568E-2</c:v>
                </c:pt>
              </c:numCache>
            </c:numRef>
          </c:val>
          <c:extLst>
            <c:ext xmlns:c16="http://schemas.microsoft.com/office/drawing/2014/chart" uri="{C3380CC4-5D6E-409C-BE32-E72D297353CC}">
              <c16:uniqueId val="{00000010-C726-4439-A329-B1396ECCEF32}"/>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(lookup_helper!$F$90,lookup_helper!$F$93)</c:f>
              <c:numCache>
                <c:formatCode>0%</c:formatCode>
                <c:ptCount val="2"/>
                <c:pt idx="0">
                  <c:v>2.7369826435246991E-2</c:v>
                </c:pt>
                <c:pt idx="1">
                  <c:v>0.13484646194926569</c:v>
                </c:pt>
              </c:numCache>
            </c:numRef>
          </c:val>
          <c:extLst>
            <c:ext xmlns:c16="http://schemas.microsoft.com/office/drawing/2014/chart" uri="{C3380CC4-5D6E-409C-BE32-E72D297353CC}">
              <c16:uniqueId val="{00000011-C726-4439-A329-B1396ECCEF32}"/>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(lookup_helper!$G$90,lookup_helper!$G$93)</c:f>
              <c:numCache>
                <c:formatCode>0%</c:formatCode>
                <c:ptCount val="2"/>
                <c:pt idx="0">
                  <c:v>2.022900763358779E-2</c:v>
                </c:pt>
                <c:pt idx="1">
                  <c:v>0.1221919302071974</c:v>
                </c:pt>
              </c:numCache>
            </c:numRef>
          </c:val>
          <c:extLst>
            <c:ext xmlns:c16="http://schemas.microsoft.com/office/drawing/2014/chart" uri="{C3380CC4-5D6E-409C-BE32-E72D297353CC}">
              <c16:uniqueId val="{00000014-C726-4439-A329-B1396ECCEF32}"/>
            </c:ext>
          </c:extLst>
        </c:ser>
        <c:dLbls>
          <c:showLegendKey val="0"/>
          <c:showVal val="0"/>
          <c:showCatName val="0"/>
          <c:showSerName val="0"/>
          <c:showPercent val="0"/>
          <c:showBubbleSize val="0"/>
        </c:dLbls>
        <c:gapWidth val="150"/>
        <c:axId val="1577134367"/>
        <c:axId val="1541216127"/>
      </c:barChart>
      <c:catAx>
        <c:axId val="157713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216127"/>
        <c:crosses val="autoZero"/>
        <c:auto val="1"/>
        <c:lblAlgn val="ctr"/>
        <c:lblOffset val="100"/>
        <c:noMultiLvlLbl val="0"/>
      </c:catAx>
      <c:valAx>
        <c:axId val="154121612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13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 Accessibility for EJ Populations Adjacent to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lookup_helper!$B$96:$B$99</c:f>
              <c:strCache>
                <c:ptCount val="4"/>
                <c:pt idx="0">
                  <c:v>30-min walk</c:v>
                </c:pt>
                <c:pt idx="1">
                  <c:v>30-min biking</c:v>
                </c:pt>
                <c:pt idx="2">
                  <c:v>30-min drive</c:v>
                </c:pt>
                <c:pt idx="3">
                  <c:v>45-min transit</c:v>
                </c:pt>
              </c:strCache>
            </c:strRef>
          </c:cat>
          <c:val>
            <c:numRef>
              <c:f>lookup_helper!$D$96:$D$99</c:f>
              <c:numCache>
                <c:formatCode>#,##0</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00-6AAA-43A6-BC0A-0C10C1D9B9E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Entry-Level Job 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lookup_helper!$B$100:$B$103</c:f>
              <c:strCache>
                <c:ptCount val="4"/>
                <c:pt idx="0">
                  <c:v>30-min walk</c:v>
                </c:pt>
                <c:pt idx="1">
                  <c:v>30-min biking</c:v>
                </c:pt>
                <c:pt idx="2">
                  <c:v>30-min drive</c:v>
                </c:pt>
                <c:pt idx="3">
                  <c:v>45-min transit</c:v>
                </c:pt>
              </c:strCache>
            </c:strRef>
          </c:cat>
          <c:val>
            <c:numRef>
              <c:f>lookup_helper!$D$100:$D$103</c:f>
              <c:numCache>
                <c:formatCode>#,##0</c:formatCode>
                <c:ptCount val="4"/>
                <c:pt idx="0">
                  <c:v>272.66024096385541</c:v>
                </c:pt>
                <c:pt idx="1">
                  <c:v>795.25333333333333</c:v>
                </c:pt>
                <c:pt idx="2">
                  <c:v>12386.82514056225</c:v>
                </c:pt>
                <c:pt idx="3">
                  <c:v>1514.9185542168671</c:v>
                </c:pt>
              </c:numCache>
            </c:numRef>
          </c:val>
          <c:extLst>
            <c:ext xmlns:c16="http://schemas.microsoft.com/office/drawing/2014/chart" uri="{C3380CC4-5D6E-409C-BE32-E72D297353CC}">
              <c16:uniqueId val="{00000000-E5E3-46E9-A4BB-CF4983A9EDA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lookup_helper!$B$104:$B$107</c:f>
              <c:strCache>
                <c:ptCount val="4"/>
                <c:pt idx="0">
                  <c:v>30-min walk</c:v>
                </c:pt>
                <c:pt idx="1">
                  <c:v>30-min biking</c:v>
                </c:pt>
                <c:pt idx="2">
                  <c:v>30-min drive</c:v>
                </c:pt>
                <c:pt idx="3">
                  <c:v>45-min transit</c:v>
                </c:pt>
              </c:strCache>
            </c:strRef>
          </c:cat>
          <c:val>
            <c:numRef>
              <c:f>lookup_helper!$D$104:$D$107</c:f>
              <c:numCache>
                <c:formatCode>#,##0</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0F5B-4AEA-BE8F-7F4025523EE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Services*</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lookup_helper!$B$108:$B$111</c:f>
              <c:strCache>
                <c:ptCount val="4"/>
                <c:pt idx="0">
                  <c:v>30-min walk</c:v>
                </c:pt>
                <c:pt idx="1">
                  <c:v>30-min biking</c:v>
                </c:pt>
                <c:pt idx="2">
                  <c:v>15-min drive</c:v>
                </c:pt>
                <c:pt idx="3">
                  <c:v>45-min transit</c:v>
                </c:pt>
              </c:strCache>
            </c:strRef>
          </c:cat>
          <c:val>
            <c:numRef>
              <c:f>lookup_helper!$D$108:$D$111</c:f>
              <c:numCache>
                <c:formatCode>#,##0</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607B-4EB5-8F8C-44C265FF0EB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12</xdr:col>
      <xdr:colOff>190500</xdr:colOff>
      <xdr:row>23</xdr:row>
      <xdr:rowOff>171450</xdr:rowOff>
    </xdr:from>
    <xdr:to>
      <xdr:col>17</xdr:col>
      <xdr:colOff>53975</xdr:colOff>
      <xdr:row>38</xdr:row>
      <xdr:rowOff>57150</xdr:rowOff>
    </xdr:to>
    <xdr:graphicFrame macro="">
      <xdr:nvGraphicFramePr>
        <xdr:cNvPr id="2" name="Chart 1">
          <a:extLst>
            <a:ext uri="{FF2B5EF4-FFF2-40B4-BE49-F238E27FC236}">
              <a16:creationId xmlns:a16="http://schemas.microsoft.com/office/drawing/2014/main" id="{3D984AF2-5EEA-4351-BA05-7DC493C2A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336550</xdr:colOff>
      <xdr:row>5</xdr:row>
      <xdr:rowOff>107950</xdr:rowOff>
    </xdr:from>
    <xdr:to>
      <xdr:col>6</xdr:col>
      <xdr:colOff>457200</xdr:colOff>
      <xdr:row>19</xdr:row>
      <xdr:rowOff>184150</xdr:rowOff>
    </xdr:to>
    <xdr:graphicFrame macro="">
      <xdr:nvGraphicFramePr>
        <xdr:cNvPr id="2" name="Chart 1">
          <a:extLst>
            <a:ext uri="{FF2B5EF4-FFF2-40B4-BE49-F238E27FC236}">
              <a16:creationId xmlns:a16="http://schemas.microsoft.com/office/drawing/2014/main" id="{343BD12B-DE6F-47F0-A746-2254B00691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323850</xdr:colOff>
      <xdr:row>23</xdr:row>
      <xdr:rowOff>123825</xdr:rowOff>
    </xdr:from>
    <xdr:to>
      <xdr:col>6</xdr:col>
      <xdr:colOff>390525</xdr:colOff>
      <xdr:row>39</xdr:row>
      <xdr:rowOff>142875</xdr:rowOff>
    </xdr:to>
    <xdr:graphicFrame macro="">
      <xdr:nvGraphicFramePr>
        <xdr:cNvPr id="3" name="Chart 2">
          <a:extLst>
            <a:ext uri="{FF2B5EF4-FFF2-40B4-BE49-F238E27FC236}">
              <a16:creationId xmlns:a16="http://schemas.microsoft.com/office/drawing/2014/main" id="{A537D093-D18C-43CF-B421-A427C24DE4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104775</xdr:colOff>
      <xdr:row>5</xdr:row>
      <xdr:rowOff>157162</xdr:rowOff>
    </xdr:from>
    <xdr:to>
      <xdr:col>6</xdr:col>
      <xdr:colOff>508000</xdr:colOff>
      <xdr:row>20</xdr:row>
      <xdr:rowOff>42862</xdr:rowOff>
    </xdr:to>
    <xdr:graphicFrame macro="">
      <xdr:nvGraphicFramePr>
        <xdr:cNvPr id="2" name="Chart 1">
          <a:extLst>
            <a:ext uri="{FF2B5EF4-FFF2-40B4-BE49-F238E27FC236}">
              <a16:creationId xmlns:a16="http://schemas.microsoft.com/office/drawing/2014/main" id="{6176CED4-3ECC-4946-824D-6589E3699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43</xdr:row>
      <xdr:rowOff>76200</xdr:rowOff>
    </xdr:from>
    <xdr:to>
      <xdr:col>7</xdr:col>
      <xdr:colOff>195263</xdr:colOff>
      <xdr:row>59</xdr:row>
      <xdr:rowOff>28576</xdr:rowOff>
    </xdr:to>
    <xdr:graphicFrame macro="">
      <xdr:nvGraphicFramePr>
        <xdr:cNvPr id="3" name="Chart 2">
          <a:extLst>
            <a:ext uri="{FF2B5EF4-FFF2-40B4-BE49-F238E27FC236}">
              <a16:creationId xmlns:a16="http://schemas.microsoft.com/office/drawing/2014/main" id="{72567247-044F-406D-BA36-23DF279077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85724</xdr:colOff>
      <xdr:row>64</xdr:row>
      <xdr:rowOff>47624</xdr:rowOff>
    </xdr:from>
    <xdr:to>
      <xdr:col>7</xdr:col>
      <xdr:colOff>161924</xdr:colOff>
      <xdr:row>80</xdr:row>
      <xdr:rowOff>190499</xdr:rowOff>
    </xdr:to>
    <xdr:graphicFrame macro="">
      <xdr:nvGraphicFramePr>
        <xdr:cNvPr id="4" name="Chart 3">
          <a:extLst>
            <a:ext uri="{FF2B5EF4-FFF2-40B4-BE49-F238E27FC236}">
              <a16:creationId xmlns:a16="http://schemas.microsoft.com/office/drawing/2014/main" id="{A76D8086-4F7B-4D28-AAA6-09D8147F70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61911</xdr:colOff>
      <xdr:row>11</xdr:row>
      <xdr:rowOff>57149</xdr:rowOff>
    </xdr:from>
    <xdr:to>
      <xdr:col>7</xdr:col>
      <xdr:colOff>1000125</xdr:colOff>
      <xdr:row>29</xdr:row>
      <xdr:rowOff>9524</xdr:rowOff>
    </xdr:to>
    <xdr:graphicFrame macro="">
      <xdr:nvGraphicFramePr>
        <xdr:cNvPr id="2" name="Chart 1">
          <a:extLst>
            <a:ext uri="{FF2B5EF4-FFF2-40B4-BE49-F238E27FC236}">
              <a16:creationId xmlns:a16="http://schemas.microsoft.com/office/drawing/2014/main" id="{9380BACB-5C08-4A11-B1EB-FB14AAE949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66675</xdr:colOff>
      <xdr:row>45</xdr:row>
      <xdr:rowOff>142875</xdr:rowOff>
    </xdr:from>
    <xdr:to>
      <xdr:col>7</xdr:col>
      <xdr:colOff>652463</xdr:colOff>
      <xdr:row>60</xdr:row>
      <xdr:rowOff>57150</xdr:rowOff>
    </xdr:to>
    <xdr:graphicFrame macro="">
      <xdr:nvGraphicFramePr>
        <xdr:cNvPr id="3" name="Chart 2">
          <a:extLst>
            <a:ext uri="{FF2B5EF4-FFF2-40B4-BE49-F238E27FC236}">
              <a16:creationId xmlns:a16="http://schemas.microsoft.com/office/drawing/2014/main" id="{A8191F7D-D208-4E3E-A62D-9353B734C8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104776</xdr:colOff>
      <xdr:row>69</xdr:row>
      <xdr:rowOff>66675</xdr:rowOff>
    </xdr:from>
    <xdr:to>
      <xdr:col>7</xdr:col>
      <xdr:colOff>1047751</xdr:colOff>
      <xdr:row>82</xdr:row>
      <xdr:rowOff>171450</xdr:rowOff>
    </xdr:to>
    <xdr:graphicFrame macro="">
      <xdr:nvGraphicFramePr>
        <xdr:cNvPr id="4" name="Chart 3">
          <a:extLst>
            <a:ext uri="{FF2B5EF4-FFF2-40B4-BE49-F238E27FC236}">
              <a16:creationId xmlns:a16="http://schemas.microsoft.com/office/drawing/2014/main" id="{06621BC6-AB07-4C13-AD66-3D890573E9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90487</xdr:colOff>
      <xdr:row>88</xdr:row>
      <xdr:rowOff>66675</xdr:rowOff>
    </xdr:from>
    <xdr:to>
      <xdr:col>7</xdr:col>
      <xdr:colOff>61912</xdr:colOff>
      <xdr:row>100</xdr:row>
      <xdr:rowOff>85725</xdr:rowOff>
    </xdr:to>
    <xdr:graphicFrame macro="">
      <xdr:nvGraphicFramePr>
        <xdr:cNvPr id="5" name="Chart 4">
          <a:extLst>
            <a:ext uri="{FF2B5EF4-FFF2-40B4-BE49-F238E27FC236}">
              <a16:creationId xmlns:a16="http://schemas.microsoft.com/office/drawing/2014/main" id="{4000EC27-DEA6-4571-95D8-5B4D47A5C9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338137</xdr:colOff>
      <xdr:row>31</xdr:row>
      <xdr:rowOff>28576</xdr:rowOff>
    </xdr:from>
    <xdr:to>
      <xdr:col>6</xdr:col>
      <xdr:colOff>147637</xdr:colOff>
      <xdr:row>40</xdr:row>
      <xdr:rowOff>79376</xdr:rowOff>
    </xdr:to>
    <xdr:graphicFrame macro="">
      <xdr:nvGraphicFramePr>
        <xdr:cNvPr id="2" name="Chart 1">
          <a:extLst>
            <a:ext uri="{FF2B5EF4-FFF2-40B4-BE49-F238E27FC236}">
              <a16:creationId xmlns:a16="http://schemas.microsoft.com/office/drawing/2014/main" id="{CC49722F-70FD-4B30-9971-4EC1689D73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152399</xdr:colOff>
      <xdr:row>48</xdr:row>
      <xdr:rowOff>76200</xdr:rowOff>
    </xdr:from>
    <xdr:to>
      <xdr:col>6</xdr:col>
      <xdr:colOff>314324</xdr:colOff>
      <xdr:row>65</xdr:row>
      <xdr:rowOff>152400</xdr:rowOff>
    </xdr:to>
    <xdr:graphicFrame macro="">
      <xdr:nvGraphicFramePr>
        <xdr:cNvPr id="2" name="Chart 1">
          <a:extLst>
            <a:ext uri="{FF2B5EF4-FFF2-40B4-BE49-F238E27FC236}">
              <a16:creationId xmlns:a16="http://schemas.microsoft.com/office/drawing/2014/main" id="{FD1B8924-6547-499F-8539-3023BC7420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23811</xdr:colOff>
      <xdr:row>17</xdr:row>
      <xdr:rowOff>52386</xdr:rowOff>
    </xdr:from>
    <xdr:to>
      <xdr:col>6</xdr:col>
      <xdr:colOff>152400</xdr:colOff>
      <xdr:row>32</xdr:row>
      <xdr:rowOff>66675</xdr:rowOff>
    </xdr:to>
    <xdr:graphicFrame macro="">
      <xdr:nvGraphicFramePr>
        <xdr:cNvPr id="2" name="Chart 1">
          <a:extLst>
            <a:ext uri="{FF2B5EF4-FFF2-40B4-BE49-F238E27FC236}">
              <a16:creationId xmlns:a16="http://schemas.microsoft.com/office/drawing/2014/main" id="{FDBAA02D-C865-4729-B08E-BE03E3455E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57151</xdr:colOff>
      <xdr:row>45</xdr:row>
      <xdr:rowOff>85726</xdr:rowOff>
    </xdr:from>
    <xdr:to>
      <xdr:col>5</xdr:col>
      <xdr:colOff>47626</xdr:colOff>
      <xdr:row>57</xdr:row>
      <xdr:rowOff>161926</xdr:rowOff>
    </xdr:to>
    <xdr:graphicFrame macro="">
      <xdr:nvGraphicFramePr>
        <xdr:cNvPr id="3" name="Chart 2">
          <a:extLst>
            <a:ext uri="{FF2B5EF4-FFF2-40B4-BE49-F238E27FC236}">
              <a16:creationId xmlns:a16="http://schemas.microsoft.com/office/drawing/2014/main" id="{486BF543-A7FF-4787-BAD3-3676364CE8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76201</xdr:colOff>
      <xdr:row>59</xdr:row>
      <xdr:rowOff>9525</xdr:rowOff>
    </xdr:from>
    <xdr:to>
      <xdr:col>5</xdr:col>
      <xdr:colOff>9526</xdr:colOff>
      <xdr:row>70</xdr:row>
      <xdr:rowOff>180975</xdr:rowOff>
    </xdr:to>
    <xdr:graphicFrame macro="">
      <xdr:nvGraphicFramePr>
        <xdr:cNvPr id="4" name="Chart 3">
          <a:extLst>
            <a:ext uri="{FF2B5EF4-FFF2-40B4-BE49-F238E27FC236}">
              <a16:creationId xmlns:a16="http://schemas.microsoft.com/office/drawing/2014/main" id="{FE6DEDB4-1421-452B-82AE-DFC951CAEA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47626</xdr:colOff>
      <xdr:row>72</xdr:row>
      <xdr:rowOff>9526</xdr:rowOff>
    </xdr:from>
    <xdr:to>
      <xdr:col>5</xdr:col>
      <xdr:colOff>19051</xdr:colOff>
      <xdr:row>83</xdr:row>
      <xdr:rowOff>95250</xdr:rowOff>
    </xdr:to>
    <xdr:graphicFrame macro="">
      <xdr:nvGraphicFramePr>
        <xdr:cNvPr id="5" name="Chart 4">
          <a:extLst>
            <a:ext uri="{FF2B5EF4-FFF2-40B4-BE49-F238E27FC236}">
              <a16:creationId xmlns:a16="http://schemas.microsoft.com/office/drawing/2014/main" id="{BBC7AECB-7CAB-4120-9419-F2CDF244B4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71" activePane="bottomLeft" state="frozen"/>
      <selection pane="bottomLeft" activeCell="K90" sqref="K90"/>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222</v>
      </c>
      <c r="E1" t="s">
        <v>117</v>
      </c>
      <c r="F1" t="s">
        <v>223</v>
      </c>
      <c r="G1" t="s">
        <v>118</v>
      </c>
    </row>
    <row r="2" spans="1:7" x14ac:dyDescent="0.25">
      <c r="A2" t="s">
        <v>1</v>
      </c>
      <c r="B2" t="s">
        <v>120</v>
      </c>
    </row>
    <row r="3" spans="1:7" x14ac:dyDescent="0.25">
      <c r="A3" t="s">
        <v>291</v>
      </c>
      <c r="B3" t="s">
        <v>289</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256</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85">
        <v>1.3624389724527719</v>
      </c>
    </row>
    <row r="69" spans="1:5" x14ac:dyDescent="0.25">
      <c r="A69" s="2" t="s">
        <v>66</v>
      </c>
      <c r="B69" s="85">
        <v>1.475654647382425</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workbookViewId="0">
      <pane ySplit="1" topLeftCell="A2" activePane="bottomLeft" state="frozen"/>
      <selection activeCell="B1" sqref="B1"/>
      <selection pane="bottomLeft" activeCell="B115" sqref="B115"/>
    </sheetView>
  </sheetViews>
  <sheetFormatPr defaultRowHeight="15" x14ac:dyDescent="0.25"/>
  <cols>
    <col min="1" max="1" width="32.5703125" bestFit="1" customWidth="1"/>
    <col min="2" max="2" width="36.85546875" style="28"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222</v>
      </c>
      <c r="G1" t="s">
        <v>117</v>
      </c>
      <c r="H1" t="s">
        <v>223</v>
      </c>
      <c r="I1" t="s">
        <v>118</v>
      </c>
    </row>
    <row r="2" spans="1:18" x14ac:dyDescent="0.25">
      <c r="D2" t="s">
        <v>218</v>
      </c>
      <c r="E2" t="s">
        <v>218</v>
      </c>
      <c r="F2" t="s">
        <v>219</v>
      </c>
      <c r="G2" t="s">
        <v>220</v>
      </c>
      <c r="H2" t="s">
        <v>219</v>
      </c>
      <c r="I2" t="s">
        <v>220</v>
      </c>
    </row>
    <row r="3" spans="1:18" x14ac:dyDescent="0.25">
      <c r="A3" t="s">
        <v>127</v>
      </c>
      <c r="B3" s="28" t="s">
        <v>128</v>
      </c>
      <c r="C3" t="s">
        <v>147</v>
      </c>
      <c r="D3">
        <v>2016</v>
      </c>
      <c r="E3">
        <v>2040</v>
      </c>
      <c r="F3" t="s">
        <v>200</v>
      </c>
      <c r="G3" t="s">
        <v>202</v>
      </c>
      <c r="H3" t="s">
        <v>201</v>
      </c>
      <c r="I3" t="s">
        <v>203</v>
      </c>
      <c r="J3" t="s">
        <v>175</v>
      </c>
    </row>
    <row r="4" spans="1:18" x14ac:dyDescent="0.25">
      <c r="A4" t="s">
        <v>31</v>
      </c>
      <c r="B4" s="28" t="s">
        <v>160</v>
      </c>
      <c r="C4" t="s">
        <v>210</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8" t="s">
        <v>161</v>
      </c>
      <c r="C5" t="s">
        <v>210</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4" t="s">
        <v>168</v>
      </c>
      <c r="Q5" s="15"/>
      <c r="R5" s="16"/>
    </row>
    <row r="6" spans="1:18" x14ac:dyDescent="0.25">
      <c r="A6" s="2" t="s">
        <v>64</v>
      </c>
      <c r="B6" s="2" t="s">
        <v>64</v>
      </c>
      <c r="C6" t="s">
        <v>213</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7"/>
      <c r="Q6" s="18"/>
      <c r="R6" s="19"/>
    </row>
    <row r="7" spans="1:18" x14ac:dyDescent="0.25">
      <c r="A7" t="s">
        <v>99</v>
      </c>
      <c r="B7" s="28" t="s">
        <v>189</v>
      </c>
      <c r="C7" t="s">
        <v>213</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20" t="s">
        <v>169</v>
      </c>
      <c r="Q7" s="18" t="str">
        <f>IF(SUMIFS($D$19:$D$42,$J$19:$J$42,"NB")&gt;0,"NB","EB")</f>
        <v>EB</v>
      </c>
      <c r="R7" s="19" t="str">
        <f>IF(SUMIFS($D$19:$D$42,$J$19:$J$42,"SB")&gt;0,"SB","WB")</f>
        <v>WB</v>
      </c>
    </row>
    <row r="8" spans="1:18" x14ac:dyDescent="0.25">
      <c r="A8" t="s">
        <v>100</v>
      </c>
      <c r="B8" s="28" t="s">
        <v>190</v>
      </c>
      <c r="C8" t="s">
        <v>213</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7" t="s">
        <v>163</v>
      </c>
      <c r="Q8" s="21">
        <f t="array" ref="Q8">SUMPRODUCT(--($J$19:$J$42=Q$7),--($B$19:$B$42=$P8),$D$19:$D$42)</f>
        <v>63.359266107107317</v>
      </c>
      <c r="R8" s="22">
        <f t="array" ref="R8">SUMPRODUCT(--($J$19:$J$42=R$7),--($B$19:$B$42=$P8),$D$19:$D$42)</f>
        <v>66.431990942696686</v>
      </c>
    </row>
    <row r="9" spans="1:18" x14ac:dyDescent="0.25">
      <c r="A9" t="s">
        <v>101</v>
      </c>
      <c r="B9" s="28" t="s">
        <v>191</v>
      </c>
      <c r="C9" t="s">
        <v>213</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7" t="s">
        <v>164</v>
      </c>
      <c r="Q9" s="21">
        <f t="array" ref="Q9">SUMPRODUCT(--($J$19:$J$42=Q$7),--($B$19:$B$42=$P9),$D$19:$D$42)</f>
        <v>39.857150159123393</v>
      </c>
      <c r="R9" s="22">
        <f t="array" ref="R9">SUMPRODUCT(--($J$19:$J$42=R$7),--($B$19:$B$42=$P9),$D$19:$D$42)</f>
        <v>54.409268026535017</v>
      </c>
    </row>
    <row r="10" spans="1:18" x14ac:dyDescent="0.25">
      <c r="A10" t="s">
        <v>102</v>
      </c>
      <c r="B10" s="28" t="s">
        <v>192</v>
      </c>
      <c r="C10" t="s">
        <v>213</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7"/>
      <c r="Q10" s="18"/>
      <c r="R10" s="19"/>
    </row>
    <row r="11" spans="1:18" x14ac:dyDescent="0.25">
      <c r="A11" t="s">
        <v>103</v>
      </c>
      <c r="B11" s="28" t="s">
        <v>193</v>
      </c>
      <c r="C11" t="s">
        <v>213</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7"/>
      <c r="Q11" s="18"/>
      <c r="R11" s="19"/>
    </row>
    <row r="12" spans="1:18" x14ac:dyDescent="0.25">
      <c r="A12" t="s">
        <v>113</v>
      </c>
      <c r="B12" s="28" t="str">
        <f t="shared" ref="B12:B17" si="0">A12</f>
        <v>Very Low or Rural Res Density</v>
      </c>
      <c r="C12" t="s">
        <v>213</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7"/>
      <c r="Q12" s="18"/>
      <c r="R12" s="19"/>
    </row>
    <row r="13" spans="1:18" x14ac:dyDescent="0.25">
      <c r="A13" t="s">
        <v>109</v>
      </c>
      <c r="B13" s="28" t="str">
        <f t="shared" si="0"/>
        <v>Low Density</v>
      </c>
      <c r="C13" t="s">
        <v>213</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20" t="s">
        <v>170</v>
      </c>
      <c r="Q13" s="18" t="str">
        <f>IF(SUMIFS($D$19:$D$42,$J$19:$J$42,"NB")&gt;0,"NB","EB")</f>
        <v>EB</v>
      </c>
      <c r="R13" s="19" t="str">
        <f>IF(SUMIFS($D$19:$D$42,$J$19:$J$42,"SB")&gt;0,"SB","WB")</f>
        <v>WB</v>
      </c>
    </row>
    <row r="14" spans="1:18" x14ac:dyDescent="0.25">
      <c r="A14" t="s">
        <v>111</v>
      </c>
      <c r="B14" s="28" t="str">
        <f t="shared" si="0"/>
        <v>Medium Density</v>
      </c>
      <c r="C14" t="s">
        <v>213</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7" t="s">
        <v>165</v>
      </c>
      <c r="Q14" s="23">
        <f t="array" ref="Q14">SUMPRODUCT(--($J$19:$J$42=Q$7),--($B$19:$B$42=$P14),$D$19:$D$42)</f>
        <v>1.1478152403679189</v>
      </c>
      <c r="R14" s="24">
        <f t="array" ref="R14">SUMPRODUCT(--($J$19:$J$42=R$7),--($B$19:$B$42=$P14),$D$19:$D$42)</f>
        <v>1.081819835884438</v>
      </c>
    </row>
    <row r="15" spans="1:18" x14ac:dyDescent="0.25">
      <c r="A15" t="s">
        <v>110</v>
      </c>
      <c r="B15" s="28" t="str">
        <f t="shared" si="0"/>
        <v>Med-High Density</v>
      </c>
      <c r="C15" t="s">
        <v>213</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7" t="s">
        <v>221</v>
      </c>
      <c r="Q15" s="23">
        <f t="array" ref="Q15">SUMPRODUCT(--($J$19:$J$42=Q$7),--($B$19:$B$42=$P15),$D$19:$D$42)</f>
        <v>1.162867114075685</v>
      </c>
      <c r="R15" s="24">
        <f t="array" ref="R15">SUMPRODUCT(--($J$19:$J$42=R$7),--($B$19:$B$42=$P15),$D$19:$D$42)</f>
        <v>1.091630634013671</v>
      </c>
    </row>
    <row r="16" spans="1:18" x14ac:dyDescent="0.25">
      <c r="A16" t="s">
        <v>108</v>
      </c>
      <c r="B16" s="28" t="str">
        <f t="shared" si="0"/>
        <v>High Density</v>
      </c>
      <c r="C16" t="s">
        <v>213</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7" t="s">
        <v>166</v>
      </c>
      <c r="Q16" s="23">
        <f t="array" ref="Q16">SUMPRODUCT(--($J$19:$J$42=Q$7),--($B$19:$B$42=$P16),$D$19:$D$42)</f>
        <v>1.323087321541778</v>
      </c>
      <c r="R16" s="24">
        <f t="array" ref="R16">SUMPRODUCT(--($J$19:$J$42=R$7),--($B$19:$B$42=$P16),$D$19:$D$42)</f>
        <v>1.10910333948567</v>
      </c>
    </row>
    <row r="17" spans="1:18" x14ac:dyDescent="0.25">
      <c r="A17" t="s">
        <v>112</v>
      </c>
      <c r="B17" s="28" t="str">
        <f t="shared" si="0"/>
        <v>Mixed Use</v>
      </c>
      <c r="C17" t="s">
        <v>213</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5" t="s">
        <v>167</v>
      </c>
      <c r="Q17" s="26">
        <f t="array" ref="Q17">SUMPRODUCT(--($J$19:$J$42=Q$7),--($B$19:$B$42=$P17),$D$19:$D$42)</f>
        <v>1.2010105753672351</v>
      </c>
      <c r="R17" s="27">
        <f t="array" ref="R17">SUMPRODUCT(--($J$19:$J$42=R$7),--($B$19:$B$42=$P17),$D$19:$D$42)</f>
        <v>1.0947187607200981</v>
      </c>
    </row>
    <row r="18" spans="1:18" ht="30" x14ac:dyDescent="0.25">
      <c r="A18" t="s">
        <v>114</v>
      </c>
      <c r="B18" s="28" t="s">
        <v>199</v>
      </c>
      <c r="C18" t="s">
        <v>213</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65" t="s">
        <v>282</v>
      </c>
      <c r="Q18" s="63">
        <f t="array" ref="Q18">MAX(IF(ISNUMBER(SEARCH("calc_len",import!$A:$A)),import!$B:$B))</f>
        <v>7460.2525126827086</v>
      </c>
      <c r="R18" s="64"/>
    </row>
    <row r="19" spans="1:18" x14ac:dyDescent="0.25">
      <c r="A19" t="s">
        <v>35</v>
      </c>
      <c r="B19" s="28" t="s">
        <v>163</v>
      </c>
      <c r="C19" t="s">
        <v>212</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171</v>
      </c>
      <c r="P19" s="62" t="s">
        <v>281</v>
      </c>
      <c r="Q19" s="66">
        <f>(Q18/5280)/D118</f>
        <v>1.0020756115251865</v>
      </c>
    </row>
    <row r="20" spans="1:18" x14ac:dyDescent="0.25">
      <c r="A20" t="s">
        <v>36</v>
      </c>
      <c r="B20" s="28" t="s">
        <v>164</v>
      </c>
      <c r="C20" t="s">
        <v>212</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171</v>
      </c>
    </row>
    <row r="21" spans="1:18" x14ac:dyDescent="0.25">
      <c r="A21" t="s">
        <v>37</v>
      </c>
      <c r="B21" s="28" t="s">
        <v>165</v>
      </c>
      <c r="C21" t="s">
        <v>212</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171</v>
      </c>
    </row>
    <row r="22" spans="1:18" x14ac:dyDescent="0.25">
      <c r="A22" t="s">
        <v>38</v>
      </c>
      <c r="B22" s="28" t="s">
        <v>221</v>
      </c>
      <c r="C22" t="s">
        <v>212</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171</v>
      </c>
    </row>
    <row r="23" spans="1:18" x14ac:dyDescent="0.25">
      <c r="A23" t="s">
        <v>39</v>
      </c>
      <c r="B23" s="28" t="s">
        <v>166</v>
      </c>
      <c r="C23" t="s">
        <v>212</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171</v>
      </c>
    </row>
    <row r="24" spans="1:18" x14ac:dyDescent="0.25">
      <c r="A24" t="s">
        <v>40</v>
      </c>
      <c r="B24" s="28" t="s">
        <v>167</v>
      </c>
      <c r="C24" t="s">
        <v>212</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171</v>
      </c>
    </row>
    <row r="25" spans="1:18" x14ac:dyDescent="0.25">
      <c r="A25" t="s">
        <v>42</v>
      </c>
      <c r="B25" s="28" t="s">
        <v>163</v>
      </c>
      <c r="C25" t="s">
        <v>212</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172</v>
      </c>
    </row>
    <row r="26" spans="1:18" x14ac:dyDescent="0.25">
      <c r="A26" t="s">
        <v>43</v>
      </c>
      <c r="B26" s="28" t="s">
        <v>164</v>
      </c>
      <c r="C26" t="s">
        <v>212</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172</v>
      </c>
    </row>
    <row r="27" spans="1:18" x14ac:dyDescent="0.25">
      <c r="A27" t="s">
        <v>44</v>
      </c>
      <c r="B27" s="28" t="s">
        <v>165</v>
      </c>
      <c r="C27" t="s">
        <v>212</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172</v>
      </c>
    </row>
    <row r="28" spans="1:18" x14ac:dyDescent="0.25">
      <c r="A28" t="s">
        <v>45</v>
      </c>
      <c r="B28" s="28" t="s">
        <v>221</v>
      </c>
      <c r="C28" t="s">
        <v>212</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172</v>
      </c>
    </row>
    <row r="29" spans="1:18" x14ac:dyDescent="0.25">
      <c r="A29" t="s">
        <v>46</v>
      </c>
      <c r="B29" s="28" t="s">
        <v>166</v>
      </c>
      <c r="C29" t="s">
        <v>212</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172</v>
      </c>
    </row>
    <row r="30" spans="1:18" x14ac:dyDescent="0.25">
      <c r="A30" t="s">
        <v>47</v>
      </c>
      <c r="B30" s="28" t="s">
        <v>167</v>
      </c>
      <c r="C30" t="s">
        <v>212</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172</v>
      </c>
    </row>
    <row r="31" spans="1:18" x14ac:dyDescent="0.25">
      <c r="A31" t="s">
        <v>49</v>
      </c>
      <c r="B31" s="28" t="s">
        <v>163</v>
      </c>
      <c r="C31" t="s">
        <v>212</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173</v>
      </c>
    </row>
    <row r="32" spans="1:18" x14ac:dyDescent="0.25">
      <c r="A32" t="s">
        <v>50</v>
      </c>
      <c r="B32" s="28" t="s">
        <v>164</v>
      </c>
      <c r="C32" t="s">
        <v>212</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173</v>
      </c>
    </row>
    <row r="33" spans="1:10" x14ac:dyDescent="0.25">
      <c r="A33" t="s">
        <v>51</v>
      </c>
      <c r="B33" s="28" t="s">
        <v>165</v>
      </c>
      <c r="C33" t="s">
        <v>212</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173</v>
      </c>
    </row>
    <row r="34" spans="1:10" x14ac:dyDescent="0.25">
      <c r="A34" t="s">
        <v>52</v>
      </c>
      <c r="B34" s="28" t="s">
        <v>221</v>
      </c>
      <c r="C34" t="s">
        <v>212</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173</v>
      </c>
    </row>
    <row r="35" spans="1:10" x14ac:dyDescent="0.25">
      <c r="A35" t="s">
        <v>53</v>
      </c>
      <c r="B35" s="28" t="s">
        <v>166</v>
      </c>
      <c r="C35" t="s">
        <v>212</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173</v>
      </c>
    </row>
    <row r="36" spans="1:10" x14ac:dyDescent="0.25">
      <c r="A36" t="s">
        <v>54</v>
      </c>
      <c r="B36" s="28" t="s">
        <v>167</v>
      </c>
      <c r="C36" t="s">
        <v>212</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173</v>
      </c>
    </row>
    <row r="37" spans="1:10" x14ac:dyDescent="0.25">
      <c r="A37" t="s">
        <v>56</v>
      </c>
      <c r="B37" s="28" t="s">
        <v>163</v>
      </c>
      <c r="C37" t="s">
        <v>212</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174</v>
      </c>
    </row>
    <row r="38" spans="1:10" x14ac:dyDescent="0.25">
      <c r="A38" t="s">
        <v>57</v>
      </c>
      <c r="B38" s="28" t="s">
        <v>164</v>
      </c>
      <c r="C38" t="s">
        <v>212</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174</v>
      </c>
    </row>
    <row r="39" spans="1:10" x14ac:dyDescent="0.25">
      <c r="A39" t="s">
        <v>58</v>
      </c>
      <c r="B39" s="28" t="s">
        <v>165</v>
      </c>
      <c r="C39" t="s">
        <v>212</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174</v>
      </c>
    </row>
    <row r="40" spans="1:10" x14ac:dyDescent="0.25">
      <c r="A40" t="s">
        <v>59</v>
      </c>
      <c r="B40" s="28" t="s">
        <v>221</v>
      </c>
      <c r="C40" t="s">
        <v>212</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174</v>
      </c>
    </row>
    <row r="41" spans="1:10" x14ac:dyDescent="0.25">
      <c r="A41" t="s">
        <v>60</v>
      </c>
      <c r="B41" s="28" t="s">
        <v>166</v>
      </c>
      <c r="C41" t="s">
        <v>212</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174</v>
      </c>
    </row>
    <row r="42" spans="1:10" x14ac:dyDescent="0.25">
      <c r="A42" t="s">
        <v>61</v>
      </c>
      <c r="B42" s="28" t="s">
        <v>167</v>
      </c>
      <c r="C42" t="s">
        <v>212</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174</v>
      </c>
    </row>
    <row r="43" spans="1:10" x14ac:dyDescent="0.25">
      <c r="A43" s="3" t="s">
        <v>7</v>
      </c>
      <c r="B43" s="28" t="s">
        <v>135</v>
      </c>
      <c r="C43" t="s">
        <v>205</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row>
    <row r="44" spans="1:10" x14ac:dyDescent="0.25">
      <c r="A44" s="3" t="s">
        <v>8</v>
      </c>
      <c r="B44" s="28" t="s">
        <v>136</v>
      </c>
      <c r="C44" t="s">
        <v>205</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row>
    <row r="45" spans="1:10" x14ac:dyDescent="0.25">
      <c r="A45" s="3" t="s">
        <v>9</v>
      </c>
      <c r="B45" s="28" t="s">
        <v>137</v>
      </c>
      <c r="C45" t="s">
        <v>205</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row>
    <row r="46" spans="1:10" x14ac:dyDescent="0.25">
      <c r="A46" s="3" t="s">
        <v>10</v>
      </c>
      <c r="B46" s="28" t="s">
        <v>138</v>
      </c>
      <c r="C46" t="s">
        <v>205</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row>
    <row r="47" spans="1:10" x14ac:dyDescent="0.25">
      <c r="A47" s="3" t="s">
        <v>11</v>
      </c>
      <c r="B47" s="28" t="s">
        <v>139</v>
      </c>
      <c r="C47" t="s">
        <v>205</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row>
    <row r="48" spans="1:10" x14ac:dyDescent="0.25">
      <c r="A48" s="3" t="s">
        <v>12</v>
      </c>
      <c r="B48" s="28" t="s">
        <v>140</v>
      </c>
      <c r="C48" t="s">
        <v>205</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row>
    <row r="49" spans="1:9" x14ac:dyDescent="0.25">
      <c r="A49" s="3" t="s">
        <v>13</v>
      </c>
      <c r="B49" s="28" t="s">
        <v>141</v>
      </c>
      <c r="C49" t="s">
        <v>205</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row>
    <row r="50" spans="1:9" x14ac:dyDescent="0.25">
      <c r="A50" s="3" t="s">
        <v>14</v>
      </c>
      <c r="B50" s="28" t="s">
        <v>142</v>
      </c>
      <c r="C50" t="s">
        <v>205</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row>
    <row r="51" spans="1:9" x14ac:dyDescent="0.25">
      <c r="A51" s="3" t="s">
        <v>15</v>
      </c>
      <c r="B51" s="28" t="s">
        <v>143</v>
      </c>
      <c r="C51" t="s">
        <v>205</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row>
    <row r="52" spans="1:9" x14ac:dyDescent="0.25">
      <c r="A52" s="3" t="s">
        <v>16</v>
      </c>
      <c r="B52" s="28" t="s">
        <v>144</v>
      </c>
      <c r="C52" t="s">
        <v>205</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row>
    <row r="53" spans="1:9" x14ac:dyDescent="0.25">
      <c r="A53" s="3" t="s">
        <v>17</v>
      </c>
      <c r="B53" s="28" t="s">
        <v>145</v>
      </c>
      <c r="C53" t="s">
        <v>205</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row>
    <row r="54" spans="1:9" x14ac:dyDescent="0.25">
      <c r="A54" s="3" t="s">
        <v>18</v>
      </c>
      <c r="B54" s="28" t="s">
        <v>146</v>
      </c>
      <c r="C54" t="s">
        <v>205</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row>
    <row r="55" spans="1:9" x14ac:dyDescent="0.25">
      <c r="A55" t="s">
        <v>90</v>
      </c>
      <c r="B55" s="28" t="s">
        <v>187</v>
      </c>
      <c r="C55" t="s">
        <v>205</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9" ht="30" x14ac:dyDescent="0.25">
      <c r="A56" t="s">
        <v>28</v>
      </c>
      <c r="B56" s="28" t="s">
        <v>157</v>
      </c>
      <c r="C56" t="s">
        <v>208</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9" x14ac:dyDescent="0.25">
      <c r="A57" t="s">
        <v>29</v>
      </c>
      <c r="B57" s="28" t="s">
        <v>158</v>
      </c>
      <c r="C57" t="s">
        <v>208</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9" x14ac:dyDescent="0.25">
      <c r="A58" t="s">
        <v>91</v>
      </c>
      <c r="B58" s="28" t="s">
        <v>185</v>
      </c>
      <c r="C58" t="s">
        <v>208</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9" x14ac:dyDescent="0.25">
      <c r="A59" t="s">
        <v>98</v>
      </c>
      <c r="B59" s="28" t="s">
        <v>194</v>
      </c>
      <c r="C59" t="s">
        <v>208</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9" x14ac:dyDescent="0.25">
      <c r="A60" t="s">
        <v>33</v>
      </c>
      <c r="B60" s="28" t="s">
        <v>238</v>
      </c>
      <c r="C60" t="s">
        <v>211</v>
      </c>
      <c r="D60">
        <f>VLOOKUP($A60,import!$A:$G,MATCH(lookup_helper!D$1,import!$A$1:$G$1,0),FALSE)</f>
        <v>0.1021114271418558</v>
      </c>
      <c r="E60">
        <f>VLOOKUP($A60,import!$A:$G,MATCH(lookup_helper!E$1,import!$A$1:$G$1,0),FALSE)</f>
        <v>0</v>
      </c>
      <c r="F60">
        <f>VLOOKUP($A60,import!$A:$G,MATCH(lookup_helper!F$1,import!$A$1:$G$1,0),FALSE)</f>
        <v>5.8844134774233253E-2</v>
      </c>
      <c r="G60">
        <f>VLOOKUP($A60,import!$A:$G,MATCH(lookup_helper!G$1,import!$A$1:$G$1,0),FALSE)</f>
        <v>1.480071598380431E-2</v>
      </c>
      <c r="H60">
        <f>VLOOKUP($A60,import!$A:$G,MATCH(lookup_helper!H$1,import!$A$1:$G$1,0),FALSE)</f>
        <v>0</v>
      </c>
      <c r="I60">
        <f>VLOOKUP($A60,import!$A:$G,MATCH(lookup_helper!I$1,import!$A$1:$G$1,0),FALSE)</f>
        <v>0</v>
      </c>
    </row>
    <row r="61" spans="1:9" x14ac:dyDescent="0.25">
      <c r="A61" s="2" t="s">
        <v>62</v>
      </c>
      <c r="B61" s="28" t="s">
        <v>176</v>
      </c>
      <c r="C61" t="s">
        <v>211</v>
      </c>
      <c r="D61">
        <f>VLOOKUP($A61,import!$A:$G,MATCH(lookup_helper!D$1,import!$A$1:$G$1,0),FALSE)</f>
        <v>1.872619731652339</v>
      </c>
      <c r="E61">
        <f>VLOOKUP($A61,import!$A:$G,MATCH(lookup_helper!E$1,import!$A$1:$G$1,0),FALSE)</f>
        <v>0</v>
      </c>
      <c r="F61">
        <f>VLOOKUP($A61,import!$A:$G,MATCH(lookup_helper!F$1,import!$A$1:$G$1,0),FALSE)</f>
        <v>7.4149284958128156E-2</v>
      </c>
      <c r="G61">
        <f>VLOOKUP($A61,import!$A:$G,MATCH(lookup_helper!G$1,import!$A$1:$G$1,0),FALSE)</f>
        <v>7.332683167880813E-2</v>
      </c>
      <c r="H61">
        <f>VLOOKUP($A61,import!$A:$G,MATCH(lookup_helper!H$1,import!$A$1:$G$1,0),FALSE)</f>
        <v>0</v>
      </c>
      <c r="I61">
        <f>VLOOKUP($A61,import!$A:$G,MATCH(lookup_helper!I$1,import!$A$1:$G$1,0),FALSE)</f>
        <v>0</v>
      </c>
    </row>
    <row r="62" spans="1:9" ht="30" x14ac:dyDescent="0.25">
      <c r="A62" s="2" t="s">
        <v>63</v>
      </c>
      <c r="B62" s="28" t="s">
        <v>237</v>
      </c>
      <c r="C62" t="s">
        <v>211</v>
      </c>
      <c r="D62">
        <f>VLOOKUP($A62,import!$A:$G,MATCH(lookup_helper!D$1,import!$A$1:$G$1,0),FALSE)</f>
        <v>0.33368336973414081</v>
      </c>
      <c r="E62">
        <f>VLOOKUP($A62,import!$A:$G,MATCH(lookup_helper!E$1,import!$A$1:$G$1,0),FALSE)</f>
        <v>0</v>
      </c>
      <c r="F62">
        <f>VLOOKUP($A62,import!$A:$G,MATCH(lookup_helper!F$1,import!$A$1:$G$1,0),FALSE)</f>
        <v>9.9496332560479198E-2</v>
      </c>
      <c r="G62">
        <f>VLOOKUP($A62,import!$A:$G,MATCH(lookup_helper!G$1,import!$A$1:$G$1,0),FALSE)</f>
        <v>0.1052465714535069</v>
      </c>
      <c r="H62">
        <f>VLOOKUP($A62,import!$A:$G,MATCH(lookup_helper!H$1,import!$A$1:$G$1,0),FALSE)</f>
        <v>0</v>
      </c>
      <c r="I62">
        <f>VLOOKUP($A62,import!$A:$G,MATCH(lookup_helper!I$1,import!$A$1:$G$1,0),FALSE)</f>
        <v>0</v>
      </c>
    </row>
    <row r="63" spans="1:9" x14ac:dyDescent="0.25">
      <c r="A63" t="s">
        <v>105</v>
      </c>
      <c r="B63" s="28" t="s">
        <v>196</v>
      </c>
      <c r="C63" t="s">
        <v>217</v>
      </c>
      <c r="D63">
        <f>VLOOKUP($A63,import!$A:$G,MATCH(lookup_helper!D$1,import!$A$1:$G$1,0),FALSE)</f>
        <v>13.047842643653521</v>
      </c>
      <c r="E63">
        <f>VLOOKUP($A63,import!$A:$G,MATCH(lookup_helper!E$1,import!$A$1:$G$1,0),FALSE)</f>
        <v>69.301955921047991</v>
      </c>
      <c r="F63">
        <f>VLOOKUP($A63,import!$A:$G,MATCH(lookup_helper!F$1,import!$A$1:$G$1,0),FALSE)</f>
        <v>0</v>
      </c>
      <c r="G63">
        <f>VLOOKUP($A63,import!$A:$G,MATCH(lookup_helper!G$1,import!$A$1:$G$1,0),FALSE)</f>
        <v>0</v>
      </c>
      <c r="H63">
        <f>VLOOKUP($A63,import!$A:$G,MATCH(lookup_helper!H$1,import!$A$1:$G$1,0),FALSE)</f>
        <v>0</v>
      </c>
      <c r="I63">
        <f>VLOOKUP($A63,import!$A:$G,MATCH(lookup_helper!I$1,import!$A$1:$G$1,0),FALSE)</f>
        <v>0</v>
      </c>
    </row>
    <row r="64" spans="1:9" x14ac:dyDescent="0.25">
      <c r="A64" t="s">
        <v>106</v>
      </c>
      <c r="B64" s="28" t="s">
        <v>197</v>
      </c>
      <c r="C64" t="s">
        <v>217</v>
      </c>
      <c r="D64">
        <f>VLOOKUP($A64,import!$A:$G,MATCH(lookup_helper!D$1,import!$A$1:$G$1,0),FALSE)</f>
        <v>1.3710956366053659</v>
      </c>
      <c r="E64">
        <f>VLOOKUP($A64,import!$A:$G,MATCH(lookup_helper!E$1,import!$A$1:$G$1,0),FALSE)</f>
        <v>1.3582230858271871</v>
      </c>
      <c r="F64">
        <f>VLOOKUP($A64,import!$A:$G,MATCH(lookup_helper!F$1,import!$A$1:$G$1,0),FALSE)</f>
        <v>0</v>
      </c>
      <c r="G64">
        <f>VLOOKUP($A64,import!$A:$G,MATCH(lookup_helper!G$1,import!$A$1:$G$1,0),FALSE)</f>
        <v>0</v>
      </c>
      <c r="H64">
        <f>VLOOKUP($A64,import!$A:$G,MATCH(lookup_helper!H$1,import!$A$1:$G$1,0),FALSE)</f>
        <v>0</v>
      </c>
      <c r="I64">
        <f>VLOOKUP($A64,import!$A:$G,MATCH(lookup_helper!I$1,import!$A$1:$G$1,0),FALSE)</f>
        <v>0</v>
      </c>
    </row>
    <row r="65" spans="1:9" s="81" customFormat="1" ht="30" x14ac:dyDescent="0.25">
      <c r="A65" s="81" t="s">
        <v>30</v>
      </c>
      <c r="B65" s="82" t="s">
        <v>159</v>
      </c>
      <c r="C65" s="81" t="s">
        <v>209</v>
      </c>
      <c r="D65" s="83">
        <f>VLOOKUP($A65,import!$A:$G,MATCH(lookup_helper!D$1,import!$A$1:$G$1,0),FALSE)</f>
        <v>1175.845221386116</v>
      </c>
      <c r="E65" s="83">
        <f>VLOOKUP($A65,import!$A:$G,MATCH(lookup_helper!E$1,import!$A$1:$G$1,0),FALSE)</f>
        <v>0</v>
      </c>
      <c r="F65" s="83">
        <f>VLOOKUP($A65,import!$A:$G,MATCH(lookup_helper!F$1,import!$A$1:$G$1,0),FALSE)</f>
        <v>0</v>
      </c>
      <c r="G65" s="83">
        <f>VLOOKUP($A65,import!$A:$G,MATCH(lookup_helper!G$1,import!$A$1:$G$1,0),FALSE)</f>
        <v>0</v>
      </c>
      <c r="H65" s="81">
        <f>VLOOKUP($A65,import!$A:$G,MATCH(lookup_helper!H$1,import!$A$1:$G$1,0),FALSE)</f>
        <v>0</v>
      </c>
      <c r="I65" s="81">
        <f>VLOOKUP($A65,import!$A:$G,MATCH(lookup_helper!I$1,import!$A$1:$G$1,0),FALSE)</f>
        <v>0</v>
      </c>
    </row>
    <row r="66" spans="1:9" x14ac:dyDescent="0.25">
      <c r="A66" t="s">
        <v>34</v>
      </c>
      <c r="B66" s="28" t="s">
        <v>162</v>
      </c>
      <c r="C66" t="s">
        <v>209</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8" t="s">
        <v>162</v>
      </c>
      <c r="C67" t="s">
        <v>209</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8" t="s">
        <v>162</v>
      </c>
      <c r="C68" t="s">
        <v>209</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8" t="s">
        <v>162</v>
      </c>
      <c r="C69" t="s">
        <v>209</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8" t="s">
        <v>180</v>
      </c>
      <c r="C70" t="s">
        <v>209</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8" t="s">
        <v>182</v>
      </c>
      <c r="C71" t="s">
        <v>209</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8" t="s">
        <v>183</v>
      </c>
      <c r="C72" t="s">
        <v>209</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8" t="s">
        <v>188</v>
      </c>
      <c r="C73" t="s">
        <v>209</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8" t="s">
        <v>189</v>
      </c>
      <c r="C74" t="s">
        <v>209</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8" t="s">
        <v>190</v>
      </c>
      <c r="C75" t="s">
        <v>209</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8" t="s">
        <v>191</v>
      </c>
      <c r="C76" t="s">
        <v>209</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8" t="s">
        <v>192</v>
      </c>
      <c r="C77" t="s">
        <v>209</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8" t="s">
        <v>193</v>
      </c>
      <c r="C78" t="s">
        <v>209</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8" t="s">
        <v>198</v>
      </c>
      <c r="C79" t="s">
        <v>214</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s="81" customFormat="1" x14ac:dyDescent="0.25">
      <c r="A80" s="81" t="s">
        <v>88</v>
      </c>
      <c r="B80" s="82" t="s">
        <v>186</v>
      </c>
      <c r="C80" s="81" t="s">
        <v>214</v>
      </c>
      <c r="D80" s="83">
        <f>VLOOKUP($A80,import!$A:$G,MATCH(lookup_helper!D$1,import!$A$1:$G$1,0),FALSE)</f>
        <v>1916</v>
      </c>
      <c r="E80" s="83">
        <f>VLOOKUP($A80,import!$A:$G,MATCH(lookup_helper!E$1,import!$A$1:$G$1,0),FALSE)</f>
        <v>2072.611115859987</v>
      </c>
      <c r="F80" s="81">
        <f>VLOOKUP($A80,import!$A:$G,MATCH(lookup_helper!F$1,import!$A$1:$G$1,0),FALSE)</f>
        <v>0</v>
      </c>
      <c r="G80" s="81">
        <f>VLOOKUP($A80,import!$A:$G,MATCH(lookup_helper!G$1,import!$A$1:$G$1,0),FALSE)</f>
        <v>0</v>
      </c>
      <c r="H80" s="81">
        <f>VLOOKUP($A80,import!$A:$G,MATCH(lookup_helper!H$1,import!$A$1:$G$1,0),FALSE)</f>
        <v>0</v>
      </c>
      <c r="I80" s="81">
        <f>VLOOKUP($A80,import!$A:$G,MATCH(lookup_helper!I$1,import!$A$1:$G$1,0),FALSE)</f>
        <v>0</v>
      </c>
    </row>
    <row r="81" spans="1:16" s="81" customFormat="1" x14ac:dyDescent="0.25">
      <c r="A81" s="81" t="s">
        <v>89</v>
      </c>
      <c r="B81" s="82" t="s">
        <v>184</v>
      </c>
      <c r="C81" s="81" t="s">
        <v>214</v>
      </c>
      <c r="D81" s="83">
        <f>VLOOKUP($A81,import!$A:$G,MATCH(lookup_helper!D$1,import!$A$1:$G$1,0),FALSE)</f>
        <v>1769</v>
      </c>
      <c r="E81" s="83">
        <f>VLOOKUP($A81,import!$A:$G,MATCH(lookup_helper!E$1,import!$A$1:$G$1,0),FALSE)</f>
        <v>2761.6599999999989</v>
      </c>
      <c r="F81" s="81">
        <f>VLOOKUP($A81,import!$A:$G,MATCH(lookup_helper!F$1,import!$A$1:$G$1,0),FALSE)</f>
        <v>0</v>
      </c>
      <c r="G81" s="81">
        <f>VLOOKUP($A81,import!$A:$G,MATCH(lookup_helper!G$1,import!$A$1:$G$1,0),FALSE)</f>
        <v>0</v>
      </c>
      <c r="H81" s="81">
        <f>VLOOKUP($A81,import!$A:$G,MATCH(lookup_helper!H$1,import!$A$1:$G$1,0),FALSE)</f>
        <v>0</v>
      </c>
      <c r="I81" s="81">
        <f>VLOOKUP($A81,import!$A:$G,MATCH(lookup_helper!I$1,import!$A$1:$G$1,0),FALSE)</f>
        <v>0</v>
      </c>
    </row>
    <row r="82" spans="1:16" x14ac:dyDescent="0.25">
      <c r="A82" t="s">
        <v>104</v>
      </c>
      <c r="B82" s="28" t="s">
        <v>195</v>
      </c>
      <c r="C82" t="s">
        <v>214</v>
      </c>
      <c r="D82" s="2">
        <f>VLOOKUP($A82,import!$A:$G,MATCH(lookup_helper!D$1,import!$A$1:$G$1,0),FALSE)</f>
        <v>3685</v>
      </c>
      <c r="E82" s="2">
        <f>VLOOKUP($A82,import!$A:$G,MATCH(lookup_helper!E$1,import!$A$1:$G$1,0),FALSE)</f>
        <v>4834.2711158599859</v>
      </c>
      <c r="F82">
        <f>VLOOKUP($A82,import!$A:$G,MATCH(lookup_helper!F$1,import!$A$1:$G$1,0),FALSE)</f>
        <v>0</v>
      </c>
      <c r="G82">
        <f>VLOOKUP($A82,import!$A:$G,MATCH(lookup_helper!G$1,import!$A$1:$G$1,0),FALSE)</f>
        <v>0</v>
      </c>
      <c r="H82">
        <f>VLOOKUP($A82,import!$A:$G,MATCH(lookup_helper!H$1,import!$A$1:$G$1,0),FALSE)</f>
        <v>0</v>
      </c>
      <c r="I82">
        <f>VLOOKUP($A82,import!$A:$G,MATCH(lookup_helper!I$1,import!$A$1:$G$1,0),FALSE)</f>
        <v>0</v>
      </c>
    </row>
    <row r="83" spans="1:16" s="81" customFormat="1" x14ac:dyDescent="0.25">
      <c r="A83" s="83" t="s">
        <v>65</v>
      </c>
      <c r="B83" s="82" t="s">
        <v>177</v>
      </c>
      <c r="C83" s="81" t="s">
        <v>215</v>
      </c>
      <c r="D83" s="84">
        <f>VLOOKUP($A83,import!$A:$G,MATCH(lookup_helper!D$1,import!$A$1:$G$1,0),FALSE)</f>
        <v>1.3624389724527719</v>
      </c>
      <c r="E83" s="84">
        <f>VLOOKUP($A83,import!$A:$G,MATCH(lookup_helper!E$1,import!$A$1:$G$1,0),FALSE)</f>
        <v>0</v>
      </c>
      <c r="F83" s="84">
        <f>VLOOKUP($A83,import!$A:$G,MATCH(lookup_helper!F$1,import!$A$1:$G$1,0),FALSE)</f>
        <v>0</v>
      </c>
      <c r="G83" s="84">
        <f>VLOOKUP($A83,import!$A:$G,MATCH(lookup_helper!G$1,import!$A$1:$G$1,0),FALSE)</f>
        <v>0</v>
      </c>
      <c r="H83" s="84">
        <f>VLOOKUP($A83,import!$A:$G,MATCH(lookup_helper!H$1,import!$A$1:$G$1,0),FALSE)</f>
        <v>0</v>
      </c>
      <c r="I83" s="84">
        <f>VLOOKUP($A83,import!$A:$G,MATCH(lookup_helper!I$1,import!$A$1:$G$1,0),FALSE)</f>
        <v>0</v>
      </c>
    </row>
    <row r="84" spans="1:16" s="81" customFormat="1" ht="30" x14ac:dyDescent="0.25">
      <c r="A84" s="83" t="s">
        <v>66</v>
      </c>
      <c r="B84" s="82" t="s">
        <v>178</v>
      </c>
      <c r="C84" s="81" t="s">
        <v>215</v>
      </c>
      <c r="D84" s="84">
        <f>VLOOKUP($A84,import!$A:$G,MATCH(lookup_helper!D$1,import!$A$1:$G$1,0),FALSE)</f>
        <v>1.475654647382425</v>
      </c>
      <c r="E84" s="84">
        <f>VLOOKUP($A84,import!$A:$G,MATCH(lookup_helper!E$1,import!$A$1:$G$1,0),FALSE)</f>
        <v>0</v>
      </c>
      <c r="F84" s="84">
        <f>VLOOKUP($A84,import!$A:$G,MATCH(lookup_helper!F$1,import!$A$1:$G$1,0),FALSE)</f>
        <v>0</v>
      </c>
      <c r="G84" s="84">
        <f>VLOOKUP($A84,import!$A:$G,MATCH(lookup_helper!G$1,import!$A$1:$G$1,0),FALSE)</f>
        <v>0</v>
      </c>
      <c r="H84" s="84">
        <f>VLOOKUP($A84,import!$A:$G,MATCH(lookup_helper!H$1,import!$A$1:$G$1,0),FALSE)</f>
        <v>0</v>
      </c>
      <c r="I84" s="84">
        <f>VLOOKUP($A84,import!$A:$G,MATCH(lookup_helper!I$1,import!$A$1:$G$1,0),FALSE)</f>
        <v>0</v>
      </c>
    </row>
    <row r="85" spans="1:16" ht="30" x14ac:dyDescent="0.25">
      <c r="A85" s="2" t="s">
        <v>67</v>
      </c>
      <c r="B85" s="28" t="s">
        <v>179</v>
      </c>
      <c r="C85" t="s">
        <v>215</v>
      </c>
      <c r="D85" s="3">
        <f>VLOOKUP($A85,import!$A:$G,MATCH(lookup_helper!D$1,import!$A$1:$G$1,0),FALSE)</f>
        <v>2.8380936198351971</v>
      </c>
      <c r="E85" s="3">
        <f>VLOOKUP($A85,import!$A:$G,MATCH(lookup_helper!E$1,import!$A$1:$G$1,0),FALSE)</f>
        <v>0</v>
      </c>
      <c r="F85" s="3">
        <f>VLOOKUP($A85,import!$A:$G,MATCH(lookup_helper!F$1,import!$A$1:$G$1,0),FALSE)</f>
        <v>1.4432109489386511</v>
      </c>
      <c r="G85" s="3">
        <f>VLOOKUP($A85,import!$A:$G,MATCH(lookup_helper!G$1,import!$A$1:$G$1,0),FALSE)</f>
        <v>0.38506745756398192</v>
      </c>
      <c r="H85" s="3">
        <f>VLOOKUP($A85,import!$A:$G,MATCH(lookup_helper!H$1,import!$A$1:$G$1,0),FALSE)</f>
        <v>0</v>
      </c>
      <c r="I85" s="3">
        <f>VLOOKUP($A85,import!$A:$G,MATCH(lookup_helper!I$1,import!$A$1:$G$1,0),FALSE)</f>
        <v>0</v>
      </c>
    </row>
    <row r="86" spans="1:16" x14ac:dyDescent="0.25">
      <c r="A86" s="3" t="s">
        <v>19</v>
      </c>
      <c r="B86" s="28" t="s">
        <v>148</v>
      </c>
      <c r="C86" t="s">
        <v>206</v>
      </c>
      <c r="D86">
        <f>VLOOKUP($A86,import!$A:$G,MATCH(lookup_helper!D$1,import!$A$1:$G$1,0),FALSE)</f>
        <v>56</v>
      </c>
      <c r="E86">
        <f>VLOOKUP($A86,import!$A:$G,MATCH(lookup_helper!E$1,import!$A$1:$G$1,0),FALSE)</f>
        <v>0</v>
      </c>
      <c r="F86">
        <f>VLOOKUP($A86,import!$A:$G,MATCH(lookup_helper!F$1,import!$A$1:$G$1,0),FALSE)</f>
        <v>1498</v>
      </c>
      <c r="G86">
        <f>VLOOKUP($A86,import!$A:$G,MATCH(lookup_helper!G$1,import!$A$1:$G$1,0),FALSE)</f>
        <v>55020</v>
      </c>
      <c r="H86">
        <f>VLOOKUP($A86,import!$A:$G,MATCH(lookup_helper!H$1,import!$A$1:$G$1,0),FALSE)</f>
        <v>0</v>
      </c>
      <c r="I86">
        <f>VLOOKUP($A86,import!$A:$G,MATCH(lookup_helper!I$1,import!$A$1:$G$1,0),FALSE)</f>
        <v>0</v>
      </c>
    </row>
    <row r="87" spans="1:16" x14ac:dyDescent="0.25">
      <c r="A87" s="3" t="s">
        <v>20</v>
      </c>
      <c r="B87" s="28" t="s">
        <v>149</v>
      </c>
      <c r="C87" t="s">
        <v>206</v>
      </c>
      <c r="D87">
        <f>VLOOKUP($A87,import!$A:$G,MATCH(lookup_helper!D$1,import!$A$1:$G$1,0),FALSE)</f>
        <v>41.285465803940781</v>
      </c>
      <c r="E87">
        <f>VLOOKUP($A87,import!$A:$G,MATCH(lookup_helper!E$1,import!$A$1:$G$1,0),FALSE)</f>
        <v>0</v>
      </c>
      <c r="F87">
        <f>VLOOKUP($A87,import!$A:$G,MATCH(lookup_helper!F$1,import!$A$1:$G$1,0),FALSE)</f>
        <v>61.135362311155802</v>
      </c>
      <c r="G87">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8" t="s">
        <v>150</v>
      </c>
      <c r="C88" t="s">
        <v>206</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8" t="s">
        <v>151</v>
      </c>
      <c r="C89" t="s">
        <v>206</v>
      </c>
      <c r="D89">
        <f>VLOOKUP($A89,import!$A:$G,MATCH(lookup_helper!D$1,import!$A$1:$G$1,0),FALSE)</f>
        <v>1.474480921569314</v>
      </c>
      <c r="E89">
        <f>VLOOKUP($A89,import!$A:$G,MATCH(lookup_helper!E$1,import!$A$1:$G$1,0),FALSE)</f>
        <v>0</v>
      </c>
      <c r="F89">
        <f>VLOOKUP($A89,import!$A:$G,MATCH(lookup_helper!F$1,import!$A$1:$G$1,0),FALSE)</f>
        <v>1.6732642555122741</v>
      </c>
      <c r="G89">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8" t="s">
        <v>152</v>
      </c>
      <c r="C90" t="s">
        <v>206</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8" t="s">
        <v>154</v>
      </c>
      <c r="C91" t="s">
        <v>206</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8" t="s">
        <v>153</v>
      </c>
      <c r="C92" t="s">
        <v>206</v>
      </c>
      <c r="D92">
        <f>VLOOKUP($A92,import!$A:$G,MATCH(lookup_helper!D$1,import!$A$1:$G$1,0),FALSE)</f>
        <v>2.1232525270598122</v>
      </c>
      <c r="E92">
        <f>VLOOKUP($A92,import!$A:$G,MATCH(lookup_helper!E$1,import!$A$1:$G$1,0),FALSE)</f>
        <v>0</v>
      </c>
      <c r="F92">
        <f>VLOOKUP($A92,import!$A:$G,MATCH(lookup_helper!F$1,import!$A$1:$G$1,0),FALSE)</f>
        <v>0.28524510017006321</v>
      </c>
      <c r="G92">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8" t="s">
        <v>155</v>
      </c>
      <c r="C93" t="s">
        <v>206</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8" t="s">
        <v>156</v>
      </c>
      <c r="C94" t="s">
        <v>207</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8" t="s">
        <v>181</v>
      </c>
      <c r="C95" t="s">
        <v>216</v>
      </c>
      <c r="D95">
        <f>VLOOKUP($A95,import!$A:$G,MATCH(lookup_helper!D$1,import!$A$1:$G$1,0),FALSE)</f>
        <v>0.69863722615145762</v>
      </c>
      <c r="E95">
        <f>VLOOKUP($A95,import!$A:$G,MATCH(lookup_helper!E$1,import!$A$1:$G$1,0),FALSE)</f>
        <v>0</v>
      </c>
      <c r="F95">
        <f>VLOOKUP($A95,import!$A:$G,MATCH(lookup_helper!F$1,import!$A$1:$G$1,0),FALSE)</f>
        <v>0.34730153421679688</v>
      </c>
      <c r="G95">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8" t="s">
        <v>269</v>
      </c>
      <c r="C96" t="s">
        <v>216</v>
      </c>
      <c r="D96" s="53">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265</v>
      </c>
      <c r="P96" s="28"/>
    </row>
    <row r="97" spans="1:16" x14ac:dyDescent="0.25">
      <c r="A97" s="2" t="s">
        <v>72</v>
      </c>
      <c r="B97" s="28" t="s">
        <v>270</v>
      </c>
      <c r="C97" t="s">
        <v>216</v>
      </c>
      <c r="D97" s="53">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265</v>
      </c>
      <c r="P97" s="28"/>
    </row>
    <row r="98" spans="1:16" x14ac:dyDescent="0.25">
      <c r="A98" s="1" t="s">
        <v>73</v>
      </c>
      <c r="B98" s="28" t="s">
        <v>271</v>
      </c>
      <c r="C98" t="s">
        <v>216</v>
      </c>
      <c r="D98" s="53">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265</v>
      </c>
      <c r="P98" s="28"/>
    </row>
    <row r="99" spans="1:16" x14ac:dyDescent="0.25">
      <c r="A99" s="1" t="s">
        <v>74</v>
      </c>
      <c r="B99" s="28" t="s">
        <v>272</v>
      </c>
      <c r="C99" t="s">
        <v>216</v>
      </c>
      <c r="D99" s="53">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265</v>
      </c>
      <c r="P99" s="28"/>
    </row>
    <row r="100" spans="1:16" x14ac:dyDescent="0.25">
      <c r="A100" s="1" t="s">
        <v>75</v>
      </c>
      <c r="B100" s="28" t="s">
        <v>269</v>
      </c>
      <c r="C100" t="s">
        <v>216</v>
      </c>
      <c r="D100" s="53">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266</v>
      </c>
      <c r="P100" s="28"/>
    </row>
    <row r="101" spans="1:16" x14ac:dyDescent="0.25">
      <c r="A101" s="1" t="s">
        <v>76</v>
      </c>
      <c r="B101" s="28" t="s">
        <v>270</v>
      </c>
      <c r="C101" t="s">
        <v>216</v>
      </c>
      <c r="D101" s="53">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266</v>
      </c>
      <c r="P101" s="28"/>
    </row>
    <row r="102" spans="1:16" x14ac:dyDescent="0.25">
      <c r="A102" s="1" t="s">
        <v>77</v>
      </c>
      <c r="B102" s="28" t="s">
        <v>271</v>
      </c>
      <c r="C102" t="s">
        <v>216</v>
      </c>
      <c r="D102" s="53">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266</v>
      </c>
      <c r="P102" s="28"/>
    </row>
    <row r="103" spans="1:16" x14ac:dyDescent="0.25">
      <c r="A103" s="1" t="s">
        <v>78</v>
      </c>
      <c r="B103" s="28" t="s">
        <v>272</v>
      </c>
      <c r="C103" t="s">
        <v>216</v>
      </c>
      <c r="D103" s="53">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266</v>
      </c>
      <c r="P103" s="28"/>
    </row>
    <row r="104" spans="1:16" x14ac:dyDescent="0.25">
      <c r="A104" t="s">
        <v>79</v>
      </c>
      <c r="B104" s="28" t="s">
        <v>269</v>
      </c>
      <c r="C104" t="s">
        <v>216</v>
      </c>
      <c r="D104" s="53">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267</v>
      </c>
      <c r="P104" s="28"/>
    </row>
    <row r="105" spans="1:16" x14ac:dyDescent="0.25">
      <c r="A105" t="s">
        <v>80</v>
      </c>
      <c r="B105" s="28" t="s">
        <v>270</v>
      </c>
      <c r="C105" t="s">
        <v>216</v>
      </c>
      <c r="D105" s="53">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267</v>
      </c>
      <c r="P105" s="28"/>
    </row>
    <row r="106" spans="1:16" x14ac:dyDescent="0.25">
      <c r="A106" t="s">
        <v>81</v>
      </c>
      <c r="B106" s="28" t="s">
        <v>271</v>
      </c>
      <c r="C106" t="s">
        <v>216</v>
      </c>
      <c r="D106" s="53">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267</v>
      </c>
      <c r="P106" s="28"/>
    </row>
    <row r="107" spans="1:16" x14ac:dyDescent="0.25">
      <c r="A107" t="s">
        <v>82</v>
      </c>
      <c r="B107" s="28" t="s">
        <v>272</v>
      </c>
      <c r="C107" t="s">
        <v>216</v>
      </c>
      <c r="D107" s="53">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267</v>
      </c>
      <c r="P107" s="28"/>
    </row>
    <row r="108" spans="1:16" x14ac:dyDescent="0.25">
      <c r="A108" t="s">
        <v>83</v>
      </c>
      <c r="B108" s="28" t="s">
        <v>269</v>
      </c>
      <c r="C108" t="s">
        <v>216</v>
      </c>
      <c r="D108" s="53">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268</v>
      </c>
      <c r="P108" s="28"/>
    </row>
    <row r="109" spans="1:16" x14ac:dyDescent="0.25">
      <c r="A109" t="s">
        <v>84</v>
      </c>
      <c r="B109" s="28" t="s">
        <v>270</v>
      </c>
      <c r="C109" t="s">
        <v>216</v>
      </c>
      <c r="D109" s="53">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268</v>
      </c>
      <c r="P109" s="28"/>
    </row>
    <row r="110" spans="1:16" x14ac:dyDescent="0.25">
      <c r="A110" t="s">
        <v>85</v>
      </c>
      <c r="B110" s="28" t="s">
        <v>273</v>
      </c>
      <c r="C110" t="s">
        <v>216</v>
      </c>
      <c r="D110" s="53">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268</v>
      </c>
      <c r="P110" s="28"/>
    </row>
    <row r="111" spans="1:16" x14ac:dyDescent="0.25">
      <c r="A111" t="s">
        <v>86</v>
      </c>
      <c r="B111" s="28" t="s">
        <v>272</v>
      </c>
      <c r="C111" t="s">
        <v>216</v>
      </c>
      <c r="D111" s="53">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268</v>
      </c>
      <c r="P111" s="28"/>
    </row>
    <row r="112" spans="1:16" x14ac:dyDescent="0.25">
      <c r="A112" t="s">
        <v>1</v>
      </c>
      <c r="B112" s="28" t="s">
        <v>129</v>
      </c>
      <c r="C112" t="s">
        <v>204</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291</v>
      </c>
      <c r="B113" s="28" t="s">
        <v>290</v>
      </c>
      <c r="C113" t="s">
        <v>204</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8" t="s">
        <v>130</v>
      </c>
      <c r="C114" t="s">
        <v>204</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8" t="s">
        <v>131</v>
      </c>
      <c r="C115" t="s">
        <v>204</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8" t="s">
        <v>132</v>
      </c>
      <c r="C116" t="s">
        <v>204</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8" t="s">
        <v>133</v>
      </c>
      <c r="C117" t="s">
        <v>204</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256</v>
      </c>
      <c r="B118" s="28" t="s">
        <v>257</v>
      </c>
      <c r="C118" t="s">
        <v>204</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8" t="s">
        <v>134</v>
      </c>
      <c r="C119" t="s">
        <v>204</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6"/>
  <sheetViews>
    <sheetView view="pageLayout" topLeftCell="A22" zoomScaleNormal="100" workbookViewId="0">
      <selection activeCell="B22" sqref="B22"/>
    </sheetView>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90" t="str">
        <f>"Project Performance Assessment Report: "&amp;import!$B$2</f>
        <v>Project Performance Assessment Report: test_project_YubaCity</v>
      </c>
      <c r="B2" s="90"/>
      <c r="C2" s="90"/>
      <c r="D2" s="90"/>
      <c r="E2" s="90"/>
      <c r="F2" s="90"/>
      <c r="G2" s="90"/>
      <c r="H2" s="90"/>
      <c r="I2" s="90"/>
    </row>
    <row r="3" spans="1:9" x14ac:dyDescent="0.25">
      <c r="A3" s="90"/>
      <c r="B3" s="90"/>
      <c r="C3" s="90"/>
      <c r="D3" s="90"/>
      <c r="E3" s="90"/>
      <c r="F3" s="90"/>
      <c r="G3" s="90"/>
      <c r="H3" s="90"/>
      <c r="I3" s="90"/>
    </row>
    <row r="4" spans="1:9" x14ac:dyDescent="0.25">
      <c r="A4" s="90"/>
      <c r="B4" s="90"/>
      <c r="C4" s="90"/>
      <c r="D4" s="90"/>
      <c r="E4" s="90"/>
      <c r="F4" s="90"/>
      <c r="G4" s="90"/>
      <c r="H4" s="90"/>
      <c r="I4" s="90"/>
    </row>
    <row r="6" spans="1:9" x14ac:dyDescent="0.25">
      <c r="A6" t="s">
        <v>123</v>
      </c>
    </row>
    <row r="30" spans="1:5" ht="21" x14ac:dyDescent="0.25">
      <c r="A30" s="8" t="s">
        <v>124</v>
      </c>
    </row>
    <row r="31" spans="1:5" x14ac:dyDescent="0.25">
      <c r="A31" s="89" t="s">
        <v>129</v>
      </c>
      <c r="B31" s="89"/>
      <c r="C31" s="89"/>
      <c r="D31" s="89"/>
      <c r="E31" s="31" t="str">
        <f>VLOOKUP(A31,lookup_helper!$B$112:$D$119,3,FALSE)</f>
        <v>test_project_YubaCity</v>
      </c>
    </row>
    <row r="32" spans="1:5" x14ac:dyDescent="0.25">
      <c r="A32" s="71" t="s">
        <v>290</v>
      </c>
      <c r="B32" s="71"/>
      <c r="C32" s="71"/>
      <c r="D32" s="71"/>
      <c r="E32" s="31" t="str">
        <f>VLOOKUP(A32,lookup_helper!$B$112:$D$119,3,FALSE)</f>
        <v>anyplace</v>
      </c>
    </row>
    <row r="33" spans="1:9" x14ac:dyDescent="0.25">
      <c r="A33" s="89" t="s">
        <v>130</v>
      </c>
      <c r="B33" s="89"/>
      <c r="C33" s="89"/>
      <c r="D33" s="89"/>
      <c r="E33" s="31" t="str">
        <f>VLOOKUP(A33,lookup_helper!$B$112:$D$119,3,FALSE)</f>
        <v>Freeway</v>
      </c>
    </row>
    <row r="34" spans="1:9" x14ac:dyDescent="0.25">
      <c r="A34" s="89" t="s">
        <v>131</v>
      </c>
      <c r="B34" s="89"/>
      <c r="C34" s="89"/>
      <c r="D34" s="89"/>
      <c r="E34" s="32">
        <f>VLOOKUP(A34,lookup_helper!$B$112:$D$119,3,FALSE)</f>
        <v>60000</v>
      </c>
    </row>
    <row r="35" spans="1:9" x14ac:dyDescent="0.25">
      <c r="A35" s="89" t="s">
        <v>132</v>
      </c>
      <c r="B35" s="89"/>
      <c r="C35" s="89"/>
      <c r="D35" s="89"/>
      <c r="E35" s="32">
        <f>VLOOKUP(A35,lookup_helper!$B$112:$D$119,3,FALSE)</f>
        <v>60</v>
      </c>
    </row>
    <row r="36" spans="1:9" x14ac:dyDescent="0.25">
      <c r="A36" s="89" t="s">
        <v>133</v>
      </c>
      <c r="B36" s="89"/>
      <c r="C36" s="89"/>
      <c r="D36" s="89"/>
      <c r="E36" s="32">
        <f>VLOOKUP(A36,lookup_helper!$B$112:$D$119,3,FALSE)</f>
        <v>65</v>
      </c>
    </row>
    <row r="37" spans="1:9" x14ac:dyDescent="0.25">
      <c r="A37" s="89" t="s">
        <v>257</v>
      </c>
      <c r="B37" s="89"/>
      <c r="C37" s="89"/>
      <c r="D37" s="89"/>
      <c r="E37" s="48">
        <f>VLOOKUP(A37,lookup_helper!$B$112:$D$119,3,FALSE)</f>
        <v>1.41</v>
      </c>
      <c r="F37" s="30"/>
      <c r="G37" s="30"/>
      <c r="H37" s="30"/>
      <c r="I37" s="30"/>
    </row>
    <row r="38" spans="1:9" x14ac:dyDescent="0.25">
      <c r="A38" s="89" t="s">
        <v>134</v>
      </c>
      <c r="B38" s="89"/>
      <c r="C38" s="89"/>
      <c r="D38" s="89"/>
      <c r="E38" s="31" t="str">
        <f>VLOOKUP(A38,lookup_helper!$B$112:$D$119,3,FALSE)</f>
        <v>Small-Town Established Communities</v>
      </c>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A42" s="10"/>
      <c r="B42" s="11"/>
      <c r="C42" s="11"/>
      <c r="D42" s="11"/>
      <c r="E42" s="11"/>
      <c r="F42" s="11"/>
      <c r="G42" s="11"/>
      <c r="H42" s="11"/>
      <c r="I42" s="11"/>
    </row>
    <row r="43" spans="1:9" x14ac:dyDescent="0.25">
      <c r="A43" s="57" t="s">
        <v>285</v>
      </c>
      <c r="B43" s="11"/>
      <c r="C43" s="11"/>
      <c r="D43" s="11"/>
      <c r="E43" s="11"/>
      <c r="F43" s="11"/>
      <c r="G43" s="11"/>
      <c r="H43" s="11"/>
      <c r="I43" s="11"/>
    </row>
    <row r="44" spans="1:9" x14ac:dyDescent="0.25">
      <c r="A44" s="58">
        <f ca="1">NOW()</f>
        <v>43866.451242013885</v>
      </c>
      <c r="B44" s="11"/>
      <c r="C44" s="11"/>
      <c r="D44" s="11"/>
      <c r="E44" s="11"/>
      <c r="F44" s="11"/>
      <c r="G44" s="11"/>
      <c r="H44" s="11"/>
      <c r="I44" s="11"/>
    </row>
    <row r="45" spans="1:9" x14ac:dyDescent="0.25">
      <c r="A45" s="10"/>
      <c r="B45" s="11"/>
      <c r="C45" s="11"/>
      <c r="D45" s="11"/>
      <c r="E45" s="11"/>
      <c r="F45" s="11"/>
      <c r="G45" s="11"/>
      <c r="H45" s="11"/>
      <c r="I45" s="11"/>
    </row>
    <row r="46" spans="1:9" x14ac:dyDescent="0.25">
      <c r="A46" s="9"/>
    </row>
  </sheetData>
  <mergeCells count="8">
    <mergeCell ref="A36:D36"/>
    <mergeCell ref="A38:D38"/>
    <mergeCell ref="A2:I4"/>
    <mergeCell ref="A31:D31"/>
    <mergeCell ref="A33:D33"/>
    <mergeCell ref="A34:D34"/>
    <mergeCell ref="A35:D35"/>
    <mergeCell ref="A37:D3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9A7A-76C4-4F5E-A5E5-551C242D3604}">
  <dimension ref="A3:I42"/>
  <sheetViews>
    <sheetView view="pageLayout" zoomScaleNormal="100" workbookViewId="0">
      <selection activeCell="C2" sqref="C2"/>
    </sheetView>
  </sheetViews>
  <sheetFormatPr defaultRowHeight="15" x14ac:dyDescent="0.25"/>
  <cols>
    <col min="1" max="1" width="18.42578125" customWidth="1"/>
    <col min="5" max="5" width="10.5703125" bestFit="1" customWidth="1"/>
    <col min="7" max="7" width="6.42578125" customWidth="1"/>
    <col min="8" max="8" width="6" customWidth="1"/>
  </cols>
  <sheetData>
    <row r="3" spans="1:9" ht="21" x14ac:dyDescent="0.25">
      <c r="A3" s="8" t="s">
        <v>301</v>
      </c>
    </row>
    <row r="4" spans="1:9" ht="158.25" customHeight="1" x14ac:dyDescent="0.25">
      <c r="A4" s="91" t="s">
        <v>302</v>
      </c>
      <c r="B4" s="91"/>
      <c r="C4" s="91"/>
      <c r="D4" s="91"/>
      <c r="E4" s="91"/>
      <c r="F4" s="91"/>
      <c r="G4" s="91"/>
      <c r="H4" s="91"/>
      <c r="I4" s="91"/>
    </row>
    <row r="28" spans="1:5" x14ac:dyDescent="0.25">
      <c r="A28" s="71"/>
      <c r="B28" s="71"/>
      <c r="C28" s="71"/>
      <c r="D28" s="71"/>
      <c r="E28" s="31"/>
    </row>
    <row r="29" spans="1:5" x14ac:dyDescent="0.25">
      <c r="A29" s="87"/>
      <c r="E29" s="31"/>
    </row>
    <row r="30" spans="1:5" x14ac:dyDescent="0.25">
      <c r="A30" s="71"/>
      <c r="B30" s="71"/>
      <c r="C30" s="71"/>
      <c r="D30" s="71"/>
      <c r="E30" s="31"/>
    </row>
    <row r="31" spans="1:5" x14ac:dyDescent="0.25">
      <c r="A31" s="71"/>
      <c r="B31" s="71"/>
      <c r="C31" s="71"/>
      <c r="D31" s="71"/>
      <c r="E31" s="31"/>
    </row>
    <row r="32" spans="1:5" x14ac:dyDescent="0.25">
      <c r="A32" s="71"/>
      <c r="B32" s="71"/>
      <c r="C32" s="71"/>
      <c r="D32" s="71"/>
      <c r="E32" s="32"/>
    </row>
    <row r="33" spans="1:9" x14ac:dyDescent="0.25">
      <c r="A33" s="71"/>
      <c r="B33" s="71"/>
      <c r="C33" s="71"/>
      <c r="D33" s="71"/>
      <c r="E33" s="48"/>
      <c r="F33" s="30"/>
      <c r="G33" s="30"/>
      <c r="H33" s="30"/>
      <c r="I33" s="30"/>
    </row>
    <row r="34" spans="1:9" x14ac:dyDescent="0.25">
      <c r="F34" s="11"/>
      <c r="G34" s="11"/>
      <c r="H34" s="11"/>
      <c r="I34" s="11"/>
    </row>
    <row r="35" spans="1:9" x14ac:dyDescent="0.25">
      <c r="A35" s="10"/>
      <c r="B35" s="11"/>
      <c r="C35" s="11"/>
      <c r="D35" s="11"/>
      <c r="E35" s="11"/>
      <c r="F35" s="11"/>
      <c r="G35" s="11"/>
      <c r="H35" s="11"/>
      <c r="I35" s="11"/>
    </row>
    <row r="36" spans="1:9" x14ac:dyDescent="0.25">
      <c r="A36" s="10"/>
      <c r="B36" s="11"/>
      <c r="C36" s="11"/>
      <c r="D36" s="11"/>
      <c r="E36" s="11"/>
      <c r="F36" s="11"/>
      <c r="G36" s="11"/>
      <c r="H36" s="11"/>
      <c r="I36" s="11"/>
    </row>
    <row r="37" spans="1:9" x14ac:dyDescent="0.25">
      <c r="A37" s="10"/>
      <c r="B37" s="11"/>
      <c r="C37" s="11"/>
      <c r="D37" s="11"/>
      <c r="E37" s="11"/>
      <c r="F37" s="11"/>
      <c r="G37" s="11"/>
      <c r="H37" s="11"/>
      <c r="I37" s="11"/>
    </row>
    <row r="38" spans="1:9" x14ac:dyDescent="0.25">
      <c r="A38" s="10"/>
      <c r="B38" s="11"/>
      <c r="C38" s="11"/>
      <c r="D38" s="11"/>
      <c r="E38" s="11"/>
      <c r="F38" s="11"/>
      <c r="G38" s="11"/>
      <c r="H38" s="11"/>
      <c r="I38" s="11"/>
    </row>
    <row r="39" spans="1:9" x14ac:dyDescent="0.25">
      <c r="A39" s="57"/>
      <c r="B39" s="11"/>
      <c r="C39" s="11"/>
      <c r="D39" s="11"/>
      <c r="E39" s="11"/>
      <c r="F39" s="11"/>
      <c r="G39" s="11"/>
      <c r="H39" s="11"/>
      <c r="I39" s="11"/>
    </row>
    <row r="40" spans="1:9" x14ac:dyDescent="0.25">
      <c r="A40" s="58"/>
      <c r="B40" s="11"/>
      <c r="C40" s="11"/>
      <c r="D40" s="11"/>
      <c r="E40" s="11"/>
      <c r="F40" s="11"/>
      <c r="G40" s="11"/>
      <c r="H40" s="11"/>
      <c r="I40" s="11"/>
    </row>
    <row r="41" spans="1:9" x14ac:dyDescent="0.25">
      <c r="A41" s="10"/>
      <c r="B41" s="11"/>
      <c r="C41" s="11"/>
      <c r="D41" s="11"/>
      <c r="E41" s="11"/>
      <c r="F41" s="11"/>
      <c r="G41" s="11"/>
      <c r="H41" s="11"/>
      <c r="I41" s="11"/>
    </row>
    <row r="42" spans="1:9" x14ac:dyDescent="0.25">
      <c r="A42" s="9"/>
    </row>
  </sheetData>
  <mergeCells count="1">
    <mergeCell ref="A4:I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CAFD4-91AA-4A54-9D7E-20D5302EC54C}">
  <sheetPr codeName="Sheet4"/>
  <dimension ref="A1:H44"/>
  <sheetViews>
    <sheetView view="pageBreakPreview" topLeftCell="A25" zoomScaleNormal="100" zoomScaleSheetLayoutView="100" workbookViewId="0">
      <selection activeCell="A42" sqref="A42:H42"/>
    </sheetView>
  </sheetViews>
  <sheetFormatPr defaultRowHeight="15" x14ac:dyDescent="0.25"/>
  <cols>
    <col min="1" max="1" width="24" customWidth="1"/>
  </cols>
  <sheetData>
    <row r="1" spans="1:8" s="46" customFormat="1" x14ac:dyDescent="0.25">
      <c r="H1" s="59" t="str">
        <f>"Project name: "&amp;VLOOKUP("Project name",lookup_helper!$B:$D,3,FALSE)</f>
        <v>Project name: test_project_YubaCity</v>
      </c>
    </row>
    <row r="2" spans="1:8" s="46" customFormat="1" x14ac:dyDescent="0.25">
      <c r="H2" s="59" t="str">
        <f>"Project community type: "&amp;VLOOKUP("Project Community Type",lookup_helper!$B:$D,3,FALSE)</f>
        <v>Project community type: Small-Town Established Communities</v>
      </c>
    </row>
    <row r="4" spans="1:8" ht="17.25" x14ac:dyDescent="0.25">
      <c r="A4" s="12" t="s">
        <v>125</v>
      </c>
    </row>
    <row r="5" spans="1:8" x14ac:dyDescent="0.25">
      <c r="A5" s="29" t="s">
        <v>274</v>
      </c>
    </row>
    <row r="23" spans="1:1" x14ac:dyDescent="0.25">
      <c r="A23" s="29" t="s">
        <v>298</v>
      </c>
    </row>
    <row r="41" spans="1:8" ht="15" customHeight="1" x14ac:dyDescent="0.25">
      <c r="B41" s="72"/>
      <c r="C41" s="72"/>
      <c r="D41" s="72"/>
      <c r="E41" s="72"/>
      <c r="F41" s="72"/>
      <c r="G41" s="72"/>
      <c r="H41" s="72"/>
    </row>
    <row r="42" spans="1:8" ht="93" customHeight="1" x14ac:dyDescent="0.25">
      <c r="A42" s="92" t="s">
        <v>275</v>
      </c>
      <c r="B42" s="92"/>
      <c r="C42" s="92"/>
      <c r="D42" s="92"/>
      <c r="E42" s="92"/>
      <c r="F42" s="92"/>
      <c r="G42" s="92"/>
      <c r="H42" s="92"/>
    </row>
    <row r="43" spans="1:8" x14ac:dyDescent="0.25">
      <c r="A43" s="72"/>
      <c r="B43" s="72"/>
      <c r="C43" s="72"/>
      <c r="D43" s="72"/>
      <c r="E43" s="72"/>
      <c r="F43" s="72"/>
      <c r="G43" s="72"/>
      <c r="H43" s="72"/>
    </row>
    <row r="44" spans="1:8" ht="30" customHeight="1" x14ac:dyDescent="0.25">
      <c r="A44" s="72"/>
      <c r="B44" s="72"/>
      <c r="C44" s="72"/>
      <c r="D44" s="72"/>
      <c r="E44" s="72"/>
      <c r="F44" s="72"/>
      <c r="G44" s="72"/>
      <c r="H44" s="72"/>
    </row>
  </sheetData>
  <mergeCells count="1">
    <mergeCell ref="A42:H42"/>
  </mergeCells>
  <pageMargins left="0.7" right="0.7" top="0.75" bottom="0.75" header="0.3" footer="0.3"/>
  <pageSetup scale="9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4DCB8-A904-4048-8891-634DB5071E9F}">
  <sheetPr codeName="Sheet5"/>
  <dimension ref="A1:H64"/>
  <sheetViews>
    <sheetView tabSelected="1" view="pageLayout" topLeftCell="A13" zoomScaleNormal="100" workbookViewId="0">
      <selection activeCell="A30" sqref="A30"/>
    </sheetView>
  </sheetViews>
  <sheetFormatPr defaultRowHeight="15" x14ac:dyDescent="0.25"/>
  <cols>
    <col min="1" max="1" width="22.5703125" customWidth="1"/>
    <col min="8" max="8" width="11"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0"/>
    </row>
    <row r="4" spans="1:8" ht="17.25" x14ac:dyDescent="0.25">
      <c r="A4" s="12" t="s">
        <v>126</v>
      </c>
    </row>
    <row r="5" spans="1:8" x14ac:dyDescent="0.25">
      <c r="A5" s="29" t="s">
        <v>292</v>
      </c>
    </row>
    <row r="6" spans="1:8" x14ac:dyDescent="0.25">
      <c r="A6" s="9"/>
    </row>
    <row r="7" spans="1:8" x14ac:dyDescent="0.25">
      <c r="A7" s="13"/>
    </row>
    <row r="8" spans="1:8" x14ac:dyDescent="0.25">
      <c r="A8" s="13"/>
    </row>
    <row r="9" spans="1:8" x14ac:dyDescent="0.25">
      <c r="A9" s="13"/>
    </row>
    <row r="10" spans="1:8" x14ac:dyDescent="0.25">
      <c r="A10" s="13"/>
    </row>
    <row r="11" spans="1:8" x14ac:dyDescent="0.25">
      <c r="A11" s="13"/>
    </row>
    <row r="12" spans="1:8" x14ac:dyDescent="0.25">
      <c r="A12" s="13"/>
    </row>
    <row r="13" spans="1:8" x14ac:dyDescent="0.25">
      <c r="A13" s="13"/>
    </row>
    <row r="22" spans="1:8" x14ac:dyDescent="0.25">
      <c r="A22" s="79" t="s">
        <v>293</v>
      </c>
      <c r="B22" s="77" t="str">
        <f>lookup_helper!Q7</f>
        <v>EB</v>
      </c>
      <c r="C22" s="77" t="str">
        <f>lookup_helper!R7</f>
        <v>WB</v>
      </c>
    </row>
    <row r="23" spans="1:8" ht="30" x14ac:dyDescent="0.25">
      <c r="A23" s="78" t="s">
        <v>296</v>
      </c>
      <c r="B23" s="86">
        <f>IFERROR(lookup_helper!Q9/lookup_helper!Q8,0)</f>
        <v>0.62906584321456371</v>
      </c>
      <c r="C23" s="86">
        <f>IFERROR(lookup_helper!R9/lookup_helper!R8,0)</f>
        <v>0.81902208942477273</v>
      </c>
    </row>
    <row r="25" spans="1:8" ht="15.75" thickBot="1" x14ac:dyDescent="0.3">
      <c r="A25" s="87" t="s">
        <v>131</v>
      </c>
      <c r="C25" s="74"/>
    </row>
    <row r="26" spans="1:8" ht="15.75" thickBot="1" x14ac:dyDescent="0.3">
      <c r="A26" s="88">
        <f>VLOOKUP(A25,lookup_helper!$B:$D,3,FALSE)</f>
        <v>60000</v>
      </c>
    </row>
    <row r="27" spans="1:8" x14ac:dyDescent="0.25">
      <c r="D27" s="75"/>
      <c r="E27" s="75"/>
      <c r="F27" s="75"/>
      <c r="G27" s="75"/>
      <c r="H27" s="75"/>
    </row>
    <row r="28" spans="1:8" x14ac:dyDescent="0.25">
      <c r="A28" s="73"/>
      <c r="B28" s="76"/>
      <c r="C28" s="76"/>
      <c r="D28" s="75"/>
      <c r="E28" s="75"/>
      <c r="F28" s="75"/>
      <c r="G28" s="75"/>
      <c r="H28" s="75"/>
    </row>
    <row r="29" spans="1:8" ht="67.5" customHeight="1" x14ac:dyDescent="0.25">
      <c r="A29" s="93" t="s">
        <v>303</v>
      </c>
      <c r="B29" s="93"/>
      <c r="C29" s="93"/>
      <c r="D29" s="93"/>
      <c r="E29" s="93"/>
      <c r="F29" s="93"/>
      <c r="G29" s="93"/>
      <c r="H29" s="93"/>
    </row>
    <row r="31" spans="1:8" x14ac:dyDescent="0.25">
      <c r="A31" s="75"/>
      <c r="B31" s="75"/>
      <c r="C31" s="75"/>
      <c r="D31" s="75"/>
      <c r="E31" s="75"/>
      <c r="F31" s="75"/>
      <c r="G31" s="75"/>
      <c r="H31" s="75"/>
    </row>
    <row r="32" spans="1:8" x14ac:dyDescent="0.25">
      <c r="A32" s="75"/>
      <c r="B32" s="75"/>
      <c r="C32" s="75"/>
      <c r="D32" s="75"/>
      <c r="E32" s="75"/>
      <c r="F32" s="75"/>
      <c r="G32" s="75"/>
      <c r="H32" s="75"/>
    </row>
    <row r="33" spans="1:8" x14ac:dyDescent="0.25">
      <c r="A33" s="75"/>
      <c r="B33" s="75"/>
      <c r="C33" s="75"/>
      <c r="D33" s="75"/>
      <c r="E33" s="75"/>
      <c r="F33" s="75"/>
      <c r="G33" s="75"/>
      <c r="H33" s="75"/>
    </row>
    <row r="34" spans="1:8" x14ac:dyDescent="0.25">
      <c r="A34" s="75"/>
      <c r="B34" s="75"/>
      <c r="C34" s="75"/>
      <c r="D34" s="75"/>
      <c r="E34" s="75"/>
      <c r="F34" s="75"/>
      <c r="G34" s="75"/>
      <c r="H34" s="75"/>
    </row>
    <row r="35" spans="1:8" x14ac:dyDescent="0.25">
      <c r="A35" s="75"/>
      <c r="B35" s="75"/>
      <c r="C35" s="75"/>
      <c r="D35" s="75"/>
      <c r="E35" s="75"/>
      <c r="F35" s="75"/>
      <c r="G35" s="75"/>
      <c r="H35" s="75"/>
    </row>
    <row r="36" spans="1:8" x14ac:dyDescent="0.25">
      <c r="A36" s="75"/>
      <c r="B36" s="75"/>
      <c r="C36" s="75"/>
      <c r="D36" s="75"/>
      <c r="E36" s="75"/>
      <c r="F36" s="75"/>
      <c r="G36" s="75"/>
      <c r="H36" s="75"/>
    </row>
    <row r="43" spans="1:8" x14ac:dyDescent="0.25">
      <c r="A43" s="29" t="s">
        <v>297</v>
      </c>
    </row>
    <row r="61" spans="1:8" ht="42" customHeight="1" x14ac:dyDescent="0.25">
      <c r="A61" s="93" t="s">
        <v>283</v>
      </c>
      <c r="B61" s="93"/>
      <c r="C61" s="93"/>
      <c r="D61" s="93"/>
      <c r="E61" s="93"/>
      <c r="F61" s="93"/>
      <c r="G61" s="93"/>
      <c r="H61" s="93"/>
    </row>
    <row r="64" spans="1:8" x14ac:dyDescent="0.25">
      <c r="A64" s="29" t="s">
        <v>294</v>
      </c>
    </row>
  </sheetData>
  <mergeCells count="2">
    <mergeCell ref="A61:H61"/>
    <mergeCell ref="A29:H29"/>
  </mergeCells>
  <pageMargins left="0.7" right="0.7" top="0.75" bottom="0.75" header="0.3" footer="0.3"/>
  <pageSetup orientation="portrait" r:id="rId1"/>
  <headerFooter>
    <oddFooter>&amp;LNOTE: If only zeroes appear for congestion and reliability charts, it means no data were available for the project segment.</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07DCC-1888-4FF1-B645-7715A9482FCA}">
  <sheetPr codeName="Sheet6"/>
  <dimension ref="A1:I56"/>
  <sheetViews>
    <sheetView view="pageBreakPreview" zoomScaleNormal="100" zoomScaleSheetLayoutView="100" workbookViewId="0">
      <selection activeCell="L57" sqref="L57"/>
    </sheetView>
  </sheetViews>
  <sheetFormatPr defaultRowHeight="15" x14ac:dyDescent="0.25"/>
  <cols>
    <col min="1" max="1" width="17.7109375" customWidth="1"/>
    <col min="2" max="2" width="17.5703125" customWidth="1"/>
    <col min="3" max="3" width="15.28515625" customWidth="1"/>
  </cols>
  <sheetData>
    <row r="1" spans="1:9" s="68" customFormat="1" x14ac:dyDescent="0.25">
      <c r="H1" s="70" t="str">
        <f>"Project name: "&amp;VLOOKUP("Project name",lookup_helper!$B:$D,3,FALSE)</f>
        <v>Project name: test_project_YubaCity</v>
      </c>
    </row>
    <row r="2" spans="1:9" s="68" customFormat="1" x14ac:dyDescent="0.25">
      <c r="H2" s="70" t="str">
        <f>"Project community type: "&amp;VLOOKUP("Project Community Type",lookup_helper!$B:$D,3,FALSE)</f>
        <v>Project community type: Small-Town Established Communities</v>
      </c>
    </row>
    <row r="3" spans="1:9" x14ac:dyDescent="0.25">
      <c r="A3" s="61"/>
    </row>
    <row r="4" spans="1:9" ht="17.25" x14ac:dyDescent="0.25">
      <c r="A4" s="12" t="s">
        <v>224</v>
      </c>
    </row>
    <row r="5" spans="1:9" ht="27.75" customHeight="1" x14ac:dyDescent="0.25">
      <c r="A5" s="94" t="s">
        <v>225</v>
      </c>
      <c r="B5" s="94"/>
      <c r="C5" s="94"/>
      <c r="D5" s="94"/>
      <c r="E5" s="94"/>
    </row>
    <row r="7" spans="1:9" ht="15.75" thickBot="1" x14ac:dyDescent="0.3">
      <c r="A7" s="41" t="s">
        <v>238</v>
      </c>
    </row>
    <row r="8" spans="1:9" ht="30.75" thickBot="1" x14ac:dyDescent="0.3">
      <c r="A8" s="34" t="s">
        <v>234</v>
      </c>
      <c r="B8" s="35" t="s">
        <v>235</v>
      </c>
      <c r="C8" s="35" t="s">
        <v>236</v>
      </c>
    </row>
    <row r="9" spans="1:9" ht="15.75" thickBot="1" x14ac:dyDescent="0.3">
      <c r="A9" s="37">
        <f>VLOOKUP($A7,lookup_helper!$B:$I,MATCH("projval_2016",lookup_helper!$B$1:$I$1,0),FALSE)</f>
        <v>0.1021114271418558</v>
      </c>
      <c r="B9" s="37">
        <f>VLOOKUP($A7,lookup_helper!$B:$I,MATCH("CommunityType_2016",lookup_helper!$B$1:$I$1,0),FALSE)</f>
        <v>5.8844134774233253E-2</v>
      </c>
      <c r="C9" s="37">
        <f>VLOOKUP($A7,lookup_helper!$B:$I,MATCH("REGION_2016",lookup_helper!$B$1:$I$1,0),FALSE)</f>
        <v>1.480071598380431E-2</v>
      </c>
    </row>
    <row r="10" spans="1:9" x14ac:dyDescent="0.25">
      <c r="A10" s="38"/>
      <c r="B10" s="39"/>
      <c r="C10" s="39"/>
    </row>
    <row r="12" spans="1:9" ht="27.75" customHeight="1" x14ac:dyDescent="0.25">
      <c r="A12" s="94" t="s">
        <v>226</v>
      </c>
      <c r="B12" s="94"/>
      <c r="C12" s="94"/>
      <c r="D12" s="94"/>
      <c r="E12" s="94"/>
      <c r="F12" s="36"/>
      <c r="G12" s="36"/>
      <c r="H12" s="36"/>
      <c r="I12" s="36"/>
    </row>
    <row r="14" spans="1:9" ht="15.75" thickBot="1" x14ac:dyDescent="0.3">
      <c r="A14" s="95" t="s">
        <v>237</v>
      </c>
      <c r="B14" s="95"/>
      <c r="C14" s="95"/>
    </row>
    <row r="15" spans="1:9" ht="30.75" thickBot="1" x14ac:dyDescent="0.3">
      <c r="A15" s="34" t="s">
        <v>234</v>
      </c>
      <c r="B15" s="35" t="s">
        <v>235</v>
      </c>
      <c r="C15" s="35" t="s">
        <v>236</v>
      </c>
    </row>
    <row r="16" spans="1:9" ht="15.75" thickBot="1" x14ac:dyDescent="0.3">
      <c r="A16" s="42">
        <f>VLOOKUP($A14,lookup_helper!$B:$I,MATCH("projval_2016",lookup_helper!$1:$1,0)-1,FALSE)</f>
        <v>0.33368336973414081</v>
      </c>
      <c r="B16" s="42">
        <f>VLOOKUP($A14,lookup_helper!$B:$I,MATCH("CommunityType_2016",lookup_helper!$B$1:$I$1,0),FALSE)</f>
        <v>9.9496332560479198E-2</v>
      </c>
      <c r="C16" s="42">
        <f>VLOOKUP($A14,lookup_helper!$B:$I,MATCH("REGION_2016",lookup_helper!$B$1:$I$1,0),FALSE)</f>
        <v>0.1052465714535069</v>
      </c>
    </row>
    <row r="17" spans="1:3" x14ac:dyDescent="0.25">
      <c r="A17" s="40"/>
      <c r="B17" s="40"/>
      <c r="C17" s="40"/>
    </row>
    <row r="19" spans="1:3" x14ac:dyDescent="0.25">
      <c r="A19" s="41" t="s">
        <v>227</v>
      </c>
    </row>
    <row r="20" spans="1:3" x14ac:dyDescent="0.25">
      <c r="A20" t="s">
        <v>229</v>
      </c>
    </row>
    <row r="48" spans="1:1" x14ac:dyDescent="0.25">
      <c r="A48" s="29" t="s">
        <v>228</v>
      </c>
    </row>
    <row r="49" spans="1:3" x14ac:dyDescent="0.25">
      <c r="A49" s="29"/>
    </row>
    <row r="50" spans="1:3" ht="15.75" thickBot="1" x14ac:dyDescent="0.3">
      <c r="A50" s="41" t="s">
        <v>176</v>
      </c>
    </row>
    <row r="51" spans="1:3" ht="30.75" thickBot="1" x14ac:dyDescent="0.3">
      <c r="A51" s="34" t="s">
        <v>234</v>
      </c>
      <c r="B51" s="35" t="s">
        <v>235</v>
      </c>
      <c r="C51" s="35" t="s">
        <v>236</v>
      </c>
    </row>
    <row r="52" spans="1:3" ht="15.75" thickBot="1" x14ac:dyDescent="0.3">
      <c r="A52" s="37">
        <f>VLOOKUP($A50,lookup_helper!$B:$I,MATCH("projval_2016",lookup_helper!$1:$1,0)-1,FALSE)</f>
        <v>1.872619731652339</v>
      </c>
      <c r="B52" s="37">
        <f>VLOOKUP($A50,lookup_helper!$B:$I,MATCH("CommunityType_2016",lookup_helper!$B$1:$I$1,0),FALSE)</f>
        <v>7.4149284958128156E-2</v>
      </c>
      <c r="C52" s="37">
        <f>VLOOKUP($A50,lookup_helper!$B:$I,MATCH("REGION_2016",lookup_helper!$B$1:$I$1,0),FALSE)</f>
        <v>7.332683167880813E-2</v>
      </c>
    </row>
    <row r="55" spans="1:3" x14ac:dyDescent="0.25">
      <c r="A55" s="41" t="s">
        <v>280</v>
      </c>
    </row>
    <row r="56" spans="1:3" x14ac:dyDescent="0.25">
      <c r="A56" t="s">
        <v>230</v>
      </c>
    </row>
  </sheetData>
  <mergeCells count="3">
    <mergeCell ref="A12:E12"/>
    <mergeCell ref="A5:E5"/>
    <mergeCell ref="A14:C14"/>
  </mergeCells>
  <pageMargins left="0.7" right="0.7" top="0.75" bottom="0.75" header="0.3" footer="0.3"/>
  <pageSetup scale="90" orientation="portrait" r:id="rId1"/>
  <rowBreaks count="1" manualBreakCount="1">
    <brk id="46" max="7"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8A5C7-BD60-4FDC-AB65-BF967BB22109}">
  <sheetPr codeName="Sheet7"/>
  <dimension ref="A1:I88"/>
  <sheetViews>
    <sheetView view="pageLayout" topLeftCell="A31" zoomScaleNormal="100" workbookViewId="0">
      <selection activeCell="D40" sqref="D40"/>
    </sheetView>
  </sheetViews>
  <sheetFormatPr defaultRowHeight="15" x14ac:dyDescent="0.25"/>
  <cols>
    <col min="8" max="8" width="18.28515625"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1"/>
    </row>
    <row r="4" spans="1:8" ht="17.25" x14ac:dyDescent="0.25">
      <c r="A4" s="12" t="s">
        <v>231</v>
      </c>
    </row>
    <row r="5" spans="1:8" ht="75" customHeight="1" x14ac:dyDescent="0.25">
      <c r="A5" s="96" t="s">
        <v>295</v>
      </c>
      <c r="B5" s="96"/>
      <c r="C5" s="96"/>
      <c r="D5" s="96"/>
      <c r="E5" s="96"/>
      <c r="F5" s="96"/>
      <c r="G5" s="96"/>
      <c r="H5" s="96"/>
    </row>
    <row r="6" spans="1:8" x14ac:dyDescent="0.25">
      <c r="A6" s="80"/>
      <c r="B6" s="80"/>
      <c r="C6" s="80"/>
      <c r="D6" s="80"/>
      <c r="E6" s="80"/>
      <c r="F6" s="80"/>
      <c r="G6" s="80"/>
      <c r="H6" s="80"/>
    </row>
    <row r="7" spans="1:8" x14ac:dyDescent="0.25">
      <c r="A7" s="29"/>
    </row>
    <row r="8" spans="1:8" ht="15.75" x14ac:dyDescent="0.25">
      <c r="A8" s="33" t="s">
        <v>278</v>
      </c>
    </row>
    <row r="9" spans="1:8" x14ac:dyDescent="0.25">
      <c r="A9" s="29"/>
    </row>
    <row r="10" spans="1:8" x14ac:dyDescent="0.25">
      <c r="A10" s="29" t="s">
        <v>232</v>
      </c>
    </row>
    <row r="11" spans="1:8" x14ac:dyDescent="0.25">
      <c r="A11" s="29"/>
    </row>
    <row r="12" spans="1:8" x14ac:dyDescent="0.25">
      <c r="A12" s="29"/>
    </row>
    <row r="13" spans="1:8" x14ac:dyDescent="0.25">
      <c r="A13" s="29"/>
    </row>
    <row r="14" spans="1:8" x14ac:dyDescent="0.25">
      <c r="A14" s="29"/>
    </row>
    <row r="15" spans="1:8" x14ac:dyDescent="0.25">
      <c r="A15" s="29"/>
    </row>
    <row r="16" spans="1:8" x14ac:dyDescent="0.25">
      <c r="A16" s="29"/>
    </row>
    <row r="17" spans="1:1" x14ac:dyDescent="0.25">
      <c r="A17" s="29"/>
    </row>
    <row r="31" spans="1:1" ht="15.75" thickBot="1" x14ac:dyDescent="0.3">
      <c r="A31" s="29" t="s">
        <v>233</v>
      </c>
    </row>
    <row r="32" spans="1:1" ht="15.75" thickBot="1" x14ac:dyDescent="0.3">
      <c r="A32" s="54">
        <f>lookup_helper!E81-lookup_helper!D81</f>
        <v>992.65999999999894</v>
      </c>
    </row>
    <row r="44" spans="1:1" x14ac:dyDescent="0.25">
      <c r="A44" s="29" t="s">
        <v>239</v>
      </c>
    </row>
    <row r="46" spans="1:1" ht="30.75" customHeight="1" x14ac:dyDescent="0.25"/>
    <row r="62" spans="1:9" ht="37.5" customHeight="1" x14ac:dyDescent="0.25">
      <c r="A62" s="93" t="s">
        <v>240</v>
      </c>
      <c r="B62" s="93"/>
      <c r="C62" s="93"/>
      <c r="D62" s="93"/>
      <c r="E62" s="93"/>
      <c r="F62" s="93"/>
      <c r="G62" s="93"/>
      <c r="H62" s="93"/>
      <c r="I62" s="67"/>
    </row>
    <row r="65" spans="1:1" ht="15.75" x14ac:dyDescent="0.25">
      <c r="A65" s="33" t="s">
        <v>279</v>
      </c>
    </row>
    <row r="66" spans="1:1" ht="15.75" thickBot="1" x14ac:dyDescent="0.3">
      <c r="A66" s="29" t="s">
        <v>241</v>
      </c>
    </row>
    <row r="67" spans="1:1" ht="15.75" thickBot="1" x14ac:dyDescent="0.3">
      <c r="A67" s="55">
        <f>lookup_helper!D55</f>
        <v>657</v>
      </c>
    </row>
    <row r="69" spans="1:1" x14ac:dyDescent="0.25">
      <c r="A69" s="29" t="s">
        <v>242</v>
      </c>
    </row>
    <row r="86" spans="1:1" ht="15.75" x14ac:dyDescent="0.25">
      <c r="A86" s="33" t="s">
        <v>243</v>
      </c>
    </row>
    <row r="88" spans="1:1" x14ac:dyDescent="0.25">
      <c r="A88" s="29" t="s">
        <v>299</v>
      </c>
    </row>
  </sheetData>
  <mergeCells count="2">
    <mergeCell ref="A62:H62"/>
    <mergeCell ref="A5:H5"/>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69D76-764D-4B96-9AC3-904BF933FEFC}">
  <sheetPr codeName="Sheet8"/>
  <dimension ref="A1:I31"/>
  <sheetViews>
    <sheetView view="pageBreakPreview" zoomScaleNormal="100" zoomScaleSheetLayoutView="100" workbookViewId="0">
      <selection activeCell="G28" sqref="G28"/>
    </sheetView>
  </sheetViews>
  <sheetFormatPr defaultRowHeight="15" x14ac:dyDescent="0.25"/>
  <cols>
    <col min="1" max="1" width="13" customWidth="1"/>
    <col min="2" max="2" width="15.140625" customWidth="1"/>
    <col min="3" max="3" width="12.85546875" customWidth="1"/>
    <col min="6" max="6" width="7.42578125" customWidth="1"/>
    <col min="7" max="7" width="7" customWidth="1"/>
    <col min="8" max="8" width="12.7109375" customWidth="1"/>
    <col min="9" max="9" width="5.5703125" customWidth="1"/>
  </cols>
  <sheetData>
    <row r="1" spans="1:9" s="68" customFormat="1" x14ac:dyDescent="0.25">
      <c r="H1" s="70" t="str">
        <f>"Project name: "&amp;VLOOKUP("Project name",lookup_helper!$B:$D,3,FALSE)</f>
        <v>Project name: test_project_YubaCity</v>
      </c>
    </row>
    <row r="2" spans="1:9" s="68" customFormat="1" x14ac:dyDescent="0.25">
      <c r="H2" s="70" t="str">
        <f>"Project community type: "&amp;VLOOKUP("Project Community Type",lookup_helper!$B:$D,3,FALSE)</f>
        <v>Project community type: Small-Town Established Communities</v>
      </c>
    </row>
    <row r="3" spans="1:9" x14ac:dyDescent="0.25">
      <c r="A3" s="61"/>
    </row>
    <row r="4" spans="1:9" ht="17.25" x14ac:dyDescent="0.25">
      <c r="A4" s="12" t="s">
        <v>244</v>
      </c>
    </row>
    <row r="5" spans="1:9" ht="37.5" customHeight="1" x14ac:dyDescent="0.25">
      <c r="A5" s="97" t="s">
        <v>277</v>
      </c>
      <c r="B5" s="97"/>
      <c r="C5" s="97"/>
      <c r="D5" s="97"/>
      <c r="E5" s="97"/>
      <c r="F5" s="97"/>
      <c r="G5" s="97"/>
      <c r="H5" s="97"/>
      <c r="I5" s="56"/>
    </row>
    <row r="6" spans="1:9" x14ac:dyDescent="0.25">
      <c r="A6" s="45">
        <f>VLOOKUP(lookup_helper!B56,lookup_helper!$B:$D,3,FALSE)</f>
        <v>1</v>
      </c>
      <c r="B6" s="31"/>
      <c r="C6" s="31"/>
      <c r="D6" s="31"/>
      <c r="E6" s="31"/>
      <c r="F6" s="31"/>
      <c r="G6" s="31"/>
      <c r="H6" s="31"/>
      <c r="I6" s="31"/>
    </row>
    <row r="7" spans="1:9" x14ac:dyDescent="0.25">
      <c r="A7" s="31"/>
      <c r="B7" s="31"/>
      <c r="C7" s="31"/>
      <c r="D7" s="31"/>
      <c r="E7" s="31"/>
      <c r="F7" s="31"/>
      <c r="G7" s="31"/>
      <c r="H7" s="31"/>
      <c r="I7" s="31"/>
    </row>
    <row r="8" spans="1:9" ht="44.25" customHeight="1" x14ac:dyDescent="0.25">
      <c r="A8" s="92" t="s">
        <v>245</v>
      </c>
      <c r="B8" s="92"/>
      <c r="C8" s="92"/>
      <c r="D8" s="92"/>
      <c r="E8" s="92"/>
      <c r="F8" s="92"/>
      <c r="G8" s="92"/>
      <c r="H8" s="92"/>
      <c r="I8" s="56"/>
    </row>
    <row r="10" spans="1:9" x14ac:dyDescent="0.25">
      <c r="A10" s="29" t="s">
        <v>246</v>
      </c>
    </row>
    <row r="11" spans="1:9" x14ac:dyDescent="0.25">
      <c r="A11" t="s">
        <v>247</v>
      </c>
    </row>
    <row r="26" spans="1:3" x14ac:dyDescent="0.25">
      <c r="A26" s="29" t="s">
        <v>248</v>
      </c>
    </row>
    <row r="27" spans="1:3" ht="15.75" thickBot="1" x14ac:dyDescent="0.3">
      <c r="A27" s="41" t="s">
        <v>194</v>
      </c>
    </row>
    <row r="28" spans="1:3" ht="45.75" thickBot="1" x14ac:dyDescent="0.3">
      <c r="A28" s="34" t="s">
        <v>284</v>
      </c>
      <c r="B28" s="35" t="s">
        <v>235</v>
      </c>
      <c r="C28" s="35" t="s">
        <v>236</v>
      </c>
    </row>
    <row r="29" spans="1:3" ht="15.75" thickBot="1" x14ac:dyDescent="0.3">
      <c r="A29" s="42">
        <f>VLOOKUP($A27,lookup_helper!$B:$I,MATCH("projval_2016",lookup_helper!$1:$1,0)-1,FALSE)</f>
        <v>7.072357263990954E-2</v>
      </c>
      <c r="B29" s="42">
        <f>VLOOKUP($A27,lookup_helper!$B:$I,MATCH("CommunityType_2016",lookup_helper!$B$1:$I$1,0),FALSE)</f>
        <v>0.1343871705182399</v>
      </c>
      <c r="C29" s="42">
        <f>VLOOKUP($A27,lookup_helper!$B:$I,MATCH("REGION_2016",lookup_helper!$B$1:$I$1,0),FALSE)</f>
        <v>0.13021497769289109</v>
      </c>
    </row>
    <row r="31" spans="1:3" x14ac:dyDescent="0.25">
      <c r="A31" s="29" t="s">
        <v>300</v>
      </c>
    </row>
  </sheetData>
  <mergeCells count="2">
    <mergeCell ref="A8:H8"/>
    <mergeCell ref="A5:H5"/>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6E368-F9A2-47B6-BFA3-FA381B41D8B7}">
  <sheetPr codeName="Sheet9"/>
  <dimension ref="A1:H48"/>
  <sheetViews>
    <sheetView view="pageLayout" zoomScaleNormal="100" workbookViewId="0">
      <selection activeCell="B6" sqref="B6"/>
    </sheetView>
  </sheetViews>
  <sheetFormatPr defaultRowHeight="15" x14ac:dyDescent="0.25"/>
  <cols>
    <col min="1" max="1" width="14.7109375" customWidth="1"/>
    <col min="2" max="2" width="15.42578125"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1"/>
    </row>
    <row r="4" spans="1:8" ht="17.25" x14ac:dyDescent="0.25">
      <c r="A4" s="12" t="s">
        <v>249</v>
      </c>
    </row>
    <row r="5" spans="1:8" s="28" customFormat="1" ht="35.25" customHeight="1" x14ac:dyDescent="0.25">
      <c r="A5" s="92" t="s">
        <v>250</v>
      </c>
      <c r="B5" s="92"/>
      <c r="C5" s="92"/>
      <c r="D5" s="92"/>
      <c r="E5" s="92"/>
      <c r="F5" s="92"/>
      <c r="G5" s="92"/>
      <c r="H5" s="92"/>
    </row>
    <row r="7" spans="1:8" x14ac:dyDescent="0.25">
      <c r="A7" s="29" t="s">
        <v>252</v>
      </c>
    </row>
    <row r="8" spans="1:8" x14ac:dyDescent="0.25">
      <c r="A8" s="43">
        <f>VLOOKUP(lookup_helper!B86,lookup_helper!$B:$D,3,FALSE)</f>
        <v>56</v>
      </c>
    </row>
    <row r="11" spans="1:8" x14ac:dyDescent="0.25">
      <c r="A11" s="41" t="s">
        <v>251</v>
      </c>
    </row>
    <row r="12" spans="1:8" x14ac:dyDescent="0.25">
      <c r="A12" t="s">
        <v>253</v>
      </c>
    </row>
    <row r="32" spans="1:1" x14ac:dyDescent="0.25">
      <c r="A32" s="29" t="s">
        <v>254</v>
      </c>
    </row>
    <row r="33" spans="1:3" x14ac:dyDescent="0.25">
      <c r="A33" s="29"/>
    </row>
    <row r="34" spans="1:3" ht="15.75" thickBot="1" x14ac:dyDescent="0.3">
      <c r="A34" s="46" t="s">
        <v>149</v>
      </c>
    </row>
    <row r="35" spans="1:3" ht="45.75" thickBot="1" x14ac:dyDescent="0.3">
      <c r="A35" s="34" t="s">
        <v>276</v>
      </c>
      <c r="B35" s="35" t="s">
        <v>235</v>
      </c>
      <c r="C35" s="35" t="s">
        <v>236</v>
      </c>
    </row>
    <row r="36" spans="1:3" ht="15.75" thickBot="1" x14ac:dyDescent="0.3">
      <c r="A36" s="47">
        <f>VLOOKUP($A34,lookup_helper!$B:$I,MATCH("projval_2016",lookup_helper!$1:$1,0)-1,FALSE)</f>
        <v>41.285465803940781</v>
      </c>
      <c r="B36" s="47">
        <f>VLOOKUP($A34,lookup_helper!$B:$I,MATCH("CommunityType_2016",lookup_helper!$B$1:$I$1,0),FALSE)</f>
        <v>61.135362311155802</v>
      </c>
      <c r="C36" s="47">
        <f>VLOOKUP($A34,lookup_helper!$B:$I,MATCH("REGION_2016",lookup_helper!$B$1:$I$1,0),FALSE)</f>
        <v>63.369834818958772</v>
      </c>
    </row>
    <row r="48" spans="1:3" x14ac:dyDescent="0.25">
      <c r="A48" s="29" t="s">
        <v>255</v>
      </c>
    </row>
  </sheetData>
  <mergeCells count="1">
    <mergeCell ref="A5:H5"/>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06C26-04B9-49D2-98B1-15755B05F762}">
  <sheetPr codeName="Sheet10"/>
  <dimension ref="A1:H10"/>
  <sheetViews>
    <sheetView view="pageLayout" zoomScaleNormal="100" workbookViewId="0">
      <selection activeCell="C7" sqref="C7"/>
    </sheetView>
  </sheetViews>
  <sheetFormatPr defaultRowHeight="15" x14ac:dyDescent="0.25"/>
  <cols>
    <col min="7" max="7" width="15.7109375" customWidth="1"/>
    <col min="8" max="8" width="14.85546875"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1"/>
    </row>
    <row r="4" spans="1:8" ht="17.25" x14ac:dyDescent="0.25">
      <c r="A4" s="12" t="s">
        <v>258</v>
      </c>
    </row>
    <row r="6" spans="1:8" x14ac:dyDescent="0.25">
      <c r="A6" s="29" t="s">
        <v>259</v>
      </c>
    </row>
    <row r="7" spans="1:8" x14ac:dyDescent="0.25">
      <c r="A7" s="43">
        <f>VLOOKUP("Project Pavement Condition Index (PCI)",lookup_helper!$B:$D,3,FALSE)</f>
        <v>60</v>
      </c>
    </row>
    <row r="9" spans="1:8" x14ac:dyDescent="0.25">
      <c r="A9" s="29" t="s">
        <v>260</v>
      </c>
    </row>
    <row r="10" spans="1:8" x14ac:dyDescent="0.25">
      <c r="A10" s="49">
        <f>VLOOKUP("Project AADT",lookup_helper!$B:$D,3,FALSE)</f>
        <v>60000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68989-782F-4C16-9EA8-F79FF49CA3B0}">
  <sheetPr codeName="Sheet11"/>
  <dimension ref="A1:I90"/>
  <sheetViews>
    <sheetView view="pageLayout" topLeftCell="A25" zoomScaleNormal="100" zoomScaleSheetLayoutView="100" workbookViewId="0">
      <selection activeCell="D35" sqref="D35"/>
    </sheetView>
  </sheetViews>
  <sheetFormatPr defaultRowHeight="15" x14ac:dyDescent="0.25"/>
  <cols>
    <col min="1" max="1" width="13.5703125" customWidth="1"/>
    <col min="2" max="2" width="13.85546875" customWidth="1"/>
    <col min="3" max="3" width="14" customWidth="1"/>
    <col min="4" max="4" width="13" customWidth="1"/>
    <col min="5" max="5" width="9.7109375" customWidth="1"/>
    <col min="7" max="7" width="9.28515625"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1"/>
    </row>
    <row r="4" spans="1:8" ht="17.25" x14ac:dyDescent="0.25">
      <c r="A4" s="12" t="s">
        <v>261</v>
      </c>
    </row>
    <row r="5" spans="1:8" x14ac:dyDescent="0.25">
      <c r="A5" s="29" t="s">
        <v>286</v>
      </c>
    </row>
    <row r="6" spans="1:8" x14ac:dyDescent="0.25">
      <c r="A6" s="49">
        <f>lookup_helper!D95*lookup_helper!D72</f>
        <v>4050</v>
      </c>
    </row>
    <row r="9" spans="1:8" ht="15.75" thickBot="1" x14ac:dyDescent="0.3">
      <c r="A9" s="29" t="s">
        <v>287</v>
      </c>
    </row>
    <row r="10" spans="1:8" ht="45.75" thickBot="1" x14ac:dyDescent="0.3">
      <c r="A10" s="34" t="s">
        <v>262</v>
      </c>
      <c r="B10" s="35" t="s">
        <v>235</v>
      </c>
      <c r="C10" s="35" t="s">
        <v>236</v>
      </c>
    </row>
    <row r="11" spans="1:8" ht="15.75" thickBot="1" x14ac:dyDescent="0.3">
      <c r="A11" s="50">
        <f>VLOOKUP("Percent of project area residents within an EJ community",lookup_helper!$B:$D,3,FALSE)</f>
        <v>0.69863722615145762</v>
      </c>
      <c r="B11" s="50">
        <f>VLOOKUP("Percent of project area residents within an EJ community",lookup_helper!$B:$F,5,FALSE)</f>
        <v>0.34730153421679688</v>
      </c>
      <c r="C11" s="50">
        <f>VLOOKUP("Percent of project area residents within an EJ community",lookup_helper!$B:$G,6,FALSE)</f>
        <v>0.3746385676273582</v>
      </c>
    </row>
    <row r="12" spans="1:8" x14ac:dyDescent="0.25">
      <c r="A12" s="44" t="s">
        <v>263</v>
      </c>
    </row>
    <row r="16" spans="1:8" x14ac:dyDescent="0.25">
      <c r="A16" s="29" t="s">
        <v>288</v>
      </c>
    </row>
    <row r="17" spans="1:5" s="18" customFormat="1" x14ac:dyDescent="0.25">
      <c r="B17" s="51"/>
      <c r="C17" s="51"/>
      <c r="D17" s="51"/>
      <c r="E17" s="51"/>
    </row>
    <row r="18" spans="1:5" s="18" customFormat="1" x14ac:dyDescent="0.25">
      <c r="A18" s="51"/>
      <c r="B18" s="51"/>
      <c r="C18" s="51"/>
      <c r="D18" s="51"/>
      <c r="E18" s="51"/>
    </row>
    <row r="19" spans="1:5" s="18" customFormat="1" x14ac:dyDescent="0.25">
      <c r="A19" s="52"/>
      <c r="B19" s="51"/>
      <c r="C19" s="51"/>
      <c r="D19" s="51"/>
      <c r="E19" s="51"/>
    </row>
    <row r="20" spans="1:5" s="18" customFormat="1" x14ac:dyDescent="0.25">
      <c r="A20" s="51"/>
      <c r="B20" s="51"/>
      <c r="C20" s="51"/>
      <c r="D20" s="51"/>
      <c r="E20" s="51"/>
    </row>
    <row r="21" spans="1:5" s="18" customFormat="1" x14ac:dyDescent="0.25">
      <c r="A21" s="51"/>
      <c r="B21" s="51"/>
      <c r="C21" s="51"/>
      <c r="D21" s="51"/>
      <c r="E21" s="51"/>
    </row>
    <row r="37" spans="1:1" x14ac:dyDescent="0.25">
      <c r="A37" s="69" t="s">
        <v>264</v>
      </c>
    </row>
    <row r="86" spans="1:9" ht="28.5" customHeight="1" x14ac:dyDescent="0.25">
      <c r="A86" s="93" t="s">
        <v>240</v>
      </c>
      <c r="B86" s="93"/>
      <c r="C86" s="93"/>
      <c r="D86" s="93"/>
      <c r="E86" s="93"/>
      <c r="F86" s="93"/>
      <c r="G86" s="93"/>
      <c r="H86" s="67"/>
      <c r="I86" s="67"/>
    </row>
    <row r="90" spans="1:9" ht="33.75" customHeight="1" x14ac:dyDescent="0.25"/>
  </sheetData>
  <mergeCells count="1">
    <mergeCell ref="A86:G86"/>
  </mergeCells>
  <pageMargins left="0.7" right="0.7" top="0.75" bottom="0.75" header="0.3" footer="0.3"/>
  <pageSetup scale="96" orientation="portrait" r:id="rId1"/>
  <rowBreaks count="1" manualBreakCount="1">
    <brk id="44"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14</vt:i4>
      </vt:variant>
    </vt:vector>
  </HeadingPairs>
  <TitlesOfParts>
    <vt:vector size="26" baseType="lpstr">
      <vt:lpstr>import</vt:lpstr>
      <vt:lpstr>lookup_helper</vt:lpstr>
      <vt:lpstr>0ATitlePg</vt:lpstr>
      <vt:lpstr>0BUsingThisReport</vt:lpstr>
      <vt:lpstr>1ReduceVMT</vt:lpstr>
      <vt:lpstr>2ReduceCongestion</vt:lpstr>
      <vt:lpstr>3Multimodal</vt:lpstr>
      <vt:lpstr>4EconProsperity</vt:lpstr>
      <vt:lpstr>5Freight</vt:lpstr>
      <vt:lpstr>6Safety</vt:lpstr>
      <vt:lpstr>7SGR</vt:lpstr>
      <vt:lpstr>8SocioEconEquity</vt:lpstr>
      <vt:lpstr>'4EconProsperity'!_Hlk20929805</vt:lpstr>
      <vt:lpstr>'7SGR'!_Hlk20929868</vt:lpstr>
      <vt:lpstr>'1ReduceVMT'!Print_Area</vt:lpstr>
      <vt:lpstr>'3Multimodal'!Print_Area</vt:lpstr>
      <vt:lpstr>'5Freight'!Print_Area</vt:lpstr>
      <vt:lpstr>'8SocioEconEquity'!Print_Area</vt:lpstr>
      <vt:lpstr>'1ReduceVMT'!Print_Titles</vt:lpstr>
      <vt:lpstr>'2ReduceCongestion'!Print_Titles</vt:lpstr>
      <vt:lpstr>'3Multimodal'!Print_Titles</vt:lpstr>
      <vt:lpstr>'4EconProsperity'!Print_Titles</vt:lpstr>
      <vt:lpstr>'5Freight'!Print_Titles</vt:lpstr>
      <vt:lpstr>'6Safety'!Print_Titles</vt:lpstr>
      <vt:lpstr>'7SGR'!Print_Titles</vt:lpstr>
      <vt:lpstr>'8SocioEconEquity'!Print_Titles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2020-01-30T22:26:56Z</cp:lastPrinted>
  <dcterms:created xsi:type="dcterms:W3CDTF">2020-01-07T23:38:49Z</dcterms:created>
  <dcterms:modified xsi:type="dcterms:W3CDTF">2020-02-05T18:49:47Z</dcterms:modified>
</cp:coreProperties>
</file>