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69E27C3A-E2BE-4B5E-91BF-C077E9CA1AE4}" xr6:coauthVersionLast="41" xr6:coauthVersionMax="41" xr10:uidLastSave="{00000000-0000-0000-0000-000000000000}"/>
  <bookViews>
    <workbookView xWindow="-120" yWindow="-120" windowWidth="29040" windowHeight="15840" tabRatio="781" activeTab="5"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'5Freight'!$A$1:$H$32</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A14" i="10" s="1"/>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A26" i="3" s="1"/>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Q13" i="5"/>
  <c r="Q7" i="5"/>
  <c r="R13" i="5"/>
  <c r="R7" i="5"/>
  <c r="C22" i="3" s="1"/>
  <c r="Q15" i="5" a="1"/>
  <c r="R15" i="5" a="1"/>
  <c r="Q16" i="5" a="1"/>
  <c r="R16" i="5" a="1"/>
  <c r="Q17" i="5" a="1"/>
  <c r="R17" i="5" a="1"/>
  <c r="R14" i="5" a="1"/>
  <c r="Q14" i="5" a="1"/>
  <c r="Q9" i="5" a="1"/>
  <c r="R9" i="5" a="1"/>
  <c r="R8" i="5" a="1"/>
  <c r="Q8" i="5" a="1"/>
  <c r="B13" i="5"/>
  <c r="B14" i="5"/>
  <c r="B15" i="5"/>
  <c r="B16" i="5"/>
  <c r="B17" i="5"/>
  <c r="B12" i="5"/>
  <c r="Q9" i="5" l="1"/>
  <c r="B22" i="3"/>
  <c r="Q14" i="5"/>
  <c r="R14" i="5"/>
  <c r="Q17" i="5"/>
  <c r="Q16" i="5"/>
  <c r="Q15" i="5"/>
  <c r="Q8" i="5"/>
  <c r="A2" i="4"/>
  <c r="B23" i="3" l="1"/>
  <c r="R16" i="5"/>
  <c r="R15" i="5"/>
  <c r="R9" i="5"/>
  <c r="R17" i="5"/>
  <c r="R8" i="5"/>
  <c r="C23" i="3" l="1"/>
</calcChain>
</file>

<file path=xl/sharedStrings.xml><?xml version="1.0" encoding="utf-8"?>
<sst xmlns="http://schemas.openxmlformats.org/spreadsheetml/2006/main" count="637" uniqueCount="307">
  <si>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</si>
  <si>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</si>
  <si>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</si>
  <si>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</si>
  <si>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</si>
  <si>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</si>
  <si>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</si>
  <si>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</si>
  <si>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</si>
  <si>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</si>
  <si>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</si>
  <si>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</si>
  <si>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</si>
  <si>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</si>
  <si>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</si>
  <si>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</si>
  <si>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</si>
  <si>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</si>
  <si>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</si>
  <si>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</si>
  <si>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</si>
  <si>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</si>
  <si>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</si>
  <si>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</si>
  <si>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</si>
  <si>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</si>
  <si>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</si>
  <si>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</si>
  <si>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</si>
  <si>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</si>
  <si>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</si>
  <si>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</si>
  <si>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</si>
  <si>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</si>
  <si>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</si>
  <si>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</si>
  <si>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</si>
  <si>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</si>
  <si>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</si>
  <si>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</si>
  <si>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</si>
  <si>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</si>
  <si>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</si>
  <si>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</si>
  <si>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</si>
  <si>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</si>
  <si>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</si>
  <si>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</si>
  <si>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</si>
  <si>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</si>
  <si>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</si>
  <si>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</si>
  <si>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</si>
  <si>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</si>
  <si>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</si>
  <si>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</si>
  <si>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</si>
  <si>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</si>
  <si>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</si>
  <si>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</si>
  <si>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</si>
  <si>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</si>
  <si>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</si>
  <si>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</si>
  <si>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</si>
  <si>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</si>
  <si>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</si>
  <si>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</si>
  <si>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</si>
  <si>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</si>
  <si>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</si>
  <si>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</si>
  <si>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</si>
  <si>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</si>
  <si>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</si>
  <si>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</si>
  <si>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</si>
  <si>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</si>
  <si>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</si>
  <si>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</si>
  <si>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</si>
  <si>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</si>
  <si>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</si>
  <si>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</si>
  <si>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</si>
  <si>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</si>
  <si>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</si>
  <si>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</si>
  <si>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</si>
  <si>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</si>
  <si>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</si>
  <si>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</si>
  <si>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</si>
  <si>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</si>
  <si>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</si>
  <si>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</si>
  <si>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</si>
  <si>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</si>
  <si>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</si>
  <si>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</si>
  <si>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</si>
  <si>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</si>
  <si>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</si>
  <si>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</si>
  <si>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</si>
  <si>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</si>
  <si>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</si>
  <si>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</si>
  <si>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</si>
  <si>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</si>
  <si>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</si>
  <si>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</si>
  <si>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</si>
  <si>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</si>
  <si>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</si>
  <si>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</si>
  <si>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</si>
  <si>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</si>
  <si>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</si>
  <si>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</si>
  <si>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</si>
  <si>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</si>
  <si>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</si>
  <si>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</si>
  <si>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</si>
  <si>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</si>
  <si>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</si>
  <si>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</si>
  <si>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</si>
  <si>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</si>
  <si>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</si>
  <si>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</si>
  <si>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</si>
  <si>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</si>
  <si>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</si>
  <si>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</si>
  <si>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</si>
  <si>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</si>
  <si>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</si>
  <si>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</si>
  <si>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</si>
  <si>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</si>
  <si>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</si>
  <si>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</si>
  <si>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</si>
  <si>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</si>
  <si>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</si>
  <si>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</si>
  <si>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</si>
  <si>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</si>
  <si>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</si>
  <si>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</si>
  <si>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</si>
  <si>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</si>
  <si>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</si>
  <si>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</si>
  <si>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</si>
  <si>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</si>
  <si>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</si>
  <si>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</si>
  <si>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</si>
  <si>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</si>
  <si>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</si>
  <si>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</si>
  <si>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</si>
  <si>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</si>
  <si>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</si>
  <si>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</si>
  <si>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</si>
  <si>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</si>
  <si>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</si>
  <si>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</si>
  <si>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</si>
  <si>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</si>
  <si>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</si>
  <si>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</si>
  <si>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</si>
  <si>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</si>
  <si>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</si>
  <si>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</si>
  <si>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</si>
  <si>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</si>
  <si>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</si>
  <si>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</si>
  <si>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</si>
  <si>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</si>
  <si>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</si>
  <si>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</si>
  <si>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</si>
  <si>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</si>
  <si>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</si>
  <si>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</si>
  <si>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</si>
  <si>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</si>
  <si>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</si>
  <si>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</si>
  <si>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</si>
  <si>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</si>
  <si>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</si>
  <si>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</si>
  <si>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</si>
  <si>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</si>
  <si>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</si>
  <si>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</si>
  <si>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</si>
  <si>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</si>
  <si>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</si>
  <si>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</si>
  <si>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</si>
  <si>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</si>
  <si>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</si>
  <si>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</si>
  <si>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</si>
  <si>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</si>
  <si>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</si>
  <si>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</si>
  <si>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</si>
  <si>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</si>
  <si>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</si>
  <si>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</si>
  <si>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</si>
  <si>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</si>
  <si>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</si>
  <si>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</si>
  <si>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</si>
  <si>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</si>
  <si>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</si>
  <si>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</si>
  <si>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</si>
  <si>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</si>
  <si>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</si>
  <si>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</si>
  <si>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</si>
  <si>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</si>
  <si>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</si>
  <si>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</si>
  <si>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</si>
  <si>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</si>
  <si>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</si>
  <si>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</si>
  <si>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</si>
  <si>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</si>
  <si>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</si>
  <si>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</si>
  <si>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</si>
  <si>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</si>
  <si>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</si>
  <si>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</si>
  <si>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</si>
  <si>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</si>
  <si>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</si>
  <si>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</si>
  <si>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</si>
  <si>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</si>
  <si>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</si>
  <si>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</si>
  <si>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</si>
  <si>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</si>
  <si>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</si>
  <si>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</si>
  <si>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</si>
  <si>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</si>
  <si>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</si>
  <si>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</si>
  <si>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</si>
  <si>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</si>
  <si>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</si>
  <si>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</si>
  <si>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</si>
  <si>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</si>
  <si>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</si>
  <si>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</si>
  <si>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</si>
  <si>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</si>
  <si>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</si>
  <si>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</si>
  <si>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</si>
  <si>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</si>
  <si>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</si>
  <si>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</si>
  <si>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</si>
  <si>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</si>
  <si>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</si>
  <si>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</si>
  <si>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</si>
  <si>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</si>
  <si>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</si>
  <si>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</si>
  <si>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</si>
  <si>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</si>
  <si>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</si>
  <si>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</si>
  <si>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</si>
  <si>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</si>
  <si>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</si>
  <si>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</si>
  <si>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</si>
  <si>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</si>
  <si>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Using This Report</t>
  </si>
  <si>
    <t>What this report does NOT do</t>
  </si>
  <si>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</si>
  <si>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</si>
  <si>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</si>
  <si>
    <t>State of good repair indicator 3: Complete Streets Index</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</si>
  <si>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means the project type selected is not eligible to be evaluated based on complete streets potential (e.g. freeway projects are not eligible for complete streets evaluation).</t>
  </si>
  <si>
    <t>VMT Indicator 1: Total jobs and dwelling units within 0.5mi of project: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</si>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</sst>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164" fontId="0" fillId="0" borderId="0" xfId="1" applyNumberFormat="1" applyFont="1" applyBorder="1"/>
    <xf numFmtId="0" fontId="16" fillId="0" borderId="22" xfId="0" applyFont="1" applyBorder="1" applyAlignment="1">
      <alignment vertical="center"/>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and Dwelling Units per Acre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lookup_helper!$B$83</c:f>
              <c:strCache>
                <c:ptCount val="1"/>
                <c:pt idx="0">
                  <c:v>Jobs per acre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(lookup_helper!$D$83,lookup_helper!$F$83:$G$83)</c:f>
              <c:numCache>
                <c:formatCode>_(* #,##0.00_);_(* \(#,##0.00\);_(* "-"??_);_(@_)</c:formatCode>
                <c:ptCount val="3"/>
                <c:pt idx="0">
                  <c:v>1.3624389724527719</c:v>
                </c:pt>
                <c:pt idx="1">
                  <c:v>2.2999999999999998</c:v>
                </c:pt>
                <c:pt idx="2">
                  <c:v>0.19527333899999999</c:v>
                </c:pt>
              </c:numCache>
            </c:numRef>
          </c:val>
          <c:extLst>
            <c:ext xmlns:c16="http://schemas.microsoft.com/office/drawing/2014/chart" uri="{C3380CC4-5D6E-409C-BE32-E72D297353CC}">
              <c16:uniqueId val="{00000000-E01E-45D1-B823-3EC42C739224}"/>
            </c:ext>
          </c:extLst>
        </c:ser>
        <c:ser>
          <c:idx val="1"/>
          <c:order val="1"/>
          <c:tx>
            <c:strRef>
              <c:f>lookup_helper!$B$84</c:f>
              <c:strCache>
                <c:ptCount val="1"/>
                <c:pt idx="0">
                  <c:v>Dwelling units per acre within project area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(lookup_helper!$D$84,lookup_helper!$F$84:$G$84)</c:f>
              <c:numCache>
                <c:formatCode>_(* #,##0.00_);_(* \(#,##0.00\);_(* "-"??_);_(@_)</c:formatCode>
                <c:ptCount val="3"/>
                <c:pt idx="0">
                  <c:v>1.475654647382425</c:v>
                </c:pt>
                <c:pt idx="1">
                  <c:v>2.6</c:v>
                </c:pt>
                <c:pt idx="2">
                  <c:v>0.18979411900000001</c:v>
                </c:pt>
              </c:numCache>
            </c:numRef>
          </c:val>
          <c:extLst>
            <c:ext xmlns:c16="http://schemas.microsoft.com/office/drawing/2014/chart" uri="{C3380CC4-5D6E-409C-BE32-E72D297353CC}">
              <c16:uniqueId val="{00000001-E01E-45D1-B823-3EC42C739224}"/>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50" activePane="bottomLeft" state="frozen"/>
      <selection pane="bottomLeft" activeCell="D57" sqref="D57"/>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289</v>
      </c>
      <c r="B3" t="s">
        <v>287</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255</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0">
        <v>1.3624389724527719</v>
      </c>
      <c r="D68" s="5">
        <v>2.2999999999999998</v>
      </c>
      <c r="E68" s="5">
        <v>0.19527333899999999</v>
      </c>
    </row>
    <row r="69" spans="1:5" x14ac:dyDescent="0.25">
      <c r="A69" s="2" t="s">
        <v>66</v>
      </c>
      <c r="B69" s="80">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94" sqref="B94"/>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4" t="s">
        <v>280</v>
      </c>
      <c r="Q18" s="62">
        <f t="array" ref="Q18">MAX(IF(ISNUMBER(SEARCH("calc_len",import!$A:$A)),import!$B:$B))</f>
        <v>7460.2525126827086</v>
      </c>
      <c r="R18" s="63"/>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1" t="s">
        <v>279</v>
      </c>
      <c r="Q19" s="65">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8" customFormat="1" ht="30" x14ac:dyDescent="0.25">
      <c r="A65" s="88" t="s">
        <v>30</v>
      </c>
      <c r="B65" s="87" t="s">
        <v>159</v>
      </c>
      <c r="C65" s="88" t="s">
        <v>209</v>
      </c>
      <c r="D65" s="86">
        <f>VLOOKUP($A65,import!$A:$G,MATCH(lookup_helper!D$1,import!$A$1:$G$1,0),FALSE)</f>
        <v>1175.845221386116</v>
      </c>
      <c r="E65" s="86">
        <f>VLOOKUP($A65,import!$A:$G,MATCH(lookup_helper!E$1,import!$A$1:$G$1,0),FALSE)</f>
        <v>0</v>
      </c>
      <c r="F65" s="86">
        <f>VLOOKUP($A65,import!$A:$G,MATCH(lookup_helper!F$1,import!$A$1:$G$1,0),FALSE)</f>
        <v>0</v>
      </c>
      <c r="G65" s="86">
        <f>VLOOKUP($A65,import!$A:$G,MATCH(lookup_helper!G$1,import!$A$1:$G$1,0),FALSE)</f>
        <v>0</v>
      </c>
      <c r="H65" s="88">
        <f>VLOOKUP($A65,import!$A:$G,MATCH(lookup_helper!H$1,import!$A$1:$G$1,0),FALSE)</f>
        <v>0</v>
      </c>
      <c r="I65" s="88">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8" customFormat="1" x14ac:dyDescent="0.25">
      <c r="A80" s="88" t="s">
        <v>88</v>
      </c>
      <c r="B80" s="87" t="s">
        <v>186</v>
      </c>
      <c r="C80" s="88" t="s">
        <v>214</v>
      </c>
      <c r="D80" s="86">
        <f>VLOOKUP($A80,import!$A:$G,MATCH(lookup_helper!D$1,import!$A$1:$G$1,0),FALSE)</f>
        <v>1916</v>
      </c>
      <c r="E80" s="86">
        <f>VLOOKUP($A80,import!$A:$G,MATCH(lookup_helper!E$1,import!$A$1:$G$1,0),FALSE)</f>
        <v>2072.611115859987</v>
      </c>
      <c r="F80" s="88">
        <f>VLOOKUP($A80,import!$A:$G,MATCH(lookup_helper!F$1,import!$A$1:$G$1,0),FALSE)</f>
        <v>0</v>
      </c>
      <c r="G80" s="88">
        <f>VLOOKUP($A80,import!$A:$G,MATCH(lookup_helper!G$1,import!$A$1:$G$1,0),FALSE)</f>
        <v>0</v>
      </c>
      <c r="H80" s="88">
        <f>VLOOKUP($A80,import!$A:$G,MATCH(lookup_helper!H$1,import!$A$1:$G$1,0),FALSE)</f>
        <v>0</v>
      </c>
      <c r="I80" s="88">
        <f>VLOOKUP($A80,import!$A:$G,MATCH(lookup_helper!I$1,import!$A$1:$G$1,0),FALSE)</f>
        <v>0</v>
      </c>
    </row>
    <row r="81" spans="1:16" s="88" customFormat="1" x14ac:dyDescent="0.25">
      <c r="A81" s="88" t="s">
        <v>89</v>
      </c>
      <c r="B81" s="87" t="s">
        <v>184</v>
      </c>
      <c r="C81" s="88" t="s">
        <v>214</v>
      </c>
      <c r="D81" s="86">
        <f>VLOOKUP($A81,import!$A:$G,MATCH(lookup_helper!D$1,import!$A$1:$G$1,0),FALSE)</f>
        <v>1769</v>
      </c>
      <c r="E81" s="86">
        <f>VLOOKUP($A81,import!$A:$G,MATCH(lookup_helper!E$1,import!$A$1:$G$1,0),FALSE)</f>
        <v>2761.6599999999989</v>
      </c>
      <c r="F81" s="88">
        <f>VLOOKUP($A81,import!$A:$G,MATCH(lookup_helper!F$1,import!$A$1:$G$1,0),FALSE)</f>
        <v>0</v>
      </c>
      <c r="G81" s="88">
        <f>VLOOKUP($A81,import!$A:$G,MATCH(lookup_helper!G$1,import!$A$1:$G$1,0),FALSE)</f>
        <v>0</v>
      </c>
      <c r="H81" s="88">
        <f>VLOOKUP($A81,import!$A:$G,MATCH(lookup_helper!H$1,import!$A$1:$G$1,0),FALSE)</f>
        <v>0</v>
      </c>
      <c r="I81" s="88">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8" customFormat="1" x14ac:dyDescent="0.25">
      <c r="A83" s="86" t="s">
        <v>65</v>
      </c>
      <c r="B83" s="87" t="s">
        <v>177</v>
      </c>
      <c r="C83" s="88" t="s">
        <v>215</v>
      </c>
      <c r="D83" s="89">
        <f>VLOOKUP($A83,import!$A:$G,MATCH(lookup_helper!D$1,import!$A$1:$G$1,0),FALSE)</f>
        <v>1.3624389724527719</v>
      </c>
      <c r="E83" s="89">
        <f>VLOOKUP($A83,import!$A:$G,MATCH(lookup_helper!E$1,import!$A$1:$G$1,0),FALSE)</f>
        <v>0</v>
      </c>
      <c r="F83" s="89">
        <f>VLOOKUP($A83,import!$A:$G,MATCH(lookup_helper!F$1,import!$A$1:$G$1,0),FALSE)</f>
        <v>2.2999999999999998</v>
      </c>
      <c r="G83" s="89">
        <f>VLOOKUP($A83,import!$A:$G,MATCH(lookup_helper!G$1,import!$A$1:$G$1,0),FALSE)</f>
        <v>0.19527333899999999</v>
      </c>
      <c r="H83" s="89">
        <f>VLOOKUP($A83,import!$A:$G,MATCH(lookup_helper!H$1,import!$A$1:$G$1,0),FALSE)</f>
        <v>0</v>
      </c>
      <c r="I83" s="89">
        <f>VLOOKUP($A83,import!$A:$G,MATCH(lookup_helper!I$1,import!$A$1:$G$1,0),FALSE)</f>
        <v>0</v>
      </c>
    </row>
    <row r="84" spans="1:16" s="88" customFormat="1" ht="30" x14ac:dyDescent="0.25">
      <c r="A84" s="86" t="s">
        <v>66</v>
      </c>
      <c r="B84" s="87" t="s">
        <v>178</v>
      </c>
      <c r="C84" s="88" t="s">
        <v>215</v>
      </c>
      <c r="D84" s="89">
        <f>VLOOKUP($A84,import!$A:$G,MATCH(lookup_helper!D$1,import!$A$1:$G$1,0),FALSE)</f>
        <v>1.475654647382425</v>
      </c>
      <c r="E84" s="89">
        <f>VLOOKUP($A84,import!$A:$G,MATCH(lookup_helper!E$1,import!$A$1:$G$1,0),FALSE)</f>
        <v>0</v>
      </c>
      <c r="F84" s="89">
        <f>VLOOKUP($A84,import!$A:$G,MATCH(lookup_helper!F$1,import!$A$1:$G$1,0),FALSE)</f>
        <v>2.6</v>
      </c>
      <c r="G84" s="89">
        <f>VLOOKUP($A84,import!$A:$G,MATCH(lookup_helper!G$1,import!$A$1:$G$1,0),FALSE)</f>
        <v>0.18979411900000001</v>
      </c>
      <c r="H84" s="89">
        <f>VLOOKUP($A84,import!$A:$G,MATCH(lookup_helper!H$1,import!$A$1:$G$1,0),FALSE)</f>
        <v>0</v>
      </c>
      <c r="I84" s="89">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268</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264</v>
      </c>
      <c r="P96" s="28"/>
    </row>
    <row r="97" spans="1:16" x14ac:dyDescent="0.25">
      <c r="A97" s="2" t="s">
        <v>72</v>
      </c>
      <c r="B97" s="28" t="s">
        <v>269</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264</v>
      </c>
      <c r="P97" s="28"/>
    </row>
    <row r="98" spans="1:16" x14ac:dyDescent="0.25">
      <c r="A98" s="1" t="s">
        <v>73</v>
      </c>
      <c r="B98" s="28" t="s">
        <v>270</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264</v>
      </c>
      <c r="P98" s="28"/>
    </row>
    <row r="99" spans="1:16" x14ac:dyDescent="0.25">
      <c r="A99" s="1" t="s">
        <v>74</v>
      </c>
      <c r="B99" s="28" t="s">
        <v>271</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264</v>
      </c>
      <c r="P99" s="28"/>
    </row>
    <row r="100" spans="1:16" x14ac:dyDescent="0.25">
      <c r="A100" s="1" t="s">
        <v>75</v>
      </c>
      <c r="B100" s="28" t="s">
        <v>268</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265</v>
      </c>
      <c r="P100" s="28"/>
    </row>
    <row r="101" spans="1:16" x14ac:dyDescent="0.25">
      <c r="A101" s="1" t="s">
        <v>76</v>
      </c>
      <c r="B101" s="28" t="s">
        <v>269</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265</v>
      </c>
      <c r="P101" s="28"/>
    </row>
    <row r="102" spans="1:16" x14ac:dyDescent="0.25">
      <c r="A102" s="1" t="s">
        <v>77</v>
      </c>
      <c r="B102" s="28" t="s">
        <v>270</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265</v>
      </c>
      <c r="P102" s="28"/>
    </row>
    <row r="103" spans="1:16" x14ac:dyDescent="0.25">
      <c r="A103" s="1" t="s">
        <v>78</v>
      </c>
      <c r="B103" s="28" t="s">
        <v>271</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265</v>
      </c>
      <c r="P103" s="28"/>
    </row>
    <row r="104" spans="1:16" x14ac:dyDescent="0.25">
      <c r="A104" t="s">
        <v>79</v>
      </c>
      <c r="B104" s="28" t="s">
        <v>268</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266</v>
      </c>
      <c r="P104" s="28"/>
    </row>
    <row r="105" spans="1:16" x14ac:dyDescent="0.25">
      <c r="A105" t="s">
        <v>80</v>
      </c>
      <c r="B105" s="28" t="s">
        <v>269</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266</v>
      </c>
      <c r="P105" s="28"/>
    </row>
    <row r="106" spans="1:16" x14ac:dyDescent="0.25">
      <c r="A106" t="s">
        <v>81</v>
      </c>
      <c r="B106" s="28" t="s">
        <v>270</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266</v>
      </c>
      <c r="P106" s="28"/>
    </row>
    <row r="107" spans="1:16" x14ac:dyDescent="0.25">
      <c r="A107" t="s">
        <v>82</v>
      </c>
      <c r="B107" s="28" t="s">
        <v>271</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266</v>
      </c>
      <c r="P107" s="28"/>
    </row>
    <row r="108" spans="1:16" x14ac:dyDescent="0.25">
      <c r="A108" t="s">
        <v>83</v>
      </c>
      <c r="B108" s="28" t="s">
        <v>268</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267</v>
      </c>
      <c r="P108" s="28"/>
    </row>
    <row r="109" spans="1:16" x14ac:dyDescent="0.25">
      <c r="A109" t="s">
        <v>84</v>
      </c>
      <c r="B109" s="28" t="s">
        <v>269</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267</v>
      </c>
      <c r="P109" s="28"/>
    </row>
    <row r="110" spans="1:16" x14ac:dyDescent="0.25">
      <c r="A110" t="s">
        <v>85</v>
      </c>
      <c r="B110" s="28" t="s">
        <v>272</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267</v>
      </c>
      <c r="P110" s="28"/>
    </row>
    <row r="111" spans="1:16" x14ac:dyDescent="0.25">
      <c r="A111" t="s">
        <v>86</v>
      </c>
      <c r="B111" s="28" t="s">
        <v>271</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267</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289</v>
      </c>
      <c r="B113" s="28" t="s">
        <v>288</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255</v>
      </c>
      <c r="B118" s="28" t="s">
        <v>256</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7"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70" t="s">
        <v>288</v>
      </c>
      <c r="B32" s="70"/>
      <c r="C32" s="70"/>
      <c r="D32" s="70"/>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256</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283</v>
      </c>
      <c r="B43" s="11"/>
      <c r="C43" s="11"/>
      <c r="D43" s="11"/>
      <c r="E43" s="11"/>
      <c r="F43" s="11"/>
      <c r="G43" s="11"/>
      <c r="H43" s="11"/>
      <c r="I43" s="11"/>
    </row>
    <row r="44" spans="1:9" x14ac:dyDescent="0.25">
      <c r="A44" s="57">
        <f ca="1">NOW()</f>
        <v>43866.668127546298</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topLeftCell="A4" zoomScaleNormal="100" workbookViewId="0">
      <selection activeCell="A6" sqref="A6:I6"/>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298</v>
      </c>
    </row>
    <row r="4" spans="1:9" x14ac:dyDescent="0.25">
      <c r="B4" s="84"/>
      <c r="C4" s="84"/>
      <c r="D4" s="84"/>
      <c r="E4" s="84"/>
      <c r="F4" s="84"/>
      <c r="G4" s="84"/>
      <c r="H4" s="84"/>
      <c r="I4" s="84"/>
    </row>
    <row r="5" spans="1:9" x14ac:dyDescent="0.25">
      <c r="A5" s="85" t="s">
        <v>300</v>
      </c>
    </row>
    <row r="6" spans="1:9" ht="159" customHeight="1" x14ac:dyDescent="0.25">
      <c r="A6" s="94" t="s">
        <v>301</v>
      </c>
      <c r="B6" s="94"/>
      <c r="C6" s="94"/>
      <c r="D6" s="94"/>
      <c r="E6" s="94"/>
      <c r="F6" s="94"/>
      <c r="G6" s="94"/>
      <c r="H6" s="94"/>
      <c r="I6" s="94"/>
    </row>
    <row r="9" spans="1:9" x14ac:dyDescent="0.25">
      <c r="A9" s="85" t="s">
        <v>299</v>
      </c>
    </row>
    <row r="10" spans="1:9" ht="223.5" customHeight="1" x14ac:dyDescent="0.25">
      <c r="A10" s="94" t="s">
        <v>302</v>
      </c>
      <c r="B10" s="94"/>
      <c r="C10" s="94"/>
      <c r="D10" s="94"/>
      <c r="E10" s="94"/>
      <c r="F10" s="94"/>
      <c r="G10" s="94"/>
      <c r="H10" s="94"/>
      <c r="I10" s="94"/>
    </row>
    <row r="28" spans="1:5" x14ac:dyDescent="0.25">
      <c r="A28" s="70"/>
      <c r="B28" s="70"/>
      <c r="C28" s="70"/>
      <c r="D28" s="70"/>
      <c r="E28" s="31"/>
    </row>
    <row r="29" spans="1:5" x14ac:dyDescent="0.25">
      <c r="A29" s="82"/>
      <c r="E29" s="31"/>
    </row>
    <row r="30" spans="1:5" x14ac:dyDescent="0.25">
      <c r="A30" s="70"/>
      <c r="B30" s="70"/>
      <c r="C30" s="70"/>
      <c r="D30" s="70"/>
      <c r="E30" s="31"/>
    </row>
    <row r="31" spans="1:5" x14ac:dyDescent="0.25">
      <c r="A31" s="70"/>
      <c r="B31" s="70"/>
      <c r="C31" s="70"/>
      <c r="D31" s="70"/>
      <c r="E31" s="31"/>
    </row>
    <row r="32" spans="1:5" x14ac:dyDescent="0.25">
      <c r="A32" s="70"/>
      <c r="B32" s="70"/>
      <c r="C32" s="70"/>
      <c r="D32" s="70"/>
      <c r="E32" s="32"/>
    </row>
    <row r="33" spans="1:9" x14ac:dyDescent="0.25">
      <c r="A33" s="70"/>
      <c r="B33" s="70"/>
      <c r="C33" s="70"/>
      <c r="D33" s="70"/>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10:I10"/>
    <mergeCell ref="A6:I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zoomScaleNormal="100" zoomScaleSheetLayoutView="100" workbookViewId="0">
      <selection activeCell="G4" sqref="G4"/>
    </sheetView>
  </sheetViews>
  <sheetFormatPr defaultRowHeight="15" x14ac:dyDescent="0.25"/>
  <cols>
    <col min="1" max="1" width="24" customWidth="1"/>
  </cols>
  <sheetData>
    <row r="1" spans="1:8" s="46" customFormat="1" x14ac:dyDescent="0.25">
      <c r="H1" s="58" t="str">
        <f>"Project name: "&amp;VLOOKUP("Project name",lookup_helper!$B:$D,3,FALSE)</f>
        <v>Project name: test_project_YubaCity</v>
      </c>
    </row>
    <row r="2" spans="1:8" s="46" customFormat="1" x14ac:dyDescent="0.25">
      <c r="H2" s="58" t="str">
        <f>"Project community type: "&amp;VLOOKUP("Project Community Type",lookup_helper!$B:$D,3,FALSE)</f>
        <v>Project community type: Small-Town Established Communities</v>
      </c>
    </row>
    <row r="4" spans="1:8" ht="17.25" x14ac:dyDescent="0.25">
      <c r="A4" s="12" t="s">
        <v>125</v>
      </c>
    </row>
    <row r="5" spans="1:8" x14ac:dyDescent="0.25">
      <c r="A5" s="29" t="s">
        <v>305</v>
      </c>
    </row>
    <row r="23" spans="1:1" x14ac:dyDescent="0.25">
      <c r="A23" s="29" t="s">
        <v>296</v>
      </c>
    </row>
    <row r="41" spans="1:8" ht="15" customHeight="1" x14ac:dyDescent="0.25">
      <c r="B41" s="71"/>
      <c r="C41" s="71"/>
      <c r="D41" s="71"/>
      <c r="E41" s="71"/>
      <c r="F41" s="71"/>
      <c r="G41" s="71"/>
      <c r="H41" s="71"/>
    </row>
    <row r="42" spans="1:8" ht="93" customHeight="1" x14ac:dyDescent="0.25">
      <c r="A42" s="95" t="s">
        <v>273</v>
      </c>
      <c r="B42" s="95"/>
      <c r="C42" s="95"/>
      <c r="D42" s="95"/>
      <c r="E42" s="95"/>
      <c r="F42" s="95"/>
      <c r="G42" s="95"/>
      <c r="H42" s="95"/>
    </row>
    <row r="43" spans="1:8" x14ac:dyDescent="0.25">
      <c r="A43" s="71"/>
      <c r="B43" s="71"/>
      <c r="C43" s="71"/>
      <c r="D43" s="71"/>
      <c r="E43" s="71"/>
      <c r="F43" s="71"/>
      <c r="G43" s="71"/>
      <c r="H43" s="71"/>
    </row>
    <row r="44" spans="1:8" ht="30" customHeight="1" x14ac:dyDescent="0.25">
      <c r="A44" s="71"/>
      <c r="B44" s="71"/>
      <c r="C44" s="71"/>
      <c r="D44" s="71"/>
      <c r="E44" s="71"/>
      <c r="F44" s="71"/>
      <c r="G44" s="71"/>
      <c r="H44" s="71"/>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tabSelected="1" view="pageLayout" topLeftCell="A19" zoomScaleNormal="100" workbookViewId="0">
      <selection activeCell="E28" sqref="E28"/>
    </sheetView>
  </sheetViews>
  <sheetFormatPr defaultRowHeight="15" x14ac:dyDescent="0.25"/>
  <cols>
    <col min="1" max="1" width="22.5703125" customWidth="1"/>
    <col min="8" max="8" width="11"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59"/>
    </row>
    <row r="4" spans="1:8" ht="17.25" x14ac:dyDescent="0.25">
      <c r="A4" s="12" t="s">
        <v>126</v>
      </c>
    </row>
    <row r="5" spans="1:8" x14ac:dyDescent="0.25">
      <c r="A5" s="29" t="s">
        <v>290</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8" t="s">
        <v>291</v>
      </c>
      <c r="B22" s="76" t="str">
        <f>lookup_helper!Q7</f>
        <v>EB</v>
      </c>
      <c r="C22" s="76" t="str">
        <f>lookup_helper!R7</f>
        <v>WB</v>
      </c>
    </row>
    <row r="23" spans="1:8" ht="30" x14ac:dyDescent="0.25">
      <c r="A23" s="77" t="s">
        <v>294</v>
      </c>
      <c r="B23" s="81">
        <f>IFERROR(lookup_helper!Q9/lookup_helper!Q8,0)</f>
        <v>0.62906584321456371</v>
      </c>
      <c r="C23" s="81">
        <f>IFERROR(lookup_helper!R9/lookup_helper!R8,0)</f>
        <v>0.81902208942477273</v>
      </c>
    </row>
    <row r="25" spans="1:8" ht="15.75" thickBot="1" x14ac:dyDescent="0.3">
      <c r="A25" s="82" t="s">
        <v>131</v>
      </c>
      <c r="C25" s="73"/>
    </row>
    <row r="26" spans="1:8" ht="15.75" thickBot="1" x14ac:dyDescent="0.3">
      <c r="A26" s="83">
        <f>VLOOKUP(A25,lookup_helper!$B:$D,3,FALSE)</f>
        <v>60000</v>
      </c>
    </row>
    <row r="27" spans="1:8" x14ac:dyDescent="0.25">
      <c r="D27" s="74"/>
      <c r="E27" s="74"/>
      <c r="F27" s="74"/>
      <c r="G27" s="74"/>
      <c r="H27" s="74"/>
    </row>
    <row r="28" spans="1:8" x14ac:dyDescent="0.25">
      <c r="A28" s="72"/>
      <c r="B28" s="75"/>
      <c r="C28" s="75"/>
      <c r="D28" s="74"/>
      <c r="E28" s="74"/>
      <c r="F28" s="74"/>
      <c r="G28" s="74"/>
      <c r="H28" s="74"/>
    </row>
    <row r="29" spans="1:8" ht="76.5" customHeight="1" x14ac:dyDescent="0.25">
      <c r="A29" s="96" t="s">
        <v>306</v>
      </c>
      <c r="B29" s="96"/>
      <c r="C29" s="96"/>
      <c r="D29" s="96"/>
      <c r="E29" s="96"/>
      <c r="F29" s="96"/>
      <c r="G29" s="96"/>
      <c r="H29" s="96"/>
    </row>
    <row r="31" spans="1:8" x14ac:dyDescent="0.25">
      <c r="A31" s="74"/>
      <c r="B31" s="74"/>
      <c r="C31" s="74"/>
      <c r="D31" s="74"/>
      <c r="E31" s="74"/>
      <c r="F31" s="74"/>
      <c r="G31" s="74"/>
      <c r="H31" s="74"/>
    </row>
    <row r="32" spans="1:8" x14ac:dyDescent="0.25">
      <c r="A32" s="74"/>
      <c r="B32" s="74"/>
      <c r="C32" s="74"/>
      <c r="D32" s="74"/>
      <c r="E32" s="74"/>
      <c r="F32" s="74"/>
      <c r="G32" s="74"/>
      <c r="H32" s="74"/>
    </row>
    <row r="33" spans="1:8" x14ac:dyDescent="0.25">
      <c r="A33" s="74"/>
      <c r="B33" s="74"/>
      <c r="C33" s="74"/>
      <c r="D33" s="74"/>
      <c r="E33" s="74"/>
      <c r="F33" s="74"/>
      <c r="G33" s="74"/>
      <c r="H33" s="74"/>
    </row>
    <row r="34" spans="1:8" x14ac:dyDescent="0.25">
      <c r="A34" s="74"/>
      <c r="B34" s="74"/>
      <c r="C34" s="74"/>
      <c r="D34" s="74"/>
      <c r="E34" s="74"/>
      <c r="F34" s="74"/>
      <c r="G34" s="74"/>
      <c r="H34" s="74"/>
    </row>
    <row r="35" spans="1:8" x14ac:dyDescent="0.25">
      <c r="A35" s="74"/>
      <c r="B35" s="74"/>
      <c r="C35" s="74"/>
      <c r="D35" s="74"/>
      <c r="E35" s="74"/>
      <c r="F35" s="74"/>
      <c r="G35" s="74"/>
      <c r="H35" s="74"/>
    </row>
    <row r="36" spans="1:8" x14ac:dyDescent="0.25">
      <c r="A36" s="74"/>
      <c r="B36" s="74"/>
      <c r="C36" s="74"/>
      <c r="D36" s="74"/>
      <c r="E36" s="74"/>
      <c r="F36" s="74"/>
      <c r="G36" s="74"/>
      <c r="H36" s="74"/>
    </row>
    <row r="44" spans="1:8" x14ac:dyDescent="0.25">
      <c r="A44" s="29" t="s">
        <v>295</v>
      </c>
    </row>
    <row r="62" spans="1:8" ht="42" customHeight="1" x14ac:dyDescent="0.25">
      <c r="A62" s="96" t="s">
        <v>281</v>
      </c>
      <c r="B62" s="96"/>
      <c r="C62" s="96"/>
      <c r="D62" s="96"/>
      <c r="E62" s="96"/>
      <c r="F62" s="96"/>
      <c r="G62" s="96"/>
      <c r="H62" s="96"/>
    </row>
    <row r="65" spans="1:1" x14ac:dyDescent="0.25">
      <c r="A65" s="29" t="s">
        <v>292</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topLeftCell="A25"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224</v>
      </c>
    </row>
    <row r="5" spans="1:9" ht="27.75" customHeight="1" x14ac:dyDescent="0.25">
      <c r="A5" s="97" t="s">
        <v>225</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226</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278</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70" zoomScaleNormal="100" workbookViewId="0">
      <selection activeCell="E32" sqref="E32"/>
    </sheetView>
  </sheetViews>
  <sheetFormatPr defaultRowHeight="15" x14ac:dyDescent="0.25"/>
  <cols>
    <col min="8" max="8" width="18.285156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231</v>
      </c>
    </row>
    <row r="5" spans="1:8" ht="75" customHeight="1" x14ac:dyDescent="0.25">
      <c r="A5" s="99" t="s">
        <v>293</v>
      </c>
      <c r="B5" s="99"/>
      <c r="C5" s="99"/>
      <c r="D5" s="99"/>
      <c r="E5" s="99"/>
      <c r="F5" s="99"/>
      <c r="G5" s="99"/>
      <c r="H5" s="99"/>
    </row>
    <row r="6" spans="1:8" x14ac:dyDescent="0.25">
      <c r="A6" s="79"/>
      <c r="B6" s="79"/>
      <c r="C6" s="79"/>
      <c r="D6" s="79"/>
      <c r="E6" s="79"/>
      <c r="F6" s="79"/>
      <c r="G6" s="79"/>
      <c r="H6" s="79"/>
    </row>
    <row r="7" spans="1:8" x14ac:dyDescent="0.25">
      <c r="A7" s="29"/>
    </row>
    <row r="8" spans="1:8" ht="15.75" x14ac:dyDescent="0.25">
      <c r="A8" s="33" t="s">
        <v>276</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x14ac:dyDescent="0.25">
      <c r="A31" s="29"/>
    </row>
    <row r="32" spans="1:1" x14ac:dyDescent="0.25">
      <c r="A32" s="90"/>
    </row>
    <row r="44" spans="1:1" x14ac:dyDescent="0.25">
      <c r="A44" s="29" t="s">
        <v>238</v>
      </c>
    </row>
    <row r="46" spans="1:1" ht="30.75" customHeight="1" x14ac:dyDescent="0.25"/>
    <row r="62" spans="1:9" ht="37.5" customHeight="1" x14ac:dyDescent="0.25">
      <c r="A62" s="96" t="s">
        <v>239</v>
      </c>
      <c r="B62" s="96"/>
      <c r="C62" s="96"/>
      <c r="D62" s="96"/>
      <c r="E62" s="96"/>
      <c r="F62" s="96"/>
      <c r="G62" s="96"/>
      <c r="H62" s="96"/>
      <c r="I62" s="66"/>
    </row>
    <row r="65" spans="1:1" ht="15.75" x14ac:dyDescent="0.25">
      <c r="A65" s="33" t="s">
        <v>277</v>
      </c>
    </row>
    <row r="66" spans="1:1" ht="15.75" thickBot="1" x14ac:dyDescent="0.3">
      <c r="A66" s="29" t="s">
        <v>240</v>
      </c>
    </row>
    <row r="67" spans="1:1" ht="15.75" thickBot="1" x14ac:dyDescent="0.3">
      <c r="A67" s="54">
        <f>lookup_helper!D55</f>
        <v>657</v>
      </c>
    </row>
    <row r="69" spans="1:1" x14ac:dyDescent="0.25">
      <c r="A69" s="29" t="s">
        <v>241</v>
      </c>
    </row>
    <row r="86" spans="1:1" ht="15.75" x14ac:dyDescent="0.25">
      <c r="A86" s="33" t="s">
        <v>242</v>
      </c>
    </row>
    <row r="88" spans="1:1" x14ac:dyDescent="0.25">
      <c r="A88" s="29" t="s">
        <v>297</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zoomScaleNormal="100" zoomScaleSheetLayoutView="100" workbookViewId="0">
      <selection activeCell="A6" sqref="A6"/>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243</v>
      </c>
    </row>
    <row r="5" spans="1:9" ht="37.5" customHeight="1" x14ac:dyDescent="0.25">
      <c r="A5" s="100" t="s">
        <v>275</v>
      </c>
      <c r="B5" s="100"/>
      <c r="C5" s="100"/>
      <c r="D5" s="100"/>
      <c r="E5" s="100"/>
      <c r="F5" s="100"/>
      <c r="G5" s="100"/>
      <c r="H5" s="100"/>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244</v>
      </c>
      <c r="B8" s="95"/>
      <c r="C8" s="95"/>
      <c r="D8" s="95"/>
      <c r="E8" s="95"/>
      <c r="F8" s="95"/>
      <c r="G8" s="95"/>
      <c r="H8" s="95"/>
      <c r="I8" s="55"/>
    </row>
    <row r="10" spans="1:9" x14ac:dyDescent="0.25">
      <c r="A10" s="29" t="s">
        <v>245</v>
      </c>
    </row>
    <row r="11" spans="1:9" x14ac:dyDescent="0.25">
      <c r="A11" t="s">
        <v>246</v>
      </c>
    </row>
    <row r="26" spans="1:3" x14ac:dyDescent="0.25">
      <c r="A26" s="29" t="s">
        <v>247</v>
      </c>
    </row>
    <row r="27" spans="1:3" ht="15.75" thickBot="1" x14ac:dyDescent="0.3">
      <c r="A27" s="41" t="s">
        <v>194</v>
      </c>
    </row>
    <row r="28" spans="1:3" ht="45.75" thickBot="1" x14ac:dyDescent="0.3">
      <c r="A28" s="34" t="s">
        <v>282</v>
      </c>
      <c r="B28" s="35" t="s">
        <v>234</v>
      </c>
      <c r="C28" s="35" t="s">
        <v>235</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topLeftCell="A40" zoomScaleNormal="100" workbookViewId="0">
      <selection activeCell="M1" sqref="M1"/>
    </sheetView>
  </sheetViews>
  <sheetFormatPr defaultRowHeight="15" x14ac:dyDescent="0.25"/>
  <cols>
    <col min="1" max="1" width="14.7109375" customWidth="1"/>
    <col min="2" max="2" width="15.425781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248</v>
      </c>
    </row>
    <row r="5" spans="1:8" s="28" customFormat="1" ht="35.25" customHeight="1" x14ac:dyDescent="0.25">
      <c r="A5" s="95" t="s">
        <v>249</v>
      </c>
      <c r="B5" s="95"/>
      <c r="C5" s="95"/>
      <c r="D5" s="95"/>
      <c r="E5" s="95"/>
      <c r="F5" s="95"/>
      <c r="G5" s="95"/>
      <c r="H5" s="95"/>
    </row>
    <row r="7" spans="1:8" x14ac:dyDescent="0.25">
      <c r="A7" s="29" t="s">
        <v>251</v>
      </c>
    </row>
    <row r="8" spans="1:8" x14ac:dyDescent="0.25">
      <c r="A8" s="43">
        <f>VLOOKUP(lookup_helper!B86,lookup_helper!$B:$D,3,FALSE)</f>
        <v>56</v>
      </c>
    </row>
    <row r="11" spans="1:8" x14ac:dyDescent="0.25">
      <c r="A11" s="41" t="s">
        <v>250</v>
      </c>
    </row>
    <row r="12" spans="1:8" x14ac:dyDescent="0.25">
      <c r="A12" t="s">
        <v>252</v>
      </c>
    </row>
    <row r="32" spans="1:1" x14ac:dyDescent="0.25">
      <c r="A32" s="29" t="s">
        <v>253</v>
      </c>
    </row>
    <row r="33" spans="1:3" x14ac:dyDescent="0.25">
      <c r="A33" s="29"/>
    </row>
    <row r="34" spans="1:3" ht="15.75" thickBot="1" x14ac:dyDescent="0.3">
      <c r="A34" s="46" t="s">
        <v>149</v>
      </c>
    </row>
    <row r="35" spans="1:3" ht="45.75" thickBot="1" x14ac:dyDescent="0.3">
      <c r="A35" s="34" t="s">
        <v>274</v>
      </c>
      <c r="B35" s="35" t="s">
        <v>234</v>
      </c>
      <c r="C35" s="35" t="s">
        <v>235</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254</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topLeftCell="A4" zoomScaleNormal="100" workbookViewId="0">
      <selection activeCell="E33" sqref="E33"/>
    </sheetView>
  </sheetViews>
  <sheetFormatPr defaultRowHeight="15" x14ac:dyDescent="0.25"/>
  <cols>
    <col min="7" max="7" width="15.7109375" customWidth="1"/>
    <col min="8" max="8" width="14.8554687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257</v>
      </c>
    </row>
    <row r="6" spans="1:8" x14ac:dyDescent="0.25">
      <c r="A6" s="29" t="s">
        <v>258</v>
      </c>
    </row>
    <row r="7" spans="1:8" x14ac:dyDescent="0.25">
      <c r="A7" s="43">
        <f>VLOOKUP("Project Pavement Condition Index (PCI)",lookup_helper!$B:$D,3,FALSE)</f>
        <v>60</v>
      </c>
    </row>
    <row r="9" spans="1:8" x14ac:dyDescent="0.25">
      <c r="A9" s="29" t="s">
        <v>259</v>
      </c>
    </row>
    <row r="10" spans="1:8" x14ac:dyDescent="0.25">
      <c r="A10" s="49">
        <f>VLOOKUP("Project AADT",lookup_helper!$B:$D,3,FALSE)</f>
        <v>60000</v>
      </c>
    </row>
    <row r="13" spans="1:8" x14ac:dyDescent="0.25">
      <c r="A13" s="29" t="s">
        <v>303</v>
      </c>
    </row>
    <row r="14" spans="1:8" x14ac:dyDescent="0.25">
      <c r="A14" s="91">
        <f>VLOOKUP("Complete street score",lookup_helper!$B:$D,3,FALSE)</f>
        <v>-1</v>
      </c>
    </row>
    <row r="16" spans="1:8" ht="163.5" customHeight="1" x14ac:dyDescent="0.25">
      <c r="A16" s="100" t="s">
        <v>304</v>
      </c>
      <c r="B16" s="100"/>
      <c r="C16" s="100"/>
      <c r="D16" s="100"/>
      <c r="E16" s="100"/>
      <c r="F16" s="100"/>
      <c r="G16" s="100"/>
      <c r="H16" s="100"/>
    </row>
  </sheetData>
  <mergeCells count="1">
    <mergeCell ref="A16:H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topLeftCell="A13" zoomScaleNormal="100" zoomScaleSheetLayoutView="100" workbookViewId="0">
      <selection activeCell="A35" sqref="A35"/>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260</v>
      </c>
    </row>
    <row r="5" spans="1:8" x14ac:dyDescent="0.25">
      <c r="A5" s="29" t="s">
        <v>284</v>
      </c>
    </row>
    <row r="6" spans="1:8" x14ac:dyDescent="0.25">
      <c r="A6" s="49">
        <f>lookup_helper!D95*lookup_helper!D72</f>
        <v>4050</v>
      </c>
    </row>
    <row r="9" spans="1:8" ht="15.75" thickBot="1" x14ac:dyDescent="0.3">
      <c r="A9" s="29" t="s">
        <v>285</v>
      </c>
    </row>
    <row r="10" spans="1:8" ht="45.75" thickBot="1" x14ac:dyDescent="0.3">
      <c r="A10" s="34" t="s">
        <v>261</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262</v>
      </c>
    </row>
    <row r="16" spans="1:8" x14ac:dyDescent="0.25">
      <c r="A16" s="29" t="s">
        <v>286</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8" t="s">
        <v>263</v>
      </c>
    </row>
    <row r="86" spans="1:9" ht="28.5" customHeight="1" x14ac:dyDescent="0.25">
      <c r="A86" s="96" t="s">
        <v>239</v>
      </c>
      <c r="B86" s="96"/>
      <c r="C86" s="96"/>
      <c r="D86" s="96"/>
      <c r="E86" s="96"/>
      <c r="F86" s="96"/>
      <c r="G86" s="96"/>
      <c r="H86" s="66"/>
      <c r="I86" s="66"/>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2020-02-06T00:02:06Z</dcterms:modified>
</cp:coreProperties>
</file>