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607AC1AF-53CC-4C29-8EF7-B5E7B2FC8818}" xr6:coauthVersionLast="41" xr6:coauthVersionMax="41" xr10:uidLastSave="{00000000-0000-0000-0000-000000000000}"/>
  <bookViews>
    <workbookView minimized="1" xWindow="38700" yWindow="2940" windowWidth="14400" windowHeight="8235" tabRatio="781" activeTab="3" xr2:uid="{00000000-000D-0000-FFFF-FFFF00000000}"/>
  </bookViews>
  <sheets>
    <sheet name="import" sheetId="1" r:id="rId1"/>
    <sheet name="lookup_helper" sheetId="5" r:id="rId2"/>
    <sheet name="0_0TitlePg" sheetId="4" r:id="rId3"/>
    <sheet name="0_1UsingThisReport" sheetId="12" r:id="rId4"/>
    <sheet name="1ReduceVMT" sheetId="2" r:id="rId5"/>
    <sheet name="2ReduceCongestion" sheetId="3" r:id="rId6"/>
    <sheet name="3Multimodal" sheetId="6" r:id="rId7"/>
    <sheet name="4EconProsperity" sheetId="7" r:id="rId8"/>
    <sheet name="5Freight" sheetId="8" r:id="rId9"/>
    <sheet name="6Safety" sheetId="9" r:id="rId10"/>
    <sheet name="7SGR" sheetId="10" r:id="rId11"/>
    <sheet name="8SocioEconEquity" sheetId="11" r:id="rId12"/>
  </sheets>
  <definedNames>
    <definedName name="_xlnm._FilterDatabase" localSheetId="0" hidden="1">import!$A$1:$G$117</definedName>
    <definedName name="_xlnm._FilterDatabase" localSheetId="1" hidden="1">lookup_helper!$A$3:$I$119</definedName>
    <definedName name="_Hlk20929805" localSheetId="7">'4EconProsperity'!$A$86</definedName>
    <definedName name="_Hlk20929868" localSheetId="10">'7SGR'!$A$4</definedName>
    <definedName name="_xlnm.Print_Area" localSheetId="4">'1ReduceVMT'!$A$1:$H$43</definedName>
    <definedName name="_xlnm.Print_Area" localSheetId="6">'3Multimodal'!$A$1:$H$56</definedName>
    <definedName name="_xlnm.Print_Area" localSheetId="8">'5Freight'!$A$1:$H$41</definedName>
    <definedName name="_xlnm.Print_Area" localSheetId="11">'8SocioEconEquity'!$A$1:$H$88</definedName>
    <definedName name="_xlnm.Print_Titles" localSheetId="4">'1ReduceVMT'!$1:$2</definedName>
    <definedName name="_xlnm.Print_Titles" localSheetId="5">'2ReduceCongestion'!$1:$2</definedName>
    <definedName name="_xlnm.Print_Titles" localSheetId="6">'3Multimodal'!$1:$2</definedName>
    <definedName name="_xlnm.Print_Titles" localSheetId="7">'4EconProsperity'!$1:$2</definedName>
    <definedName name="_xlnm.Print_Titles" localSheetId="8">'5Freight'!$1:$2</definedName>
    <definedName name="_xlnm.Print_Titles" localSheetId="9">'6Safety'!$1:$2</definedName>
    <definedName name="_xlnm.Print_Titles" localSheetId="10">'7SGR'!$1:$2</definedName>
    <definedName name="_xlnm.Print_Titles" localSheetId="11">'8SocioEconEquity'!$1:$2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3" l="1"/>
  <c r="B23" i="3"/>
  <c r="A26" i="3"/>
  <c r="C22" i="3"/>
  <c r="B22" i="3"/>
  <c r="E113" i="5" l="1"/>
  <c r="F113" i="5"/>
  <c r="G113" i="5"/>
  <c r="H113" i="5"/>
  <c r="I113" i="5"/>
  <c r="D113" i="5" l="1"/>
  <c r="E32" i="4" s="1"/>
  <c r="Q18" i="5" l="1" a="1"/>
  <c r="Q18" i="5" s="1"/>
  <c r="A44" i="4"/>
  <c r="D118" i="5" l="1"/>
  <c r="E37" i="4" s="1"/>
  <c r="E118" i="5"/>
  <c r="F118" i="5"/>
  <c r="G118" i="5"/>
  <c r="H118" i="5"/>
  <c r="I118" i="5"/>
  <c r="Q19" i="5" l="1"/>
  <c r="D62" i="5"/>
  <c r="A16" i="6" s="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67" i="7" s="1"/>
  <c r="E55" i="5"/>
  <c r="F55" i="5"/>
  <c r="G55" i="5"/>
  <c r="H55" i="5"/>
  <c r="I55" i="5"/>
  <c r="D56" i="5"/>
  <c r="A6" i="8" s="1"/>
  <c r="E56" i="5"/>
  <c r="F56" i="5"/>
  <c r="G56" i="5"/>
  <c r="H56" i="5"/>
  <c r="I56" i="5"/>
  <c r="E57" i="5"/>
  <c r="F57" i="5"/>
  <c r="G57" i="5"/>
  <c r="H57" i="5"/>
  <c r="I57" i="5"/>
  <c r="D58" i="5"/>
  <c r="E58" i="5"/>
  <c r="F58" i="5"/>
  <c r="G58" i="5"/>
  <c r="H58" i="5"/>
  <c r="I58" i="5"/>
  <c r="D59" i="5"/>
  <c r="A29" i="8" s="1"/>
  <c r="E59" i="5"/>
  <c r="F59" i="5"/>
  <c r="B29" i="8" s="1"/>
  <c r="G59" i="5"/>
  <c r="C29" i="8" s="1"/>
  <c r="H59" i="5"/>
  <c r="I59" i="5"/>
  <c r="D60" i="5"/>
  <c r="A9" i="6" s="1"/>
  <c r="E60" i="5"/>
  <c r="F60" i="5"/>
  <c r="B9" i="6" s="1"/>
  <c r="G60" i="5"/>
  <c r="C9" i="6" s="1"/>
  <c r="H60" i="5"/>
  <c r="I60" i="5"/>
  <c r="D61" i="5"/>
  <c r="A52" i="6" s="1"/>
  <c r="E61" i="5"/>
  <c r="F61" i="5"/>
  <c r="B52" i="6" s="1"/>
  <c r="G61" i="5"/>
  <c r="C52" i="6" s="1"/>
  <c r="H61" i="5"/>
  <c r="I61" i="5"/>
  <c r="E62" i="5"/>
  <c r="F62" i="5"/>
  <c r="B16" i="6" s="1"/>
  <c r="G62" i="5"/>
  <c r="C16" i="6" s="1"/>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A8" i="9" s="1"/>
  <c r="E86" i="5"/>
  <c r="F86" i="5"/>
  <c r="G86" i="5"/>
  <c r="H86" i="5"/>
  <c r="I86" i="5"/>
  <c r="D87" i="5"/>
  <c r="A36" i="9" s="1"/>
  <c r="E87" i="5"/>
  <c r="F87" i="5"/>
  <c r="B36" i="9" s="1"/>
  <c r="G87" i="5"/>
  <c r="C36" i="9" s="1"/>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B11" i="11" s="1"/>
  <c r="G95" i="5"/>
  <c r="C11" i="11" s="1"/>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H2" i="8"/>
  <c r="H2" i="7"/>
  <c r="H2" i="9"/>
  <c r="H2" i="6"/>
  <c r="H2" i="10"/>
  <c r="H2" i="3"/>
  <c r="H2" i="11"/>
  <c r="H2" i="2"/>
  <c r="E34" i="4"/>
  <c r="A10" i="10"/>
  <c r="E35" i="4"/>
  <c r="A7" i="10"/>
  <c r="A6" i="11"/>
  <c r="A11" i="11"/>
  <c r="E31" i="4"/>
  <c r="H1" i="11"/>
  <c r="H1" i="2"/>
  <c r="H1" i="8"/>
  <c r="H1" i="7"/>
  <c r="H1" i="9"/>
  <c r="H1" i="6"/>
  <c r="H1" i="10"/>
  <c r="H1" i="3"/>
  <c r="A32" i="7"/>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<sst xmlns="http://schemas.openxmlformats.org/spreadsheetml/2006/main" count="637" uniqueCount="307">
  <si>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</si>
  <si>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</si>
  <si>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</si>
  <si>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</si>
  <si>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</si>
  <si>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</si>
  <si>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</si>
  <si>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</si>
  <si>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</si>
  <si>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</si>
  <si>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</si>
  <si>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</si>
  <si>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</si>
  <si>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</si>
  <si>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</si>
  <si>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</si>
  <si>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</si>
  <si>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</si>
  <si>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</si>
  <si>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</si>
  <si>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</si>
  <si>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</si>
  <si>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</si>
  <si>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</si>
  <si>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</si>
  <si>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</si>
  <si>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</si>
  <si>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</si>
  <si>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</si>
  <si>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</si>
  <si>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</si>
  <si>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</si>
  <si>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</si>
  <si>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</si>
  <si>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</si>
  <si>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</si>
  <si>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</si>
  <si>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</si>
  <si>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</si>
  <si>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</si>
  <si>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</si>
  <si>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</si>
  <si>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</si>
  <si>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</si>
  <si>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</si>
  <si>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</si>
  <si>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</si>
  <si>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</si>
  <si>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</si>
  <si>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</si>
  <si>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</si>
  <si>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</si>
  <si>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</si>
  <si>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</si>
  <si>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</si>
  <si>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</si>
  <si>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</si>
  <si>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</si>
  <si>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</si>
  <si>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</si>
  <si>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</si>
  <si>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</si>
  <si>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</si>
  <si>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</si>
  <si>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</si>
  <si>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</si>
  <si>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</si>
  <si>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</si>
  <si>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</si>
  <si>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</si>
  <si>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</si>
  <si>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</si>
  <si>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</si>
  <si>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</si>
  <si>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</si>
  <si>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</si>
  <si>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</si>
  <si>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</si>
  <si>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</si>
  <si>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</si>
  <si>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</si>
  <si>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</si>
  <si>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</si>
  <si>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</si>
  <si>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</si>
  <si>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</si>
  <si>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</si>
  <si>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</si>
  <si>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</si>
  <si>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</si>
  <si>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</si>
  <si>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</si>
  <si>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</si>
  <si>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</si>
  <si>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</si>
  <si>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</si>
  <si>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</si>
  <si>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</si>
  <si>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</si>
  <si>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</si>
  <si>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</si>
  <si>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</si>
  <si>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</si>
  <si>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</si>
  <si>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</si>
  <si>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</si>
  <si>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</si>
  <si>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</si>
  <si>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</si>
  <si>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</si>
  <si>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</si>
  <si>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</si>
  <si>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</si>
  <si>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</si>
  <si>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</si>
  <si>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</si>
  <si>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</si>
  <si>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</si>
  <si>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</si>
  <si>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</si>
  <si>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</si>
  <si>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</si>
  <si>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</si>
  <si>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</si>
  <si>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</si>
  <si>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</si>
  <si>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</si>
  <si>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</si>
  <si>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</si>
  <si>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</si>
  <si>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</si>
  <si>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</si>
  <si>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</si>
  <si>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</si>
  <si>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</si>
  <si>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</si>
  <si>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</si>
  <si>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</si>
  <si>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</si>
  <si>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</si>
  <si>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</si>
  <si>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</si>
  <si>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</si>
  <si>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</si>
  <si>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</si>
  <si>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</si>
  <si>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</si>
  <si>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</si>
  <si>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</si>
  <si>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</si>
  <si>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</si>
  <si>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</si>
  <si>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</si>
  <si>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</si>
  <si>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</si>
  <si>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</si>
  <si>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</si>
  <si>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</si>
  <si>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</si>
  <si>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</si>
  <si>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</si>
  <si>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</si>
  <si>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</si>
  <si>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</si>
  <si>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</si>
  <si>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</si>
  <si>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</si>
  <si>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</si>
  <si>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</si>
  <si>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</si>
  <si>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</si>
  <si>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</si>
  <si>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</si>
  <si>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</si>
  <si>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</si>
  <si>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</si>
  <si>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</si>
  <si>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</si>
  <si>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</si>
  <si>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</si>
  <si>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</si>
  <si>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</si>
  <si>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</si>
  <si>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</si>
  <si>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</si>
  <si>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</si>
  <si>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</si>
  <si>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</si>
  <si>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</si>
  <si>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</si>
  <si>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</si>
  <si>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</si>
  <si>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</si>
  <si>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</si>
  <si>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</si>
  <si>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</si>
  <si>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</si>
  <si>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</si>
  <si>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</si>
  <si>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</si>
  <si>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</si>
  <si>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</si>
  <si>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</si>
  <si>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</si>
  <si>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</si>
  <si>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</si>
  <si>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</si>
  <si>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</si>
  <si>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</si>
  <si>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</si>
  <si>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</si>
  <si>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</si>
  <si>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</si>
  <si>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</si>
  <si>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</si>
  <si>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</si>
  <si>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</si>
  <si>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</si>
  <si>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</si>
  <si>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</si>
  <si>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</si>
  <si>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</si>
  <si>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</si>
  <si>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</si>
  <si>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</si>
  <si>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</si>
  <si>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</si>
  <si>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</si>
  <si>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</si>
  <si>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</si>
  <si>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</si>
  <si>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</si>
  <si>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</si>
  <si>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</si>
  <si>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</si>
  <si>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</si>
  <si>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</si>
  <si>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</si>
  <si>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</si>
  <si>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Economic Prosperity Indicator 3: Access to services*:</t>
  </si>
  <si>
    <t>*”Services” include parks, K-12 schools, higher education facilities, libraries, hospitals, other medical service facilities, grocery stores, pharmacies, clothing stores, and banks.</t>
  </si>
  <si>
    <t>Economic Prosperity Indicator 4: K-12 Enrollment within 0.5mi of project location:</t>
  </si>
  <si>
    <t>Economic Prosperity Indicator 5: Education Facility (K12 schools and higher education) Access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</si>
  <si>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</si>
  <si>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</si>
  <si>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</si>
  <si>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</si>
  <si>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</si>
  <si>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</si>
  <si>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</si>
  <si>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</si>
  <si>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</si>
  <si>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</si>
  <si>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</si>
  <si>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2: Collisions per million 100 MVMT*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</si>
  <si>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</si>
  <si>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</si>
  <si>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</si>
  <si>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</si>
  <si>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</si>
  <si>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</si>
  <si>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</si>
  <si>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</si>
  <si>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</si>
  <si>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</si>
  <si>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</si>
  <si>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</si>
  <si>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</si>
  <si>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</si>
  <si>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</si>
  <si>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</si>
  <si>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</si>
  <si>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</si>
  <si>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</si>
  <si>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</si>
  <si>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</si>
  <si>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On project segment</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</si>
  <si>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</si>
  <si>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</si>
  <si>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</si>
  <si>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</si>
  <si>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</si>
  <si>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</si>
  <si>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r>
      <t>*Free-flow speed refers to the 85</t>
    </r>
    <r>
      <rPr>
        <vertAlign val="superscript"/>
        <sz val="10"/>
        <color theme="1"/>
        <rFont val="Calibri"/>
        <family val="2"/>
        <scheme val="minor"/>
      </rPr>
      <t>th</t>
    </r>
    <r>
      <rPr>
        <sz val="10"/>
        <color theme="1"/>
        <rFont val="Calibri"/>
        <family val="2"/>
        <scheme val="minor"/>
      </rPr>
      <t xml:space="preserve"> percentile speed between the hours of 8pm-6am. It is supposed to represent the speed when there is no traffic congestion.
Congested speed is the average speed during the slowest four hours of a typical weekday and for most project segments is during the AM and PM peak periods.</t>
    </r>
  </si>
  <si>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</si>
  <si>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</si>
  <si>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PDF report generated:</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</si>
  <si>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</si>
  <si>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</si>
  <si>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</si>
  <si>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</si>
  <si>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</si>
  <si>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</si>
  <si>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</si>
  <si>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</si>
  <si>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</si>
  <si>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</si>
  <si>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</si>
  <si>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</si>
  <si>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</si>
  <si>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Economic Prosperity Indicator 6: Change in Ag acreage share within 0.5mi of project location</t>
  </si>
  <si>
    <t>Freight Performance Indicator 3: Change in share of industrial jobs within 0.5mi of project location</t>
  </si>
  <si>
    <t>Using This Report</t>
  </si>
  <si>
    <t>What this report does NOT do</t>
  </si>
  <si>
    <t>What this report does</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</si>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</sst>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vertAlign val="superscript"/>
      <sz val="10"/>
      <color theme="1"/>
      <name val="Calibri"/>
      <family val="2"/>
      <scheme val="minor"/>
    </font>
    <font>
      <i/>
      <sz val="11"/>
      <color indexed="8"/>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0">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9" fillId="0" borderId="0" xfId="0" applyFont="1"/>
    <xf numFmtId="0" fontId="21" fillId="0" borderId="0" xfId="0" applyFont="1" applyBorder="1" applyAlignment="1">
      <alignment vertical="center"/>
    </xf>
    <xf numFmtId="0" fontId="29"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xf numFmtId="0" fontId="30" fillId="0" borderId="0" xfId="0" applyFont="1" applyAlignment="1">
      <alignment vertical="center" wrapText="1"/>
    </xf>
    <xf numFmtId="0" fontId="31" fillId="0" borderId="0" xfId="0" applyFont="1" applyAlignment="1">
      <alignment vertical="center"/>
    </xf>
    <xf numFmtId="0" fontId="0" fillId="0" borderId="0" xfId="0" applyAlignment="1">
      <alignment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13-C6EE-4C16-B6BC-53FADD444E3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14-C6EE-4C16-B6BC-53FADD444E3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15-C6EE-4C16-B6BC-53FADD444E3F}"/>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4136-4FB2-B332-E360D914229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4136-4FB2-B332-E360D914229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4136-4FB2-B332-E360D914229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5FE6-4D93-BAA4-2F8C28BC2782}"/>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Entry-Level Job 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lookup_helper!$B$100:$B$103</c:f>
              <c:strCache>
                <c:ptCount val="4"/>
                <c:pt idx="0">
                  <c:v>30-min walk</c:v>
                </c:pt>
                <c:pt idx="1">
                  <c:v>30-min biking</c:v>
                </c:pt>
                <c:pt idx="2">
                  <c:v>30-min drive</c:v>
                </c:pt>
                <c:pt idx="3">
                  <c:v>45-min transit</c:v>
                </c:pt>
              </c:strCache>
            </c:strRef>
          </c:cat>
          <c:val>
            <c:numRef>
              <c:f>lookup_helper!$D$100:$D$103</c:f>
              <c:numCache>
                <c:formatCode>#,##0</c:formatCode>
                <c:ptCount val="4"/>
                <c:pt idx="0">
                  <c:v>272.66024096385541</c:v>
                </c:pt>
                <c:pt idx="1">
                  <c:v>795.25333333333333</c:v>
                </c:pt>
                <c:pt idx="2">
                  <c:v>12386.82514056225</c:v>
                </c:pt>
                <c:pt idx="3">
                  <c:v>1514.9185542168671</c:v>
                </c:pt>
              </c:numCache>
            </c:numRef>
          </c:val>
          <c:extLst>
            <c:ext xmlns:c16="http://schemas.microsoft.com/office/drawing/2014/chart" uri="{C3380CC4-5D6E-409C-BE32-E72D297353CC}">
              <c16:uniqueId val="{00000000-E5E3-46E9-A4BB-CF4983A9EDA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65</xdr:row>
      <xdr:rowOff>47624</xdr:rowOff>
    </xdr:from>
    <xdr:to>
      <xdr:col>7</xdr:col>
      <xdr:colOff>161924</xdr:colOff>
      <xdr:row>81</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xdr:colOff>
      <xdr:row>45</xdr:row>
      <xdr:rowOff>142875</xdr:rowOff>
    </xdr:from>
    <xdr:to>
      <xdr:col>7</xdr:col>
      <xdr:colOff>652463</xdr:colOff>
      <xdr:row>60</xdr:row>
      <xdr:rowOff>57150</xdr:rowOff>
    </xdr:to>
    <xdr:graphicFrame macro="">
      <xdr:nvGraphicFramePr>
        <xdr:cNvPr id="3" name="Chart 2">
          <a:extLst>
            <a:ext uri="{FF2B5EF4-FFF2-40B4-BE49-F238E27FC236}">
              <a16:creationId xmlns:a16="http://schemas.microsoft.com/office/drawing/2014/main" id="{A8191F7D-D208-4E3E-A62D-9353B734C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104776</xdr:colOff>
      <xdr:row>69</xdr:row>
      <xdr:rowOff>66675</xdr:rowOff>
    </xdr:from>
    <xdr:to>
      <xdr:col>7</xdr:col>
      <xdr:colOff>1047751</xdr:colOff>
      <xdr:row>82</xdr:row>
      <xdr:rowOff>171450</xdr:rowOff>
    </xdr:to>
    <xdr:graphicFrame macro="">
      <xdr:nvGraphicFramePr>
        <xdr:cNvPr id="4" name="Chart 3">
          <a:extLst>
            <a:ext uri="{FF2B5EF4-FFF2-40B4-BE49-F238E27FC236}">
              <a16:creationId xmlns:a16="http://schemas.microsoft.com/office/drawing/2014/main" id="{06621BC6-AB07-4C13-AD66-3D890573E9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90487</xdr:colOff>
      <xdr:row>88</xdr:row>
      <xdr:rowOff>66675</xdr:rowOff>
    </xdr:from>
    <xdr:to>
      <xdr:col>7</xdr:col>
      <xdr:colOff>61912</xdr:colOff>
      <xdr:row>100</xdr:row>
      <xdr:rowOff>85725</xdr:rowOff>
    </xdr:to>
    <xdr:graphicFrame macro="">
      <xdr:nvGraphicFramePr>
        <xdr:cNvPr id="5" name="Chart 4">
          <a:extLst>
            <a:ext uri="{FF2B5EF4-FFF2-40B4-BE49-F238E27FC236}">
              <a16:creationId xmlns:a16="http://schemas.microsoft.com/office/drawing/2014/main" id="{4000EC27-DEA6-4571-95D8-5B4D47A5C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338137</xdr:colOff>
      <xdr:row>31</xdr:row>
      <xdr:rowOff>28576</xdr:rowOff>
    </xdr:from>
    <xdr:to>
      <xdr:col>6</xdr:col>
      <xdr:colOff>147637</xdr:colOff>
      <xdr:row>40</xdr:row>
      <xdr:rowOff>79376</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57151</xdr:colOff>
      <xdr:row>45</xdr:row>
      <xdr:rowOff>85726</xdr:rowOff>
    </xdr:from>
    <xdr:to>
      <xdr:col>5</xdr:col>
      <xdr:colOff>47626</xdr:colOff>
      <xdr:row>57</xdr:row>
      <xdr:rowOff>161926</xdr:rowOff>
    </xdr:to>
    <xdr:graphicFrame macro="">
      <xdr:nvGraphicFramePr>
        <xdr:cNvPr id="3" name="Chart 2">
          <a:extLst>
            <a:ext uri="{FF2B5EF4-FFF2-40B4-BE49-F238E27FC236}">
              <a16:creationId xmlns:a16="http://schemas.microsoft.com/office/drawing/2014/main" id="{486BF543-A7FF-4787-BAD3-3676364CE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76201</xdr:colOff>
      <xdr:row>59</xdr:row>
      <xdr:rowOff>9525</xdr:rowOff>
    </xdr:from>
    <xdr:to>
      <xdr:col>5</xdr:col>
      <xdr:colOff>9526</xdr:colOff>
      <xdr:row>70</xdr:row>
      <xdr:rowOff>180975</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47626</xdr:colOff>
      <xdr:row>72</xdr:row>
      <xdr:rowOff>9526</xdr:rowOff>
    </xdr:from>
    <xdr:to>
      <xdr:col>5</xdr:col>
      <xdr:colOff>19051</xdr:colOff>
      <xdr:row>83</xdr:row>
      <xdr:rowOff>95250</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222</v>
      </c>
      <c r="E1" t="s">
        <v>117</v>
      </c>
      <c r="F1" t="s">
        <v>223</v>
      </c>
      <c r="G1" t="s">
        <v>118</v>
      </c>
    </row>
    <row r="2" spans="1:7" x14ac:dyDescent="0.25">
      <c r="A2" t="s">
        <v>1</v>
      </c>
      <c r="B2" t="s">
        <v>120</v>
      </c>
    </row>
    <row r="3" spans="1:7" x14ac:dyDescent="0.25">
      <c r="A3" t="s">
        <v>292</v>
      </c>
      <c r="B3" t="s">
        <v>290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256</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5">
        <v>1.3624389724527719</v>
      </c>
    </row>
    <row r="69" spans="1:5" x14ac:dyDescent="0.25">
      <c r="A69" s="2" t="s">
        <v>66</v>
      </c>
      <c r="B69" s="85">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2" activePane="bottomLeft" state="frozen"/>
      <selection activeCell="B1" sqref="B1"/>
      <selection pane="bottomLeft" activeCell="B115" sqref="B11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222</v>
      </c>
      <c r="G1" t="s">
        <v>117</v>
      </c>
      <c r="H1" t="s">
        <v>223</v>
      </c>
      <c r="I1" t="s">
        <v>118</v>
      </c>
    </row>
    <row r="2" spans="1:18" x14ac:dyDescent="0.25">
      <c r="D2" t="s">
        <v>218</v>
      </c>
      <c r="E2" t="s">
        <v>218</v>
      </c>
      <c r="F2" t="s">
        <v>219</v>
      </c>
      <c r="G2" t="s">
        <v>220</v>
      </c>
      <c r="H2" t="s">
        <v>219</v>
      </c>
      <c r="I2" t="s">
        <v>220</v>
      </c>
    </row>
    <row r="3" spans="1:18" x14ac:dyDescent="0.25">
      <c r="A3" t="s">
        <v>127</v>
      </c>
      <c r="B3" s="28" t="s">
        <v>128</v>
      </c>
      <c r="C3" t="s">
        <v>147</v>
      </c>
      <c r="D3">
        <v>2016</v>
      </c>
      <c r="E3">
        <v>2040</v>
      </c>
      <c r="F3" t="s">
        <v>200</v>
      </c>
      <c r="G3" t="s">
        <v>202</v>
      </c>
      <c r="H3" t="s">
        <v>201</v>
      </c>
      <c r="I3" t="s">
        <v>203</v>
      </c>
      <c r="J3" t="s">
        <v>175</v>
      </c>
    </row>
    <row r="4" spans="1:18" x14ac:dyDescent="0.25">
      <c r="A4" t="s">
        <v>31</v>
      </c>
      <c r="B4" s="28" t="s">
        <v>160</v>
      </c>
      <c r="C4" t="s">
        <v>210</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161</v>
      </c>
      <c r="C5" t="s">
        <v>210</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168</v>
      </c>
      <c r="Q5" s="15"/>
      <c r="R5" s="16"/>
    </row>
    <row r="6" spans="1:18" x14ac:dyDescent="0.25">
      <c r="A6" s="2" t="s">
        <v>64</v>
      </c>
      <c r="B6" s="2" t="s">
        <v>64</v>
      </c>
      <c r="C6" t="s">
        <v>213</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189</v>
      </c>
      <c r="C7" t="s">
        <v>213</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169</v>
      </c>
      <c r="Q7" s="18" t="str">
        <f>IF(SUMIFS($D$19:$D$42,$J$19:$J$42,"NB")&gt;0,"NB","EB")</f>
        <v>EB</v>
      </c>
      <c r="R7" s="19" t="str">
        <f>IF(SUMIFS($D$19:$D$42,$J$19:$J$42,"SB")&gt;0,"SB","WB")</f>
        <v>WB</v>
      </c>
    </row>
    <row r="8" spans="1:18" x14ac:dyDescent="0.25">
      <c r="A8" t="s">
        <v>100</v>
      </c>
      <c r="B8" s="28" t="s">
        <v>190</v>
      </c>
      <c r="C8" t="s">
        <v>213</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163</v>
      </c>
      <c r="Q8" s="21">
        <f t="array" ref="Q8">SUMPRODUCT(--($J$19:$J$42=Q$7),--($B$19:$B$42=$P8),$D$19:$D$42)</f>
        <v>63.359266107107317</v>
      </c>
      <c r="R8" s="22">
        <f t="array" ref="R8">SUMPRODUCT(--($J$19:$J$42=R$7),--($B$19:$B$42=$P8),$D$19:$D$42)</f>
        <v>66.431990942696686</v>
      </c>
    </row>
    <row r="9" spans="1:18" x14ac:dyDescent="0.25">
      <c r="A9" t="s">
        <v>101</v>
      </c>
      <c r="B9" s="28" t="s">
        <v>191</v>
      </c>
      <c r="C9" t="s">
        <v>213</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164</v>
      </c>
      <c r="Q9" s="21">
        <f t="array" ref="Q9">SUMPRODUCT(--($J$19:$J$42=Q$7),--($B$19:$B$42=$P9),$D$19:$D$42)</f>
        <v>39.857150159123393</v>
      </c>
      <c r="R9" s="22">
        <f t="array" ref="R9">SUMPRODUCT(--($J$19:$J$42=R$7),--($B$19:$B$42=$P9),$D$19:$D$42)</f>
        <v>54.409268026535017</v>
      </c>
    </row>
    <row r="10" spans="1:18" x14ac:dyDescent="0.25">
      <c r="A10" t="s">
        <v>102</v>
      </c>
      <c r="B10" s="28" t="s">
        <v>192</v>
      </c>
      <c r="C10" t="s">
        <v>213</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193</v>
      </c>
      <c r="C11" t="s">
        <v>213</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213</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213</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170</v>
      </c>
      <c r="Q13" s="18" t="str">
        <f>IF(SUMIFS($D$19:$D$42,$J$19:$J$42,"NB")&gt;0,"NB","EB")</f>
        <v>EB</v>
      </c>
      <c r="R13" s="19" t="str">
        <f>IF(SUMIFS($D$19:$D$42,$J$19:$J$42,"SB")&gt;0,"SB","WB")</f>
        <v>WB</v>
      </c>
    </row>
    <row r="14" spans="1:18" x14ac:dyDescent="0.25">
      <c r="A14" t="s">
        <v>111</v>
      </c>
      <c r="B14" s="28" t="str">
        <f t="shared" si="0"/>
        <v>Medium Density</v>
      </c>
      <c r="C14" t="s">
        <v>213</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165</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213</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221</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213</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166</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213</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167</v>
      </c>
      <c r="Q17" s="26">
        <f t="array" ref="Q17">SUMPRODUCT(--($J$19:$J$42=Q$7),--($B$19:$B$42=$P17),$D$19:$D$42)</f>
        <v>1.2010105753672351</v>
      </c>
      <c r="R17" s="27">
        <f t="array" ref="R17">SUMPRODUCT(--($J$19:$J$42=R$7),--($B$19:$B$42=$P17),$D$19:$D$42)</f>
        <v>1.0947187607200981</v>
      </c>
    </row>
    <row r="18" spans="1:18" ht="30" x14ac:dyDescent="0.25">
      <c r="A18" t="s">
        <v>114</v>
      </c>
      <c r="B18" s="28" t="s">
        <v>199</v>
      </c>
      <c r="C18" t="s">
        <v>213</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5" t="s">
        <v>282</v>
      </c>
      <c r="Q18" s="63">
        <f t="array" ref="Q18">MAX(IF(ISNUMBER(SEARCH("calc_len",import!$A:$A)),import!$B:$B))</f>
        <v>7460.2525126827086</v>
      </c>
      <c r="R18" s="64"/>
    </row>
    <row r="19" spans="1:18" x14ac:dyDescent="0.25">
      <c r="A19" t="s">
        <v>35</v>
      </c>
      <c r="B19" s="28" t="s">
        <v>163</v>
      </c>
      <c r="C19" t="s">
        <v>212</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171</v>
      </c>
      <c r="P19" s="62" t="s">
        <v>281</v>
      </c>
      <c r="Q19" s="66">
        <f>(Q18/5280)/D118</f>
        <v>1.0020756115251865</v>
      </c>
    </row>
    <row r="20" spans="1:18" x14ac:dyDescent="0.25">
      <c r="A20" t="s">
        <v>36</v>
      </c>
      <c r="B20" s="28" t="s">
        <v>164</v>
      </c>
      <c r="C20" t="s">
        <v>212</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171</v>
      </c>
    </row>
    <row r="21" spans="1:18" x14ac:dyDescent="0.25">
      <c r="A21" t="s">
        <v>37</v>
      </c>
      <c r="B21" s="28" t="s">
        <v>165</v>
      </c>
      <c r="C21" t="s">
        <v>212</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171</v>
      </c>
    </row>
    <row r="22" spans="1:18" x14ac:dyDescent="0.25">
      <c r="A22" t="s">
        <v>38</v>
      </c>
      <c r="B22" s="28" t="s">
        <v>221</v>
      </c>
      <c r="C22" t="s">
        <v>212</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171</v>
      </c>
    </row>
    <row r="23" spans="1:18" x14ac:dyDescent="0.25">
      <c r="A23" t="s">
        <v>39</v>
      </c>
      <c r="B23" s="28" t="s">
        <v>166</v>
      </c>
      <c r="C23" t="s">
        <v>212</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171</v>
      </c>
    </row>
    <row r="24" spans="1:18" x14ac:dyDescent="0.25">
      <c r="A24" t="s">
        <v>40</v>
      </c>
      <c r="B24" s="28" t="s">
        <v>167</v>
      </c>
      <c r="C24" t="s">
        <v>212</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171</v>
      </c>
    </row>
    <row r="25" spans="1:18" x14ac:dyDescent="0.25">
      <c r="A25" t="s">
        <v>42</v>
      </c>
      <c r="B25" s="28" t="s">
        <v>163</v>
      </c>
      <c r="C25" t="s">
        <v>212</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172</v>
      </c>
    </row>
    <row r="26" spans="1:18" x14ac:dyDescent="0.25">
      <c r="A26" t="s">
        <v>43</v>
      </c>
      <c r="B26" s="28" t="s">
        <v>164</v>
      </c>
      <c r="C26" t="s">
        <v>212</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172</v>
      </c>
    </row>
    <row r="27" spans="1:18" x14ac:dyDescent="0.25">
      <c r="A27" t="s">
        <v>44</v>
      </c>
      <c r="B27" s="28" t="s">
        <v>165</v>
      </c>
      <c r="C27" t="s">
        <v>212</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172</v>
      </c>
    </row>
    <row r="28" spans="1:18" x14ac:dyDescent="0.25">
      <c r="A28" t="s">
        <v>45</v>
      </c>
      <c r="B28" s="28" t="s">
        <v>221</v>
      </c>
      <c r="C28" t="s">
        <v>212</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172</v>
      </c>
    </row>
    <row r="29" spans="1:18" x14ac:dyDescent="0.25">
      <c r="A29" t="s">
        <v>46</v>
      </c>
      <c r="B29" s="28" t="s">
        <v>166</v>
      </c>
      <c r="C29" t="s">
        <v>212</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172</v>
      </c>
    </row>
    <row r="30" spans="1:18" x14ac:dyDescent="0.25">
      <c r="A30" t="s">
        <v>47</v>
      </c>
      <c r="B30" s="28" t="s">
        <v>167</v>
      </c>
      <c r="C30" t="s">
        <v>212</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172</v>
      </c>
    </row>
    <row r="31" spans="1:18" x14ac:dyDescent="0.25">
      <c r="A31" t="s">
        <v>49</v>
      </c>
      <c r="B31" s="28" t="s">
        <v>163</v>
      </c>
      <c r="C31" t="s">
        <v>212</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173</v>
      </c>
    </row>
    <row r="32" spans="1:18" x14ac:dyDescent="0.25">
      <c r="A32" t="s">
        <v>50</v>
      </c>
      <c r="B32" s="28" t="s">
        <v>164</v>
      </c>
      <c r="C32" t="s">
        <v>212</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173</v>
      </c>
    </row>
    <row r="33" spans="1:10" x14ac:dyDescent="0.25">
      <c r="A33" t="s">
        <v>51</v>
      </c>
      <c r="B33" s="28" t="s">
        <v>165</v>
      </c>
      <c r="C33" t="s">
        <v>212</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173</v>
      </c>
    </row>
    <row r="34" spans="1:10" x14ac:dyDescent="0.25">
      <c r="A34" t="s">
        <v>52</v>
      </c>
      <c r="B34" s="28" t="s">
        <v>221</v>
      </c>
      <c r="C34" t="s">
        <v>212</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173</v>
      </c>
    </row>
    <row r="35" spans="1:10" x14ac:dyDescent="0.25">
      <c r="A35" t="s">
        <v>53</v>
      </c>
      <c r="B35" s="28" t="s">
        <v>166</v>
      </c>
      <c r="C35" t="s">
        <v>212</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173</v>
      </c>
    </row>
    <row r="36" spans="1:10" x14ac:dyDescent="0.25">
      <c r="A36" t="s">
        <v>54</v>
      </c>
      <c r="B36" s="28" t="s">
        <v>167</v>
      </c>
      <c r="C36" t="s">
        <v>212</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173</v>
      </c>
    </row>
    <row r="37" spans="1:10" x14ac:dyDescent="0.25">
      <c r="A37" t="s">
        <v>56</v>
      </c>
      <c r="B37" s="28" t="s">
        <v>163</v>
      </c>
      <c r="C37" t="s">
        <v>212</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174</v>
      </c>
    </row>
    <row r="38" spans="1:10" x14ac:dyDescent="0.25">
      <c r="A38" t="s">
        <v>57</v>
      </c>
      <c r="B38" s="28" t="s">
        <v>164</v>
      </c>
      <c r="C38" t="s">
        <v>212</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174</v>
      </c>
    </row>
    <row r="39" spans="1:10" x14ac:dyDescent="0.25">
      <c r="A39" t="s">
        <v>58</v>
      </c>
      <c r="B39" s="28" t="s">
        <v>165</v>
      </c>
      <c r="C39" t="s">
        <v>212</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174</v>
      </c>
    </row>
    <row r="40" spans="1:10" x14ac:dyDescent="0.25">
      <c r="A40" t="s">
        <v>59</v>
      </c>
      <c r="B40" s="28" t="s">
        <v>221</v>
      </c>
      <c r="C40" t="s">
        <v>212</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174</v>
      </c>
    </row>
    <row r="41" spans="1:10" x14ac:dyDescent="0.25">
      <c r="A41" t="s">
        <v>60</v>
      </c>
      <c r="B41" s="28" t="s">
        <v>166</v>
      </c>
      <c r="C41" t="s">
        <v>212</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174</v>
      </c>
    </row>
    <row r="42" spans="1:10" x14ac:dyDescent="0.25">
      <c r="A42" t="s">
        <v>61</v>
      </c>
      <c r="B42" s="28" t="s">
        <v>167</v>
      </c>
      <c r="C42" t="s">
        <v>212</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174</v>
      </c>
    </row>
    <row r="43" spans="1:10" x14ac:dyDescent="0.25">
      <c r="A43" s="3" t="s">
        <v>7</v>
      </c>
      <c r="B43" s="28" t="s">
        <v>135</v>
      </c>
      <c r="C43" t="s">
        <v>205</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205</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205</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205</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205</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205</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205</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205</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205</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205</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205</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205</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187</v>
      </c>
      <c r="C55" t="s">
        <v>205</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157</v>
      </c>
      <c r="C56" t="s">
        <v>208</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158</v>
      </c>
      <c r="C57" t="s">
        <v>208</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185</v>
      </c>
      <c r="C58" t="s">
        <v>208</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194</v>
      </c>
      <c r="C59" t="s">
        <v>208</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238</v>
      </c>
      <c r="C60" t="s">
        <v>211</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176</v>
      </c>
      <c r="C61" t="s">
        <v>211</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237</v>
      </c>
      <c r="C62" t="s">
        <v>211</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196</v>
      </c>
      <c r="C63" t="s">
        <v>217</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197</v>
      </c>
      <c r="C64" t="s">
        <v>217</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81" customFormat="1" ht="30" x14ac:dyDescent="0.25">
      <c r="A65" s="81" t="s">
        <v>30</v>
      </c>
      <c r="B65" s="82" t="s">
        <v>159</v>
      </c>
      <c r="C65" s="81" t="s">
        <v>209</v>
      </c>
      <c r="D65" s="83">
        <f>VLOOKUP($A65,import!$A:$G,MATCH(lookup_helper!D$1,import!$A$1:$G$1,0),FALSE)</f>
        <v>1175.845221386116</v>
      </c>
      <c r="E65" s="83">
        <f>VLOOKUP($A65,import!$A:$G,MATCH(lookup_helper!E$1,import!$A$1:$G$1,0),FALSE)</f>
        <v>0</v>
      </c>
      <c r="F65" s="83">
        <f>VLOOKUP($A65,import!$A:$G,MATCH(lookup_helper!F$1,import!$A$1:$G$1,0),FALSE)</f>
        <v>0</v>
      </c>
      <c r="G65" s="83">
        <f>VLOOKUP($A65,import!$A:$G,MATCH(lookup_helper!G$1,import!$A$1:$G$1,0),FALSE)</f>
        <v>0</v>
      </c>
      <c r="H65" s="81">
        <f>VLOOKUP($A65,import!$A:$G,MATCH(lookup_helper!H$1,import!$A$1:$G$1,0),FALSE)</f>
        <v>0</v>
      </c>
      <c r="I65" s="81">
        <f>VLOOKUP($A65,import!$A:$G,MATCH(lookup_helper!I$1,import!$A$1:$G$1,0),FALSE)</f>
        <v>0</v>
      </c>
    </row>
    <row r="66" spans="1:9" x14ac:dyDescent="0.25">
      <c r="A66" t="s">
        <v>34</v>
      </c>
      <c r="B66" s="28" t="s">
        <v>162</v>
      </c>
      <c r="C66" t="s">
        <v>209</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162</v>
      </c>
      <c r="C67" t="s">
        <v>209</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162</v>
      </c>
      <c r="C68" t="s">
        <v>209</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162</v>
      </c>
      <c r="C69" t="s">
        <v>209</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180</v>
      </c>
      <c r="C70" t="s">
        <v>209</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182</v>
      </c>
      <c r="C71" t="s">
        <v>209</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183</v>
      </c>
      <c r="C72" t="s">
        <v>209</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188</v>
      </c>
      <c r="C73" t="s">
        <v>209</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189</v>
      </c>
      <c r="C74" t="s">
        <v>209</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190</v>
      </c>
      <c r="C75" t="s">
        <v>209</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191</v>
      </c>
      <c r="C76" t="s">
        <v>209</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192</v>
      </c>
      <c r="C77" t="s">
        <v>209</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193</v>
      </c>
      <c r="C78" t="s">
        <v>209</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198</v>
      </c>
      <c r="C79" t="s">
        <v>214</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1" customFormat="1" x14ac:dyDescent="0.25">
      <c r="A80" s="81" t="s">
        <v>88</v>
      </c>
      <c r="B80" s="82" t="s">
        <v>186</v>
      </c>
      <c r="C80" s="81" t="s">
        <v>214</v>
      </c>
      <c r="D80" s="83">
        <f>VLOOKUP($A80,import!$A:$G,MATCH(lookup_helper!D$1,import!$A$1:$G$1,0),FALSE)</f>
        <v>1916</v>
      </c>
      <c r="E80" s="83">
        <f>VLOOKUP($A80,import!$A:$G,MATCH(lookup_helper!E$1,import!$A$1:$G$1,0),FALSE)</f>
        <v>2072.611115859987</v>
      </c>
      <c r="F80" s="81">
        <f>VLOOKUP($A80,import!$A:$G,MATCH(lookup_helper!F$1,import!$A$1:$G$1,0),FALSE)</f>
        <v>0</v>
      </c>
      <c r="G80" s="81">
        <f>VLOOKUP($A80,import!$A:$G,MATCH(lookup_helper!G$1,import!$A$1:$G$1,0),FALSE)</f>
        <v>0</v>
      </c>
      <c r="H80" s="81">
        <f>VLOOKUP($A80,import!$A:$G,MATCH(lookup_helper!H$1,import!$A$1:$G$1,0),FALSE)</f>
        <v>0</v>
      </c>
      <c r="I80" s="81">
        <f>VLOOKUP($A80,import!$A:$G,MATCH(lookup_helper!I$1,import!$A$1:$G$1,0),FALSE)</f>
        <v>0</v>
      </c>
    </row>
    <row r="81" spans="1:16" s="81" customFormat="1" x14ac:dyDescent="0.25">
      <c r="A81" s="81" t="s">
        <v>89</v>
      </c>
      <c r="B81" s="82" t="s">
        <v>184</v>
      </c>
      <c r="C81" s="81" t="s">
        <v>214</v>
      </c>
      <c r="D81" s="83">
        <f>VLOOKUP($A81,import!$A:$G,MATCH(lookup_helper!D$1,import!$A$1:$G$1,0),FALSE)</f>
        <v>1769</v>
      </c>
      <c r="E81" s="83">
        <f>VLOOKUP($A81,import!$A:$G,MATCH(lookup_helper!E$1,import!$A$1:$G$1,0),FALSE)</f>
        <v>2761.6599999999989</v>
      </c>
      <c r="F81" s="81">
        <f>VLOOKUP($A81,import!$A:$G,MATCH(lookup_helper!F$1,import!$A$1:$G$1,0),FALSE)</f>
        <v>0</v>
      </c>
      <c r="G81" s="81">
        <f>VLOOKUP($A81,import!$A:$G,MATCH(lookup_helper!G$1,import!$A$1:$G$1,0),FALSE)</f>
        <v>0</v>
      </c>
      <c r="H81" s="81">
        <f>VLOOKUP($A81,import!$A:$G,MATCH(lookup_helper!H$1,import!$A$1:$G$1,0),FALSE)</f>
        <v>0</v>
      </c>
      <c r="I81" s="81">
        <f>VLOOKUP($A81,import!$A:$G,MATCH(lookup_helper!I$1,import!$A$1:$G$1,0),FALSE)</f>
        <v>0</v>
      </c>
    </row>
    <row r="82" spans="1:16" x14ac:dyDescent="0.25">
      <c r="A82" t="s">
        <v>104</v>
      </c>
      <c r="B82" s="28" t="s">
        <v>195</v>
      </c>
      <c r="C82" t="s">
        <v>214</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1" customFormat="1" x14ac:dyDescent="0.25">
      <c r="A83" s="83" t="s">
        <v>65</v>
      </c>
      <c r="B83" s="82" t="s">
        <v>177</v>
      </c>
      <c r="C83" s="81" t="s">
        <v>215</v>
      </c>
      <c r="D83" s="84">
        <f>VLOOKUP($A83,import!$A:$G,MATCH(lookup_helper!D$1,import!$A$1:$G$1,0),FALSE)</f>
        <v>1.3624389724527719</v>
      </c>
      <c r="E83" s="84">
        <f>VLOOKUP($A83,import!$A:$G,MATCH(lookup_helper!E$1,import!$A$1:$G$1,0),FALSE)</f>
        <v>0</v>
      </c>
      <c r="F83" s="84">
        <f>VLOOKUP($A83,import!$A:$G,MATCH(lookup_helper!F$1,import!$A$1:$G$1,0),FALSE)</f>
        <v>0</v>
      </c>
      <c r="G83" s="84">
        <f>VLOOKUP($A83,import!$A:$G,MATCH(lookup_helper!G$1,import!$A$1:$G$1,0),FALSE)</f>
        <v>0</v>
      </c>
      <c r="H83" s="84">
        <f>VLOOKUP($A83,import!$A:$G,MATCH(lookup_helper!H$1,import!$A$1:$G$1,0),FALSE)</f>
        <v>0</v>
      </c>
      <c r="I83" s="84">
        <f>VLOOKUP($A83,import!$A:$G,MATCH(lookup_helper!I$1,import!$A$1:$G$1,0),FALSE)</f>
        <v>0</v>
      </c>
    </row>
    <row r="84" spans="1:16" s="81" customFormat="1" ht="30" x14ac:dyDescent="0.25">
      <c r="A84" s="83" t="s">
        <v>66</v>
      </c>
      <c r="B84" s="82" t="s">
        <v>178</v>
      </c>
      <c r="C84" s="81" t="s">
        <v>215</v>
      </c>
      <c r="D84" s="84">
        <f>VLOOKUP($A84,import!$A:$G,MATCH(lookup_helper!D$1,import!$A$1:$G$1,0),FALSE)</f>
        <v>1.475654647382425</v>
      </c>
      <c r="E84" s="84">
        <f>VLOOKUP($A84,import!$A:$G,MATCH(lookup_helper!E$1,import!$A$1:$G$1,0),FALSE)</f>
        <v>0</v>
      </c>
      <c r="F84" s="84">
        <f>VLOOKUP($A84,import!$A:$G,MATCH(lookup_helper!F$1,import!$A$1:$G$1,0),FALSE)</f>
        <v>0</v>
      </c>
      <c r="G84" s="84">
        <f>VLOOKUP($A84,import!$A:$G,MATCH(lookup_helper!G$1,import!$A$1:$G$1,0),FALSE)</f>
        <v>0</v>
      </c>
      <c r="H84" s="84">
        <f>VLOOKUP($A84,import!$A:$G,MATCH(lookup_helper!H$1,import!$A$1:$G$1,0),FALSE)</f>
        <v>0</v>
      </c>
      <c r="I84" s="84">
        <f>VLOOKUP($A84,import!$A:$G,MATCH(lookup_helper!I$1,import!$A$1:$G$1,0),FALSE)</f>
        <v>0</v>
      </c>
    </row>
    <row r="85" spans="1:16" ht="30" x14ac:dyDescent="0.25">
      <c r="A85" s="2" t="s">
        <v>67</v>
      </c>
      <c r="B85" s="28" t="s">
        <v>179</v>
      </c>
      <c r="C85" t="s">
        <v>215</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206</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206</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206</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206</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206</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154</v>
      </c>
      <c r="C91" t="s">
        <v>206</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153</v>
      </c>
      <c r="C92" t="s">
        <v>206</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155</v>
      </c>
      <c r="C93" t="s">
        <v>206</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156</v>
      </c>
      <c r="C94" t="s">
        <v>207</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181</v>
      </c>
      <c r="C95" t="s">
        <v>216</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269</v>
      </c>
      <c r="C96" t="s">
        <v>216</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265</v>
      </c>
      <c r="P96" s="28"/>
    </row>
    <row r="97" spans="1:16" x14ac:dyDescent="0.25">
      <c r="A97" s="2" t="s">
        <v>72</v>
      </c>
      <c r="B97" s="28" t="s">
        <v>270</v>
      </c>
      <c r="C97" t="s">
        <v>216</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265</v>
      </c>
      <c r="P97" s="28"/>
    </row>
    <row r="98" spans="1:16" x14ac:dyDescent="0.25">
      <c r="A98" s="1" t="s">
        <v>73</v>
      </c>
      <c r="B98" s="28" t="s">
        <v>271</v>
      </c>
      <c r="C98" t="s">
        <v>216</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265</v>
      </c>
      <c r="P98" s="28"/>
    </row>
    <row r="99" spans="1:16" x14ac:dyDescent="0.25">
      <c r="A99" s="1" t="s">
        <v>74</v>
      </c>
      <c r="B99" s="28" t="s">
        <v>272</v>
      </c>
      <c r="C99" t="s">
        <v>216</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265</v>
      </c>
      <c r="P99" s="28"/>
    </row>
    <row r="100" spans="1:16" x14ac:dyDescent="0.25">
      <c r="A100" s="1" t="s">
        <v>75</v>
      </c>
      <c r="B100" s="28" t="s">
        <v>269</v>
      </c>
      <c r="C100" t="s">
        <v>216</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266</v>
      </c>
      <c r="P100" s="28"/>
    </row>
    <row r="101" spans="1:16" x14ac:dyDescent="0.25">
      <c r="A101" s="1" t="s">
        <v>76</v>
      </c>
      <c r="B101" s="28" t="s">
        <v>270</v>
      </c>
      <c r="C101" t="s">
        <v>216</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266</v>
      </c>
      <c r="P101" s="28"/>
    </row>
    <row r="102" spans="1:16" x14ac:dyDescent="0.25">
      <c r="A102" s="1" t="s">
        <v>77</v>
      </c>
      <c r="B102" s="28" t="s">
        <v>271</v>
      </c>
      <c r="C102" t="s">
        <v>216</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266</v>
      </c>
      <c r="P102" s="28"/>
    </row>
    <row r="103" spans="1:16" x14ac:dyDescent="0.25">
      <c r="A103" s="1" t="s">
        <v>78</v>
      </c>
      <c r="B103" s="28" t="s">
        <v>272</v>
      </c>
      <c r="C103" t="s">
        <v>216</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266</v>
      </c>
      <c r="P103" s="28"/>
    </row>
    <row r="104" spans="1:16" x14ac:dyDescent="0.25">
      <c r="A104" t="s">
        <v>79</v>
      </c>
      <c r="B104" s="28" t="s">
        <v>269</v>
      </c>
      <c r="C104" t="s">
        <v>216</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267</v>
      </c>
      <c r="P104" s="28"/>
    </row>
    <row r="105" spans="1:16" x14ac:dyDescent="0.25">
      <c r="A105" t="s">
        <v>80</v>
      </c>
      <c r="B105" s="28" t="s">
        <v>270</v>
      </c>
      <c r="C105" t="s">
        <v>216</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267</v>
      </c>
      <c r="P105" s="28"/>
    </row>
    <row r="106" spans="1:16" x14ac:dyDescent="0.25">
      <c r="A106" t="s">
        <v>81</v>
      </c>
      <c r="B106" s="28" t="s">
        <v>271</v>
      </c>
      <c r="C106" t="s">
        <v>216</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267</v>
      </c>
      <c r="P106" s="28"/>
    </row>
    <row r="107" spans="1:16" x14ac:dyDescent="0.25">
      <c r="A107" t="s">
        <v>82</v>
      </c>
      <c r="B107" s="28" t="s">
        <v>272</v>
      </c>
      <c r="C107" t="s">
        <v>216</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267</v>
      </c>
      <c r="P107" s="28"/>
    </row>
    <row r="108" spans="1:16" x14ac:dyDescent="0.25">
      <c r="A108" t="s">
        <v>83</v>
      </c>
      <c r="B108" s="28" t="s">
        <v>269</v>
      </c>
      <c r="C108" t="s">
        <v>216</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268</v>
      </c>
      <c r="P108" s="28"/>
    </row>
    <row r="109" spans="1:16" x14ac:dyDescent="0.25">
      <c r="A109" t="s">
        <v>84</v>
      </c>
      <c r="B109" s="28" t="s">
        <v>270</v>
      </c>
      <c r="C109" t="s">
        <v>216</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268</v>
      </c>
      <c r="P109" s="28"/>
    </row>
    <row r="110" spans="1:16" x14ac:dyDescent="0.25">
      <c r="A110" t="s">
        <v>85</v>
      </c>
      <c r="B110" s="28" t="s">
        <v>273</v>
      </c>
      <c r="C110" t="s">
        <v>216</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268</v>
      </c>
      <c r="P110" s="28"/>
    </row>
    <row r="111" spans="1:16" x14ac:dyDescent="0.25">
      <c r="A111" t="s">
        <v>86</v>
      </c>
      <c r="B111" s="28" t="s">
        <v>272</v>
      </c>
      <c r="C111" t="s">
        <v>216</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268</v>
      </c>
      <c r="P111" s="28"/>
    </row>
    <row r="112" spans="1:16" x14ac:dyDescent="0.25">
      <c r="A112" t="s">
        <v>1</v>
      </c>
      <c r="B112" s="28" t="s">
        <v>129</v>
      </c>
      <c r="C112" t="s">
        <v>204</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292</v>
      </c>
      <c r="B113" s="28" t="s">
        <v>291</v>
      </c>
      <c r="C113" t="s">
        <v>204</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204</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204</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204</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204</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256</v>
      </c>
      <c r="B118" s="28" t="s">
        <v>257</v>
      </c>
      <c r="C118" t="s">
        <v>204</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204</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topLeftCell="A7" zoomScaleNormal="100" workbookViewId="0">
      <selection activeCell="C23" sqref="C23"/>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0" t="str">
        <f>"Project Performance Assessment Report: "&amp;import!$B$2</f>
        <v>Project Performance Assessment Report: test_project_YubaCity</v>
      </c>
      <c r="B2" s="90"/>
      <c r="C2" s="90"/>
      <c r="D2" s="90"/>
      <c r="E2" s="90"/>
      <c r="F2" s="90"/>
      <c r="G2" s="90"/>
      <c r="H2" s="90"/>
      <c r="I2" s="90"/>
    </row>
    <row r="3" spans="1:9" x14ac:dyDescent="0.25">
      <c r="A3" s="90"/>
      <c r="B3" s="90"/>
      <c r="C3" s="90"/>
      <c r="D3" s="90"/>
      <c r="E3" s="90"/>
      <c r="F3" s="90"/>
      <c r="G3" s="90"/>
      <c r="H3" s="90"/>
      <c r="I3" s="90"/>
    </row>
    <row r="4" spans="1:9" x14ac:dyDescent="0.25">
      <c r="A4" s="90"/>
      <c r="B4" s="90"/>
      <c r="C4" s="90"/>
      <c r="D4" s="90"/>
      <c r="E4" s="90"/>
      <c r="F4" s="90"/>
      <c r="G4" s="90"/>
      <c r="H4" s="90"/>
      <c r="I4" s="90"/>
    </row>
    <row r="6" spans="1:9" x14ac:dyDescent="0.25">
      <c r="A6" t="s">
        <v>123</v>
      </c>
    </row>
    <row r="30" spans="1:5" ht="21" x14ac:dyDescent="0.25">
      <c r="A30" s="8" t="s">
        <v>124</v>
      </c>
    </row>
    <row r="31" spans="1:5" x14ac:dyDescent="0.25">
      <c r="A31" s="89" t="s">
        <v>129</v>
      </c>
      <c r="B31" s="89"/>
      <c r="C31" s="89"/>
      <c r="D31" s="89"/>
      <c r="E31" s="31" t="str">
        <f>VLOOKUP(A31,lookup_helper!$B$112:$D$119,3,FALSE)</f>
        <v>test_project_YubaCity</v>
      </c>
    </row>
    <row r="32" spans="1:5" x14ac:dyDescent="0.25">
      <c r="A32" s="71" t="s">
        <v>291</v>
      </c>
      <c r="B32" s="71"/>
      <c r="C32" s="71"/>
      <c r="D32" s="71"/>
      <c r="E32" s="31" t="str">
        <f>VLOOKUP(A32,lookup_helper!$B$112:$D$119,3,FALSE)</f>
        <v>anyplace</v>
      </c>
    </row>
    <row r="33" spans="1:9" x14ac:dyDescent="0.25">
      <c r="A33" s="89" t="s">
        <v>130</v>
      </c>
      <c r="B33" s="89"/>
      <c r="C33" s="89"/>
      <c r="D33" s="89"/>
      <c r="E33" s="31" t="str">
        <f>VLOOKUP(A33,lookup_helper!$B$112:$D$119,3,FALSE)</f>
        <v>Freeway</v>
      </c>
    </row>
    <row r="34" spans="1:9" x14ac:dyDescent="0.25">
      <c r="A34" s="89" t="s">
        <v>131</v>
      </c>
      <c r="B34" s="89"/>
      <c r="C34" s="89"/>
      <c r="D34" s="89"/>
      <c r="E34" s="32">
        <f>VLOOKUP(A34,lookup_helper!$B$112:$D$119,3,FALSE)</f>
        <v>60000</v>
      </c>
    </row>
    <row r="35" spans="1:9" x14ac:dyDescent="0.25">
      <c r="A35" s="89" t="s">
        <v>132</v>
      </c>
      <c r="B35" s="89"/>
      <c r="C35" s="89"/>
      <c r="D35" s="89"/>
      <c r="E35" s="32">
        <f>VLOOKUP(A35,lookup_helper!$B$112:$D$119,3,FALSE)</f>
        <v>60</v>
      </c>
    </row>
    <row r="36" spans="1:9" x14ac:dyDescent="0.25">
      <c r="A36" s="89" t="s">
        <v>133</v>
      </c>
      <c r="B36" s="89"/>
      <c r="C36" s="89"/>
      <c r="D36" s="89"/>
      <c r="E36" s="32">
        <f>VLOOKUP(A36,lookup_helper!$B$112:$D$119,3,FALSE)</f>
        <v>65</v>
      </c>
    </row>
    <row r="37" spans="1:9" x14ac:dyDescent="0.25">
      <c r="A37" s="89" t="s">
        <v>257</v>
      </c>
      <c r="B37" s="89"/>
      <c r="C37" s="89"/>
      <c r="D37" s="89"/>
      <c r="E37" s="48">
        <f>VLOOKUP(A37,lookup_helper!$B$112:$D$119,3,FALSE)</f>
        <v>1.41</v>
      </c>
      <c r="F37" s="30"/>
      <c r="G37" s="30"/>
      <c r="H37" s="30"/>
      <c r="I37" s="30"/>
    </row>
    <row r="38" spans="1:9" x14ac:dyDescent="0.25">
      <c r="A38" s="89" t="s">
        <v>134</v>
      </c>
      <c r="B38" s="89"/>
      <c r="C38" s="89"/>
      <c r="D38" s="89"/>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7" t="s">
        <v>286</v>
      </c>
      <c r="B43" s="11"/>
      <c r="C43" s="11"/>
      <c r="D43" s="11"/>
      <c r="E43" s="11"/>
      <c r="F43" s="11"/>
      <c r="G43" s="11"/>
      <c r="H43" s="11"/>
      <c r="I43" s="11"/>
    </row>
    <row r="44" spans="1:9" x14ac:dyDescent="0.25">
      <c r="A44" s="58">
        <f ca="1">NOW()</f>
        <v>43861.595133680552</v>
      </c>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9A7A-76C4-4F5E-A5E5-551C242D3604}">
  <dimension ref="A3:I42"/>
  <sheetViews>
    <sheetView tabSelected="1" view="pageLayout" topLeftCell="A4" zoomScaleNormal="100" workbookViewId="0">
      <selection activeCell="A10" sqref="A10:I10"/>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302</v>
      </c>
    </row>
    <row r="4" spans="1:9" x14ac:dyDescent="0.25">
      <c r="B4" s="97"/>
      <c r="C4" s="97"/>
      <c r="D4" s="97"/>
      <c r="E4" s="97"/>
      <c r="F4" s="97"/>
      <c r="G4" s="97"/>
      <c r="H4" s="97"/>
      <c r="I4" s="97"/>
    </row>
    <row r="5" spans="1:9" x14ac:dyDescent="0.25">
      <c r="A5" s="98" t="s">
        <v>304</v>
      </c>
    </row>
    <row r="6" spans="1:9" ht="159" customHeight="1" x14ac:dyDescent="0.25">
      <c r="A6" s="99" t="s">
        <v>305</v>
      </c>
      <c r="B6" s="99"/>
      <c r="C6" s="99"/>
      <c r="D6" s="99"/>
      <c r="E6" s="99"/>
      <c r="F6" s="99"/>
      <c r="G6" s="99"/>
      <c r="H6" s="99"/>
      <c r="I6" s="99"/>
    </row>
    <row r="9" spans="1:9" x14ac:dyDescent="0.25">
      <c r="A9" s="98" t="s">
        <v>303</v>
      </c>
    </row>
    <row r="10" spans="1:9" ht="223.5" customHeight="1" x14ac:dyDescent="0.25">
      <c r="A10" s="99" t="s">
        <v>306</v>
      </c>
      <c r="B10" s="99"/>
      <c r="C10" s="99"/>
      <c r="D10" s="99"/>
      <c r="E10" s="99"/>
      <c r="F10" s="99"/>
      <c r="G10" s="99"/>
      <c r="H10" s="99"/>
      <c r="I10" s="99"/>
    </row>
    <row r="28" spans="1:5" x14ac:dyDescent="0.25">
      <c r="A28" s="71"/>
      <c r="B28" s="71"/>
      <c r="C28" s="71"/>
      <c r="D28" s="71"/>
      <c r="E28" s="31"/>
    </row>
    <row r="29" spans="1:5" x14ac:dyDescent="0.25">
      <c r="A29" s="87"/>
      <c r="E29" s="31"/>
    </row>
    <row r="30" spans="1:5" x14ac:dyDescent="0.25">
      <c r="A30" s="71"/>
      <c r="B30" s="71"/>
      <c r="C30" s="71"/>
      <c r="D30" s="71"/>
      <c r="E30" s="31"/>
    </row>
    <row r="31" spans="1:5" x14ac:dyDescent="0.25">
      <c r="A31" s="71"/>
      <c r="B31" s="71"/>
      <c r="C31" s="71"/>
      <c r="D31" s="71"/>
      <c r="E31" s="31"/>
    </row>
    <row r="32" spans="1:5" x14ac:dyDescent="0.25">
      <c r="A32" s="71"/>
      <c r="B32" s="71"/>
      <c r="C32" s="71"/>
      <c r="D32" s="71"/>
      <c r="E32" s="32"/>
    </row>
    <row r="33" spans="1:9" x14ac:dyDescent="0.25">
      <c r="A33" s="71"/>
      <c r="B33" s="71"/>
      <c r="C33" s="71"/>
      <c r="D33" s="71"/>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7"/>
      <c r="B39" s="11"/>
      <c r="C39" s="11"/>
      <c r="D39" s="11"/>
      <c r="E39" s="11"/>
      <c r="F39" s="11"/>
      <c r="G39" s="11"/>
      <c r="H39" s="11"/>
      <c r="I39" s="11"/>
    </row>
    <row r="40" spans="1:9" x14ac:dyDescent="0.25">
      <c r="A40" s="58"/>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10:I10"/>
    <mergeCell ref="A6:I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44"/>
  <sheetViews>
    <sheetView view="pageBreakPreview" topLeftCell="A28" zoomScaleNormal="100" zoomScaleSheetLayoutView="100" workbookViewId="0">
      <selection activeCell="A42" sqref="A42:H42"/>
    </sheetView>
  </sheetViews>
  <sheetFormatPr defaultRowHeight="15" x14ac:dyDescent="0.25"/>
  <cols>
    <col min="1" max="1" width="24" customWidth="1"/>
  </cols>
  <sheetData>
    <row r="1" spans="1:8" s="46" customFormat="1" x14ac:dyDescent="0.25">
      <c r="H1" s="59" t="str">
        <f>"Project name: "&amp;VLOOKUP("Project name",lookup_helper!$B:$D,3,FALSE)</f>
        <v>Project name: test_project_YubaCity</v>
      </c>
    </row>
    <row r="2" spans="1:8" s="46" customFormat="1" x14ac:dyDescent="0.25">
      <c r="H2" s="59" t="str">
        <f>"Project community type: "&amp;VLOOKUP("Project Community Type",lookup_helper!$B:$D,3,FALSE)</f>
        <v>Project community type: Small-Town Established Communities</v>
      </c>
    </row>
    <row r="4" spans="1:8" ht="17.25" x14ac:dyDescent="0.25">
      <c r="A4" s="12" t="s">
        <v>125</v>
      </c>
    </row>
    <row r="5" spans="1:8" x14ac:dyDescent="0.25">
      <c r="A5" s="29" t="s">
        <v>274</v>
      </c>
    </row>
    <row r="23" spans="1:1" x14ac:dyDescent="0.25">
      <c r="A23" s="29" t="s">
        <v>299</v>
      </c>
    </row>
    <row r="41" spans="1:8" ht="15" customHeight="1" x14ac:dyDescent="0.25">
      <c r="B41" s="72"/>
      <c r="C41" s="72"/>
      <c r="D41" s="72"/>
      <c r="E41" s="72"/>
      <c r="F41" s="72"/>
      <c r="G41" s="72"/>
      <c r="H41" s="72"/>
    </row>
    <row r="42" spans="1:8" ht="93" customHeight="1" x14ac:dyDescent="0.25">
      <c r="A42" s="91" t="s">
        <v>275</v>
      </c>
      <c r="B42" s="91"/>
      <c r="C42" s="91"/>
      <c r="D42" s="91"/>
      <c r="E42" s="91"/>
      <c r="F42" s="91"/>
      <c r="G42" s="91"/>
      <c r="H42" s="91"/>
    </row>
    <row r="43" spans="1:8" x14ac:dyDescent="0.25">
      <c r="A43" s="72"/>
      <c r="B43" s="72"/>
      <c r="C43" s="72"/>
      <c r="D43" s="72"/>
      <c r="E43" s="72"/>
      <c r="F43" s="72"/>
      <c r="G43" s="72"/>
      <c r="H43" s="72"/>
    </row>
    <row r="44" spans="1:8" ht="30" customHeight="1" x14ac:dyDescent="0.25">
      <c r="A44" s="72"/>
      <c r="B44" s="72"/>
      <c r="C44" s="72"/>
      <c r="D44" s="72"/>
      <c r="E44" s="72"/>
      <c r="F44" s="72"/>
      <c r="G44" s="72"/>
      <c r="H44" s="72"/>
    </row>
  </sheetData>
  <mergeCells count="1">
    <mergeCell ref="A42:H42"/>
  </mergeCells>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topLeftCell="A25" zoomScaleNormal="100" workbookViewId="0">
      <selection activeCell="D30" sqref="D30"/>
    </sheetView>
  </sheetViews>
  <sheetFormatPr defaultRowHeight="15" x14ac:dyDescent="0.25"/>
  <cols>
    <col min="1" max="1" width="22.5703125" customWidth="1"/>
    <col min="8" max="8" width="11"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0"/>
    </row>
    <row r="4" spans="1:8" ht="17.25" x14ac:dyDescent="0.25">
      <c r="A4" s="12" t="s">
        <v>126</v>
      </c>
    </row>
    <row r="5" spans="1:8" x14ac:dyDescent="0.25">
      <c r="A5" s="29" t="s">
        <v>293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9" t="s">
        <v>294</v>
      </c>
      <c r="B22" s="77" t="str">
        <f>lookup_helper!Q7</f>
        <v>EB</v>
      </c>
      <c r="C22" s="77" t="str">
        <f>lookup_helper!R7</f>
        <v>WB</v>
      </c>
    </row>
    <row r="23" spans="1:8" ht="30" x14ac:dyDescent="0.25">
      <c r="A23" s="78" t="s">
        <v>297</v>
      </c>
      <c r="B23" s="86">
        <f>IFERROR(lookup_helper!Q9/lookup_helper!Q8,0)</f>
        <v>0.62906584321456371</v>
      </c>
      <c r="C23" s="86">
        <f>IFERROR(lookup_helper!R9/lookup_helper!R8,0)</f>
        <v>0.81902208942477273</v>
      </c>
    </row>
    <row r="25" spans="1:8" ht="15.75" thickBot="1" x14ac:dyDescent="0.3">
      <c r="A25" s="87" t="s">
        <v>131</v>
      </c>
      <c r="C25" s="74"/>
    </row>
    <row r="26" spans="1:8" ht="15.75" thickBot="1" x14ac:dyDescent="0.3">
      <c r="A26" s="88">
        <f>VLOOKUP(A25,lookup_helper!$B:$D,3,FALSE)</f>
        <v>60000</v>
      </c>
    </row>
    <row r="27" spans="1:8" x14ac:dyDescent="0.25">
      <c r="D27" s="75"/>
      <c r="E27" s="75"/>
      <c r="F27" s="75"/>
      <c r="G27" s="75"/>
      <c r="H27" s="75"/>
    </row>
    <row r="28" spans="1:8" x14ac:dyDescent="0.25">
      <c r="A28" s="73"/>
      <c r="B28" s="76"/>
      <c r="C28" s="76"/>
      <c r="D28" s="75"/>
      <c r="E28" s="75"/>
      <c r="F28" s="75"/>
      <c r="G28" s="75"/>
      <c r="H28" s="75"/>
    </row>
    <row r="29" spans="1:8" ht="57.75" customHeight="1" x14ac:dyDescent="0.25">
      <c r="A29" s="92" t="s">
        <v>283</v>
      </c>
      <c r="B29" s="92"/>
      <c r="C29" s="92"/>
      <c r="D29" s="92"/>
      <c r="E29" s="92"/>
      <c r="F29" s="92"/>
      <c r="G29" s="92"/>
      <c r="H29" s="92"/>
    </row>
    <row r="31" spans="1:8" x14ac:dyDescent="0.25">
      <c r="A31" s="75"/>
      <c r="B31" s="75"/>
      <c r="C31" s="75"/>
      <c r="D31" s="75"/>
      <c r="E31" s="75"/>
      <c r="F31" s="75"/>
      <c r="G31" s="75"/>
      <c r="H31" s="75"/>
    </row>
    <row r="32" spans="1:8" x14ac:dyDescent="0.25">
      <c r="A32" s="75"/>
      <c r="B32" s="75"/>
      <c r="C32" s="75"/>
      <c r="D32" s="75"/>
      <c r="E32" s="75"/>
      <c r="F32" s="75"/>
      <c r="G32" s="75"/>
      <c r="H32" s="75"/>
    </row>
    <row r="33" spans="1:8" x14ac:dyDescent="0.25">
      <c r="A33" s="75"/>
      <c r="B33" s="75"/>
      <c r="C33" s="75"/>
      <c r="D33" s="75"/>
      <c r="E33" s="75"/>
      <c r="F33" s="75"/>
      <c r="G33" s="75"/>
      <c r="H33" s="75"/>
    </row>
    <row r="34" spans="1:8" x14ac:dyDescent="0.25">
      <c r="A34" s="75"/>
      <c r="B34" s="75"/>
      <c r="C34" s="75"/>
      <c r="D34" s="75"/>
      <c r="E34" s="75"/>
      <c r="F34" s="75"/>
      <c r="G34" s="75"/>
      <c r="H34" s="75"/>
    </row>
    <row r="35" spans="1:8" x14ac:dyDescent="0.25">
      <c r="A35" s="75"/>
      <c r="B35" s="75"/>
      <c r="C35" s="75"/>
      <c r="D35" s="75"/>
      <c r="E35" s="75"/>
      <c r="F35" s="75"/>
      <c r="G35" s="75"/>
      <c r="H35" s="75"/>
    </row>
    <row r="36" spans="1:8" x14ac:dyDescent="0.25">
      <c r="A36" s="75"/>
      <c r="B36" s="75"/>
      <c r="C36" s="75"/>
      <c r="D36" s="75"/>
      <c r="E36" s="75"/>
      <c r="F36" s="75"/>
      <c r="G36" s="75"/>
      <c r="H36" s="75"/>
    </row>
    <row r="44" spans="1:8" x14ac:dyDescent="0.25">
      <c r="A44" s="29" t="s">
        <v>298</v>
      </c>
    </row>
    <row r="62" spans="1:8" ht="42" customHeight="1" x14ac:dyDescent="0.25">
      <c r="A62" s="92" t="s">
        <v>284</v>
      </c>
      <c r="B62" s="92"/>
      <c r="C62" s="92"/>
      <c r="D62" s="92"/>
      <c r="E62" s="92"/>
      <c r="F62" s="92"/>
      <c r="G62" s="92"/>
      <c r="H62" s="92"/>
    </row>
    <row r="65" spans="1:1" x14ac:dyDescent="0.25">
      <c r="A65" s="29" t="s">
        <v>295</v>
      </c>
    </row>
  </sheetData>
  <mergeCells count="2">
    <mergeCell ref="A62:H62"/>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56"/>
  <sheetViews>
    <sheetView view="pageBreakPreview" zoomScaleNormal="100" zoomScaleSheetLayoutView="100" workbookViewId="0">
      <selection activeCell="L57" sqref="L57"/>
    </sheetView>
  </sheetViews>
  <sheetFormatPr defaultRowHeight="15" x14ac:dyDescent="0.25"/>
  <cols>
    <col min="1" max="1" width="17.7109375" customWidth="1"/>
    <col min="2" max="2" width="17.5703125" customWidth="1"/>
    <col min="3" max="3" width="15.285156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224</v>
      </c>
    </row>
    <row r="5" spans="1:9" ht="27.75" customHeight="1" x14ac:dyDescent="0.25">
      <c r="A5" s="93" t="s">
        <v>225</v>
      </c>
      <c r="B5" s="93"/>
      <c r="C5" s="93"/>
      <c r="D5" s="93"/>
      <c r="E5" s="93"/>
    </row>
    <row r="7" spans="1:9" ht="15.75" thickBot="1" x14ac:dyDescent="0.3">
      <c r="A7" s="41" t="s">
        <v>238</v>
      </c>
    </row>
    <row r="8" spans="1:9" ht="30.75" thickBot="1" x14ac:dyDescent="0.3">
      <c r="A8" s="34" t="s">
        <v>234</v>
      </c>
      <c r="B8" s="35" t="s">
        <v>235</v>
      </c>
      <c r="C8" s="35" t="s">
        <v>236</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3" t="s">
        <v>226</v>
      </c>
      <c r="B12" s="93"/>
      <c r="C12" s="93"/>
      <c r="D12" s="93"/>
      <c r="E12" s="93"/>
      <c r="F12" s="36"/>
      <c r="G12" s="36"/>
      <c r="H12" s="36"/>
      <c r="I12" s="36"/>
    </row>
    <row r="14" spans="1:9" ht="15.75" thickBot="1" x14ac:dyDescent="0.3">
      <c r="A14" s="94" t="s">
        <v>237</v>
      </c>
      <c r="B14" s="94"/>
      <c r="C14" s="94"/>
    </row>
    <row r="15" spans="1:9" ht="30.75" thickBot="1" x14ac:dyDescent="0.3">
      <c r="A15" s="34" t="s">
        <v>234</v>
      </c>
      <c r="B15" s="35" t="s">
        <v>235</v>
      </c>
      <c r="C15" s="35" t="s">
        <v>236</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227</v>
      </c>
    </row>
    <row r="20" spans="1:3" x14ac:dyDescent="0.25">
      <c r="A20" t="s">
        <v>229</v>
      </c>
    </row>
    <row r="48" spans="1:1" x14ac:dyDescent="0.25">
      <c r="A48" s="29" t="s">
        <v>228</v>
      </c>
    </row>
    <row r="49" spans="1:3" x14ac:dyDescent="0.25">
      <c r="A49" s="29"/>
    </row>
    <row r="50" spans="1:3" ht="15.75" thickBot="1" x14ac:dyDescent="0.3">
      <c r="A50" s="41" t="s">
        <v>176</v>
      </c>
    </row>
    <row r="51" spans="1:3" ht="30.75" thickBot="1" x14ac:dyDescent="0.3">
      <c r="A51" s="34" t="s">
        <v>234</v>
      </c>
      <c r="B51" s="35" t="s">
        <v>235</v>
      </c>
      <c r="C51" s="35" t="s">
        <v>236</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280</v>
      </c>
    </row>
    <row r="56" spans="1:3" x14ac:dyDescent="0.25">
      <c r="A56" t="s">
        <v>230</v>
      </c>
    </row>
  </sheetData>
  <mergeCells count="3">
    <mergeCell ref="A12:E12"/>
    <mergeCell ref="A5:E5"/>
    <mergeCell ref="A14:C14"/>
  </mergeCells>
  <pageMargins left="0.7" right="0.7" top="0.75" bottom="0.75" header="0.3" footer="0.3"/>
  <pageSetup scale="90" orientation="portrait" r:id="rId1"/>
  <rowBreaks count="1" manualBreakCount="1">
    <brk id="46"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I88"/>
  <sheetViews>
    <sheetView view="pageLayout" topLeftCell="A31" zoomScaleNormal="100" workbookViewId="0">
      <selection activeCell="D40" sqref="D40"/>
    </sheetView>
  </sheetViews>
  <sheetFormatPr defaultRowHeight="15" x14ac:dyDescent="0.25"/>
  <cols>
    <col min="8" max="8" width="18.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231</v>
      </c>
    </row>
    <row r="5" spans="1:8" ht="75" customHeight="1" x14ac:dyDescent="0.25">
      <c r="A5" s="95" t="s">
        <v>296</v>
      </c>
      <c r="B5" s="95"/>
      <c r="C5" s="95"/>
      <c r="D5" s="95"/>
      <c r="E5" s="95"/>
      <c r="F5" s="95"/>
      <c r="G5" s="95"/>
      <c r="H5" s="95"/>
    </row>
    <row r="6" spans="1:8" x14ac:dyDescent="0.25">
      <c r="A6" s="80"/>
      <c r="B6" s="80"/>
      <c r="C6" s="80"/>
      <c r="D6" s="80"/>
      <c r="E6" s="80"/>
      <c r="F6" s="80"/>
      <c r="G6" s="80"/>
      <c r="H6" s="80"/>
    </row>
    <row r="7" spans="1:8" x14ac:dyDescent="0.25">
      <c r="A7" s="29"/>
    </row>
    <row r="8" spans="1:8" ht="15.75" x14ac:dyDescent="0.25">
      <c r="A8" s="33" t="s">
        <v>278</v>
      </c>
    </row>
    <row r="9" spans="1:8" x14ac:dyDescent="0.25">
      <c r="A9" s="29"/>
    </row>
    <row r="10" spans="1:8" x14ac:dyDescent="0.25">
      <c r="A10" s="29" t="s">
        <v>232</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233</v>
      </c>
    </row>
    <row r="32" spans="1:1" ht="15.75" thickBot="1" x14ac:dyDescent="0.3">
      <c r="A32" s="54">
        <f>lookup_helper!E81-lookup_helper!D81</f>
        <v>992.65999999999894</v>
      </c>
    </row>
    <row r="44" spans="1:1" x14ac:dyDescent="0.25">
      <c r="A44" s="29" t="s">
        <v>239</v>
      </c>
    </row>
    <row r="46" spans="1:1" ht="30.75" customHeight="1" x14ac:dyDescent="0.25"/>
    <row r="62" spans="1:9" ht="37.5" customHeight="1" x14ac:dyDescent="0.25">
      <c r="A62" s="92" t="s">
        <v>240</v>
      </c>
      <c r="B62" s="92"/>
      <c r="C62" s="92"/>
      <c r="D62" s="92"/>
      <c r="E62" s="92"/>
      <c r="F62" s="92"/>
      <c r="G62" s="92"/>
      <c r="H62" s="92"/>
      <c r="I62" s="67"/>
    </row>
    <row r="65" spans="1:1" ht="15.75" x14ac:dyDescent="0.25">
      <c r="A65" s="33" t="s">
        <v>279</v>
      </c>
    </row>
    <row r="66" spans="1:1" ht="15.75" thickBot="1" x14ac:dyDescent="0.3">
      <c r="A66" s="29" t="s">
        <v>241</v>
      </c>
    </row>
    <row r="67" spans="1:1" ht="15.75" thickBot="1" x14ac:dyDescent="0.3">
      <c r="A67" s="55">
        <f>lookup_helper!D55</f>
        <v>657</v>
      </c>
    </row>
    <row r="69" spans="1:1" x14ac:dyDescent="0.25">
      <c r="A69" s="29" t="s">
        <v>242</v>
      </c>
    </row>
    <row r="86" spans="1:1" ht="15.75" x14ac:dyDescent="0.25">
      <c r="A86" s="33" t="s">
        <v>243</v>
      </c>
    </row>
    <row r="88" spans="1:1" x14ac:dyDescent="0.25">
      <c r="A88" s="29" t="s">
        <v>300</v>
      </c>
    </row>
  </sheetData>
  <mergeCells count="2">
    <mergeCell ref="A62:H62"/>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1"/>
  <sheetViews>
    <sheetView view="pageBreakPreview" zoomScaleNormal="100" zoomScaleSheetLayoutView="100" workbookViewId="0">
      <selection activeCell="G28" sqref="G28"/>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8" customFormat="1" x14ac:dyDescent="0.25">
      <c r="H1" s="70" t="str">
        <f>"Project name: "&amp;VLOOKUP("Project name",lookup_helper!$B:$D,3,FALSE)</f>
        <v>Project name: test_project_YubaCity</v>
      </c>
    </row>
    <row r="2" spans="1:9" s="68" customFormat="1" x14ac:dyDescent="0.25">
      <c r="H2" s="70" t="str">
        <f>"Project community type: "&amp;VLOOKUP("Project Community Type",lookup_helper!$B:$D,3,FALSE)</f>
        <v>Project community type: Small-Town Established Communities</v>
      </c>
    </row>
    <row r="3" spans="1:9" x14ac:dyDescent="0.25">
      <c r="A3" s="61"/>
    </row>
    <row r="4" spans="1:9" ht="17.25" x14ac:dyDescent="0.25">
      <c r="A4" s="12" t="s">
        <v>244</v>
      </c>
    </row>
    <row r="5" spans="1:9" ht="37.5" customHeight="1" x14ac:dyDescent="0.25">
      <c r="A5" s="96" t="s">
        <v>277</v>
      </c>
      <c r="B5" s="96"/>
      <c r="C5" s="96"/>
      <c r="D5" s="96"/>
      <c r="E5" s="96"/>
      <c r="F5" s="96"/>
      <c r="G5" s="96"/>
      <c r="H5" s="96"/>
      <c r="I5" s="56"/>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1" t="s">
        <v>245</v>
      </c>
      <c r="B8" s="91"/>
      <c r="C8" s="91"/>
      <c r="D8" s="91"/>
      <c r="E8" s="91"/>
      <c r="F8" s="91"/>
      <c r="G8" s="91"/>
      <c r="H8" s="91"/>
      <c r="I8" s="56"/>
    </row>
    <row r="10" spans="1:9" x14ac:dyDescent="0.25">
      <c r="A10" s="29" t="s">
        <v>246</v>
      </c>
    </row>
    <row r="11" spans="1:9" x14ac:dyDescent="0.25">
      <c r="A11" t="s">
        <v>247</v>
      </c>
    </row>
    <row r="26" spans="1:3" x14ac:dyDescent="0.25">
      <c r="A26" s="29" t="s">
        <v>248</v>
      </c>
    </row>
    <row r="27" spans="1:3" ht="15.75" thickBot="1" x14ac:dyDescent="0.3">
      <c r="A27" s="41" t="s">
        <v>194</v>
      </c>
    </row>
    <row r="28" spans="1:3" ht="45.75" thickBot="1" x14ac:dyDescent="0.3">
      <c r="A28" s="34" t="s">
        <v>285</v>
      </c>
      <c r="B28" s="35" t="s">
        <v>235</v>
      </c>
      <c r="C28" s="35" t="s">
        <v>236</v>
      </c>
    </row>
    <row r="29" spans="1:3" ht="15.75" thickBot="1" x14ac:dyDescent="0.3">
      <c r="A29" s="42">
        <f>VLOOKUP($A27,lookup_helper!$B:$I,MATCH("projval_2016",lookup_helper!$1:$1,0)-1,FALSE)</f>
        <v>7.072357263990954E-2</v>
      </c>
      <c r="B29" s="42">
        <f>VLOOKUP($A27,lookup_helper!$B:$I,MATCH("CommunityType_2016",lookup_helper!$B$1:$I$1,0),FALSE)</f>
        <v>0.1343871705182399</v>
      </c>
      <c r="C29" s="42">
        <f>VLOOKUP($A27,lookup_helper!$B:$I,MATCH("REGION_2016",lookup_helper!$B$1:$I$1,0),FALSE)</f>
        <v>0.13021497769289109</v>
      </c>
    </row>
    <row r="31" spans="1:3" x14ac:dyDescent="0.25">
      <c r="A31" s="29" t="s">
        <v>301</v>
      </c>
    </row>
  </sheetData>
  <mergeCells count="2">
    <mergeCell ref="A8:H8"/>
    <mergeCell ref="A5:H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48"/>
  <sheetViews>
    <sheetView view="pageLayout" zoomScaleNormal="100" workbookViewId="0">
      <selection activeCell="M1" sqref="M1"/>
    </sheetView>
  </sheetViews>
  <sheetFormatPr defaultRowHeight="15" x14ac:dyDescent="0.25"/>
  <cols>
    <col min="1" max="1" width="14.7109375" customWidth="1"/>
    <col min="2" max="2" width="15.425781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249</v>
      </c>
    </row>
    <row r="5" spans="1:8" s="28" customFormat="1" ht="35.25" customHeight="1" x14ac:dyDescent="0.25">
      <c r="A5" s="91" t="s">
        <v>250</v>
      </c>
      <c r="B5" s="91"/>
      <c r="C5" s="91"/>
      <c r="D5" s="91"/>
      <c r="E5" s="91"/>
      <c r="F5" s="91"/>
      <c r="G5" s="91"/>
      <c r="H5" s="91"/>
    </row>
    <row r="7" spans="1:8" x14ac:dyDescent="0.25">
      <c r="A7" s="29" t="s">
        <v>252</v>
      </c>
    </row>
    <row r="8" spans="1:8" x14ac:dyDescent="0.25">
      <c r="A8" s="43">
        <f>VLOOKUP(lookup_helper!B86,lookup_helper!$B:$D,3,FALSE)</f>
        <v>56</v>
      </c>
    </row>
    <row r="11" spans="1:8" x14ac:dyDescent="0.25">
      <c r="A11" s="41" t="s">
        <v>251</v>
      </c>
    </row>
    <row r="12" spans="1:8" x14ac:dyDescent="0.25">
      <c r="A12" t="s">
        <v>253</v>
      </c>
    </row>
    <row r="32" spans="1:1" x14ac:dyDescent="0.25">
      <c r="A32" s="29" t="s">
        <v>254</v>
      </c>
    </row>
    <row r="33" spans="1:3" x14ac:dyDescent="0.25">
      <c r="A33" s="29"/>
    </row>
    <row r="34" spans="1:3" ht="15.75" thickBot="1" x14ac:dyDescent="0.3">
      <c r="A34" s="46" t="s">
        <v>149</v>
      </c>
    </row>
    <row r="35" spans="1:3" ht="45.75" thickBot="1" x14ac:dyDescent="0.3">
      <c r="A35" s="34" t="s">
        <v>276</v>
      </c>
      <c r="B35" s="35" t="s">
        <v>235</v>
      </c>
      <c r="C35" s="35" t="s">
        <v>236</v>
      </c>
    </row>
    <row r="36" spans="1:3" ht="15.75" thickBot="1" x14ac:dyDescent="0.3">
      <c r="A36" s="47">
        <f>VLOOKUP($A34,lookup_helper!$B:$I,MATCH("projval_2016",lookup_helper!$1:$1,0)-1,FALSE)</f>
        <v>41.285465803940781</v>
      </c>
      <c r="B36" s="47">
        <f>VLOOKUP($A34,lookup_helper!$B:$I,MATCH("CommunityType_2016",lookup_helper!$B$1:$I$1,0),FALSE)</f>
        <v>61.135362311155802</v>
      </c>
      <c r="C36" s="47">
        <f>VLOOKUP($A34,lookup_helper!$B:$I,MATCH("REGION_2016",lookup_helper!$B$1:$I$1,0),FALSE)</f>
        <v>63.369834818958772</v>
      </c>
    </row>
    <row r="48" spans="1:3" x14ac:dyDescent="0.25">
      <c r="A48" s="29" t="s">
        <v>255</v>
      </c>
    </row>
  </sheetData>
  <mergeCells count="1">
    <mergeCell ref="A5:H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view="pageLayout" zoomScaleNormal="100" workbookViewId="0">
      <selection activeCell="C7" sqref="C7"/>
    </sheetView>
  </sheetViews>
  <sheetFormatPr defaultRowHeight="15" x14ac:dyDescent="0.25"/>
  <cols>
    <col min="7" max="7" width="15.7109375" customWidth="1"/>
    <col min="8" max="8" width="14.8554687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258</v>
      </c>
    </row>
    <row r="6" spans="1:8" x14ac:dyDescent="0.25">
      <c r="A6" s="29" t="s">
        <v>259</v>
      </c>
    </row>
    <row r="7" spans="1:8" x14ac:dyDescent="0.25">
      <c r="A7" s="43">
        <f>VLOOKUP("Project Pavement Condition Index (PCI)",lookup_helper!$B:$D,3,FALSE)</f>
        <v>60</v>
      </c>
    </row>
    <row r="9" spans="1:8" x14ac:dyDescent="0.25">
      <c r="A9" s="29" t="s">
        <v>260</v>
      </c>
    </row>
    <row r="10" spans="1:8" x14ac:dyDescent="0.25">
      <c r="A10" s="49">
        <f>VLOOKUP("Project AADT",lookup_helper!$B:$D,3,FALSE)</f>
        <v>60000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topLeftCell="A25" zoomScaleNormal="100" zoomScaleSheetLayoutView="100" workbookViewId="0">
      <selection activeCell="D35" sqref="D35"/>
    </sheetView>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8" customFormat="1" x14ac:dyDescent="0.25">
      <c r="H1" s="70" t="str">
        <f>"Project name: "&amp;VLOOKUP("Project name",lookup_helper!$B:$D,3,FALSE)</f>
        <v>Project name: test_project_YubaCity</v>
      </c>
    </row>
    <row r="2" spans="1:8" s="68" customFormat="1" x14ac:dyDescent="0.25">
      <c r="H2" s="70" t="str">
        <f>"Project community type: "&amp;VLOOKUP("Project Community Type",lookup_helper!$B:$D,3,FALSE)</f>
        <v>Project community type: Small-Town Established Communities</v>
      </c>
    </row>
    <row r="3" spans="1:8" x14ac:dyDescent="0.25">
      <c r="A3" s="61"/>
    </row>
    <row r="4" spans="1:8" ht="17.25" x14ac:dyDescent="0.25">
      <c r="A4" s="12" t="s">
        <v>261</v>
      </c>
    </row>
    <row r="5" spans="1:8" x14ac:dyDescent="0.25">
      <c r="A5" s="29" t="s">
        <v>287</v>
      </c>
    </row>
    <row r="6" spans="1:8" x14ac:dyDescent="0.25">
      <c r="A6" s="49">
        <f>lookup_helper!D95*lookup_helper!D72</f>
        <v>4050</v>
      </c>
    </row>
    <row r="9" spans="1:8" ht="15.75" thickBot="1" x14ac:dyDescent="0.3">
      <c r="A9" s="29" t="s">
        <v>288</v>
      </c>
    </row>
    <row r="10" spans="1:8" ht="45.75" thickBot="1" x14ac:dyDescent="0.3">
      <c r="A10" s="34" t="s">
        <v>262</v>
      </c>
      <c r="B10" s="35" t="s">
        <v>235</v>
      </c>
      <c r="C10" s="35" t="s">
        <v>236</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263</v>
      </c>
    </row>
    <row r="16" spans="1:8" x14ac:dyDescent="0.25">
      <c r="A16" s="29" t="s">
        <v>289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7" spans="1:1" x14ac:dyDescent="0.25">
      <c r="A37" s="69" t="s">
        <v>264</v>
      </c>
    </row>
    <row r="86" spans="1:9" ht="28.5" customHeight="1" x14ac:dyDescent="0.25">
      <c r="A86" s="92" t="s">
        <v>240</v>
      </c>
      <c r="B86" s="92"/>
      <c r="C86" s="92"/>
      <c r="D86" s="92"/>
      <c r="E86" s="92"/>
      <c r="F86" s="92"/>
      <c r="G86" s="92"/>
      <c r="H86" s="67"/>
      <c r="I86" s="67"/>
    </row>
    <row r="90" spans="1:9" ht="33.75" customHeight="1" x14ac:dyDescent="0.25"/>
  </sheetData>
  <mergeCells count="1">
    <mergeCell ref="A86:G86"/>
  </mergeCells>
  <pageMargins left="0.7" right="0.7" top="0.75" bottom="0.75" header="0.3" footer="0.3"/>
  <pageSetup scale="96" orientation="portrait" r:id="rId1"/>
  <rowBreaks count="1" manualBreakCount="1">
    <brk id="44"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import</vt:lpstr>
      <vt:lpstr>lookup_helper</vt:lpstr>
      <vt:lpstr>0_0TitlePg</vt:lpstr>
      <vt:lpstr>0_1UsingThisReport</vt:lpstr>
      <vt:lpstr>1ReduceVMT</vt:lpstr>
      <vt:lpstr>2ReduceCongestion</vt:lpstr>
      <vt:lpstr>3Multimodal</vt:lpstr>
      <vt:lpstr>4EconProsperity</vt:lpstr>
      <vt:lpstr>5Freight</vt:lpstr>
      <vt:lpstr>6Safety</vt:lpstr>
      <vt:lpstr>7SGR</vt:lpstr>
      <vt:lpstr>8SocioEconEquity</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2020-01-30T22:26:56Z</cp:lastPrinted>
  <dcterms:created xsi:type="dcterms:W3CDTF">2020-01-07T23:38:49Z</dcterms:created>
  <dcterms:modified xsi:type="dcterms:W3CDTF">2020-01-31T22:16:59Z</dcterms:modified>
</cp:coreProperties>
</file>