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9F9054C9-4B2A-4023-BEF4-DAC380FD3BE5}" xr6:coauthVersionLast="41" xr6:coauthVersionMax="41" xr10:uidLastSave="{00000000-0000-0000-0000-000000000000}"/>
  <bookViews>
    <workbookView xWindow="-120" yWindow="-120" windowWidth="29040" windowHeight="15840" tabRatio="781" activeTab="4" xr2:uid="{00000000-000D-0000-FFFF-FFFF00000000}"/>
  </bookViews>
  <sheets>
    <sheet name="import" sheetId="1" r:id="rId1"/>
    <sheet name="lookup_helper" sheetId="5" r:id="rId2"/>
    <sheet name="TitlePg" sheetId="4" r:id="rId3"/>
    <sheet name="ReduceVMT" sheetId="2" r:id="rId4"/>
    <sheet name="ReduceCongestion" sheetId="3" r:id="rId5"/>
    <sheet name="Multimodal" sheetId="6" r:id="rId6"/>
    <sheet name="EconProsperity" sheetId="7" r:id="rId7"/>
    <sheet name="Freight" sheetId="8" r:id="rId8"/>
    <sheet name="Safety" sheetId="9" r:id="rId9"/>
    <sheet name="SGR" sheetId="10" r:id="rId10"/>
    <sheet name="SocioEconEquity" sheetId="11" r:id="rId11"/>
  </sheets>
  <definedNames>
    <definedName name="_xlnm._FilterDatabase" localSheetId="1" hidden="1">lookup_helper!$A$3:$I$118</definedName>
    <definedName name="_Hlk20929805" localSheetId="6">EconProsperity!$A$76</definedName>
    <definedName name="_Hlk20929868" localSheetId="9">SGR!$A$1</definedName>
    <definedName name="_xlnm.Print_Area" localSheetId="7">Freight!$A$1:$H$41</definedName>
    <definedName name="_xlnm.Print_Area" localSheetId="3">ReduceVMT!$A$1:$H$45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1" l="1"/>
  <c r="C8" i="11"/>
  <c r="B8" i="11"/>
  <c r="A8" i="11"/>
  <c r="A7" i="10"/>
  <c r="A4" i="10"/>
  <c r="E36" i="4"/>
  <c r="D117" i="5"/>
  <c r="E117" i="5"/>
  <c r="F117" i="5"/>
  <c r="G117" i="5"/>
  <c r="H117" i="5"/>
  <c r="I117" i="5"/>
  <c r="D62" i="5" l="1"/>
  <c r="A13" i="6" s="1"/>
  <c r="D57" i="5"/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A52" i="7" s="1"/>
  <c r="E55" i="5"/>
  <c r="F55" i="5"/>
  <c r="G55" i="5"/>
  <c r="H55" i="5"/>
  <c r="I55" i="5"/>
  <c r="D56" i="5"/>
  <c r="A3" i="8" s="1"/>
  <c r="E56" i="5"/>
  <c r="F56" i="5"/>
  <c r="G56" i="5"/>
  <c r="H56" i="5"/>
  <c r="I56" i="5"/>
  <c r="E57" i="5"/>
  <c r="F57" i="5"/>
  <c r="G57" i="5"/>
  <c r="H57" i="5"/>
  <c r="I57" i="5"/>
  <c r="D58" i="5"/>
  <c r="E58" i="5"/>
  <c r="F58" i="5"/>
  <c r="G58" i="5"/>
  <c r="H58" i="5"/>
  <c r="I58" i="5"/>
  <c r="D59" i="5"/>
  <c r="A26" i="8" s="1"/>
  <c r="E59" i="5"/>
  <c r="F59" i="5"/>
  <c r="B26" i="8" s="1"/>
  <c r="G59" i="5"/>
  <c r="C26" i="8" s="1"/>
  <c r="H59" i="5"/>
  <c r="I59" i="5"/>
  <c r="D60" i="5"/>
  <c r="A6" i="6" s="1"/>
  <c r="E60" i="5"/>
  <c r="F60" i="5"/>
  <c r="B6" i="6" s="1"/>
  <c r="G60" i="5"/>
  <c r="C6" i="6" s="1"/>
  <c r="H60" i="5"/>
  <c r="I60" i="5"/>
  <c r="D61" i="5"/>
  <c r="A50" i="6" s="1"/>
  <c r="E61" i="5"/>
  <c r="F61" i="5"/>
  <c r="B50" i="6" s="1"/>
  <c r="G61" i="5"/>
  <c r="C50" i="6" s="1"/>
  <c r="H61" i="5"/>
  <c r="I61" i="5"/>
  <c r="E62" i="5"/>
  <c r="F62" i="5"/>
  <c r="B13" i="6" s="1"/>
  <c r="G62" i="5"/>
  <c r="C13" i="6" s="1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A5" i="9" s="1"/>
  <c r="E86" i="5"/>
  <c r="F86" i="5"/>
  <c r="G86" i="5"/>
  <c r="H86" i="5"/>
  <c r="I86" i="5"/>
  <c r="D87" i="5"/>
  <c r="A33" i="9" s="1"/>
  <c r="E87" i="5"/>
  <c r="F87" i="5"/>
  <c r="B33" i="9" s="1"/>
  <c r="G87" i="5"/>
  <c r="C33" i="9" s="1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G95" i="5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31" i="4" s="1"/>
  <c r="E112" i="5"/>
  <c r="F112" i="5"/>
  <c r="G112" i="5"/>
  <c r="H112" i="5"/>
  <c r="I112" i="5"/>
  <c r="D113" i="5"/>
  <c r="E32" i="4" s="1"/>
  <c r="E113" i="5"/>
  <c r="F113" i="5"/>
  <c r="G113" i="5"/>
  <c r="H113" i="5"/>
  <c r="I113" i="5"/>
  <c r="D114" i="5"/>
  <c r="E33" i="4" s="1"/>
  <c r="E114" i="5"/>
  <c r="F114" i="5"/>
  <c r="G114" i="5"/>
  <c r="H114" i="5"/>
  <c r="I114" i="5"/>
  <c r="D115" i="5"/>
  <c r="E34" i="4" s="1"/>
  <c r="E115" i="5"/>
  <c r="F115" i="5"/>
  <c r="G115" i="5"/>
  <c r="H115" i="5"/>
  <c r="I115" i="5"/>
  <c r="D116" i="5"/>
  <c r="E35" i="4" s="1"/>
  <c r="E116" i="5"/>
  <c r="F116" i="5"/>
  <c r="G116" i="5"/>
  <c r="H116" i="5"/>
  <c r="I116" i="5"/>
  <c r="D118" i="5"/>
  <c r="E37" i="4" s="1"/>
  <c r="E118" i="5"/>
  <c r="F118" i="5"/>
  <c r="G118" i="5"/>
  <c r="H118" i="5"/>
  <c r="I118" i="5"/>
  <c r="E4" i="5"/>
  <c r="F4" i="5"/>
  <c r="G4" i="5"/>
  <c r="H4" i="5"/>
  <c r="I4" i="5"/>
  <c r="D4" i="5"/>
  <c r="A25" i="7" l="1"/>
  <c r="Q13" i="5"/>
  <c r="Q7" i="5"/>
  <c r="Q9" i="5" s="1"/>
  <c r="R13" i="5"/>
  <c r="R7" i="5"/>
  <c r="Q15" i="5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B13" i="5"/>
  <c r="B14" i="5"/>
  <c r="B15" i="5"/>
  <c r="B16" i="5"/>
  <c r="B17" i="5"/>
  <c r="B12" i="5"/>
  <c r="Q14" i="5" l="1"/>
  <c r="R14" i="5"/>
  <c r="Q17" i="5"/>
  <c r="Q16" i="5"/>
  <c r="Q15" i="5"/>
  <c r="Q8" i="5"/>
  <c r="A2" i="4"/>
  <c r="R16" i="5" l="1"/>
  <c r="R15" i="5"/>
  <c r="R9" i="5"/>
  <c r="R17" i="5"/>
  <c r="R8" i="5"/>
</calcChain>
</file>

<file path=xl/sharedStrings.xml><?xml version="1.0" encoding="utf-8"?>
<sst xmlns="http://schemas.openxmlformats.org/spreadsheetml/2006/main" count="617" uniqueCount="290">
  <si>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</si>
  <si>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</si>
  <si>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</si>
  <si>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</si>
  <si>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</si>
  <si>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</si>
  <si>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</si>
  <si>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</si>
  <si>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</si>
  <si>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</si>
  <si>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</si>
  <si>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</si>
  <si>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</si>
  <si>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</si>
  <si>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</si>
  <si>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</si>
  <si>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</si>
  <si>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</si>
  <si>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</si>
  <si>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</si>
  <si>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</si>
  <si>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</si>
  <si>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</si>
  <si>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</si>
  <si>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</si>
  <si>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</si>
  <si>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</si>
  <si>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</si>
  <si>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</si>
  <si>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</si>
  <si>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</si>
  <si>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</si>
  <si>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</si>
  <si>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</si>
  <si>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</si>
  <si>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</si>
  <si>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</si>
  <si>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</si>
  <si>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</si>
  <si>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</si>
  <si>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</si>
  <si>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</si>
  <si>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</si>
  <si>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</si>
  <si>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</si>
  <si>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</si>
  <si>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</si>
  <si>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</si>
  <si>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</si>
  <si>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</si>
  <si>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</si>
  <si>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</si>
  <si>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</si>
  <si>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</si>
  <si>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</si>
  <si>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</si>
  <si>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</si>
  <si>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</si>
  <si>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</si>
  <si>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</si>
  <si>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</si>
  <si>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</si>
  <si>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</si>
  <si>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</si>
  <si>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</si>
  <si>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</si>
  <si>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</si>
  <si>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</si>
  <si>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</si>
  <si>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</si>
  <si>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</si>
  <si>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</si>
  <si>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</si>
  <si>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</si>
  <si>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</si>
  <si>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</si>
  <si>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</si>
  <si>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</si>
  <si>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</si>
  <si>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</si>
  <si>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</si>
  <si>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</si>
  <si>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</si>
  <si>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</si>
  <si>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</si>
  <si>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</si>
  <si>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</si>
  <si>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</si>
  <si>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</si>
  <si>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</si>
  <si>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</si>
  <si>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</si>
  <si>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</si>
  <si>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</si>
  <si>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</si>
  <si>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</si>
  <si>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</si>
  <si>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</si>
  <si>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</si>
  <si>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</si>
  <si>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</si>
  <si>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</si>
  <si>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</si>
  <si>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</si>
  <si>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</si>
  <si>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</si>
  <si>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</si>
  <si>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</si>
  <si>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</si>
  <si>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</si>
  <si>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</si>
  <si>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</si>
  <si>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</si>
  <si>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</si>
  <si>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</si>
  <si>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</si>
  <si>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</si>
  <si>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</si>
  <si>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</si>
  <si>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</si>
  <si>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</si>
  <si>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</si>
  <si>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</si>
  <si>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</si>
  <si>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</si>
  <si>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Project Performance Outcomes</t>
  </si>
  <si>
    <t>Reduce Vehicle Miles Traveled (VMT) per Capita</t>
  </si>
  <si>
    <t>VMT Indicator 2: Land Use Diversity Index*</t>
  </si>
  <si>
    <t>Reduce congestion</t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</si>
  <si>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</si>
  <si>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</si>
  <si>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</si>
  <si>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</si>
  <si>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</si>
  <si>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</si>
  <si>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</si>
  <si>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</si>
  <si>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</si>
  <si>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</si>
  <si>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</si>
  <si>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</si>
  <si>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</si>
  <si>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</si>
  <si>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</si>
  <si>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</si>
  <si>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</si>
  <si>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</si>
  <si>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</si>
  <si>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</si>
  <si>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</si>
  <si>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</si>
  <si>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</si>
  <si>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</si>
  <si>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</si>
  <si>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</si>
  <si>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</si>
  <si>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</si>
  <si>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</si>
  <si>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</si>
  <si>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</si>
  <si>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</si>
  <si>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</si>
  <si>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</si>
  <si>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</si>
  <si>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</si>
  <si>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</si>
  <si>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</si>
  <si>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</si>
  <si>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</si>
  <si>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</si>
  <si>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</si>
  <si>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</si>
  <si>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</si>
  <si>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</si>
  <si>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</si>
  <si>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</si>
  <si>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</si>
  <si>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</si>
  <si>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</si>
  <si>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</si>
  <si>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</si>
  <si>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</si>
  <si>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</si>
  <si>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</si>
  <si>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</si>
  <si>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</si>
  <si>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</si>
  <si>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</si>
  <si>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</si>
  <si>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</si>
  <si>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</si>
  <si>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</si>
  <si>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</si>
  <si>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</si>
  <si>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</si>
  <si>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</si>
  <si>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</si>
  <si>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</si>
  <si>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</si>
  <si>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</si>
  <si>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</si>
  <si>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</si>
  <si>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</si>
  <si>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</si>
  <si>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</si>
  <si>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</si>
  <si>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</si>
  <si>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</si>
  <si>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</si>
  <si>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</si>
  <si>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</si>
  <si>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</si>
  <si>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</si>
  <si>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</si>
  <si>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</si>
  <si>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</si>
  <si>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</si>
  <si>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</si>
  <si>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</si>
  <si>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</si>
  <si>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</si>
  <si>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</si>
  <si>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</si>
  <si>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</si>
  <si>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</si>
  <si>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r>
      <t>Congestion indicator 2: Travel Time Reliability</t>
    </r>
    <r>
      <rPr>
        <b/>
        <sz val="8"/>
        <color theme="1"/>
        <rFont val="Calibri"/>
        <family val="2"/>
        <scheme val="minor"/>
      </rPr>
      <t> </t>
    </r>
  </si>
  <si>
    <t>CommunityType_2016</t>
  </si>
  <si>
    <t>CommunityType_2040</t>
  </si>
  <si>
    <t>Increase multi-modal travel</t>
  </si>
  <si>
    <t>Multi-modal indicator 1: Street connectivity (total 3- and 4-way intersections per acre):</t>
  </si>
  <si>
    <t>Multi-modal indicator 2: Percent of total network centerline miles that are either off-street bike paths or streets with bike lanes:</t>
  </si>
  <si>
    <t>Project Area Bikeway Map</t>
  </si>
  <si>
    <t>Multi-modal indicator 3: Transit activity:</t>
  </si>
  <si>
    <r>
      <t>Transit service density near project area</t>
    </r>
    <r>
      <rPr>
        <b/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:</t>
    </r>
  </si>
  <si>
    <t>&lt;insert bikeway map here&gt;</t>
  </si>
  <si>
    <t>&lt;insert transit activity map here&gt;</t>
  </si>
  <si>
    <t>Promote Economic Prosperity</t>
  </si>
  <si>
    <t>Job Access</t>
  </si>
  <si>
    <t>Economic Prosperity Indicator 1: Access to jobs in all sectors by mode</t>
  </si>
  <si>
    <t>Economic Prosperity Indicator 2: Total new jobs added within 0.5mi of project area by 2040</t>
  </si>
  <si>
    <t>Within 0.25mi of project</t>
  </si>
  <si>
    <t>Within community type</t>
  </si>
  <si>
    <t>Within region</t>
  </si>
  <si>
    <t>Bike lanes and paths as share of total road miles</t>
  </si>
  <si>
    <t>Intersections per acre</t>
  </si>
  <si>
    <t>Economic Prosperity Indicator 3: Access to services*:</t>
  </si>
  <si>
    <t>*”Services” include parks, K-12 schools, higher education facilities, libraries, hospitals, other medical service facilities, grocery stores, pharmacies, clothing stores, and banks.</t>
  </si>
  <si>
    <t>School Access</t>
  </si>
  <si>
    <t>Economic Prosperity Indicator 4: K-12 Enrollment within 0.5mi of project location:</t>
  </si>
  <si>
    <t>Economic Prosperity Indicator 5: Education Facility (K12 schools and higher education) Access</t>
  </si>
  <si>
    <t>Support Ag Economy</t>
  </si>
  <si>
    <t>Economic Prosperity Indicator 6: Ag acreage share within 0.5mi of project location</t>
  </si>
  <si>
    <t>Improve Freight Movement</t>
  </si>
  <si>
    <t>*STAA = Surface Transportation Assistance Act. Under this act, designated STAA truck routes must meet federal design guidelines to safely accommodate large trucks.</t>
  </si>
  <si>
    <t>Freight Performance Indicator 1: Percent of project that is on federally-recognized STAA* truck route: 0%</t>
  </si>
  <si>
    <t>Map of project against STAA network</t>
  </si>
  <si>
    <t>&lt;insert STAA routes in project area map&gt;</t>
  </si>
  <si>
    <t>Freight Performance Indicator 2: Share of jobs within industrial sectors</t>
  </si>
  <si>
    <t>Freight Performance Indicator 3: Growth in industrial jobs within 0.5mi of project location</t>
  </si>
  <si>
    <t>Make a safer transportation system</t>
  </si>
  <si>
    <t>Note: Collision data only include collisions involving an injury or fatality and are from UC Berkeley’s Transportation Injury Mapping System (TIMS)</t>
  </si>
  <si>
    <t>Collision heat map of corridor</t>
  </si>
  <si>
    <t>Safety Indicator 1: Total collisions (2014-2018)</t>
  </si>
  <si>
    <t>&lt;insert collision heat map, with heat parameters scaled to zoom level?&gt;</t>
  </si>
  <si>
    <t>Safety Indicator 2: Collisions per million 100 MVMT*</t>
  </si>
  <si>
    <t>Safety Indicator 3: Fatalities and bike/pedestrian involvement</t>
  </si>
  <si>
    <t>project_cline_len</t>
  </si>
  <si>
    <t>Project Length (Centerline Miles)</t>
  </si>
  <si>
    <t>Maintain a state of good repair</t>
  </si>
  <si>
    <t>State of good repair indicator 1: PCI</t>
  </si>
  <si>
    <t>State of good repair indicator 2: AADT</t>
  </si>
  <si>
    <t>Promote Socioeconomic Equity</t>
  </si>
  <si>
    <t>Equity Indicator 2: Share of population that falls under EJ category</t>
  </si>
  <si>
    <t>Within 0.5mi of project location</t>
  </si>
  <si>
    <t>*EJ Categories include: &lt;insert categories here&gt;</t>
  </si>
  <si>
    <t>Equity Indicator 3: Accessibility for EJ populations from project segment*</t>
  </si>
  <si>
    <t>*Weighted based on population that lives both within 0.5mi of project segment and within an EJ area.</t>
  </si>
  <si>
    <t>Equity Indicator 1: Environmental justice (EJ) population within 0.5mi of project</t>
  </si>
  <si>
    <t>Total Jobs</t>
  </si>
  <si>
    <t>Entry-level Jobs</t>
  </si>
  <si>
    <t>Ed Facilities</t>
  </si>
  <si>
    <t>Services</t>
  </si>
  <si>
    <t>30-min walk</t>
  </si>
  <si>
    <t>30-min biking</t>
  </si>
  <si>
    <t>30-min drive</t>
  </si>
  <si>
    <t>45-min transit</t>
  </si>
  <si>
    <t>15-min drive</t>
  </si>
  <si>
    <t>VMT Indicator 1: Total change in jobs and dwelling units within 0.5mi of project:</t>
  </si>
  <si>
    <t>*The 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that people living in those households will either walk or bike to these destinations, or drive a shorter distance.</t>
  </si>
  <si>
    <r>
      <t>*Free-flow speed refers to the 85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
Congested speed is the average speed during the slowest four hours of a typical weekday and for most project segments is during the AM and PM peak periods.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</si>
</sst>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13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1F3763"/>
      <name val="Calibri Light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0" fontId="27" fillId="0" borderId="0" xfId="0" applyFont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0" fillId="0" borderId="2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9" fontId="0" fillId="0" borderId="20" xfId="2" applyFont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4" fontId="0" fillId="0" borderId="22" xfId="1" applyNumberFormat="1" applyFont="1" applyBorder="1"/>
    <xf numFmtId="0" fontId="0" fillId="0" borderId="22" xfId="0" applyBorder="1"/>
    <xf numFmtId="0" fontId="0" fillId="0" borderId="0" xfId="0" applyAlignment="1">
      <alignment vertical="center"/>
    </xf>
    <xf numFmtId="9" fontId="0" fillId="0" borderId="22" xfId="2" applyFont="1" applyBorder="1" applyAlignment="1">
      <alignment horizontal="left"/>
    </xf>
    <xf numFmtId="0" fontId="28" fillId="0" borderId="0" xfId="0" applyFont="1"/>
    <xf numFmtId="165" fontId="0" fillId="0" borderId="20" xfId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8" fillId="0" borderId="0" xfId="3" applyFont="1" applyAlignment="1">
      <alignment horizont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8" fillId="0" borderId="2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167" fontId="0" fillId="0" borderId="0" xfId="1" applyNumberFormat="1" applyFont="1" applyAlignment="1">
      <alignment horizontal="left"/>
    </xf>
    <xf numFmtId="3" fontId="0" fillId="0" borderId="22" xfId="0" applyNumberFormat="1" applyBorder="1"/>
    <xf numFmtId="9" fontId="0" fillId="0" borderId="2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8" fillId="0" borderId="0" xfId="0" applyFont="1" applyBorder="1" applyAlignment="1">
      <alignment vertical="center"/>
    </xf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_(* #,##0_);_(* \(#,##0\);_(* "-"??_);_(@_)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 within 1mi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_(* #,##0.00_);_(* \(#,##0.00\);_(* "-"??_);_(@_)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_(* #,##0.00_);_(* \(#,##0.00\);_(* "-"??_);_(@_)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Speeds*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1"/>
          <c:order val="1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2"/>
          <c:order val="2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Job Accessibility by Mode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22537084398976981"/>
          <c:w val="0.80231580396512936"/>
          <c:h val="0.580056521067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lookup_helper!$E$2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(lookup_helper!$D$43,lookup_helper!$D$44,lookup_helper!$D$45,lookup_helper!$D$46)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7-43AC-B556-577713FCE445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(lookup_helper!$F$43,lookup_helper!$F$44,lookup_helper!$F$45,lookup_helper!$F$46)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17-43AC-B556-577713FCE445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(lookup_helper!$G$43,lookup_helper!$G$44,lookup_helper!$G$45,lookup_helper!$G$46)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17-43AC-B556-577713FC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Service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(lookup_helper!$D$51,lookup_helper!$D$52,lookup_helper!$D$53,lookup_helper!$D$54)</c:f>
              <c:numCache>
                <c:formatCode>_(* #,##0_);_(* \(#,##0\);_(* "-"??_);_(@_)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EE-4C16-B6BC-53FADD444E3F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(lookup_helper!$F$51,lookup_helper!$F$52,lookup_helper!$F$53,lookup_helper!$F$54)</c:f>
              <c:numCache>
                <c:formatCode>_(* #,##0_);_(* \(#,##0\);_(* "-"??_);_(@_)</c:formatCode>
                <c:ptCount val="4"/>
                <c:pt idx="0">
                  <c:v>9.6835892389165004</c:v>
                </c:pt>
                <c:pt idx="1">
                  <c:v>43.011998510238037</c:v>
                </c:pt>
                <c:pt idx="2">
                  <c:v>144.64461021519989</c:v>
                </c:pt>
                <c:pt idx="3">
                  <c:v>25.241365850741079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EE-4C16-B6BC-53FADD444E3F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(lookup_helper!$G$51,lookup_helper!$G$52,lookup_helper!$G$53,lookup_helper!$G$54)</c:f>
              <c:numCache>
                <c:formatCode>_(* #,##0_);_(* \(#,##0\);_(* "-"??_);_(@_)</c:formatCode>
                <c:ptCount val="4"/>
                <c:pt idx="0">
                  <c:v>17.147198276435411</c:v>
                </c:pt>
                <c:pt idx="1">
                  <c:v>140.10012353515299</c:v>
                </c:pt>
                <c:pt idx="2">
                  <c:v>520.32769799543757</c:v>
                </c:pt>
                <c:pt idx="3">
                  <c:v>77.938922900995635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EE-4C16-B6BC-53FADD44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Education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lookup_helper!$D$47:$D$50</c:f>
              <c:numCache>
                <c:formatCode>_(* #,##0_);_(* \(#,##0\);_(* "-"??_);_(@_)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FB2-B332-E360D914229A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lookup_helper!$F$47:$F$50</c:f>
              <c:numCache>
                <c:formatCode>_(* #,##0_);_(* \(#,##0\);_(* "-"??_);_(@_)</c:formatCode>
                <c:ptCount val="4"/>
                <c:pt idx="0">
                  <c:v>2.8359657898456958</c:v>
                </c:pt>
                <c:pt idx="1">
                  <c:v>11.725412674938291</c:v>
                </c:pt>
                <c:pt idx="2">
                  <c:v>163.7723231043594</c:v>
                </c:pt>
                <c:pt idx="3">
                  <c:v>6.3673234849555804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FB2-B332-E360D914229A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lookup_helper!$G$47:$G$50</c:f>
              <c:numCache>
                <c:formatCode>_(* #,##0_);_(* \(#,##0\);_(* "-"??_);_(@_)</c:formatCode>
                <c:ptCount val="4"/>
                <c:pt idx="0">
                  <c:v>4.6382414187566914</c:v>
                </c:pt>
                <c:pt idx="1">
                  <c:v>38.186082797940898</c:v>
                </c:pt>
                <c:pt idx="2">
                  <c:v>492.55290133648589</c:v>
                </c:pt>
                <c:pt idx="3">
                  <c:v>19.46065842045931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FB2-B332-E360D914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lookup_helper!$B$5</c:f>
              <c:strCache>
                <c:ptCount val="1"/>
                <c:pt idx="0">
                  <c:v>Share of land that is Ag use within project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lookup_helper!$D$5:$E$5</c:f>
              <c:numCache>
                <c:formatCode>0%</c:formatCode>
                <c:ptCount val="2"/>
                <c:pt idx="0">
                  <c:v>0.1236248623319337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4D93-BAA4-2F8C28BC2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06704"/>
        <c:axId val="1818653760"/>
      </c:barChart>
      <c:catAx>
        <c:axId val="1814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53760"/>
        <c:crosses val="autoZero"/>
        <c:auto val="1"/>
        <c:lblAlgn val="ctr"/>
        <c:lblOffset val="100"/>
        <c:noMultiLvlLbl val="0"/>
      </c:catAx>
      <c:valAx>
        <c:axId val="18186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Industrial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lookup_helper!$D$59:$E$59</c:f>
              <c:numCache>
                <c:formatCode>0%</c:formatCode>
                <c:ptCount val="2"/>
                <c:pt idx="0">
                  <c:v>7.072357263990954E-2</c:v>
                </c:pt>
                <c:pt idx="1">
                  <c:v>4.853240442342649E-2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C-408F-93E4-698F12DD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38704"/>
        <c:axId val="1818661248"/>
      </c:barChart>
      <c:catAx>
        <c:axId val="18147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61248"/>
        <c:crosses val="autoZero"/>
        <c:auto val="1"/>
        <c:lblAlgn val="ctr"/>
        <c:lblOffset val="100"/>
        <c:noMultiLvlLbl val="0"/>
      </c:catAx>
      <c:valAx>
        <c:axId val="1818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and Bike-Ped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(lookup_helper!$D$90,lookup_helper!$D$93)</c:f>
              <c:numCache>
                <c:formatCode>0%</c:formatCode>
                <c:ptCount val="2"/>
                <c:pt idx="0">
                  <c:v>3.5714285714285719E-2</c:v>
                </c:pt>
                <c:pt idx="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26-4439-A329-B1396ECCEF32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(lookup_helper!$F$90,lookup_helper!$F$93)</c:f>
              <c:numCache>
                <c:formatCode>0%</c:formatCode>
                <c:ptCount val="2"/>
                <c:pt idx="0">
                  <c:v>2.7369826435246991E-2</c:v>
                </c:pt>
                <c:pt idx="1">
                  <c:v>0.13484646194926569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26-4439-A329-B1396ECCEF32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(lookup_helper!$G$90,lookup_helper!$G$93)</c:f>
              <c:numCache>
                <c:formatCode>0%</c:formatCode>
                <c:ptCount val="2"/>
                <c:pt idx="0">
                  <c:v>2.022900763358779E-2</c:v>
                </c:pt>
                <c:pt idx="1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26-4439-A329-B1396ECC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34367"/>
        <c:axId val="1541216127"/>
      </c:barChart>
      <c:catAx>
        <c:axId val="15771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16127"/>
        <c:crosses val="autoZero"/>
        <c:auto val="1"/>
        <c:lblAlgn val="ctr"/>
        <c:lblOffset val="100"/>
        <c:noMultiLvlLbl val="0"/>
      </c:catAx>
      <c:valAx>
        <c:axId val="15412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lookup_helper!$B$96:$B$99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lookup_helper!$D$96:$D$99</c:f>
              <c:numCache>
                <c:formatCode>#,##0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A6-BC0A-0C10C1D9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Entry-Level Job 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lookup_helper!$B$100:$B$103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lookup_helper!$D$100:$D$103</c:f>
              <c:numCache>
                <c:formatCode>#,##0</c:formatCode>
                <c:ptCount val="4"/>
                <c:pt idx="0">
                  <c:v>272.66024096385541</c:v>
                </c:pt>
                <c:pt idx="1">
                  <c:v>795.25333333333333</c:v>
                </c:pt>
                <c:pt idx="2">
                  <c:v>12386.82514056225</c:v>
                </c:pt>
                <c:pt idx="3">
                  <c:v>1514.9185542168671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6E9-A4BB-CF4983A9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</a:t>
            </a:r>
            <a:r>
              <a:rPr lang="en-US"/>
              <a:t>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lookup_helper!$B$104:$B$107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lookup_helper!$D$104:$D$107</c:f>
              <c:numCache>
                <c:formatCode>#,##0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EA-BE8F-7F402552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Services</a:t>
            </a:r>
            <a:r>
              <a:rPr lang="en-US" baseline="0"/>
              <a:t> </a:t>
            </a:r>
            <a:r>
              <a:rPr lang="en-US"/>
              <a:t>Accessibility for EJ Populations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lookup_helper!$B$108:$B$111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15-min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lookup_helper!$D$108:$D$111</c:f>
              <c:numCache>
                <c:formatCode>#,##0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EB5-8F8C-44C265FF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3</xdr:row>
      <xdr:rowOff>107950</xdr:rowOff>
    </xdr:from>
    <xdr:to>
      <xdr:col>6</xdr:col>
      <xdr:colOff>457200</xdr:colOff>
      <xdr:row>17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21</xdr:row>
      <xdr:rowOff>123825</xdr:rowOff>
    </xdr:from>
    <xdr:to>
      <xdr:col>6</xdr:col>
      <xdr:colOff>390525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157162</xdr:rowOff>
    </xdr:from>
    <xdr:to>
      <xdr:col>6</xdr:col>
      <xdr:colOff>508000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176211</xdr:colOff>
      <xdr:row>22</xdr:row>
      <xdr:rowOff>142874</xdr:rowOff>
    </xdr:from>
    <xdr:to>
      <xdr:col>7</xdr:col>
      <xdr:colOff>400049</xdr:colOff>
      <xdr:row>39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3</xdr:row>
      <xdr:rowOff>85724</xdr:rowOff>
    </xdr:from>
    <xdr:to>
      <xdr:col>8</xdr:col>
      <xdr:colOff>28574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0BACB-5C08-4A11-B1EB-FB14AAE94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28</xdr:row>
      <xdr:rowOff>19050</xdr:rowOff>
    </xdr:from>
    <xdr:to>
      <xdr:col>8</xdr:col>
      <xdr:colOff>14288</xdr:colOff>
      <xdr:row>45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91F7D-D208-4E3E-A62D-9353B734C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55</xdr:row>
      <xdr:rowOff>66675</xdr:rowOff>
    </xdr:from>
    <xdr:to>
      <xdr:col>8</xdr:col>
      <xdr:colOff>33338</xdr:colOff>
      <xdr:row>73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21BC6-AB07-4C13-AD66-3D890573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261937</xdr:colOff>
      <xdr:row>78</xdr:row>
      <xdr:rowOff>28575</xdr:rowOff>
    </xdr:from>
    <xdr:to>
      <xdr:col>7</xdr:col>
      <xdr:colOff>233362</xdr:colOff>
      <xdr:row>90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0EC27-DEA6-4571-95D8-5B4D47A5C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28</xdr:row>
      <xdr:rowOff>28575</xdr:rowOff>
    </xdr:from>
    <xdr:to>
      <xdr:col>6</xdr:col>
      <xdr:colOff>147637</xdr:colOff>
      <xdr:row>40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9722F-70FD-4B30-9971-4EC1689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45</xdr:row>
      <xdr:rowOff>76200</xdr:rowOff>
    </xdr:from>
    <xdr:to>
      <xdr:col>6</xdr:col>
      <xdr:colOff>314324</xdr:colOff>
      <xdr:row>62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B8924-6547-499F-8539-3023BC74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109536</xdr:colOff>
      <xdr:row>14</xdr:row>
      <xdr:rowOff>176211</xdr:rowOff>
    </xdr:from>
    <xdr:to>
      <xdr:col>5</xdr:col>
      <xdr:colOff>352424</xdr:colOff>
      <xdr:row>32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AA02D-C865-4729-B08E-BE03E345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44</xdr:row>
      <xdr:rowOff>85725</xdr:rowOff>
    </xdr:from>
    <xdr:to>
      <xdr:col>5</xdr:col>
      <xdr:colOff>300038</xdr:colOff>
      <xdr:row>58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BF543-A7FF-4787-BAD3-3676364C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59</xdr:row>
      <xdr:rowOff>85725</xdr:rowOff>
    </xdr:from>
    <xdr:to>
      <xdr:col>5</xdr:col>
      <xdr:colOff>319088</xdr:colOff>
      <xdr:row>72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DEDB4-1421-452B-82AE-DFC951CA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74</xdr:row>
      <xdr:rowOff>95251</xdr:rowOff>
    </xdr:from>
    <xdr:to>
      <xdr:col>5</xdr:col>
      <xdr:colOff>309563</xdr:colOff>
      <xdr:row>88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7AECB-7CAB-4120-9419-F2CDF244B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226</v>
      </c>
      <c r="E1" t="s">
        <v>117</v>
      </c>
      <c r="F1" t="s">
        <v>227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</v>
      </c>
      <c r="B3" t="s">
        <v>121</v>
      </c>
    </row>
    <row r="4" spans="1:7" x14ac:dyDescent="0.25">
      <c r="A4" t="s">
        <v>3</v>
      </c>
      <c r="B4">
        <v>60000</v>
      </c>
    </row>
    <row r="5" spans="1:7" x14ac:dyDescent="0.25">
      <c r="A5" t="s">
        <v>4</v>
      </c>
      <c r="B5">
        <v>60</v>
      </c>
    </row>
    <row r="6" spans="1:7" x14ac:dyDescent="0.25">
      <c r="A6" t="s">
        <v>5</v>
      </c>
      <c r="B6">
        <v>65</v>
      </c>
    </row>
    <row r="7" spans="1:7" x14ac:dyDescent="0.25">
      <c r="A7" t="s">
        <v>266</v>
      </c>
      <c r="B7">
        <v>1</v>
      </c>
    </row>
    <row r="8" spans="1:7" x14ac:dyDescent="0.25">
      <c r="A8" t="s">
        <v>6</v>
      </c>
      <c r="B8" t="s">
        <v>122</v>
      </c>
    </row>
    <row r="9" spans="1:7" x14ac:dyDescent="0.25">
      <c r="A9" s="3" t="s">
        <v>7</v>
      </c>
      <c r="B9" s="2">
        <v>1013.770763052209</v>
      </c>
      <c r="C9" s="2"/>
      <c r="D9" s="2">
        <v>1364.000856776242</v>
      </c>
      <c r="E9" s="2">
        <v>3842.410877719361</v>
      </c>
    </row>
    <row r="10" spans="1:7" x14ac:dyDescent="0.25">
      <c r="A10" s="3" t="s">
        <v>8</v>
      </c>
      <c r="B10" s="2">
        <v>2709.1952208835341</v>
      </c>
      <c r="C10" s="2"/>
      <c r="D10" s="2">
        <v>7127.5982283250496</v>
      </c>
      <c r="E10" s="2">
        <v>37354.023709342597</v>
      </c>
    </row>
    <row r="11" spans="1:7" x14ac:dyDescent="0.25">
      <c r="A11" s="3" t="s">
        <v>9</v>
      </c>
      <c r="B11" s="2">
        <v>45512.183253012037</v>
      </c>
      <c r="C11" s="2"/>
      <c r="D11" s="2">
        <v>115470.05312773889</v>
      </c>
      <c r="E11" s="2">
        <v>475047.24569611409</v>
      </c>
    </row>
    <row r="12" spans="1:7" x14ac:dyDescent="0.25">
      <c r="A12" s="3" t="s">
        <v>10</v>
      </c>
      <c r="B12" s="2">
        <v>6491.7790361445777</v>
      </c>
      <c r="C12" s="2"/>
      <c r="D12" s="2">
        <v>3942.7378655082048</v>
      </c>
      <c r="E12" s="2">
        <v>22213.193547074628</v>
      </c>
    </row>
    <row r="13" spans="1:7" x14ac:dyDescent="0.25">
      <c r="A13" s="3" t="s">
        <v>11</v>
      </c>
      <c r="B13" s="2">
        <v>1.2211646586345379</v>
      </c>
      <c r="C13" s="2"/>
      <c r="D13" s="2">
        <v>2.8359657898456958</v>
      </c>
      <c r="E13" s="2">
        <v>4.6382414187566914</v>
      </c>
    </row>
    <row r="14" spans="1:7" x14ac:dyDescent="0.25">
      <c r="A14" s="3" t="s">
        <v>12</v>
      </c>
      <c r="B14" s="2">
        <v>5.2928514056224891</v>
      </c>
      <c r="C14" s="2"/>
      <c r="D14" s="2">
        <v>11.725412674938291</v>
      </c>
      <c r="E14" s="2">
        <v>38.186082797940898</v>
      </c>
    </row>
    <row r="15" spans="1:7" x14ac:dyDescent="0.25">
      <c r="A15" s="3" t="s">
        <v>13</v>
      </c>
      <c r="B15" s="2">
        <v>94.170281124498004</v>
      </c>
      <c r="C15" s="2"/>
      <c r="D15" s="2">
        <v>163.7723231043594</v>
      </c>
      <c r="E15" s="2">
        <v>492.55290133648589</v>
      </c>
    </row>
    <row r="16" spans="1:7" x14ac:dyDescent="0.25">
      <c r="A16" s="3" t="s">
        <v>14</v>
      </c>
      <c r="B16" s="2">
        <v>10.89180722891566</v>
      </c>
      <c r="C16" s="2"/>
      <c r="D16" s="2">
        <v>6.3673234849555804</v>
      </c>
      <c r="E16" s="2">
        <v>19.46065842045931</v>
      </c>
    </row>
    <row r="17" spans="1:5" x14ac:dyDescent="0.25">
      <c r="A17" s="3" t="s">
        <v>15</v>
      </c>
      <c r="B17" s="2">
        <v>7.5514457831325306</v>
      </c>
      <c r="C17" s="2"/>
      <c r="D17" s="2">
        <v>9.6835892389165004</v>
      </c>
      <c r="E17" s="2">
        <v>17.147198276435411</v>
      </c>
    </row>
    <row r="18" spans="1:5" x14ac:dyDescent="0.25">
      <c r="A18" s="3" t="s">
        <v>16</v>
      </c>
      <c r="B18" s="2">
        <v>19.925100401606429</v>
      </c>
      <c r="C18" s="2"/>
      <c r="D18" s="2">
        <v>43.011998510238037</v>
      </c>
      <c r="E18" s="2">
        <v>140.10012353515299</v>
      </c>
    </row>
    <row r="19" spans="1:5" x14ac:dyDescent="0.25">
      <c r="A19" s="3" t="s">
        <v>17</v>
      </c>
      <c r="B19" s="2">
        <v>238.27309236947789</v>
      </c>
      <c r="C19" s="2"/>
      <c r="D19" s="2">
        <v>144.64461021519989</v>
      </c>
      <c r="E19" s="2">
        <v>520.32769799543757</v>
      </c>
    </row>
    <row r="20" spans="1:5" x14ac:dyDescent="0.25">
      <c r="A20" s="3" t="s">
        <v>18</v>
      </c>
      <c r="B20" s="2">
        <v>51.080883534136547</v>
      </c>
      <c r="C20" s="2"/>
      <c r="D20" s="2">
        <v>25.241365850741079</v>
      </c>
      <c r="E20" s="2">
        <v>77.938922900995635</v>
      </c>
    </row>
    <row r="21" spans="1:5" x14ac:dyDescent="0.25">
      <c r="A21" s="3" t="s">
        <v>19</v>
      </c>
      <c r="B21" s="2">
        <v>56</v>
      </c>
      <c r="C21" s="2"/>
      <c r="D21" s="2">
        <v>1498</v>
      </c>
      <c r="E21" s="2">
        <v>55020</v>
      </c>
    </row>
    <row r="22" spans="1:5" x14ac:dyDescent="0.25">
      <c r="A22" s="3" t="s">
        <v>20</v>
      </c>
      <c r="B22" s="3">
        <v>41.285465803940781</v>
      </c>
      <c r="C22" s="3"/>
      <c r="D22" s="3">
        <v>61.135362311155802</v>
      </c>
      <c r="E22">
        <v>63.369834818958772</v>
      </c>
    </row>
    <row r="23" spans="1:5" x14ac:dyDescent="0.25">
      <c r="A23" s="3" t="s">
        <v>21</v>
      </c>
      <c r="B23" s="3">
        <v>2</v>
      </c>
      <c r="C23" s="3"/>
      <c r="D23" s="3">
        <v>41</v>
      </c>
      <c r="E23">
        <v>1113</v>
      </c>
    </row>
    <row r="24" spans="1:5" x14ac:dyDescent="0.25">
      <c r="A24" s="3" t="s">
        <v>22</v>
      </c>
      <c r="B24" s="3">
        <v>1.474480921569314</v>
      </c>
      <c r="C24" s="3"/>
      <c r="D24" s="3">
        <v>1.6732642555122741</v>
      </c>
      <c r="E24">
        <v>1.2819088722919141</v>
      </c>
    </row>
    <row r="25" spans="1:5" x14ac:dyDescent="0.25">
      <c r="A25" s="3" t="s">
        <v>23</v>
      </c>
      <c r="B25" s="1">
        <v>3.5714285714285719E-2</v>
      </c>
      <c r="C25" s="3"/>
      <c r="D25" s="1">
        <v>2.7369826435246991E-2</v>
      </c>
      <c r="E25" s="1">
        <v>2.022900763358779E-2</v>
      </c>
    </row>
    <row r="26" spans="1:5" x14ac:dyDescent="0.25">
      <c r="A26" s="3" t="s">
        <v>24</v>
      </c>
      <c r="B26" s="3">
        <v>3</v>
      </c>
      <c r="C26" s="3"/>
      <c r="D26" s="3">
        <v>202</v>
      </c>
      <c r="E26">
        <v>6723</v>
      </c>
    </row>
    <row r="27" spans="1:5" x14ac:dyDescent="0.25">
      <c r="A27" s="1" t="s">
        <v>25</v>
      </c>
      <c r="B27" s="4">
        <v>2.1232525270598122</v>
      </c>
      <c r="C27" s="4"/>
      <c r="D27" s="4">
        <v>0.28524510017006321</v>
      </c>
      <c r="E27" s="5">
        <v>0.40140092908768138</v>
      </c>
    </row>
    <row r="28" spans="1:5" x14ac:dyDescent="0.25">
      <c r="A28" s="1" t="s">
        <v>26</v>
      </c>
      <c r="B28" s="1">
        <v>5.3571428571428568E-2</v>
      </c>
      <c r="C28" s="1"/>
      <c r="D28" s="1">
        <v>0.13484646194926569</v>
      </c>
      <c r="E28" s="1">
        <v>0.1221919302071974</v>
      </c>
    </row>
    <row r="29" spans="1:5" ht="14.25" customHeight="1" x14ac:dyDescent="0.25">
      <c r="A29" t="s">
        <v>27</v>
      </c>
      <c r="B29">
        <v>-1</v>
      </c>
    </row>
    <row r="30" spans="1:5" x14ac:dyDescent="0.25">
      <c r="A30" t="s">
        <v>28</v>
      </c>
      <c r="B30">
        <v>1</v>
      </c>
    </row>
    <row r="31" spans="1:5" x14ac:dyDescent="0.25">
      <c r="A31" t="s">
        <v>29</v>
      </c>
      <c r="B31">
        <v>7.8499999999999988</v>
      </c>
    </row>
    <row r="32" spans="1:5" x14ac:dyDescent="0.25">
      <c r="A32" t="s">
        <v>30</v>
      </c>
      <c r="B32" s="2">
        <v>1175.845221386116</v>
      </c>
    </row>
    <row r="33" spans="1:5" x14ac:dyDescent="0.25">
      <c r="A33" t="s">
        <v>31</v>
      </c>
      <c r="B33">
        <v>145.36370361752071</v>
      </c>
    </row>
    <row r="34" spans="1:5" x14ac:dyDescent="0.25">
      <c r="A34" t="s">
        <v>32</v>
      </c>
      <c r="B34">
        <v>0.1236248623319337</v>
      </c>
    </row>
    <row r="35" spans="1:5" x14ac:dyDescent="0.25">
      <c r="A35" t="s">
        <v>33</v>
      </c>
      <c r="B35" s="5">
        <v>0.1021114271418558</v>
      </c>
      <c r="C35" s="5"/>
      <c r="D35" s="5">
        <v>5.8844134774233253E-2</v>
      </c>
      <c r="E35" s="5">
        <v>1.480071598380431E-2</v>
      </c>
    </row>
    <row r="36" spans="1:5" x14ac:dyDescent="0.25">
      <c r="A36" t="s">
        <v>34</v>
      </c>
      <c r="B36" s="7"/>
    </row>
    <row r="37" spans="1:5" x14ac:dyDescent="0.25">
      <c r="A37" t="s">
        <v>35</v>
      </c>
      <c r="B37" s="7"/>
    </row>
    <row r="38" spans="1:5" x14ac:dyDescent="0.25">
      <c r="A38" t="s">
        <v>36</v>
      </c>
      <c r="B38" s="7"/>
    </row>
    <row r="39" spans="1:5" x14ac:dyDescent="0.25">
      <c r="A39" t="s">
        <v>37</v>
      </c>
      <c r="B39" s="7"/>
    </row>
    <row r="40" spans="1:5" x14ac:dyDescent="0.25">
      <c r="A40" t="s">
        <v>38</v>
      </c>
      <c r="B40" s="7"/>
    </row>
    <row r="41" spans="1:5" x14ac:dyDescent="0.25">
      <c r="A41" t="s">
        <v>39</v>
      </c>
      <c r="B41" s="7"/>
    </row>
    <row r="42" spans="1:5" x14ac:dyDescent="0.25">
      <c r="A42" t="s">
        <v>40</v>
      </c>
      <c r="B42" s="7"/>
    </row>
    <row r="43" spans="1:5" x14ac:dyDescent="0.25">
      <c r="A43" t="s">
        <v>41</v>
      </c>
      <c r="B43" s="7"/>
    </row>
    <row r="44" spans="1:5" x14ac:dyDescent="0.25">
      <c r="A44" t="s">
        <v>42</v>
      </c>
      <c r="B44" s="7"/>
    </row>
    <row r="45" spans="1:5" x14ac:dyDescent="0.25">
      <c r="A45" t="s">
        <v>43</v>
      </c>
      <c r="B45" s="7"/>
    </row>
    <row r="46" spans="1:5" x14ac:dyDescent="0.25">
      <c r="A46" t="s">
        <v>44</v>
      </c>
      <c r="B46" s="7"/>
    </row>
    <row r="47" spans="1:5" x14ac:dyDescent="0.25">
      <c r="A47" t="s">
        <v>45</v>
      </c>
      <c r="B47" s="7"/>
    </row>
    <row r="48" spans="1:5" x14ac:dyDescent="0.25">
      <c r="A48" t="s">
        <v>46</v>
      </c>
      <c r="B48" s="7"/>
    </row>
    <row r="49" spans="1:5" x14ac:dyDescent="0.25">
      <c r="A49" t="s">
        <v>47</v>
      </c>
      <c r="B49" s="7"/>
    </row>
    <row r="50" spans="1:5" x14ac:dyDescent="0.25">
      <c r="A50" t="s">
        <v>48</v>
      </c>
      <c r="B50" s="7">
        <v>7460.2525126650989</v>
      </c>
    </row>
    <row r="51" spans="1:5" x14ac:dyDescent="0.25">
      <c r="A51" t="s">
        <v>49</v>
      </c>
      <c r="B51" s="7">
        <v>63.359266107107317</v>
      </c>
    </row>
    <row r="52" spans="1:5" x14ac:dyDescent="0.25">
      <c r="A52" t="s">
        <v>50</v>
      </c>
      <c r="B52" s="7">
        <v>39.857150159123393</v>
      </c>
    </row>
    <row r="53" spans="1:5" x14ac:dyDescent="0.25">
      <c r="A53" t="s">
        <v>51</v>
      </c>
      <c r="B53" s="7">
        <v>1.1478152403679189</v>
      </c>
    </row>
    <row r="54" spans="1:5" x14ac:dyDescent="0.25">
      <c r="A54" t="s">
        <v>52</v>
      </c>
      <c r="B54" s="7">
        <v>1.162867114075685</v>
      </c>
    </row>
    <row r="55" spans="1:5" x14ac:dyDescent="0.25">
      <c r="A55" t="s">
        <v>53</v>
      </c>
      <c r="B55" s="7">
        <v>1.323087321541778</v>
      </c>
    </row>
    <row r="56" spans="1:5" x14ac:dyDescent="0.25">
      <c r="A56" t="s">
        <v>54</v>
      </c>
      <c r="B56" s="7">
        <v>1.2010105753672351</v>
      </c>
    </row>
    <row r="57" spans="1:5" x14ac:dyDescent="0.25">
      <c r="A57" t="s">
        <v>55</v>
      </c>
      <c r="B57" s="7">
        <v>7460.2525126827086</v>
      </c>
    </row>
    <row r="58" spans="1:5" x14ac:dyDescent="0.25">
      <c r="A58" t="s">
        <v>56</v>
      </c>
      <c r="B58" s="7">
        <v>66.431990942696686</v>
      </c>
    </row>
    <row r="59" spans="1:5" x14ac:dyDescent="0.25">
      <c r="A59" t="s">
        <v>57</v>
      </c>
      <c r="B59" s="7">
        <v>54.409268026535017</v>
      </c>
    </row>
    <row r="60" spans="1:5" x14ac:dyDescent="0.25">
      <c r="A60" t="s">
        <v>58</v>
      </c>
      <c r="B60" s="7">
        <v>1.081819835884438</v>
      </c>
    </row>
    <row r="61" spans="1:5" x14ac:dyDescent="0.25">
      <c r="A61" t="s">
        <v>59</v>
      </c>
      <c r="B61" s="7">
        <v>1.091630634013671</v>
      </c>
    </row>
    <row r="62" spans="1:5" x14ac:dyDescent="0.25">
      <c r="A62" t="s">
        <v>60</v>
      </c>
      <c r="B62" s="7">
        <v>1.10910333948567</v>
      </c>
    </row>
    <row r="63" spans="1:5" x14ac:dyDescent="0.25">
      <c r="A63" t="s">
        <v>61</v>
      </c>
      <c r="B63" s="7">
        <v>1.0947187607200981</v>
      </c>
    </row>
    <row r="64" spans="1:5" x14ac:dyDescent="0.25">
      <c r="A64" s="2" t="s">
        <v>62</v>
      </c>
      <c r="B64" s="2">
        <v>1.872619731652339</v>
      </c>
      <c r="D64">
        <v>7.4149284958128156E-2</v>
      </c>
      <c r="E64">
        <v>7.332683167880813E-2</v>
      </c>
    </row>
    <row r="65" spans="1:5" x14ac:dyDescent="0.25">
      <c r="A65" s="2" t="s">
        <v>63</v>
      </c>
      <c r="B65" s="2">
        <v>0.33368336973414081</v>
      </c>
      <c r="D65">
        <v>9.9496332560479198E-2</v>
      </c>
      <c r="E65">
        <v>0.1052465714535069</v>
      </c>
    </row>
    <row r="66" spans="1:5" x14ac:dyDescent="0.25">
      <c r="A66" s="2" t="s">
        <v>64</v>
      </c>
      <c r="B66" s="2" t="s">
        <v>119</v>
      </c>
    </row>
    <row r="67" spans="1:5" x14ac:dyDescent="0.25">
      <c r="A67" s="2" t="s">
        <v>65</v>
      </c>
      <c r="B67" s="2">
        <v>1.3624389724527719</v>
      </c>
    </row>
    <row r="68" spans="1:5" x14ac:dyDescent="0.25">
      <c r="A68" s="2" t="s">
        <v>66</v>
      </c>
      <c r="B68" s="2">
        <v>1.475654647382425</v>
      </c>
    </row>
    <row r="69" spans="1:5" x14ac:dyDescent="0.25">
      <c r="A69" s="2" t="s">
        <v>67</v>
      </c>
      <c r="B69" s="2">
        <v>2.8380936198351971</v>
      </c>
      <c r="D69">
        <v>1.4432109489386511</v>
      </c>
      <c r="E69">
        <v>0.38506745756398192</v>
      </c>
    </row>
    <row r="70" spans="1:5" x14ac:dyDescent="0.25">
      <c r="A70" s="2" t="s">
        <v>68</v>
      </c>
      <c r="B70" s="2">
        <v>1747</v>
      </c>
    </row>
    <row r="71" spans="1:5" x14ac:dyDescent="0.25">
      <c r="A71" s="2" t="s">
        <v>69</v>
      </c>
      <c r="B71" s="2">
        <v>4050</v>
      </c>
    </row>
    <row r="72" spans="1:5" x14ac:dyDescent="0.25">
      <c r="A72" s="2" t="s">
        <v>70</v>
      </c>
      <c r="B72" s="2">
        <v>0.69863722615145762</v>
      </c>
      <c r="D72">
        <v>0.34730153421679688</v>
      </c>
      <c r="E72">
        <v>0.3746385676273582</v>
      </c>
    </row>
    <row r="73" spans="1:5" x14ac:dyDescent="0.25">
      <c r="A73" s="2" t="s">
        <v>71</v>
      </c>
      <c r="B73" s="2">
        <v>1013.770763052209</v>
      </c>
    </row>
    <row r="74" spans="1:5" x14ac:dyDescent="0.25">
      <c r="A74" s="2" t="s">
        <v>72</v>
      </c>
      <c r="B74" s="2">
        <v>2709.1952208835341</v>
      </c>
    </row>
    <row r="75" spans="1:5" x14ac:dyDescent="0.25">
      <c r="A75" s="1" t="s">
        <v>73</v>
      </c>
      <c r="B75" s="2">
        <v>45512.183253012037</v>
      </c>
    </row>
    <row r="76" spans="1:5" x14ac:dyDescent="0.25">
      <c r="A76" s="1" t="s">
        <v>74</v>
      </c>
      <c r="B76" s="2">
        <v>6491.7790361445777</v>
      </c>
    </row>
    <row r="77" spans="1:5" x14ac:dyDescent="0.25">
      <c r="A77" s="1" t="s">
        <v>75</v>
      </c>
      <c r="B77" s="2">
        <v>272.66024096385541</v>
      </c>
    </row>
    <row r="78" spans="1:5" x14ac:dyDescent="0.25">
      <c r="A78" s="1" t="s">
        <v>76</v>
      </c>
      <c r="B78" s="2">
        <v>795.25333333333333</v>
      </c>
    </row>
    <row r="79" spans="1:5" x14ac:dyDescent="0.25">
      <c r="A79" s="1" t="s">
        <v>77</v>
      </c>
      <c r="B79" s="2">
        <v>12386.82514056225</v>
      </c>
    </row>
    <row r="80" spans="1:5" x14ac:dyDescent="0.25">
      <c r="A80" s="1" t="s">
        <v>78</v>
      </c>
      <c r="B80" s="2">
        <v>1514.9185542168671</v>
      </c>
    </row>
    <row r="81" spans="1:3" x14ac:dyDescent="0.25">
      <c r="A81" t="s">
        <v>79</v>
      </c>
      <c r="B81" s="2">
        <v>1.2211646586345379</v>
      </c>
    </row>
    <row r="82" spans="1:3" x14ac:dyDescent="0.25">
      <c r="A82" t="s">
        <v>80</v>
      </c>
      <c r="B82" s="2">
        <v>5.2928514056224891</v>
      </c>
    </row>
    <row r="83" spans="1:3" x14ac:dyDescent="0.25">
      <c r="A83" t="s">
        <v>81</v>
      </c>
      <c r="B83" s="2">
        <v>94.170281124498004</v>
      </c>
    </row>
    <row r="84" spans="1:3" x14ac:dyDescent="0.25">
      <c r="A84" t="s">
        <v>82</v>
      </c>
      <c r="B84" s="2">
        <v>10.89180722891566</v>
      </c>
    </row>
    <row r="85" spans="1:3" x14ac:dyDescent="0.25">
      <c r="A85" t="s">
        <v>83</v>
      </c>
      <c r="B85" s="2">
        <v>7.5514457831325306</v>
      </c>
    </row>
    <row r="86" spans="1:3" x14ac:dyDescent="0.25">
      <c r="A86" t="s">
        <v>84</v>
      </c>
      <c r="B86" s="2">
        <v>19.925100401606429</v>
      </c>
    </row>
    <row r="87" spans="1:3" x14ac:dyDescent="0.25">
      <c r="A87" t="s">
        <v>85</v>
      </c>
      <c r="B87" s="2">
        <v>238.27309236947789</v>
      </c>
    </row>
    <row r="88" spans="1:3" x14ac:dyDescent="0.25">
      <c r="A88" t="s">
        <v>86</v>
      </c>
      <c r="B88" s="2">
        <v>51.080883534136547</v>
      </c>
    </row>
    <row r="89" spans="1:3" x14ac:dyDescent="0.25">
      <c r="A89" t="s">
        <v>87</v>
      </c>
      <c r="B89" s="2">
        <v>5797</v>
      </c>
      <c r="C89" s="2">
        <v>6115</v>
      </c>
    </row>
    <row r="90" spans="1:3" x14ac:dyDescent="0.25">
      <c r="A90" t="s">
        <v>88</v>
      </c>
      <c r="B90" s="2">
        <v>1916</v>
      </c>
      <c r="C90" s="2">
        <v>2072.611115859987</v>
      </c>
    </row>
    <row r="91" spans="1:3" x14ac:dyDescent="0.25">
      <c r="A91" t="s">
        <v>89</v>
      </c>
      <c r="B91" s="2">
        <v>1769</v>
      </c>
      <c r="C91" s="2">
        <v>2761.6599999999989</v>
      </c>
    </row>
    <row r="92" spans="1:3" x14ac:dyDescent="0.25">
      <c r="A92" t="s">
        <v>90</v>
      </c>
      <c r="B92" s="2">
        <v>657</v>
      </c>
      <c r="C92" s="2">
        <v>796</v>
      </c>
    </row>
    <row r="93" spans="1:3" x14ac:dyDescent="0.25">
      <c r="A93" t="s">
        <v>91</v>
      </c>
      <c r="B93" s="2">
        <v>125.11</v>
      </c>
      <c r="C93" s="2">
        <v>134.03</v>
      </c>
    </row>
    <row r="94" spans="1:3" x14ac:dyDescent="0.25">
      <c r="A94" t="s">
        <v>92</v>
      </c>
      <c r="B94" s="2">
        <v>19593</v>
      </c>
      <c r="C94" s="2">
        <v>21044</v>
      </c>
    </row>
    <row r="95" spans="1:3" x14ac:dyDescent="0.25">
      <c r="A95" t="s">
        <v>93</v>
      </c>
      <c r="B95" s="2">
        <v>6806</v>
      </c>
      <c r="C95" s="2">
        <v>7661</v>
      </c>
    </row>
    <row r="96" spans="1:3" x14ac:dyDescent="0.25">
      <c r="A96" t="s">
        <v>94</v>
      </c>
      <c r="B96" s="2">
        <v>10373</v>
      </c>
      <c r="C96" s="2">
        <v>10477</v>
      </c>
    </row>
    <row r="97" spans="1:7" x14ac:dyDescent="0.25">
      <c r="A97" t="s">
        <v>95</v>
      </c>
      <c r="B97" s="2">
        <v>184</v>
      </c>
      <c r="C97" s="2">
        <v>294</v>
      </c>
    </row>
    <row r="98" spans="1:7" x14ac:dyDescent="0.25">
      <c r="A98" t="s">
        <v>96</v>
      </c>
      <c r="B98" s="2">
        <v>381</v>
      </c>
      <c r="C98" s="2">
        <v>429</v>
      </c>
    </row>
    <row r="99" spans="1:7" x14ac:dyDescent="0.25">
      <c r="A99" t="s">
        <v>97</v>
      </c>
      <c r="B99" s="2">
        <v>1526</v>
      </c>
      <c r="C99" s="2">
        <v>1827</v>
      </c>
    </row>
    <row r="100" spans="1:7" x14ac:dyDescent="0.25">
      <c r="A100" t="s">
        <v>98</v>
      </c>
      <c r="B100" s="1">
        <v>7.072357263990954E-2</v>
      </c>
      <c r="C100" s="1">
        <v>4.853240442342649E-2</v>
      </c>
      <c r="D100" s="1">
        <v>0.1343871705182399</v>
      </c>
      <c r="E100" s="1">
        <v>0.13021497769289109</v>
      </c>
    </row>
    <row r="101" spans="1:7" x14ac:dyDescent="0.25">
      <c r="A101" t="s">
        <v>99</v>
      </c>
      <c r="B101">
        <v>0.34736895830143422</v>
      </c>
      <c r="C101">
        <v>0.36404675917126023</v>
      </c>
    </row>
    <row r="102" spans="1:7" x14ac:dyDescent="0.25">
      <c r="A102" t="s">
        <v>100</v>
      </c>
      <c r="B102">
        <v>0.5294237737967642</v>
      </c>
      <c r="C102">
        <v>0.49786162326553879</v>
      </c>
    </row>
    <row r="103" spans="1:7" x14ac:dyDescent="0.25">
      <c r="A103" t="s">
        <v>101</v>
      </c>
      <c r="B103">
        <v>9.3911090695656604E-3</v>
      </c>
      <c r="C103">
        <v>1.397072799847938E-2</v>
      </c>
    </row>
    <row r="104" spans="1:7" x14ac:dyDescent="0.25">
      <c r="A104" t="s">
        <v>102</v>
      </c>
      <c r="B104">
        <v>1.9445720410350639E-2</v>
      </c>
      <c r="C104">
        <v>2.0385858201862759E-2</v>
      </c>
    </row>
    <row r="105" spans="1:7" x14ac:dyDescent="0.25">
      <c r="A105" t="s">
        <v>103</v>
      </c>
      <c r="B105">
        <v>7.7884958913897823E-2</v>
      </c>
      <c r="C105">
        <v>8.6818095419121846E-2</v>
      </c>
    </row>
    <row r="106" spans="1:7" x14ac:dyDescent="0.25">
      <c r="A106" t="s">
        <v>104</v>
      </c>
      <c r="B106" s="2">
        <v>3685</v>
      </c>
      <c r="C106" s="2">
        <v>4834.2711158599859</v>
      </c>
    </row>
    <row r="107" spans="1:7" x14ac:dyDescent="0.25">
      <c r="A107" t="s">
        <v>105</v>
      </c>
      <c r="B107">
        <v>13.047842643653521</v>
      </c>
      <c r="C107">
        <v>69.301955921047991</v>
      </c>
    </row>
    <row r="108" spans="1:7" x14ac:dyDescent="0.25">
      <c r="A108" t="s">
        <v>106</v>
      </c>
      <c r="B108">
        <v>1.3710956366053659</v>
      </c>
      <c r="C108">
        <v>1.3582230858271871</v>
      </c>
    </row>
    <row r="109" spans="1:7" x14ac:dyDescent="0.25">
      <c r="A109" t="s">
        <v>107</v>
      </c>
      <c r="B109" s="5">
        <v>0.68447077769432152</v>
      </c>
      <c r="C109" s="5">
        <v>0.68192319179405259</v>
      </c>
      <c r="D109" s="5">
        <v>0.62622069700880123</v>
      </c>
      <c r="E109" s="5">
        <v>0.99998912009623475</v>
      </c>
      <c r="F109" s="5">
        <v>0.65824713128427348</v>
      </c>
      <c r="G109" s="5">
        <v>0.93085349575304976</v>
      </c>
    </row>
    <row r="110" spans="1:7" x14ac:dyDescent="0.25">
      <c r="A110" t="s">
        <v>108</v>
      </c>
      <c r="B110" s="2">
        <v>286</v>
      </c>
      <c r="C110" s="2">
        <v>286</v>
      </c>
    </row>
    <row r="111" spans="1:7" x14ac:dyDescent="0.25">
      <c r="A111" t="s">
        <v>109</v>
      </c>
      <c r="B111" s="2">
        <v>2616</v>
      </c>
      <c r="C111" s="2">
        <v>2720.6935227499798</v>
      </c>
    </row>
    <row r="112" spans="1:7" x14ac:dyDescent="0.25">
      <c r="A112" t="s">
        <v>110</v>
      </c>
      <c r="B112" s="2">
        <v>434</v>
      </c>
      <c r="C112" s="2">
        <v>626.72434688000021</v>
      </c>
    </row>
    <row r="113" spans="1:3" x14ac:dyDescent="0.25">
      <c r="A113" t="s">
        <v>111</v>
      </c>
      <c r="B113" s="2">
        <v>757</v>
      </c>
      <c r="C113" s="2">
        <v>832.51186869999992</v>
      </c>
    </row>
    <row r="114" spans="1:3" x14ac:dyDescent="0.25">
      <c r="A114" t="s">
        <v>112</v>
      </c>
      <c r="B114" s="2">
        <v>27</v>
      </c>
      <c r="C114" s="2">
        <v>99.321348959999995</v>
      </c>
    </row>
    <row r="115" spans="1:3" x14ac:dyDescent="0.25">
      <c r="A115" t="s">
        <v>113</v>
      </c>
      <c r="B115" s="2">
        <v>567</v>
      </c>
      <c r="C115" s="2">
        <v>583.34135052999795</v>
      </c>
    </row>
    <row r="116" spans="1:3" x14ac:dyDescent="0.25">
      <c r="A116" t="s">
        <v>114</v>
      </c>
      <c r="B116" s="6">
        <v>145.36370361752071</v>
      </c>
      <c r="C116" s="6">
        <v>120.6959734688332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dimension ref="A1:R118"/>
  <sheetViews>
    <sheetView workbookViewId="0">
      <pane ySplit="1" topLeftCell="A65" activePane="bottomLeft" state="frozen"/>
      <selection activeCell="B1" sqref="B1"/>
      <selection pane="bottomLeft" activeCell="P95" sqref="P95:R113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24.140625" bestFit="1" customWidth="1"/>
  </cols>
  <sheetData>
    <row r="1" spans="1:18" x14ac:dyDescent="0.25">
      <c r="D1" t="s">
        <v>115</v>
      </c>
      <c r="E1" t="s">
        <v>116</v>
      </c>
      <c r="F1" t="s">
        <v>226</v>
      </c>
      <c r="G1" t="s">
        <v>117</v>
      </c>
      <c r="H1" t="s">
        <v>227</v>
      </c>
      <c r="I1" t="s">
        <v>118</v>
      </c>
    </row>
    <row r="2" spans="1:18" x14ac:dyDescent="0.25">
      <c r="D2" t="s">
        <v>220</v>
      </c>
      <c r="E2" t="s">
        <v>220</v>
      </c>
      <c r="F2" t="s">
        <v>221</v>
      </c>
      <c r="G2" t="s">
        <v>222</v>
      </c>
      <c r="H2" t="s">
        <v>221</v>
      </c>
      <c r="I2" t="s">
        <v>222</v>
      </c>
    </row>
    <row r="3" spans="1:18" x14ac:dyDescent="0.25">
      <c r="A3" t="s">
        <v>129</v>
      </c>
      <c r="B3" s="29" t="s">
        <v>130</v>
      </c>
      <c r="C3" t="s">
        <v>149</v>
      </c>
      <c r="D3">
        <v>2016</v>
      </c>
      <c r="E3">
        <v>2040</v>
      </c>
      <c r="F3" t="s">
        <v>202</v>
      </c>
      <c r="G3" t="s">
        <v>204</v>
      </c>
      <c r="H3" t="s">
        <v>203</v>
      </c>
      <c r="I3" t="s">
        <v>205</v>
      </c>
      <c r="J3" t="s">
        <v>177</v>
      </c>
    </row>
    <row r="4" spans="1:18" x14ac:dyDescent="0.25">
      <c r="A4" t="s">
        <v>31</v>
      </c>
      <c r="B4" s="29" t="s">
        <v>162</v>
      </c>
      <c r="C4" t="s">
        <v>212</v>
      </c>
      <c r="D4" s="2">
        <f>VLOOKUP($A4,import!$A:$G,MATCH(lookup_helper!D$1,import!$A$1:$G$1,0),FALSE)</f>
        <v>145.36370361752071</v>
      </c>
      <c r="E4" s="2">
        <f>VLOOKUP($A4,import!$A:$G,MATCH(lookup_helper!E$1,import!$A$1:$G$1,0),FALSE)</f>
        <v>0</v>
      </c>
      <c r="F4" s="2">
        <f>VLOOKUP($A4,import!$A:$G,MATCH(lookup_helper!F$1,import!$A$1:$G$1,0),FALSE)</f>
        <v>0</v>
      </c>
      <c r="G4" s="2">
        <f>VLOOKUP($A4,import!$A:$G,MATCH(lookup_helper!G$1,import!$A$1:$G$1,0),FALSE)</f>
        <v>0</v>
      </c>
      <c r="H4" s="2">
        <f>VLOOKUP($A4,import!$A:$G,MATCH(lookup_helper!H$1,import!$A$1:$G$1,0),FALSE)</f>
        <v>0</v>
      </c>
      <c r="I4" s="2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163</v>
      </c>
      <c r="C5" t="s">
        <v>212</v>
      </c>
      <c r="D5" s="1">
        <f>VLOOKUP($A5,import!$A:$G,MATCH(lookup_helper!D$1,import!$A$1:$G$1,0),FALSE)</f>
        <v>0.1236248623319337</v>
      </c>
      <c r="E5" s="1">
        <f>VLOOKUP($A5,import!$A:$G,MATCH(lookup_helper!E$1,import!$A$1:$G$1,0),FALSE)</f>
        <v>0</v>
      </c>
      <c r="F5" s="1">
        <f>VLOOKUP($A5,import!$A:$G,MATCH(lookup_helper!F$1,import!$A$1:$G$1,0),FALSE)</f>
        <v>0</v>
      </c>
      <c r="G5" s="1">
        <f>VLOOKUP($A5,import!$A:$G,MATCH(lookup_helper!G$1,import!$A$1:$G$1,0),FALSE)</f>
        <v>0</v>
      </c>
      <c r="H5" s="1">
        <f>VLOOKUP($A5,import!$A:$G,MATCH(lookup_helper!H$1,import!$A$1:$G$1,0),FALSE)</f>
        <v>0</v>
      </c>
      <c r="I5" s="1">
        <f>VLOOKUP($A5,import!$A:$G,MATCH(lookup_helper!I$1,import!$A$1:$G$1,0),FALSE)</f>
        <v>0</v>
      </c>
      <c r="P5" s="15" t="s">
        <v>170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215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191</v>
      </c>
      <c r="C7" t="s">
        <v>215</v>
      </c>
      <c r="D7" s="1">
        <f>VLOOKUP($A7,import!$A:$G,MATCH(lookup_helper!D$1,import!$A$1:$G$1,0),FALSE)</f>
        <v>0.34736895830143422</v>
      </c>
      <c r="E7" s="1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171</v>
      </c>
      <c r="Q7" s="19" t="str">
        <f>IF(SUMIFS($D$19:$D$42,$J$19:$J$42,"NB")&gt;0,"NB","EB")</f>
        <v>EB</v>
      </c>
      <c r="R7" s="20" t="str">
        <f>IF(SUMIFS($D$19:$D$42,$J$19:$J$42,"SB")&gt;0,"SB","WB")</f>
        <v>WB</v>
      </c>
    </row>
    <row r="8" spans="1:18" x14ac:dyDescent="0.25">
      <c r="A8" t="s">
        <v>100</v>
      </c>
      <c r="B8" s="29" t="s">
        <v>192</v>
      </c>
      <c r="C8" t="s">
        <v>215</v>
      </c>
      <c r="D8" s="1">
        <f>VLOOKUP($A8,import!$A:$G,MATCH(lookup_helper!D$1,import!$A$1:$G$1,0),FALSE)</f>
        <v>0.5294237737967642</v>
      </c>
      <c r="E8" s="1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165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193</v>
      </c>
      <c r="C9" t="s">
        <v>215</v>
      </c>
      <c r="D9" s="1">
        <f>VLOOKUP($A9,import!$A:$G,MATCH(lookup_helper!D$1,import!$A$1:$G$1,0),FALSE)</f>
        <v>9.3911090695656604E-3</v>
      </c>
      <c r="E9" s="1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166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194</v>
      </c>
      <c r="C10" t="s">
        <v>215</v>
      </c>
      <c r="D10" s="1">
        <f>VLOOKUP($A10,import!$A:$G,MATCH(lookup_helper!D$1,import!$A$1:$G$1,0),FALSE)</f>
        <v>1.9445720410350639E-2</v>
      </c>
      <c r="E10" s="1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195</v>
      </c>
      <c r="C11" t="s">
        <v>215</v>
      </c>
      <c r="D11" s="1">
        <f>VLOOKUP($A11,import!$A:$G,MATCH(lookup_helper!D$1,import!$A$1:$G$1,0),FALSE)</f>
        <v>7.7884958913897823E-2</v>
      </c>
      <c r="E11" s="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215</v>
      </c>
      <c r="D12" s="2">
        <f>VLOOKUP($A12,import!$A:$G,MATCH(lookup_helper!D$1,import!$A$1:$G$1,0),FALSE)</f>
        <v>567</v>
      </c>
      <c r="E12" s="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215</v>
      </c>
      <c r="D13" s="2">
        <f>VLOOKUP($A13,import!$A:$G,MATCH(lookup_helper!D$1,import!$A$1:$G$1,0),FALSE)</f>
        <v>2616</v>
      </c>
      <c r="E13" s="2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172</v>
      </c>
      <c r="Q13" s="19" t="str">
        <f>IF(SUMIFS($D$19:$D$42,$J$19:$J$42,"NB")&gt;0,"NB","EB")</f>
        <v>EB</v>
      </c>
      <c r="R13" s="20" t="str">
        <f>IF(SUMIFS($D$19:$D$42,$J$19:$J$42,"SB")&gt;0,"SB","WB")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215</v>
      </c>
      <c r="D14" s="2">
        <f>VLOOKUP($A14,import!$A:$G,MATCH(lookup_helper!D$1,import!$A$1:$G$1,0),FALSE)</f>
        <v>757</v>
      </c>
      <c r="E14" s="2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167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215</v>
      </c>
      <c r="D15" s="2">
        <f>VLOOKUP($A15,import!$A:$G,MATCH(lookup_helper!D$1,import!$A$1:$G$1,0),FALSE)</f>
        <v>434</v>
      </c>
      <c r="E15" s="2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223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215</v>
      </c>
      <c r="D16" s="2">
        <f>VLOOKUP($A16,import!$A:$G,MATCH(lookup_helper!D$1,import!$A$1:$G$1,0),FALSE)</f>
        <v>286</v>
      </c>
      <c r="E16" s="2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168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215</v>
      </c>
      <c r="D17" s="2">
        <f>VLOOKUP($A17,import!$A:$G,MATCH(lookup_helper!D$1,import!$A$1:$G$1,0),FALSE)</f>
        <v>27</v>
      </c>
      <c r="E17" s="2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169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x14ac:dyDescent="0.25">
      <c r="A18" t="s">
        <v>114</v>
      </c>
      <c r="B18" s="29" t="s">
        <v>201</v>
      </c>
      <c r="C18" t="s">
        <v>215</v>
      </c>
      <c r="D18" s="2">
        <f>VLOOKUP($A18,import!$A:$G,MATCH(lookup_helper!D$1,import!$A$1:$G$1,0),FALSE)</f>
        <v>145.36370361752071</v>
      </c>
      <c r="E18" s="2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</row>
    <row r="19" spans="1:18" x14ac:dyDescent="0.25">
      <c r="A19" t="s">
        <v>35</v>
      </c>
      <c r="B19" s="29" t="s">
        <v>165</v>
      </c>
      <c r="C19" t="s">
        <v>214</v>
      </c>
      <c r="D19" s="2">
        <f>VLOOKUP($A19,import!$A:$G,MATCH(lookup_helper!D$1,import!$A$1:$G$1,0),FALSE)</f>
        <v>0</v>
      </c>
      <c r="E19" s="2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173</v>
      </c>
    </row>
    <row r="20" spans="1:18" x14ac:dyDescent="0.25">
      <c r="A20" t="s">
        <v>36</v>
      </c>
      <c r="B20" s="29" t="s">
        <v>166</v>
      </c>
      <c r="C20" t="s">
        <v>214</v>
      </c>
      <c r="D20" s="2">
        <f>VLOOKUP($A20,import!$A:$G,MATCH(lookup_helper!D$1,import!$A$1:$G$1,0),FALSE)</f>
        <v>0</v>
      </c>
      <c r="E20" s="2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173</v>
      </c>
    </row>
    <row r="21" spans="1:18" x14ac:dyDescent="0.25">
      <c r="A21" t="s">
        <v>37</v>
      </c>
      <c r="B21" s="29" t="s">
        <v>167</v>
      </c>
      <c r="C21" t="s">
        <v>214</v>
      </c>
      <c r="D21" s="2">
        <f>VLOOKUP($A21,import!$A:$G,MATCH(lookup_helper!D$1,import!$A$1:$G$1,0),FALSE)</f>
        <v>0</v>
      </c>
      <c r="E21" s="2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173</v>
      </c>
    </row>
    <row r="22" spans="1:18" x14ac:dyDescent="0.25">
      <c r="A22" t="s">
        <v>38</v>
      </c>
      <c r="B22" s="29" t="s">
        <v>223</v>
      </c>
      <c r="C22" t="s">
        <v>214</v>
      </c>
      <c r="D22" s="2">
        <f>VLOOKUP($A22,import!$A:$G,MATCH(lookup_helper!D$1,import!$A$1:$G$1,0),FALSE)</f>
        <v>0</v>
      </c>
      <c r="E22" s="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173</v>
      </c>
    </row>
    <row r="23" spans="1:18" x14ac:dyDescent="0.25">
      <c r="A23" t="s">
        <v>39</v>
      </c>
      <c r="B23" s="29" t="s">
        <v>168</v>
      </c>
      <c r="C23" t="s">
        <v>214</v>
      </c>
      <c r="D23" s="2">
        <f>VLOOKUP($A23,import!$A:$G,MATCH(lookup_helper!D$1,import!$A$1:$G$1,0),FALSE)</f>
        <v>0</v>
      </c>
      <c r="E23" s="2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173</v>
      </c>
    </row>
    <row r="24" spans="1:18" x14ac:dyDescent="0.25">
      <c r="A24" t="s">
        <v>40</v>
      </c>
      <c r="B24" s="29" t="s">
        <v>169</v>
      </c>
      <c r="C24" t="s">
        <v>214</v>
      </c>
      <c r="D24" s="2">
        <f>VLOOKUP($A24,import!$A:$G,MATCH(lookup_helper!D$1,import!$A$1:$G$1,0),FALSE)</f>
        <v>0</v>
      </c>
      <c r="E24" s="2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173</v>
      </c>
    </row>
    <row r="25" spans="1:18" x14ac:dyDescent="0.25">
      <c r="A25" t="s">
        <v>42</v>
      </c>
      <c r="B25" s="29" t="s">
        <v>165</v>
      </c>
      <c r="C25" t="s">
        <v>214</v>
      </c>
      <c r="D25" s="2">
        <f>VLOOKUP($A25,import!$A:$G,MATCH(lookup_helper!D$1,import!$A$1:$G$1,0),FALSE)</f>
        <v>0</v>
      </c>
      <c r="E25" s="2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174</v>
      </c>
    </row>
    <row r="26" spans="1:18" x14ac:dyDescent="0.25">
      <c r="A26" t="s">
        <v>43</v>
      </c>
      <c r="B26" s="29" t="s">
        <v>166</v>
      </c>
      <c r="C26" t="s">
        <v>214</v>
      </c>
      <c r="D26" s="2">
        <f>VLOOKUP($A26,import!$A:$G,MATCH(lookup_helper!D$1,import!$A$1:$G$1,0),FALSE)</f>
        <v>0</v>
      </c>
      <c r="E26" s="2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174</v>
      </c>
    </row>
    <row r="27" spans="1:18" x14ac:dyDescent="0.25">
      <c r="A27" t="s">
        <v>44</v>
      </c>
      <c r="B27" s="29" t="s">
        <v>167</v>
      </c>
      <c r="C27" t="s">
        <v>214</v>
      </c>
      <c r="D27" s="2">
        <f>VLOOKUP($A27,import!$A:$G,MATCH(lookup_helper!D$1,import!$A$1:$G$1,0),FALSE)</f>
        <v>0</v>
      </c>
      <c r="E27" s="2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174</v>
      </c>
    </row>
    <row r="28" spans="1:18" x14ac:dyDescent="0.25">
      <c r="A28" t="s">
        <v>45</v>
      </c>
      <c r="B28" s="29" t="s">
        <v>223</v>
      </c>
      <c r="C28" t="s">
        <v>214</v>
      </c>
      <c r="D28" s="2">
        <f>VLOOKUP($A28,import!$A:$G,MATCH(lookup_helper!D$1,import!$A$1:$G$1,0),FALSE)</f>
        <v>0</v>
      </c>
      <c r="E28" s="2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174</v>
      </c>
    </row>
    <row r="29" spans="1:18" x14ac:dyDescent="0.25">
      <c r="A29" t="s">
        <v>46</v>
      </c>
      <c r="B29" s="29" t="s">
        <v>168</v>
      </c>
      <c r="C29" t="s">
        <v>214</v>
      </c>
      <c r="D29" s="2">
        <f>VLOOKUP($A29,import!$A:$G,MATCH(lookup_helper!D$1,import!$A$1:$G$1,0),FALSE)</f>
        <v>0</v>
      </c>
      <c r="E29" s="2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174</v>
      </c>
    </row>
    <row r="30" spans="1:18" x14ac:dyDescent="0.25">
      <c r="A30" t="s">
        <v>47</v>
      </c>
      <c r="B30" s="29" t="s">
        <v>169</v>
      </c>
      <c r="C30" t="s">
        <v>214</v>
      </c>
      <c r="D30" s="2">
        <f>VLOOKUP($A30,import!$A:$G,MATCH(lookup_helper!D$1,import!$A$1:$G$1,0),FALSE)</f>
        <v>0</v>
      </c>
      <c r="E30" s="2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174</v>
      </c>
    </row>
    <row r="31" spans="1:18" x14ac:dyDescent="0.25">
      <c r="A31" t="s">
        <v>49</v>
      </c>
      <c r="B31" s="29" t="s">
        <v>165</v>
      </c>
      <c r="C31" t="s">
        <v>214</v>
      </c>
      <c r="D31" s="2">
        <f>VLOOKUP($A31,import!$A:$G,MATCH(lookup_helper!D$1,import!$A$1:$G$1,0),FALSE)</f>
        <v>63.359266107107317</v>
      </c>
      <c r="E31" s="2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175</v>
      </c>
    </row>
    <row r="32" spans="1:18" x14ac:dyDescent="0.25">
      <c r="A32" t="s">
        <v>50</v>
      </c>
      <c r="B32" s="29" t="s">
        <v>166</v>
      </c>
      <c r="C32" t="s">
        <v>214</v>
      </c>
      <c r="D32" s="2">
        <f>VLOOKUP($A32,import!$A:$G,MATCH(lookup_helper!D$1,import!$A$1:$G$1,0),FALSE)</f>
        <v>39.857150159123393</v>
      </c>
      <c r="E32" s="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175</v>
      </c>
    </row>
    <row r="33" spans="1:10" x14ac:dyDescent="0.25">
      <c r="A33" t="s">
        <v>51</v>
      </c>
      <c r="B33" s="29" t="s">
        <v>167</v>
      </c>
      <c r="C33" t="s">
        <v>214</v>
      </c>
      <c r="D33" s="3">
        <f>VLOOKUP($A33,import!$A:$G,MATCH(lookup_helper!D$1,import!$A$1:$G$1,0),FALSE)</f>
        <v>1.1478152403679189</v>
      </c>
      <c r="E33" s="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175</v>
      </c>
    </row>
    <row r="34" spans="1:10" x14ac:dyDescent="0.25">
      <c r="A34" t="s">
        <v>52</v>
      </c>
      <c r="B34" s="29" t="s">
        <v>223</v>
      </c>
      <c r="C34" t="s">
        <v>214</v>
      </c>
      <c r="D34" s="3">
        <f>VLOOKUP($A34,import!$A:$G,MATCH(lookup_helper!D$1,import!$A$1:$G$1,0),FALSE)</f>
        <v>1.162867114075685</v>
      </c>
      <c r="E34" s="3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175</v>
      </c>
    </row>
    <row r="35" spans="1:10" x14ac:dyDescent="0.25">
      <c r="A35" t="s">
        <v>53</v>
      </c>
      <c r="B35" s="29" t="s">
        <v>168</v>
      </c>
      <c r="C35" t="s">
        <v>214</v>
      </c>
      <c r="D35" s="3">
        <f>VLOOKUP($A35,import!$A:$G,MATCH(lookup_helper!D$1,import!$A$1:$G$1,0),FALSE)</f>
        <v>1.323087321541778</v>
      </c>
      <c r="E35" s="3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175</v>
      </c>
    </row>
    <row r="36" spans="1:10" x14ac:dyDescent="0.25">
      <c r="A36" t="s">
        <v>54</v>
      </c>
      <c r="B36" s="29" t="s">
        <v>169</v>
      </c>
      <c r="C36" t="s">
        <v>214</v>
      </c>
      <c r="D36" s="3">
        <f>VLOOKUP($A36,import!$A:$G,MATCH(lookup_helper!D$1,import!$A$1:$G$1,0),FALSE)</f>
        <v>1.2010105753672351</v>
      </c>
      <c r="E36" s="3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175</v>
      </c>
    </row>
    <row r="37" spans="1:10" x14ac:dyDescent="0.25">
      <c r="A37" t="s">
        <v>56</v>
      </c>
      <c r="B37" s="29" t="s">
        <v>165</v>
      </c>
      <c r="C37" t="s">
        <v>214</v>
      </c>
      <c r="D37" s="2">
        <f>VLOOKUP($A37,import!$A:$G,MATCH(lookup_helper!D$1,import!$A$1:$G$1,0),FALSE)</f>
        <v>66.431990942696686</v>
      </c>
      <c r="E37" s="2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176</v>
      </c>
    </row>
    <row r="38" spans="1:10" x14ac:dyDescent="0.25">
      <c r="A38" t="s">
        <v>57</v>
      </c>
      <c r="B38" s="29" t="s">
        <v>166</v>
      </c>
      <c r="C38" t="s">
        <v>214</v>
      </c>
      <c r="D38" s="2">
        <f>VLOOKUP($A38,import!$A:$G,MATCH(lookup_helper!D$1,import!$A$1:$G$1,0),FALSE)</f>
        <v>54.409268026535017</v>
      </c>
      <c r="E38" s="2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176</v>
      </c>
    </row>
    <row r="39" spans="1:10" x14ac:dyDescent="0.25">
      <c r="A39" t="s">
        <v>58</v>
      </c>
      <c r="B39" s="29" t="s">
        <v>167</v>
      </c>
      <c r="C39" t="s">
        <v>214</v>
      </c>
      <c r="D39" s="3">
        <f>VLOOKUP($A39,import!$A:$G,MATCH(lookup_helper!D$1,import!$A$1:$G$1,0),FALSE)</f>
        <v>1.081819835884438</v>
      </c>
      <c r="E39" s="3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176</v>
      </c>
    </row>
    <row r="40" spans="1:10" x14ac:dyDescent="0.25">
      <c r="A40" t="s">
        <v>59</v>
      </c>
      <c r="B40" s="29" t="s">
        <v>223</v>
      </c>
      <c r="C40" t="s">
        <v>214</v>
      </c>
      <c r="D40" s="3">
        <f>VLOOKUP($A40,import!$A:$G,MATCH(lookup_helper!D$1,import!$A$1:$G$1,0),FALSE)</f>
        <v>1.091630634013671</v>
      </c>
      <c r="E40" s="3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176</v>
      </c>
    </row>
    <row r="41" spans="1:10" x14ac:dyDescent="0.25">
      <c r="A41" t="s">
        <v>60</v>
      </c>
      <c r="B41" s="29" t="s">
        <v>168</v>
      </c>
      <c r="C41" t="s">
        <v>214</v>
      </c>
      <c r="D41" s="3">
        <f>VLOOKUP($A41,import!$A:$G,MATCH(lookup_helper!D$1,import!$A$1:$G$1,0),FALSE)</f>
        <v>1.10910333948567</v>
      </c>
      <c r="E41" s="3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176</v>
      </c>
    </row>
    <row r="42" spans="1:10" x14ac:dyDescent="0.25">
      <c r="A42" t="s">
        <v>61</v>
      </c>
      <c r="B42" s="29" t="s">
        <v>169</v>
      </c>
      <c r="C42" t="s">
        <v>214</v>
      </c>
      <c r="D42" s="3">
        <f>VLOOKUP($A42,import!$A:$G,MATCH(lookup_helper!D$1,import!$A$1:$G$1,0),FALSE)</f>
        <v>1.0947187607200981</v>
      </c>
      <c r="E42" s="3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176</v>
      </c>
    </row>
    <row r="43" spans="1:10" x14ac:dyDescent="0.25">
      <c r="A43" s="3" t="s">
        <v>7</v>
      </c>
      <c r="B43" s="29" t="s">
        <v>137</v>
      </c>
      <c r="C43" t="s">
        <v>207</v>
      </c>
      <c r="D43" s="2">
        <f>VLOOKUP($A43,import!$A:$G,MATCH(lookup_helper!D$1,import!$A$1:$G$1,0),FALSE)</f>
        <v>1013.770763052209</v>
      </c>
      <c r="E43" s="2">
        <f>VLOOKUP($A43,import!$A:$G,MATCH(lookup_helper!E$1,import!$A$1:$G$1,0),FALSE)</f>
        <v>0</v>
      </c>
      <c r="F43" s="2">
        <f>VLOOKUP($A43,import!$A:$G,MATCH(lookup_helper!F$1,import!$A$1:$G$1,0),FALSE)</f>
        <v>1364.000856776242</v>
      </c>
      <c r="G43" s="2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138</v>
      </c>
      <c r="C44" t="s">
        <v>207</v>
      </c>
      <c r="D44" s="2">
        <f>VLOOKUP($A44,import!$A:$G,MATCH(lookup_helper!D$1,import!$A$1:$G$1,0),FALSE)</f>
        <v>2709.1952208835341</v>
      </c>
      <c r="E44" s="2">
        <f>VLOOKUP($A44,import!$A:$G,MATCH(lookup_helper!E$1,import!$A$1:$G$1,0),FALSE)</f>
        <v>0</v>
      </c>
      <c r="F44" s="2">
        <f>VLOOKUP($A44,import!$A:$G,MATCH(lookup_helper!F$1,import!$A$1:$G$1,0),FALSE)</f>
        <v>7127.5982283250496</v>
      </c>
      <c r="G44" s="2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139</v>
      </c>
      <c r="C45" t="s">
        <v>207</v>
      </c>
      <c r="D45" s="2">
        <f>VLOOKUP($A45,import!$A:$G,MATCH(lookup_helper!D$1,import!$A$1:$G$1,0),FALSE)</f>
        <v>45512.183253012037</v>
      </c>
      <c r="E45" s="2">
        <f>VLOOKUP($A45,import!$A:$G,MATCH(lookup_helper!E$1,import!$A$1:$G$1,0),FALSE)</f>
        <v>0</v>
      </c>
      <c r="F45" s="2">
        <f>VLOOKUP($A45,import!$A:$G,MATCH(lookup_helper!F$1,import!$A$1:$G$1,0),FALSE)</f>
        <v>115470.05312773889</v>
      </c>
      <c r="G45" s="2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140</v>
      </c>
      <c r="C46" t="s">
        <v>207</v>
      </c>
      <c r="D46" s="2">
        <f>VLOOKUP($A46,import!$A:$G,MATCH(lookup_helper!D$1,import!$A$1:$G$1,0),FALSE)</f>
        <v>6491.7790361445777</v>
      </c>
      <c r="E46" s="2">
        <f>VLOOKUP($A46,import!$A:$G,MATCH(lookup_helper!E$1,import!$A$1:$G$1,0),FALSE)</f>
        <v>0</v>
      </c>
      <c r="F46" s="2">
        <f>VLOOKUP($A46,import!$A:$G,MATCH(lookup_helper!F$1,import!$A$1:$G$1,0),FALSE)</f>
        <v>3942.7378655082048</v>
      </c>
      <c r="G46" s="2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141</v>
      </c>
      <c r="C47" t="s">
        <v>207</v>
      </c>
      <c r="D47" s="2">
        <f>VLOOKUP($A47,import!$A:$G,MATCH(lookup_helper!D$1,import!$A$1:$G$1,0),FALSE)</f>
        <v>1.2211646586345379</v>
      </c>
      <c r="E47" s="2">
        <f>VLOOKUP($A47,import!$A:$G,MATCH(lookup_helper!E$1,import!$A$1:$G$1,0),FALSE)</f>
        <v>0</v>
      </c>
      <c r="F47" s="2">
        <f>VLOOKUP($A47,import!$A:$G,MATCH(lookup_helper!F$1,import!$A$1:$G$1,0),FALSE)</f>
        <v>2.8359657898456958</v>
      </c>
      <c r="G47" s="2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142</v>
      </c>
      <c r="C48" t="s">
        <v>207</v>
      </c>
      <c r="D48" s="2">
        <f>VLOOKUP($A48,import!$A:$G,MATCH(lookup_helper!D$1,import!$A$1:$G$1,0),FALSE)</f>
        <v>5.2928514056224891</v>
      </c>
      <c r="E48" s="2">
        <f>VLOOKUP($A48,import!$A:$G,MATCH(lookup_helper!E$1,import!$A$1:$G$1,0),FALSE)</f>
        <v>0</v>
      </c>
      <c r="F48" s="2">
        <f>VLOOKUP($A48,import!$A:$G,MATCH(lookup_helper!F$1,import!$A$1:$G$1,0),FALSE)</f>
        <v>11.725412674938291</v>
      </c>
      <c r="G48" s="2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143</v>
      </c>
      <c r="C49" t="s">
        <v>207</v>
      </c>
      <c r="D49" s="2">
        <f>VLOOKUP($A49,import!$A:$G,MATCH(lookup_helper!D$1,import!$A$1:$G$1,0),FALSE)</f>
        <v>94.170281124498004</v>
      </c>
      <c r="E49" s="2">
        <f>VLOOKUP($A49,import!$A:$G,MATCH(lookup_helper!E$1,import!$A$1:$G$1,0),FALSE)</f>
        <v>0</v>
      </c>
      <c r="F49" s="2">
        <f>VLOOKUP($A49,import!$A:$G,MATCH(lookup_helper!F$1,import!$A$1:$G$1,0),FALSE)</f>
        <v>163.7723231043594</v>
      </c>
      <c r="G49" s="2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144</v>
      </c>
      <c r="C50" t="s">
        <v>207</v>
      </c>
      <c r="D50" s="2">
        <f>VLOOKUP($A50,import!$A:$G,MATCH(lookup_helper!D$1,import!$A$1:$G$1,0),FALSE)</f>
        <v>10.89180722891566</v>
      </c>
      <c r="E50" s="2">
        <f>VLOOKUP($A50,import!$A:$G,MATCH(lookup_helper!E$1,import!$A$1:$G$1,0),FALSE)</f>
        <v>0</v>
      </c>
      <c r="F50" s="2">
        <f>VLOOKUP($A50,import!$A:$G,MATCH(lookup_helper!F$1,import!$A$1:$G$1,0),FALSE)</f>
        <v>6.3673234849555804</v>
      </c>
      <c r="G50" s="2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145</v>
      </c>
      <c r="C51" t="s">
        <v>207</v>
      </c>
      <c r="D51" s="2">
        <f>VLOOKUP($A51,import!$A:$G,MATCH(lookup_helper!D$1,import!$A$1:$G$1,0),FALSE)</f>
        <v>7.5514457831325306</v>
      </c>
      <c r="E51" s="2">
        <f>VLOOKUP($A51,import!$A:$G,MATCH(lookup_helper!E$1,import!$A$1:$G$1,0),FALSE)</f>
        <v>0</v>
      </c>
      <c r="F51" s="2">
        <f>VLOOKUP($A51,import!$A:$G,MATCH(lookup_helper!F$1,import!$A$1:$G$1,0),FALSE)</f>
        <v>9.6835892389165004</v>
      </c>
      <c r="G51" s="2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146</v>
      </c>
      <c r="C52" t="s">
        <v>207</v>
      </c>
      <c r="D52" s="2">
        <f>VLOOKUP($A52,import!$A:$G,MATCH(lookup_helper!D$1,import!$A$1:$G$1,0),FALSE)</f>
        <v>19.925100401606429</v>
      </c>
      <c r="E52" s="2">
        <f>VLOOKUP($A52,import!$A:$G,MATCH(lookup_helper!E$1,import!$A$1:$G$1,0),FALSE)</f>
        <v>0</v>
      </c>
      <c r="F52" s="2">
        <f>VLOOKUP($A52,import!$A:$G,MATCH(lookup_helper!F$1,import!$A$1:$G$1,0),FALSE)</f>
        <v>43.011998510238037</v>
      </c>
      <c r="G52" s="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147</v>
      </c>
      <c r="C53" t="s">
        <v>207</v>
      </c>
      <c r="D53" s="2">
        <f>VLOOKUP($A53,import!$A:$G,MATCH(lookup_helper!D$1,import!$A$1:$G$1,0),FALSE)</f>
        <v>238.27309236947789</v>
      </c>
      <c r="E53" s="2">
        <f>VLOOKUP($A53,import!$A:$G,MATCH(lookup_helper!E$1,import!$A$1:$G$1,0),FALSE)</f>
        <v>0</v>
      </c>
      <c r="F53" s="2">
        <f>VLOOKUP($A53,import!$A:$G,MATCH(lookup_helper!F$1,import!$A$1:$G$1,0),FALSE)</f>
        <v>144.64461021519989</v>
      </c>
      <c r="G53" s="2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148</v>
      </c>
      <c r="C54" t="s">
        <v>207</v>
      </c>
      <c r="D54" s="2">
        <f>VLOOKUP($A54,import!$A:$G,MATCH(lookup_helper!D$1,import!$A$1:$G$1,0),FALSE)</f>
        <v>51.080883534136547</v>
      </c>
      <c r="E54" s="2">
        <f>VLOOKUP($A54,import!$A:$G,MATCH(lookup_helper!E$1,import!$A$1:$G$1,0),FALSE)</f>
        <v>0</v>
      </c>
      <c r="F54" s="2">
        <f>VLOOKUP($A54,import!$A:$G,MATCH(lookup_helper!F$1,import!$A$1:$G$1,0),FALSE)</f>
        <v>25.241365850741079</v>
      </c>
      <c r="G54" s="2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189</v>
      </c>
      <c r="C55" t="s">
        <v>207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159</v>
      </c>
      <c r="C56" t="s">
        <v>210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160</v>
      </c>
      <c r="C57" t="s">
        <v>210</v>
      </c>
      <c r="D57" s="1">
        <f>VLOOKUP($A57,import!$A:$G,MATCH(lookup_helper!D$1,import!$A$1:$G$1,0),FALSE)/100</f>
        <v>7.8499999999999986E-2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187</v>
      </c>
      <c r="C58" t="s">
        <v>210</v>
      </c>
      <c r="D58" s="2">
        <f>VLOOKUP($A58,import!$A:$G,MATCH(lookup_helper!D$1,import!$A$1:$G$1,0),FALSE)</f>
        <v>125.11</v>
      </c>
      <c r="E58" s="2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196</v>
      </c>
      <c r="C59" t="s">
        <v>210</v>
      </c>
      <c r="D59" s="1">
        <f>VLOOKUP($A59,import!$A:$G,MATCH(lookup_helper!D$1,import!$A$1:$G$1,0),FALSE)</f>
        <v>7.072357263990954E-2</v>
      </c>
      <c r="E59" s="1">
        <f>VLOOKUP($A59,import!$A:$G,MATCH(lookup_helper!E$1,import!$A$1:$G$1,0),FALSE)</f>
        <v>4.853240442342649E-2</v>
      </c>
      <c r="F59" s="1">
        <f>VLOOKUP($A59,import!$A:$G,MATCH(lookup_helper!F$1,import!$A$1:$G$1,0),FALSE)</f>
        <v>0.1343871705182399</v>
      </c>
      <c r="G59" s="1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x14ac:dyDescent="0.25">
      <c r="A60" t="s">
        <v>33</v>
      </c>
      <c r="B60" s="29" t="s">
        <v>244</v>
      </c>
      <c r="C60" t="s">
        <v>213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178</v>
      </c>
      <c r="C61" t="s">
        <v>213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243</v>
      </c>
      <c r="C62" t="s">
        <v>213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198</v>
      </c>
      <c r="C63" t="s">
        <v>219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199</v>
      </c>
      <c r="C64" t="s">
        <v>219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161</v>
      </c>
      <c r="C65" t="s">
        <v>211</v>
      </c>
      <c r="D65" s="2">
        <f>VLOOKUP($A65,import!$A:$G,MATCH(lookup_helper!D$1,import!$A$1:$G$1,0),FALSE)</f>
        <v>1175.845221386116</v>
      </c>
      <c r="E65" s="2">
        <f>VLOOKUP($A65,import!$A:$G,MATCH(lookup_helper!E$1,import!$A$1:$G$1,0),FALSE)</f>
        <v>0</v>
      </c>
      <c r="F65" s="2">
        <f>VLOOKUP($A65,import!$A:$G,MATCH(lookup_helper!F$1,import!$A$1:$G$1,0),FALSE)</f>
        <v>0</v>
      </c>
      <c r="G65" s="2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164</v>
      </c>
      <c r="C66" t="s">
        <v>211</v>
      </c>
      <c r="D66" s="2">
        <f>VLOOKUP($A66,import!$A:$G,MATCH(lookup_helper!D$1,import!$A$1:$G$1,0),FALSE)</f>
        <v>0</v>
      </c>
      <c r="E66" s="2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164</v>
      </c>
      <c r="C67" t="s">
        <v>211</v>
      </c>
      <c r="D67" s="2">
        <f>VLOOKUP($A67,import!$A:$G,MATCH(lookup_helper!D$1,import!$A$1:$G$1,0),FALSE)</f>
        <v>0</v>
      </c>
      <c r="E67" s="2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164</v>
      </c>
      <c r="C68" t="s">
        <v>211</v>
      </c>
      <c r="D68" s="2">
        <f>VLOOKUP($A68,import!$A:$G,MATCH(lookup_helper!D$1,import!$A$1:$G$1,0),FALSE)</f>
        <v>7460.2525126650989</v>
      </c>
      <c r="E68" s="2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164</v>
      </c>
      <c r="C69" t="s">
        <v>211</v>
      </c>
      <c r="D69" s="2">
        <f>VLOOKUP($A69,import!$A:$G,MATCH(lookup_helper!D$1,import!$A$1:$G$1,0),FALSE)</f>
        <v>7460.2525126827086</v>
      </c>
      <c r="E69" s="2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182</v>
      </c>
      <c r="C70" t="s">
        <v>211</v>
      </c>
      <c r="D70" s="2">
        <f>VLOOKUP($A70,import!$A:$G,MATCH(lookup_helper!D$1,import!$A$1:$G$1,0),FALSE)</f>
        <v>1747</v>
      </c>
      <c r="E70" s="2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184</v>
      </c>
      <c r="C71" t="s">
        <v>211</v>
      </c>
      <c r="D71" s="2">
        <f>VLOOKUP($A71,import!$A:$G,MATCH(lookup_helper!D$1,import!$A$1:$G$1,0),FALSE)</f>
        <v>4050</v>
      </c>
      <c r="E71" s="2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185</v>
      </c>
      <c r="C72" t="s">
        <v>211</v>
      </c>
      <c r="D72" s="2">
        <f>VLOOKUP($A72,import!$A:$G,MATCH(lookup_helper!D$1,import!$A$1:$G$1,0),FALSE)</f>
        <v>5797</v>
      </c>
      <c r="E72" s="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190</v>
      </c>
      <c r="C73" t="s">
        <v>211</v>
      </c>
      <c r="D73" s="2">
        <f>VLOOKUP($A73,import!$A:$G,MATCH(lookup_helper!D$1,import!$A$1:$G$1,0),FALSE)</f>
        <v>19593</v>
      </c>
      <c r="E73" s="2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191</v>
      </c>
      <c r="C74" t="s">
        <v>211</v>
      </c>
      <c r="D74" s="2">
        <f>VLOOKUP($A74,import!$A:$G,MATCH(lookup_helper!D$1,import!$A$1:$G$1,0),FALSE)</f>
        <v>6806</v>
      </c>
      <c r="E74" s="2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192</v>
      </c>
      <c r="C75" t="s">
        <v>211</v>
      </c>
      <c r="D75" s="2">
        <f>VLOOKUP($A75,import!$A:$G,MATCH(lookup_helper!D$1,import!$A$1:$G$1,0),FALSE)</f>
        <v>10373</v>
      </c>
      <c r="E75" s="2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193</v>
      </c>
      <c r="C76" t="s">
        <v>211</v>
      </c>
      <c r="D76" s="2">
        <f>VLOOKUP($A76,import!$A:$G,MATCH(lookup_helper!D$1,import!$A$1:$G$1,0),FALSE)</f>
        <v>184</v>
      </c>
      <c r="E76" s="2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194</v>
      </c>
      <c r="C77" t="s">
        <v>211</v>
      </c>
      <c r="D77" s="2">
        <f>VLOOKUP($A77,import!$A:$G,MATCH(lookup_helper!D$1,import!$A$1:$G$1,0),FALSE)</f>
        <v>381</v>
      </c>
      <c r="E77" s="2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195</v>
      </c>
      <c r="C78" t="s">
        <v>211</v>
      </c>
      <c r="D78" s="2">
        <f>VLOOKUP($A78,import!$A:$G,MATCH(lookup_helper!D$1,import!$A$1:$G$1,0),FALSE)</f>
        <v>1526</v>
      </c>
      <c r="E78" s="2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200</v>
      </c>
      <c r="C79" t="s">
        <v>216</v>
      </c>
      <c r="D79" s="3">
        <f>VLOOKUP($A79,import!$A:$G,MATCH(lookup_helper!D$1,import!$A$1:$G$1,0),FALSE)</f>
        <v>0.68447077769432152</v>
      </c>
      <c r="E79" s="3">
        <f>VLOOKUP($A79,import!$A:$G,MATCH(lookup_helper!E$1,import!$A$1:$G$1,0),FALSE)</f>
        <v>0.68192319179405259</v>
      </c>
      <c r="F79" s="3">
        <f>VLOOKUP($A79,import!$A:$G,MATCH(lookup_helper!F$1,import!$A$1:$G$1,0),FALSE)</f>
        <v>0.62622069700880123</v>
      </c>
      <c r="G79" s="3">
        <f>VLOOKUP($A79,import!$A:$G,MATCH(lookup_helper!G$1,import!$A$1:$G$1,0),FALSE)</f>
        <v>0.99998912009623475</v>
      </c>
      <c r="H79" s="3">
        <f>VLOOKUP($A79,import!$A:$G,MATCH(lookup_helper!H$1,import!$A$1:$G$1,0),FALSE)</f>
        <v>0.65824713128427348</v>
      </c>
      <c r="I79" s="3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188</v>
      </c>
      <c r="C80" t="s">
        <v>216</v>
      </c>
      <c r="D80" s="2">
        <f>VLOOKUP($A80,import!$A:$G,MATCH(lookup_helper!D$1,import!$A$1:$G$1,0),FALSE)</f>
        <v>1916</v>
      </c>
      <c r="E80" s="2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16" x14ac:dyDescent="0.25">
      <c r="A81" t="s">
        <v>89</v>
      </c>
      <c r="B81" s="29" t="s">
        <v>186</v>
      </c>
      <c r="C81" t="s">
        <v>216</v>
      </c>
      <c r="D81" s="2">
        <f>VLOOKUP($A81,import!$A:$G,MATCH(lookup_helper!D$1,import!$A$1:$G$1,0),FALSE)</f>
        <v>1769</v>
      </c>
      <c r="E81" s="2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16" x14ac:dyDescent="0.25">
      <c r="A82" t="s">
        <v>104</v>
      </c>
      <c r="B82" s="29" t="s">
        <v>197</v>
      </c>
      <c r="C82" t="s">
        <v>216</v>
      </c>
      <c r="D82" s="2">
        <f>VLOOKUP($A82,import!$A:$G,MATCH(lookup_helper!D$1,import!$A$1:$G$1,0),FALSE)</f>
        <v>3685</v>
      </c>
      <c r="E82" s="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16" x14ac:dyDescent="0.25">
      <c r="A83" s="2" t="s">
        <v>65</v>
      </c>
      <c r="B83" s="29" t="s">
        <v>179</v>
      </c>
      <c r="C83" t="s">
        <v>217</v>
      </c>
      <c r="D83" s="3">
        <f>VLOOKUP($A83,import!$A:$G,MATCH(lookup_helper!D$1,import!$A$1:$G$1,0),FALSE)</f>
        <v>1.3624389724527719</v>
      </c>
      <c r="E83" s="3">
        <f>VLOOKUP($A83,import!$A:$G,MATCH(lookup_helper!E$1,import!$A$1:$G$1,0),FALSE)</f>
        <v>0</v>
      </c>
      <c r="F83" s="3">
        <f>VLOOKUP($A83,import!$A:$G,MATCH(lookup_helper!F$1,import!$A$1:$G$1,0),FALSE)</f>
        <v>0</v>
      </c>
      <c r="G83" s="3">
        <f>VLOOKUP($A83,import!$A:$G,MATCH(lookup_helper!G$1,import!$A$1:$G$1,0),FALSE)</f>
        <v>0</v>
      </c>
      <c r="H83" s="3">
        <f>VLOOKUP($A83,import!$A:$G,MATCH(lookup_helper!H$1,import!$A$1:$G$1,0),FALSE)</f>
        <v>0</v>
      </c>
      <c r="I83" s="3">
        <f>VLOOKUP($A83,import!$A:$G,MATCH(lookup_helper!I$1,import!$A$1:$G$1,0),FALSE)</f>
        <v>0</v>
      </c>
    </row>
    <row r="84" spans="1:16" ht="30" x14ac:dyDescent="0.25">
      <c r="A84" s="2" t="s">
        <v>66</v>
      </c>
      <c r="B84" s="29" t="s">
        <v>180</v>
      </c>
      <c r="C84" t="s">
        <v>217</v>
      </c>
      <c r="D84" s="3">
        <f>VLOOKUP($A84,import!$A:$G,MATCH(lookup_helper!D$1,import!$A$1:$G$1,0),FALSE)</f>
        <v>1.475654647382425</v>
      </c>
      <c r="E84" s="3">
        <f>VLOOKUP($A84,import!$A:$G,MATCH(lookup_helper!E$1,import!$A$1:$G$1,0),FALSE)</f>
        <v>0</v>
      </c>
      <c r="F84" s="3">
        <f>VLOOKUP($A84,import!$A:$G,MATCH(lookup_helper!F$1,import!$A$1:$G$1,0),FALSE)</f>
        <v>0</v>
      </c>
      <c r="G84" s="3">
        <f>VLOOKUP($A84,import!$A:$G,MATCH(lookup_helper!G$1,import!$A$1:$G$1,0),FALSE)</f>
        <v>0</v>
      </c>
      <c r="H84" s="3">
        <f>VLOOKUP($A84,import!$A:$G,MATCH(lookup_helper!H$1,import!$A$1:$G$1,0),FALSE)</f>
        <v>0</v>
      </c>
      <c r="I84" s="3">
        <f>VLOOKUP($A84,import!$A:$G,MATCH(lookup_helper!I$1,import!$A$1:$G$1,0),FALSE)</f>
        <v>0</v>
      </c>
    </row>
    <row r="85" spans="1:16" ht="30" x14ac:dyDescent="0.25">
      <c r="A85" s="2" t="s">
        <v>67</v>
      </c>
      <c r="B85" s="29" t="s">
        <v>181</v>
      </c>
      <c r="C85" t="s">
        <v>217</v>
      </c>
      <c r="D85" s="3">
        <f>VLOOKUP($A85,import!$A:$G,MATCH(lookup_helper!D$1,import!$A$1:$G$1,0),FALSE)</f>
        <v>2.8380936198351971</v>
      </c>
      <c r="E85" s="3">
        <f>VLOOKUP($A85,import!$A:$G,MATCH(lookup_helper!E$1,import!$A$1:$G$1,0),FALSE)</f>
        <v>0</v>
      </c>
      <c r="F85" s="3">
        <f>VLOOKUP($A85,import!$A:$G,MATCH(lookup_helper!F$1,import!$A$1:$G$1,0),FALSE)</f>
        <v>1.4432109489386511</v>
      </c>
      <c r="G85" s="3">
        <f>VLOOKUP($A85,import!$A:$G,MATCH(lookup_helper!G$1,import!$A$1:$G$1,0),FALSE)</f>
        <v>0.38506745756398192</v>
      </c>
      <c r="H85" s="3">
        <f>VLOOKUP($A85,import!$A:$G,MATCH(lookup_helper!H$1,import!$A$1:$G$1,0),FALSE)</f>
        <v>0</v>
      </c>
      <c r="I85" s="3">
        <f>VLOOKUP($A85,import!$A:$G,MATCH(lookup_helper!I$1,import!$A$1:$G$1,0),FALSE)</f>
        <v>0</v>
      </c>
    </row>
    <row r="86" spans="1:16" x14ac:dyDescent="0.25">
      <c r="A86" s="3" t="s">
        <v>19</v>
      </c>
      <c r="B86" s="29" t="s">
        <v>150</v>
      </c>
      <c r="C86" t="s">
        <v>208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16" x14ac:dyDescent="0.25">
      <c r="A87" s="3" t="s">
        <v>20</v>
      </c>
      <c r="B87" s="29" t="s">
        <v>151</v>
      </c>
      <c r="C87" t="s">
        <v>208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16" x14ac:dyDescent="0.25">
      <c r="A88" s="3" t="s">
        <v>21</v>
      </c>
      <c r="B88" s="29" t="s">
        <v>152</v>
      </c>
      <c r="C88" t="s">
        <v>208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16" x14ac:dyDescent="0.25">
      <c r="A89" s="3" t="s">
        <v>22</v>
      </c>
      <c r="B89" s="29" t="s">
        <v>153</v>
      </c>
      <c r="C89" t="s">
        <v>208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16" x14ac:dyDescent="0.25">
      <c r="A90" s="3" t="s">
        <v>23</v>
      </c>
      <c r="B90" s="29" t="s">
        <v>154</v>
      </c>
      <c r="C90" t="s">
        <v>208</v>
      </c>
      <c r="D90" s="1">
        <f>VLOOKUP($A90,import!$A:$G,MATCH(lookup_helper!D$1,import!$A$1:$G$1,0),FALSE)</f>
        <v>3.5714285714285719E-2</v>
      </c>
      <c r="E90" s="1">
        <f>VLOOKUP($A90,import!$A:$G,MATCH(lookup_helper!E$1,import!$A$1:$G$1,0),FALSE)</f>
        <v>0</v>
      </c>
      <c r="F90" s="1">
        <f>VLOOKUP($A90,import!$A:$G,MATCH(lookup_helper!F$1,import!$A$1:$G$1,0),FALSE)</f>
        <v>2.7369826435246991E-2</v>
      </c>
      <c r="G90" s="1">
        <f>VLOOKUP($A90,import!$A:$G,MATCH(lookup_helper!G$1,import!$A$1:$G$1,0),FALSE)</f>
        <v>2.022900763358779E-2</v>
      </c>
      <c r="H90" s="1">
        <f>VLOOKUP($A90,import!$A:$G,MATCH(lookup_helper!H$1,import!$A$1:$G$1,0),FALSE)</f>
        <v>0</v>
      </c>
      <c r="I90" s="1">
        <f>VLOOKUP($A90,import!$A:$G,MATCH(lookup_helper!I$1,import!$A$1:$G$1,0),FALSE)</f>
        <v>0</v>
      </c>
    </row>
    <row r="91" spans="1:16" x14ac:dyDescent="0.25">
      <c r="A91" s="3" t="s">
        <v>24</v>
      </c>
      <c r="B91" s="29" t="s">
        <v>156</v>
      </c>
      <c r="C91" t="s">
        <v>208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16" ht="30" x14ac:dyDescent="0.25">
      <c r="A92" s="1" t="s">
        <v>25</v>
      </c>
      <c r="B92" s="29" t="s">
        <v>155</v>
      </c>
      <c r="C92" t="s">
        <v>208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16" x14ac:dyDescent="0.25">
      <c r="A93" s="1" t="s">
        <v>26</v>
      </c>
      <c r="B93" s="29" t="s">
        <v>157</v>
      </c>
      <c r="C93" t="s">
        <v>208</v>
      </c>
      <c r="D93" s="1">
        <f>VLOOKUP($A93,import!$A:$G,MATCH(lookup_helper!D$1,import!$A$1:$G$1,0),FALSE)</f>
        <v>5.3571428571428568E-2</v>
      </c>
      <c r="E93" s="1">
        <f>VLOOKUP($A93,import!$A:$G,MATCH(lookup_helper!E$1,import!$A$1:$G$1,0),FALSE)</f>
        <v>0</v>
      </c>
      <c r="F93" s="1">
        <f>VLOOKUP($A93,import!$A:$G,MATCH(lookup_helper!F$1,import!$A$1:$G$1,0),FALSE)</f>
        <v>0.13484646194926569</v>
      </c>
      <c r="G93" s="1">
        <f>VLOOKUP($A93,import!$A:$G,MATCH(lookup_helper!G$1,import!$A$1:$G$1,0),FALSE)</f>
        <v>0.1221919302071974</v>
      </c>
      <c r="H93" s="1">
        <f>VLOOKUP($A93,import!$A:$G,MATCH(lookup_helper!H$1,import!$A$1:$G$1,0),FALSE)</f>
        <v>0</v>
      </c>
      <c r="I93" s="1">
        <f>VLOOKUP($A93,import!$A:$G,MATCH(lookup_helper!I$1,import!$A$1:$G$1,0),FALSE)</f>
        <v>0</v>
      </c>
    </row>
    <row r="94" spans="1:16" x14ac:dyDescent="0.25">
      <c r="A94" t="s">
        <v>27</v>
      </c>
      <c r="B94" s="29" t="s">
        <v>158</v>
      </c>
      <c r="C94" t="s">
        <v>209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16" ht="30" x14ac:dyDescent="0.25">
      <c r="A95" s="2" t="s">
        <v>70</v>
      </c>
      <c r="B95" s="29" t="s">
        <v>183</v>
      </c>
      <c r="C95" t="s">
        <v>218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16" x14ac:dyDescent="0.25">
      <c r="A96" s="2" t="s">
        <v>71</v>
      </c>
      <c r="B96" s="29" t="s">
        <v>282</v>
      </c>
      <c r="C96" t="s">
        <v>218</v>
      </c>
      <c r="D96" s="63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  <c r="J96" t="s">
        <v>278</v>
      </c>
      <c r="P96" s="29"/>
    </row>
    <row r="97" spans="1:16" x14ac:dyDescent="0.25">
      <c r="A97" s="2" t="s">
        <v>72</v>
      </c>
      <c r="B97" s="29" t="s">
        <v>283</v>
      </c>
      <c r="C97" t="s">
        <v>218</v>
      </c>
      <c r="D97" s="63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  <c r="J97" t="s">
        <v>278</v>
      </c>
      <c r="P97" s="29"/>
    </row>
    <row r="98" spans="1:16" x14ac:dyDescent="0.25">
      <c r="A98" s="1" t="s">
        <v>73</v>
      </c>
      <c r="B98" s="29" t="s">
        <v>284</v>
      </c>
      <c r="C98" t="s">
        <v>218</v>
      </c>
      <c r="D98" s="63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  <c r="J98" t="s">
        <v>278</v>
      </c>
      <c r="P98" s="29"/>
    </row>
    <row r="99" spans="1:16" x14ac:dyDescent="0.25">
      <c r="A99" s="1" t="s">
        <v>74</v>
      </c>
      <c r="B99" s="29" t="s">
        <v>285</v>
      </c>
      <c r="C99" t="s">
        <v>218</v>
      </c>
      <c r="D99" s="63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  <c r="J99" t="s">
        <v>278</v>
      </c>
      <c r="P99" s="29"/>
    </row>
    <row r="100" spans="1:16" x14ac:dyDescent="0.25">
      <c r="A100" s="1" t="s">
        <v>75</v>
      </c>
      <c r="B100" s="29" t="s">
        <v>282</v>
      </c>
      <c r="C100" t="s">
        <v>218</v>
      </c>
      <c r="D100" s="63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  <c r="J100" t="s">
        <v>279</v>
      </c>
      <c r="P100" s="29"/>
    </row>
    <row r="101" spans="1:16" x14ac:dyDescent="0.25">
      <c r="A101" s="1" t="s">
        <v>76</v>
      </c>
      <c r="B101" s="29" t="s">
        <v>283</v>
      </c>
      <c r="C101" t="s">
        <v>218</v>
      </c>
      <c r="D101" s="63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  <c r="J101" t="s">
        <v>279</v>
      </c>
      <c r="P101" s="29"/>
    </row>
    <row r="102" spans="1:16" x14ac:dyDescent="0.25">
      <c r="A102" s="1" t="s">
        <v>77</v>
      </c>
      <c r="B102" s="29" t="s">
        <v>284</v>
      </c>
      <c r="C102" t="s">
        <v>218</v>
      </c>
      <c r="D102" s="63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  <c r="J102" t="s">
        <v>279</v>
      </c>
      <c r="P102" s="29"/>
    </row>
    <row r="103" spans="1:16" x14ac:dyDescent="0.25">
      <c r="A103" s="1" t="s">
        <v>78</v>
      </c>
      <c r="B103" s="29" t="s">
        <v>285</v>
      </c>
      <c r="C103" t="s">
        <v>218</v>
      </c>
      <c r="D103" s="63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  <c r="J103" t="s">
        <v>279</v>
      </c>
      <c r="P103" s="29"/>
    </row>
    <row r="104" spans="1:16" x14ac:dyDescent="0.25">
      <c r="A104" t="s">
        <v>79</v>
      </c>
      <c r="B104" s="29" t="s">
        <v>282</v>
      </c>
      <c r="C104" t="s">
        <v>218</v>
      </c>
      <c r="D104" s="63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  <c r="J104" t="s">
        <v>280</v>
      </c>
      <c r="P104" s="29"/>
    </row>
    <row r="105" spans="1:16" x14ac:dyDescent="0.25">
      <c r="A105" t="s">
        <v>80</v>
      </c>
      <c r="B105" s="29" t="s">
        <v>283</v>
      </c>
      <c r="C105" t="s">
        <v>218</v>
      </c>
      <c r="D105" s="63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  <c r="J105" t="s">
        <v>280</v>
      </c>
      <c r="P105" s="29"/>
    </row>
    <row r="106" spans="1:16" x14ac:dyDescent="0.25">
      <c r="A106" t="s">
        <v>81</v>
      </c>
      <c r="B106" s="29" t="s">
        <v>284</v>
      </c>
      <c r="C106" t="s">
        <v>218</v>
      </c>
      <c r="D106" s="63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  <c r="J106" t="s">
        <v>280</v>
      </c>
      <c r="P106" s="29"/>
    </row>
    <row r="107" spans="1:16" x14ac:dyDescent="0.25">
      <c r="A107" t="s">
        <v>82</v>
      </c>
      <c r="B107" s="29" t="s">
        <v>285</v>
      </c>
      <c r="C107" t="s">
        <v>218</v>
      </c>
      <c r="D107" s="63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  <c r="J107" t="s">
        <v>280</v>
      </c>
      <c r="P107" s="29"/>
    </row>
    <row r="108" spans="1:16" x14ac:dyDescent="0.25">
      <c r="A108" t="s">
        <v>83</v>
      </c>
      <c r="B108" s="29" t="s">
        <v>282</v>
      </c>
      <c r="C108" t="s">
        <v>218</v>
      </c>
      <c r="D108" s="63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  <c r="J108" t="s">
        <v>281</v>
      </c>
      <c r="P108" s="29"/>
    </row>
    <row r="109" spans="1:16" x14ac:dyDescent="0.25">
      <c r="A109" t="s">
        <v>84</v>
      </c>
      <c r="B109" s="29" t="s">
        <v>283</v>
      </c>
      <c r="C109" t="s">
        <v>218</v>
      </c>
      <c r="D109" s="63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  <c r="J109" t="s">
        <v>281</v>
      </c>
      <c r="P109" s="29"/>
    </row>
    <row r="110" spans="1:16" x14ac:dyDescent="0.25">
      <c r="A110" t="s">
        <v>85</v>
      </c>
      <c r="B110" s="29" t="s">
        <v>286</v>
      </c>
      <c r="C110" t="s">
        <v>218</v>
      </c>
      <c r="D110" s="63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  <c r="J110" t="s">
        <v>281</v>
      </c>
      <c r="P110" s="29"/>
    </row>
    <row r="111" spans="1:16" x14ac:dyDescent="0.25">
      <c r="A111" t="s">
        <v>86</v>
      </c>
      <c r="B111" s="29" t="s">
        <v>285</v>
      </c>
      <c r="C111" t="s">
        <v>218</v>
      </c>
      <c r="D111" s="63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  <c r="J111" t="s">
        <v>281</v>
      </c>
      <c r="P111" s="29"/>
    </row>
    <row r="112" spans="1:16" x14ac:dyDescent="0.25">
      <c r="A112" t="s">
        <v>1</v>
      </c>
      <c r="B112" s="29" t="s">
        <v>131</v>
      </c>
      <c r="C112" t="s">
        <v>206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</v>
      </c>
      <c r="B113" s="29" t="s">
        <v>132</v>
      </c>
      <c r="C113" t="s">
        <v>206</v>
      </c>
      <c r="D113" t="str">
        <f>VLOOKUP($A113,import!$A:$G,MATCH(lookup_helper!D$1,import!$A$1:$G$1,0),FALSE)</f>
        <v>Freeway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3</v>
      </c>
      <c r="B114" s="29" t="s">
        <v>133</v>
      </c>
      <c r="C114" t="s">
        <v>206</v>
      </c>
      <c r="D114">
        <f>VLOOKUP($A114,import!$A:$G,MATCH(lookup_helper!D$1,import!$A$1:$G$1,0),FALSE)</f>
        <v>60000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4</v>
      </c>
      <c r="B115" s="29" t="s">
        <v>134</v>
      </c>
      <c r="C115" t="s">
        <v>206</v>
      </c>
      <c r="D115">
        <f>VLOOKUP($A115,import!$A:$G,MATCH(lookup_helper!D$1,import!$A$1:$G$1,0),FALSE)</f>
        <v>60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5</v>
      </c>
      <c r="B116" s="29" t="s">
        <v>135</v>
      </c>
      <c r="C116" t="s">
        <v>206</v>
      </c>
      <c r="D116">
        <f>VLOOKUP($A116,import!$A:$G,MATCH(lookup_helper!D$1,import!$A$1:$G$1,0),FALSE)</f>
        <v>65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266</v>
      </c>
      <c r="B117" s="29" t="s">
        <v>267</v>
      </c>
      <c r="C117" t="s">
        <v>206</v>
      </c>
      <c r="D117">
        <f>VLOOKUP($A117,import!$A:$G,MATCH(lookup_helper!D$1,import!$A$1:$G$1,0),FALSE)</f>
        <v>1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  <row r="118" spans="1:9" x14ac:dyDescent="0.25">
      <c r="A118" t="s">
        <v>6</v>
      </c>
      <c r="B118" s="29" t="s">
        <v>136</v>
      </c>
      <c r="C118" t="s">
        <v>206</v>
      </c>
      <c r="D118" t="str">
        <f>VLOOKUP($A118,import!$A:$G,MATCH(lookup_helper!D$1,import!$A$1:$G$1,0),FALSE)</f>
        <v>Small-Town Established Communities</v>
      </c>
      <c r="E118">
        <f>VLOOKUP($A118,import!$A:$G,MATCH(lookup_helper!E$1,import!$A$1:$G$1,0),FALSE)</f>
        <v>0</v>
      </c>
      <c r="F118">
        <f>VLOOKUP($A118,import!$A:$G,MATCH(lookup_helper!F$1,import!$A$1:$G$1,0),FALSE)</f>
        <v>0</v>
      </c>
      <c r="G118">
        <f>VLOOKUP($A118,import!$A:$G,MATCH(lookup_helper!G$1,import!$A$1:$G$1,0),FALSE)</f>
        <v>0</v>
      </c>
      <c r="H118">
        <f>VLOOKUP($A118,import!$A:$G,MATCH(lookup_helper!H$1,import!$A$1:$G$1,0),FALSE)</f>
        <v>0</v>
      </c>
      <c r="I118">
        <f>VLOOKUP($A118,import!$A:$G,MATCH(lookup_helper!I$1,import!$A$1:$G$1,0),FALSE)</f>
        <v>0</v>
      </c>
    </row>
  </sheetData>
  <sortState xmlns:xlrd2="http://schemas.microsoft.com/office/spreadsheetml/2017/richdata2" ref="A4:I118">
    <sortCondition ref="C4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dimension ref="A2:I45"/>
  <sheetViews>
    <sheetView view="pageLayout" topLeftCell="A10" zoomScaleNormal="100" workbookViewId="0">
      <selection activeCell="F35" sqref="F35"/>
    </sheetView>
  </sheetViews>
  <sheetFormatPr defaultRowHeight="15" x14ac:dyDescent="0.25"/>
  <cols>
    <col min="5" max="5" width="10.5703125" bestFit="1" customWidth="1"/>
  </cols>
  <sheetData>
    <row r="2" spans="1:9" x14ac:dyDescent="0.25">
      <c r="A2" s="52" t="str">
        <f>"Project Performance Assessment Report: "&amp;import!$B$2</f>
        <v>Project Performance Assessment Report: test_project_YubaCity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/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/>
      <c r="B4" s="52"/>
      <c r="C4" s="52"/>
      <c r="D4" s="52"/>
      <c r="E4" s="52"/>
      <c r="F4" s="52"/>
      <c r="G4" s="52"/>
      <c r="H4" s="52"/>
      <c r="I4" s="52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51" t="s">
        <v>131</v>
      </c>
      <c r="B31" s="51"/>
      <c r="C31" s="51"/>
      <c r="D31" s="51"/>
      <c r="E31" s="32" t="str">
        <f>VLOOKUP(A31,lookup_helper!$B$112:$D$118,3,FALSE)</f>
        <v>test_project_YubaCity</v>
      </c>
    </row>
    <row r="32" spans="1:5" x14ac:dyDescent="0.25">
      <c r="A32" s="51" t="s">
        <v>132</v>
      </c>
      <c r="B32" s="51"/>
      <c r="C32" s="51"/>
      <c r="D32" s="51"/>
      <c r="E32" s="32" t="str">
        <f>VLOOKUP(A32,lookup_helper!$B$112:$D$118,3,FALSE)</f>
        <v>Freeway</v>
      </c>
    </row>
    <row r="33" spans="1:9" x14ac:dyDescent="0.25">
      <c r="A33" s="51" t="s">
        <v>133</v>
      </c>
      <c r="B33" s="51"/>
      <c r="C33" s="51"/>
      <c r="D33" s="51"/>
      <c r="E33" s="33">
        <f>VLOOKUP(A33,lookup_helper!$B$112:$D$118,3,FALSE)</f>
        <v>60000</v>
      </c>
    </row>
    <row r="34" spans="1:9" x14ac:dyDescent="0.25">
      <c r="A34" s="51" t="s">
        <v>134</v>
      </c>
      <c r="B34" s="51"/>
      <c r="C34" s="51"/>
      <c r="D34" s="51"/>
      <c r="E34" s="33">
        <f>VLOOKUP(A34,lookup_helper!$B$112:$D$118,3,FALSE)</f>
        <v>60</v>
      </c>
    </row>
    <row r="35" spans="1:9" x14ac:dyDescent="0.25">
      <c r="A35" s="51" t="s">
        <v>135</v>
      </c>
      <c r="B35" s="51"/>
      <c r="C35" s="51"/>
      <c r="D35" s="51"/>
      <c r="E35" s="33">
        <f>VLOOKUP(A35,lookup_helper!$B$112:$D$118,3,FALSE)</f>
        <v>65</v>
      </c>
    </row>
    <row r="36" spans="1:9" x14ac:dyDescent="0.25">
      <c r="A36" s="51" t="s">
        <v>267</v>
      </c>
      <c r="B36" s="51"/>
      <c r="C36" s="51"/>
      <c r="D36" s="51"/>
      <c r="E36" s="57">
        <f>VLOOKUP(A36,lookup_helper!$B$112:$D$118,3,FALSE)</f>
        <v>1</v>
      </c>
      <c r="F36" s="31"/>
      <c r="G36" s="31"/>
      <c r="H36" s="31"/>
      <c r="I36" s="31"/>
    </row>
    <row r="37" spans="1:9" x14ac:dyDescent="0.25">
      <c r="A37" s="51" t="s">
        <v>136</v>
      </c>
      <c r="B37" s="51"/>
      <c r="C37" s="51"/>
      <c r="D37" s="51"/>
      <c r="E37" s="32" t="str">
        <f>VLOOKUP(A37,lookup_helper!$B$112:$D$118,3,FALSE)</f>
        <v>Small-Town Established Communities</v>
      </c>
      <c r="F37" s="11"/>
      <c r="G37" s="11"/>
      <c r="H37" s="11"/>
      <c r="I37" s="11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0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0"/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9"/>
    </row>
  </sheetData>
  <mergeCells count="8">
    <mergeCell ref="A35:D35"/>
    <mergeCell ref="A37:D37"/>
    <mergeCell ref="A2:I4"/>
    <mergeCell ref="A31:D31"/>
    <mergeCell ref="A32:D32"/>
    <mergeCell ref="A33:D33"/>
    <mergeCell ref="A34:D34"/>
    <mergeCell ref="A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dimension ref="A1:H42"/>
  <sheetViews>
    <sheetView view="pageBreakPreview" zoomScaleNormal="100" zoomScaleSheetLayoutView="100" workbookViewId="0">
      <selection activeCell="A43" sqref="A43"/>
    </sheetView>
  </sheetViews>
  <sheetFormatPr defaultRowHeight="15" x14ac:dyDescent="0.25"/>
  <cols>
    <col min="1" max="1" width="21.5703125" customWidth="1"/>
  </cols>
  <sheetData>
    <row r="1" spans="1:1" ht="21" x14ac:dyDescent="0.25">
      <c r="A1" s="8" t="s">
        <v>125</v>
      </c>
    </row>
    <row r="2" spans="1:1" ht="48.75" customHeight="1" x14ac:dyDescent="0.25">
      <c r="A2" s="12" t="s">
        <v>126</v>
      </c>
    </row>
    <row r="3" spans="1:1" x14ac:dyDescent="0.25">
      <c r="A3" s="30" t="s">
        <v>287</v>
      </c>
    </row>
    <row r="21" spans="1:1" x14ac:dyDescent="0.25">
      <c r="A21" s="30" t="s">
        <v>127</v>
      </c>
    </row>
    <row r="39" spans="1:8" x14ac:dyDescent="0.25">
      <c r="A39" s="53" t="s">
        <v>288</v>
      </c>
      <c r="B39" s="53"/>
      <c r="C39" s="53"/>
      <c r="D39" s="53"/>
      <c r="E39" s="53"/>
      <c r="F39" s="53"/>
      <c r="G39" s="53"/>
      <c r="H39" s="53"/>
    </row>
    <row r="40" spans="1:8" x14ac:dyDescent="0.25">
      <c r="A40" s="53"/>
      <c r="B40" s="53"/>
      <c r="C40" s="53"/>
      <c r="D40" s="53"/>
      <c r="E40" s="53"/>
      <c r="F40" s="53"/>
      <c r="G40" s="53"/>
      <c r="H40" s="53"/>
    </row>
    <row r="41" spans="1:8" x14ac:dyDescent="0.25">
      <c r="A41" s="53"/>
      <c r="B41" s="53"/>
      <c r="C41" s="53"/>
      <c r="D41" s="53"/>
      <c r="E41" s="53"/>
      <c r="F41" s="53"/>
      <c r="G41" s="53"/>
      <c r="H41" s="53"/>
    </row>
    <row r="42" spans="1:8" ht="30" customHeight="1" x14ac:dyDescent="0.25">
      <c r="A42" s="53"/>
      <c r="B42" s="53"/>
      <c r="C42" s="53"/>
      <c r="D42" s="53"/>
      <c r="E42" s="53"/>
      <c r="F42" s="53"/>
      <c r="G42" s="53"/>
      <c r="H42" s="53"/>
    </row>
  </sheetData>
  <mergeCells count="1">
    <mergeCell ref="A39:H42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dimension ref="A1:I26"/>
  <sheetViews>
    <sheetView tabSelected="1" view="pageLayout" topLeftCell="A25" zoomScaleNormal="100" workbookViewId="0">
      <selection activeCell="H33" sqref="H33"/>
    </sheetView>
  </sheetViews>
  <sheetFormatPr defaultRowHeight="15" x14ac:dyDescent="0.25"/>
  <sheetData>
    <row r="1" spans="1:1" ht="17.25" x14ac:dyDescent="0.25">
      <c r="A1" s="12" t="s">
        <v>128</v>
      </c>
    </row>
    <row r="2" spans="1:1" x14ac:dyDescent="0.25">
      <c r="A2" s="30" t="s">
        <v>224</v>
      </c>
    </row>
    <row r="3" spans="1:1" x14ac:dyDescent="0.25">
      <c r="A3" s="9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9" spans="1:9" ht="65.25" customHeight="1" x14ac:dyDescent="0.25">
      <c r="A19" s="53" t="s">
        <v>289</v>
      </c>
      <c r="B19" s="53"/>
      <c r="C19" s="53"/>
      <c r="D19" s="53"/>
      <c r="E19" s="53"/>
      <c r="F19" s="53"/>
      <c r="G19" s="53"/>
      <c r="H19" s="53"/>
      <c r="I19" s="53"/>
    </row>
    <row r="22" spans="1:9" x14ac:dyDescent="0.25">
      <c r="A22" s="30" t="s">
        <v>225</v>
      </c>
    </row>
    <row r="23" spans="1:9" x14ac:dyDescent="0.25">
      <c r="A23" s="9"/>
    </row>
    <row r="24" spans="1:9" x14ac:dyDescent="0.25">
      <c r="A24" s="14"/>
    </row>
    <row r="25" spans="1:9" x14ac:dyDescent="0.25">
      <c r="A25" s="13"/>
    </row>
    <row r="26" spans="1:9" x14ac:dyDescent="0.25">
      <c r="A26" s="13"/>
    </row>
  </sheetData>
  <mergeCells count="1">
    <mergeCell ref="A19:I1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DCC-1888-4FF1-B645-7715A9482FCA}">
  <dimension ref="A1:I56"/>
  <sheetViews>
    <sheetView view="pageBreakPreview" zoomScaleNormal="100" zoomScaleSheetLayoutView="100" workbookViewId="0">
      <selection activeCell="A50" sqref="A50:C50"/>
    </sheetView>
  </sheetViews>
  <sheetFormatPr defaultRowHeight="15" x14ac:dyDescent="0.25"/>
  <cols>
    <col min="1" max="1" width="17.7109375" customWidth="1"/>
    <col min="2" max="2" width="17.5703125" customWidth="1"/>
    <col min="3" max="3" width="21.140625" customWidth="1"/>
  </cols>
  <sheetData>
    <row r="1" spans="1:9" ht="17.25" x14ac:dyDescent="0.25">
      <c r="A1" s="12" t="s">
        <v>228</v>
      </c>
    </row>
    <row r="2" spans="1:9" ht="27.75" customHeight="1" x14ac:dyDescent="0.25">
      <c r="A2" s="54" t="s">
        <v>229</v>
      </c>
      <c r="B2" s="54"/>
      <c r="C2" s="54"/>
      <c r="D2" s="54"/>
      <c r="E2" s="54"/>
    </row>
    <row r="4" spans="1:9" ht="15.75" thickBot="1" x14ac:dyDescent="0.3">
      <c r="A4" s="42" t="s">
        <v>244</v>
      </c>
    </row>
    <row r="5" spans="1:9" ht="30.75" thickBot="1" x14ac:dyDescent="0.3">
      <c r="A5" s="35" t="s">
        <v>240</v>
      </c>
      <c r="B5" s="36" t="s">
        <v>241</v>
      </c>
      <c r="C5" s="36" t="s">
        <v>242</v>
      </c>
    </row>
    <row r="6" spans="1:9" ht="15.75" thickBot="1" x14ac:dyDescent="0.3">
      <c r="A6" s="38">
        <f>VLOOKUP($A4,lookup_helper!$B:$I,MATCH("projval_2016",lookup_helper!$B$1:$I$1,0),FALSE)</f>
        <v>0.1021114271418558</v>
      </c>
      <c r="B6" s="38">
        <f>VLOOKUP($A4,lookup_helper!$B:$I,MATCH("CommunityType_2016",lookup_helper!$B$1:$I$1,0),FALSE)</f>
        <v>5.8844134774233253E-2</v>
      </c>
      <c r="C6" s="38">
        <f>VLOOKUP($A4,lookup_helper!$B:$I,MATCH("REGION_2016",lookup_helper!$B$1:$I$1,0),FALSE)</f>
        <v>1.480071598380431E-2</v>
      </c>
    </row>
    <row r="7" spans="1:9" x14ac:dyDescent="0.25">
      <c r="A7" s="39"/>
      <c r="B7" s="40"/>
      <c r="C7" s="40"/>
    </row>
    <row r="9" spans="1:9" ht="27.75" customHeight="1" x14ac:dyDescent="0.25">
      <c r="A9" s="54" t="s">
        <v>230</v>
      </c>
      <c r="B9" s="54"/>
      <c r="C9" s="54"/>
      <c r="D9" s="54"/>
      <c r="E9" s="54"/>
      <c r="F9" s="37"/>
      <c r="G9" s="37"/>
      <c r="H9" s="37"/>
      <c r="I9" s="37"/>
    </row>
    <row r="11" spans="1:9" ht="15.75" thickBot="1" x14ac:dyDescent="0.3">
      <c r="A11" s="55" t="s">
        <v>243</v>
      </c>
      <c r="B11" s="55"/>
      <c r="C11" s="55"/>
    </row>
    <row r="12" spans="1:9" ht="30.75" thickBot="1" x14ac:dyDescent="0.3">
      <c r="A12" s="35" t="s">
        <v>240</v>
      </c>
      <c r="B12" s="36" t="s">
        <v>241</v>
      </c>
      <c r="C12" s="36" t="s">
        <v>242</v>
      </c>
    </row>
    <row r="13" spans="1:9" ht="15.75" thickBot="1" x14ac:dyDescent="0.3">
      <c r="A13" s="43">
        <f>VLOOKUP($A11,lookup_helper!$B:$I,MATCH("projval_2016",lookup_helper!$1:$1,0)-1,FALSE)</f>
        <v>0.33368336973414081</v>
      </c>
      <c r="B13" s="43">
        <f>VLOOKUP($A11,lookup_helper!$B:$I,MATCH("CommunityType_2016",lookup_helper!$B$1:$I$1,0),FALSE)</f>
        <v>9.9496332560479198E-2</v>
      </c>
      <c r="C13" s="43">
        <f>VLOOKUP($A11,lookup_helper!$B:$I,MATCH("REGION_2016",lookup_helper!$B$1:$I$1,0),FALSE)</f>
        <v>0.1052465714535069</v>
      </c>
    </row>
    <row r="14" spans="1:9" x14ac:dyDescent="0.25">
      <c r="A14" s="41"/>
      <c r="B14" s="41"/>
      <c r="C14" s="41"/>
    </row>
    <row r="16" spans="1:9" x14ac:dyDescent="0.25">
      <c r="A16" s="30" t="s">
        <v>231</v>
      </c>
    </row>
    <row r="17" spans="1:1" x14ac:dyDescent="0.25">
      <c r="A17" t="s">
        <v>234</v>
      </c>
    </row>
    <row r="46" spans="1:1" x14ac:dyDescent="0.25">
      <c r="A46" s="30" t="s">
        <v>232</v>
      </c>
    </row>
    <row r="47" spans="1:1" x14ac:dyDescent="0.25">
      <c r="A47" s="30"/>
    </row>
    <row r="48" spans="1:1" ht="15.75" thickBot="1" x14ac:dyDescent="0.3">
      <c r="A48" s="44" t="s">
        <v>178</v>
      </c>
    </row>
    <row r="49" spans="1:3" ht="30.75" thickBot="1" x14ac:dyDescent="0.3">
      <c r="A49" s="35" t="s">
        <v>240</v>
      </c>
      <c r="B49" s="36" t="s">
        <v>241</v>
      </c>
      <c r="C49" s="36" t="s">
        <v>242</v>
      </c>
    </row>
    <row r="50" spans="1:3" ht="15.75" thickBot="1" x14ac:dyDescent="0.3">
      <c r="A50" s="38">
        <f>VLOOKUP($A48,lookup_helper!$B:$I,MATCH("projval_2016",lookup_helper!$1:$1,0)-1,FALSE)</f>
        <v>1.872619731652339</v>
      </c>
      <c r="B50" s="38">
        <f>VLOOKUP($A48,lookup_helper!$B:$I,MATCH("CommunityType_2016",lookup_helper!$B$1:$I$1,0),FALSE)</f>
        <v>7.4149284958128156E-2</v>
      </c>
      <c r="C50" s="38">
        <f>VLOOKUP($A48,lookup_helper!$B:$I,MATCH("REGION_2016",lookup_helper!$B$1:$I$1,0),FALSE)</f>
        <v>7.332683167880813E-2</v>
      </c>
    </row>
    <row r="55" spans="1:3" x14ac:dyDescent="0.25">
      <c r="A55" s="30" t="s">
        <v>233</v>
      </c>
    </row>
    <row r="56" spans="1:3" x14ac:dyDescent="0.25">
      <c r="A56" t="s">
        <v>235</v>
      </c>
    </row>
  </sheetData>
  <mergeCells count="3">
    <mergeCell ref="A9:E9"/>
    <mergeCell ref="A2:E2"/>
    <mergeCell ref="A11:C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5C7-BD60-4FDC-AB65-BF967BB22109}">
  <dimension ref="A1:I77"/>
  <sheetViews>
    <sheetView view="pageLayout" zoomScaleNormal="100" workbookViewId="0">
      <selection activeCell="A55" sqref="A55"/>
    </sheetView>
  </sheetViews>
  <sheetFormatPr defaultRowHeight="15" x14ac:dyDescent="0.25"/>
  <sheetData>
    <row r="1" spans="1:1" ht="17.25" x14ac:dyDescent="0.25">
      <c r="A1" s="12" t="s">
        <v>236</v>
      </c>
    </row>
    <row r="2" spans="1:1" ht="15.75" x14ac:dyDescent="0.25">
      <c r="A2" s="34" t="s">
        <v>237</v>
      </c>
    </row>
    <row r="3" spans="1:1" x14ac:dyDescent="0.25">
      <c r="A3" s="30" t="s">
        <v>238</v>
      </c>
    </row>
    <row r="4" spans="1:1" x14ac:dyDescent="0.25">
      <c r="A4" s="30"/>
    </row>
    <row r="5" spans="1:1" x14ac:dyDescent="0.25">
      <c r="A5" s="30"/>
    </row>
    <row r="6" spans="1:1" x14ac:dyDescent="0.25">
      <c r="A6" s="30"/>
    </row>
    <row r="7" spans="1:1" x14ac:dyDescent="0.25">
      <c r="A7" s="30"/>
    </row>
    <row r="8" spans="1:1" x14ac:dyDescent="0.25">
      <c r="A8" s="30"/>
    </row>
    <row r="9" spans="1:1" x14ac:dyDescent="0.25">
      <c r="A9" s="30"/>
    </row>
    <row r="10" spans="1:1" x14ac:dyDescent="0.25">
      <c r="A10" s="30"/>
    </row>
    <row r="11" spans="1:1" x14ac:dyDescent="0.25">
      <c r="A11" s="30"/>
    </row>
    <row r="12" spans="1:1" x14ac:dyDescent="0.25">
      <c r="A12" s="30"/>
    </row>
    <row r="13" spans="1:1" x14ac:dyDescent="0.25">
      <c r="A13" s="30"/>
    </row>
    <row r="14" spans="1:1" x14ac:dyDescent="0.25">
      <c r="A14" s="30"/>
    </row>
    <row r="15" spans="1:1" x14ac:dyDescent="0.25">
      <c r="A15" s="30"/>
    </row>
    <row r="16" spans="1:1" x14ac:dyDescent="0.25">
      <c r="A16" s="30"/>
    </row>
    <row r="17" spans="1:1" x14ac:dyDescent="0.25">
      <c r="A17" s="30"/>
    </row>
    <row r="18" spans="1:1" x14ac:dyDescent="0.25">
      <c r="A18" s="30"/>
    </row>
    <row r="24" spans="1:1" x14ac:dyDescent="0.25">
      <c r="A24" s="30" t="s">
        <v>239</v>
      </c>
    </row>
    <row r="25" spans="1:1" x14ac:dyDescent="0.25">
      <c r="A25" s="45">
        <f>lookup_helper!E81-lookup_helper!D81</f>
        <v>992.65999999999894</v>
      </c>
    </row>
    <row r="28" spans="1:1" x14ac:dyDescent="0.25">
      <c r="A28" s="30" t="s">
        <v>245</v>
      </c>
    </row>
    <row r="47" spans="1:9" ht="30.75" customHeight="1" x14ac:dyDescent="0.25">
      <c r="A47" s="56" t="s">
        <v>246</v>
      </c>
      <c r="B47" s="56"/>
      <c r="C47" s="56"/>
      <c r="D47" s="56"/>
      <c r="E47" s="56"/>
      <c r="F47" s="56"/>
      <c r="G47" s="56"/>
      <c r="H47" s="56"/>
      <c r="I47" s="56"/>
    </row>
    <row r="50" spans="1:1" ht="15.75" x14ac:dyDescent="0.25">
      <c r="A50" s="34" t="s">
        <v>247</v>
      </c>
    </row>
    <row r="51" spans="1:1" x14ac:dyDescent="0.25">
      <c r="A51" s="30" t="s">
        <v>248</v>
      </c>
    </row>
    <row r="52" spans="1:1" x14ac:dyDescent="0.25">
      <c r="A52" s="46">
        <f>lookup_helper!D55</f>
        <v>657</v>
      </c>
    </row>
    <row r="55" spans="1:1" x14ac:dyDescent="0.25">
      <c r="A55" s="30" t="s">
        <v>249</v>
      </c>
    </row>
    <row r="76" spans="1:1" ht="15.75" x14ac:dyDescent="0.25">
      <c r="A76" s="34" t="s">
        <v>250</v>
      </c>
    </row>
    <row r="77" spans="1:1" x14ac:dyDescent="0.25">
      <c r="A77" s="30" t="s">
        <v>251</v>
      </c>
    </row>
  </sheetData>
  <mergeCells count="1">
    <mergeCell ref="A47:I4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D76-764D-4B96-9AC3-904BF933FEFC}">
  <dimension ref="A1:I28"/>
  <sheetViews>
    <sheetView view="pageBreakPreview" zoomScale="60" zoomScaleNormal="100" workbookViewId="0">
      <selection activeCell="C26" sqref="A26:C26"/>
    </sheetView>
  </sheetViews>
  <sheetFormatPr defaultRowHeight="15" x14ac:dyDescent="0.25"/>
  <cols>
    <col min="1" max="1" width="13" customWidth="1"/>
    <col min="2" max="2" width="15.140625" customWidth="1"/>
    <col min="3" max="3" width="12.85546875" customWidth="1"/>
    <col min="6" max="6" width="7.42578125" customWidth="1"/>
    <col min="7" max="7" width="7" customWidth="1"/>
    <col min="8" max="8" width="3.85546875" customWidth="1"/>
    <col min="9" max="9" width="5.5703125" customWidth="1"/>
  </cols>
  <sheetData>
    <row r="1" spans="1:9" ht="17.25" x14ac:dyDescent="0.25">
      <c r="A1" s="12" t="s">
        <v>252</v>
      </c>
    </row>
    <row r="2" spans="1:9" ht="37.5" customHeight="1" x14ac:dyDescent="0.25">
      <c r="A2" s="56" t="s">
        <v>254</v>
      </c>
      <c r="B2" s="56"/>
      <c r="C2" s="56"/>
      <c r="D2" s="56"/>
      <c r="E2" s="56"/>
      <c r="F2" s="56"/>
      <c r="G2" s="56"/>
      <c r="H2" s="56"/>
      <c r="I2" s="56"/>
    </row>
    <row r="3" spans="1:9" x14ac:dyDescent="0.25">
      <c r="A3" s="48">
        <f>VLOOKUP(lookup_helper!B56,lookup_helper!$B:$D,3,FALSE)</f>
        <v>1</v>
      </c>
      <c r="B3" s="32"/>
      <c r="C3" s="32"/>
      <c r="D3" s="32"/>
      <c r="E3" s="32"/>
      <c r="F3" s="32"/>
      <c r="G3" s="32"/>
      <c r="H3" s="32"/>
      <c r="I3" s="32"/>
    </row>
    <row r="4" spans="1:9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ht="44.25" customHeight="1" x14ac:dyDescent="0.25">
      <c r="A5" s="56" t="s">
        <v>253</v>
      </c>
      <c r="B5" s="56"/>
      <c r="C5" s="56"/>
      <c r="D5" s="56"/>
      <c r="E5" s="56"/>
      <c r="F5" s="56"/>
      <c r="G5" s="56"/>
      <c r="H5" s="56"/>
      <c r="I5" s="56"/>
    </row>
    <row r="8" spans="1:9" x14ac:dyDescent="0.25">
      <c r="A8" s="30" t="s">
        <v>255</v>
      </c>
    </row>
    <row r="9" spans="1:9" x14ac:dyDescent="0.25">
      <c r="A9" t="s">
        <v>256</v>
      </c>
    </row>
    <row r="23" spans="1:3" x14ac:dyDescent="0.25">
      <c r="A23" s="30" t="s">
        <v>257</v>
      </c>
    </row>
    <row r="24" spans="1:3" ht="15.75" thickBot="1" x14ac:dyDescent="0.3">
      <c r="A24" s="42" t="s">
        <v>196</v>
      </c>
    </row>
    <row r="25" spans="1:3" ht="45.75" thickBot="1" x14ac:dyDescent="0.3">
      <c r="A25" s="35" t="s">
        <v>240</v>
      </c>
      <c r="B25" s="36" t="s">
        <v>241</v>
      </c>
      <c r="C25" s="36" t="s">
        <v>242</v>
      </c>
    </row>
    <row r="26" spans="1:3" ht="15.75" thickBot="1" x14ac:dyDescent="0.3">
      <c r="A26" s="43">
        <f>VLOOKUP($A24,lookup_helper!$B:$I,MATCH("projval_2016",lookup_helper!$1:$1,0)-1,FALSE)</f>
        <v>7.072357263990954E-2</v>
      </c>
      <c r="B26" s="43">
        <f>VLOOKUP($A24,lookup_helper!$B:$I,MATCH("CommunityType_2016",lookup_helper!$B$1:$I$1,0),FALSE)</f>
        <v>0.1343871705182399</v>
      </c>
      <c r="C26" s="43">
        <f>VLOOKUP($A24,lookup_helper!$B:$I,MATCH("REGION_2016",lookup_helper!$B$1:$I$1,0),FALSE)</f>
        <v>0.13021497769289109</v>
      </c>
    </row>
    <row r="28" spans="1:3" x14ac:dyDescent="0.25">
      <c r="A28" s="30" t="s">
        <v>258</v>
      </c>
    </row>
  </sheetData>
  <mergeCells count="2">
    <mergeCell ref="A2:I2"/>
    <mergeCell ref="A5:I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368-F9A2-47B6-BFA3-FA381B41D8B7}">
  <dimension ref="A1:H45"/>
  <sheetViews>
    <sheetView view="pageLayout" zoomScaleNormal="100" workbookViewId="0">
      <selection activeCell="E15" sqref="E15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8" ht="17.25" x14ac:dyDescent="0.25">
      <c r="A1" s="12" t="s">
        <v>259</v>
      </c>
    </row>
    <row r="2" spans="1:8" s="29" customFormat="1" ht="35.25" customHeight="1" x14ac:dyDescent="0.25">
      <c r="A2" s="56" t="s">
        <v>260</v>
      </c>
      <c r="B2" s="56"/>
      <c r="C2" s="56"/>
      <c r="D2" s="56"/>
      <c r="E2" s="56"/>
      <c r="F2" s="56"/>
      <c r="G2" s="56"/>
      <c r="H2" s="56"/>
    </row>
    <row r="4" spans="1:8" x14ac:dyDescent="0.25">
      <c r="A4" s="30" t="s">
        <v>262</v>
      </c>
    </row>
    <row r="5" spans="1:8" x14ac:dyDescent="0.25">
      <c r="A5" s="46">
        <f>VLOOKUP(lookup_helper!B86,lookup_helper!$B:$D,3,FALSE)</f>
        <v>56</v>
      </c>
    </row>
    <row r="8" spans="1:8" x14ac:dyDescent="0.25">
      <c r="A8" s="30" t="s">
        <v>261</v>
      </c>
    </row>
    <row r="9" spans="1:8" x14ac:dyDescent="0.25">
      <c r="A9" t="s">
        <v>263</v>
      </c>
    </row>
    <row r="29" spans="1:3" x14ac:dyDescent="0.25">
      <c r="A29" s="30" t="s">
        <v>264</v>
      </c>
    </row>
    <row r="30" spans="1:3" x14ac:dyDescent="0.25">
      <c r="A30" s="30"/>
    </row>
    <row r="31" spans="1:3" ht="15.75" thickBot="1" x14ac:dyDescent="0.3">
      <c r="A31" s="49" t="s">
        <v>151</v>
      </c>
    </row>
    <row r="32" spans="1:3" ht="45.75" thickBot="1" x14ac:dyDescent="0.3">
      <c r="A32" s="35" t="s">
        <v>240</v>
      </c>
      <c r="B32" s="36" t="s">
        <v>241</v>
      </c>
      <c r="C32" s="36" t="s">
        <v>242</v>
      </c>
    </row>
    <row r="33" spans="1:3" ht="15.75" thickBot="1" x14ac:dyDescent="0.3">
      <c r="A33" s="50">
        <f>VLOOKUP($A31,lookup_helper!$B:$I,MATCH("projval_2016",lookup_helper!$1:$1,0)-1,FALSE)</f>
        <v>41.285465803940781</v>
      </c>
      <c r="B33" s="50">
        <f>VLOOKUP($A31,lookup_helper!$B:$I,MATCH("CommunityType_2016",lookup_helper!$B$1:$I$1,0),FALSE)</f>
        <v>61.135362311155802</v>
      </c>
      <c r="C33" s="50">
        <f>VLOOKUP($A31,lookup_helper!$B:$I,MATCH("REGION_2016",lookup_helper!$B$1:$I$1,0),FALSE)</f>
        <v>63.369834818958772</v>
      </c>
    </row>
    <row r="45" spans="1:3" x14ac:dyDescent="0.25">
      <c r="A45" s="30" t="s">
        <v>265</v>
      </c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C26-04B9-49D2-98B1-15755B05F762}">
  <dimension ref="A1:A7"/>
  <sheetViews>
    <sheetView view="pageLayout" zoomScaleNormal="100" workbookViewId="0">
      <selection activeCell="B7" sqref="B7"/>
    </sheetView>
  </sheetViews>
  <sheetFormatPr defaultRowHeight="15" x14ac:dyDescent="0.25"/>
  <sheetData>
    <row r="1" spans="1:1" ht="17.25" x14ac:dyDescent="0.25">
      <c r="A1" s="12" t="s">
        <v>268</v>
      </c>
    </row>
    <row r="3" spans="1:1" x14ac:dyDescent="0.25">
      <c r="A3" s="47" t="s">
        <v>269</v>
      </c>
    </row>
    <row r="4" spans="1:1" x14ac:dyDescent="0.25">
      <c r="A4" s="46">
        <f>VLOOKUP("Project Pavement Condition Index (PCI)",lookup_helper!$B:$D,3,FALSE)</f>
        <v>60</v>
      </c>
    </row>
    <row r="6" spans="1:1" x14ac:dyDescent="0.25">
      <c r="A6" s="47" t="s">
        <v>270</v>
      </c>
    </row>
    <row r="7" spans="1:1" x14ac:dyDescent="0.25">
      <c r="A7" s="58">
        <f>VLOOKUP("Project AADT",lookup_helper!$B:$D,3,FALSE)</f>
        <v>60000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8989-782F-4C16-9EA8-F79FF49CA3B0}">
  <dimension ref="A1:E18"/>
  <sheetViews>
    <sheetView view="pageLayout" zoomScaleNormal="100" workbookViewId="0">
      <selection activeCell="C4" sqref="C4"/>
    </sheetView>
  </sheetViews>
  <sheetFormatPr defaultRowHeight="15" x14ac:dyDescent="0.25"/>
  <cols>
    <col min="1" max="1" width="13.5703125" customWidth="1"/>
    <col min="2" max="2" width="13.85546875" customWidth="1"/>
    <col min="3" max="3" width="14" customWidth="1"/>
    <col min="4" max="4" width="13" customWidth="1"/>
    <col min="5" max="5" width="14.5703125" customWidth="1"/>
  </cols>
  <sheetData>
    <row r="1" spans="1:5" ht="17.25" x14ac:dyDescent="0.25">
      <c r="A1" s="12" t="s">
        <v>271</v>
      </c>
    </row>
    <row r="2" spans="1:5" x14ac:dyDescent="0.25">
      <c r="A2" s="47" t="s">
        <v>277</v>
      </c>
    </row>
    <row r="3" spans="1:5" x14ac:dyDescent="0.25">
      <c r="A3" s="58">
        <f>lookup_helper!D95*lookup_helper!D72</f>
        <v>4050</v>
      </c>
    </row>
    <row r="6" spans="1:5" ht="15.75" thickBot="1" x14ac:dyDescent="0.3">
      <c r="A6" s="47" t="s">
        <v>272</v>
      </c>
    </row>
    <row r="7" spans="1:5" ht="45.75" thickBot="1" x14ac:dyDescent="0.3">
      <c r="A7" s="35" t="s">
        <v>273</v>
      </c>
      <c r="B7" s="36" t="s">
        <v>241</v>
      </c>
      <c r="C7" s="36" t="s">
        <v>242</v>
      </c>
    </row>
    <row r="8" spans="1:5" ht="15.75" thickBot="1" x14ac:dyDescent="0.3">
      <c r="A8" s="59">
        <f>VLOOKUP("Percent of project area residents within an EJ community",lookup_helper!$B:$D,3,FALSE)</f>
        <v>0.69863722615145762</v>
      </c>
      <c r="B8" s="59">
        <f>VLOOKUP("Percent of project area residents within an EJ community",lookup_helper!$B:$F,5,FALSE)</f>
        <v>0.34730153421679688</v>
      </c>
      <c r="C8" s="59">
        <f>VLOOKUP("Percent of project area residents within an EJ community",lookup_helper!$B:$G,6,FALSE)</f>
        <v>0.3746385676273582</v>
      </c>
    </row>
    <row r="9" spans="1:5" x14ac:dyDescent="0.25">
      <c r="A9" s="47" t="s">
        <v>274</v>
      </c>
    </row>
    <row r="13" spans="1:5" x14ac:dyDescent="0.25">
      <c r="A13" s="47" t="s">
        <v>275</v>
      </c>
    </row>
    <row r="14" spans="1:5" s="19" customFormat="1" x14ac:dyDescent="0.25">
      <c r="A14" s="60" t="s">
        <v>276</v>
      </c>
      <c r="B14" s="61"/>
      <c r="C14" s="61"/>
      <c r="D14" s="61"/>
      <c r="E14" s="61"/>
    </row>
    <row r="15" spans="1:5" s="19" customFormat="1" x14ac:dyDescent="0.25">
      <c r="A15" s="61"/>
      <c r="B15" s="61"/>
      <c r="C15" s="61"/>
      <c r="D15" s="61"/>
      <c r="E15" s="61"/>
    </row>
    <row r="16" spans="1:5" s="19" customFormat="1" x14ac:dyDescent="0.25">
      <c r="A16" s="62"/>
      <c r="B16" s="61"/>
      <c r="C16" s="61"/>
      <c r="D16" s="61"/>
      <c r="E16" s="61"/>
    </row>
    <row r="17" spans="1:5" s="19" customFormat="1" x14ac:dyDescent="0.25">
      <c r="A17" s="61"/>
      <c r="B17" s="61"/>
      <c r="C17" s="61"/>
      <c r="D17" s="61"/>
      <c r="E17" s="61"/>
    </row>
    <row r="18" spans="1:5" s="19" customFormat="1" x14ac:dyDescent="0.25">
      <c r="A18" s="61"/>
      <c r="B18" s="61"/>
      <c r="C18" s="61"/>
      <c r="D18" s="61"/>
      <c r="E18" s="6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import</vt:lpstr>
      <vt:lpstr>lookup_helper</vt:lpstr>
      <vt:lpstr>TitlePg</vt:lpstr>
      <vt:lpstr>ReduceVMT</vt:lpstr>
      <vt:lpstr>ReduceCongestion</vt:lpstr>
      <vt:lpstr>Multimodal</vt:lpstr>
      <vt:lpstr>EconProsperity</vt:lpstr>
      <vt:lpstr>Freight</vt:lpstr>
      <vt:lpstr>Safety</vt:lpstr>
      <vt:lpstr>SGR</vt:lpstr>
      <vt:lpstr>SocioEconEquity</vt:lpstr>
      <vt:lpstr>EconProsperity!_Hlk20929805</vt:lpstr>
      <vt:lpstr>SGR!_Hlk20929868</vt:lpstr>
      <vt:lpstr>Freight!Print_Area</vt:lpstr>
      <vt:lpstr>ReduceVMT!Print_Area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2020-01-18T00:39:42Z</cp:lastPrinted>
  <dcterms:created xsi:type="dcterms:W3CDTF">2020-01-07T23:38:49Z</dcterms:created>
  <dcterms:modified xsi:type="dcterms:W3CDTF">2020-01-22T17:18:38Z</dcterms:modified>
</cp:coreProperties>
</file>