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CACF5422-B754-4CD6-8D72-4EBA4FF30A92}" xr6:coauthVersionLast="41" xr6:coauthVersionMax="41" xr10:uidLastSave="{00000000-0000-0000-0000-000000000000}"/>
  <bookViews>
    <workbookView xWindow="-120" yWindow="-120" windowWidth="29040" windowHeight="15840" tabRatio="781" activeTab="9" xr2:uid="{00000000-000D-0000-FFFF-FFFF00000000}"/>
  </bookViews>
  <sheets>
    <sheet name="import" sheetId="1" r:id="rId1"/>
    <sheet name="lookup_helper" sheetId="5" r:id="rId2"/>
    <sheet name="0_0TitlePg" sheetId="4" r:id="rId3"/>
    <sheet name="0_1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'4EconProsperity'!$A$86</definedName>
    <definedName name="_Hlk20929868" localSheetId="10">'7SGR'!$A$4</definedName>
    <definedName name="_xlnm.Print_Area" localSheetId="4">'1ReduceVMT'!$A$1:$H$43</definedName>
    <definedName name="_xlnm.Print_Area" localSheetId="6">'3Multimodal'!$A$1:$H$56</definedName>
    <definedName name="_xlnm.Print_Area" localSheetId="8">'5Freight'!$A$1:$H$32</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4" i="10" l="1"/>
  <c r="C23" i="3" l="1"/>
  <c r="B23" i="3"/>
  <c r="A26" i="3"/>
  <c r="C22" i="3"/>
  <c r="B22" i="3"/>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67" i="7" s="1"/>
  <c r="E55" i="5"/>
  <c r="F55" i="5"/>
  <c r="G55" i="5"/>
  <c r="H55" i="5"/>
  <c r="I55" i="5"/>
  <c r="D56" i="5"/>
  <c r="A6" i="8" s="1"/>
  <c r="E56" i="5"/>
  <c r="F56" i="5"/>
  <c r="G56" i="5"/>
  <c r="H56" i="5"/>
  <c r="I56" i="5"/>
  <c r="E57" i="5"/>
  <c r="F57" i="5"/>
  <c r="G57" i="5"/>
  <c r="H57" i="5"/>
  <c r="I57" i="5"/>
  <c r="D58" i="5"/>
  <c r="E58" i="5"/>
  <c r="F58" i="5"/>
  <c r="G58" i="5"/>
  <c r="H58" i="5"/>
  <c r="I58" i="5"/>
  <c r="D59" i="5"/>
  <c r="A29" i="8" s="1"/>
  <c r="E59" i="5"/>
  <c r="F59" i="5"/>
  <c r="B29" i="8" s="1"/>
  <c r="G59" i="5"/>
  <c r="C29"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6" i="9" s="1"/>
  <c r="E87" i="5"/>
  <c r="F87" i="5"/>
  <c r="B36" i="9" s="1"/>
  <c r="G87" i="5"/>
  <c r="C36"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<sst xmlns="http://schemas.openxmlformats.org/spreadsheetml/2006/main" count="637" uniqueCount="307">
  <si>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</si>
  <si>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</si>
  <si>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</si>
  <si>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</si>
  <si>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</si>
  <si>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</si>
  <si>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</si>
  <si>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</si>
  <si>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</si>
  <si>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</si>
  <si>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</si>
  <si>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</si>
  <si>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</si>
  <si>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</si>
  <si>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</si>
  <si>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</si>
  <si>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</si>
  <si>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</si>
  <si>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</si>
  <si>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</si>
  <si>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</si>
  <si>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</si>
  <si>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</si>
  <si>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</si>
  <si>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</si>
  <si>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</si>
  <si>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</si>
  <si>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</si>
  <si>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</si>
  <si>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</si>
  <si>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</si>
  <si>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</si>
  <si>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</si>
  <si>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</si>
  <si>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</si>
  <si>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</si>
  <si>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</si>
  <si>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</si>
  <si>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</si>
  <si>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</si>
  <si>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</si>
  <si>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</si>
  <si>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</si>
  <si>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</si>
  <si>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</si>
  <si>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</si>
  <si>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</si>
  <si>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</si>
  <si>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</si>
  <si>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</si>
  <si>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</si>
  <si>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</si>
  <si>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</si>
  <si>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</si>
  <si>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</si>
  <si>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</si>
  <si>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</si>
  <si>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</si>
  <si>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</si>
  <si>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</si>
  <si>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</si>
  <si>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</si>
  <si>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</si>
  <si>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</si>
  <si>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</si>
  <si>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</si>
  <si>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</si>
  <si>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</si>
  <si>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</si>
  <si>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</si>
  <si>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</si>
  <si>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</si>
  <si>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</si>
  <si>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</si>
  <si>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</si>
  <si>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</si>
  <si>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</si>
  <si>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</si>
  <si>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</si>
  <si>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</si>
  <si>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</si>
  <si>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</si>
  <si>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</si>
  <si>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</si>
  <si>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</si>
  <si>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</si>
  <si>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</si>
  <si>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</si>
  <si>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</si>
  <si>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</si>
  <si>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</si>
  <si>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</si>
  <si>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</si>
  <si>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</si>
  <si>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</si>
  <si>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</si>
  <si>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</si>
  <si>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</si>
  <si>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</si>
  <si>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</si>
  <si>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</si>
  <si>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</si>
  <si>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</si>
  <si>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</si>
  <si>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</si>
  <si>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</si>
  <si>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</si>
  <si>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</si>
  <si>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</si>
  <si>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</si>
  <si>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</si>
  <si>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</si>
  <si>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</si>
  <si>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</si>
  <si>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</si>
  <si>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</si>
  <si>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</si>
  <si>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</si>
  <si>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</si>
  <si>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</si>
  <si>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</si>
  <si>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</si>
  <si>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</si>
  <si>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</si>
  <si>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</si>
  <si>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</si>
  <si>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</si>
  <si>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</si>
  <si>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</si>
  <si>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</si>
  <si>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</si>
  <si>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</si>
  <si>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</si>
  <si>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</si>
  <si>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</si>
  <si>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</si>
  <si>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</si>
  <si>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</si>
  <si>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</si>
  <si>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</si>
  <si>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</si>
  <si>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</si>
  <si>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</si>
  <si>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</si>
  <si>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</si>
  <si>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</si>
  <si>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</si>
  <si>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</si>
  <si>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</si>
  <si>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</si>
  <si>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</si>
  <si>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</si>
  <si>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</si>
  <si>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</si>
  <si>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</si>
  <si>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</si>
  <si>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</si>
  <si>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</si>
  <si>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</si>
  <si>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</si>
  <si>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</si>
  <si>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</si>
  <si>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</si>
  <si>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</si>
  <si>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</si>
  <si>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</si>
  <si>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</si>
  <si>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</si>
  <si>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</si>
  <si>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</si>
  <si>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</si>
  <si>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</si>
  <si>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</si>
  <si>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</si>
  <si>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</si>
  <si>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</si>
  <si>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</si>
  <si>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</si>
  <si>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</si>
  <si>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</si>
  <si>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</si>
  <si>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</si>
  <si>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</si>
  <si>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</si>
  <si>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</si>
  <si>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</si>
  <si>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</si>
  <si>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</si>
  <si>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</si>
  <si>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</si>
  <si>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</si>
  <si>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</si>
  <si>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</si>
  <si>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</si>
  <si>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</si>
  <si>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</si>
  <si>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</si>
  <si>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</si>
  <si>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</si>
  <si>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</si>
  <si>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</si>
  <si>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</si>
  <si>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</si>
  <si>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</si>
  <si>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</si>
  <si>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</si>
  <si>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</si>
  <si>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</si>
  <si>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</si>
  <si>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</si>
  <si>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</si>
  <si>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</si>
  <si>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</si>
  <si>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</si>
  <si>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</si>
  <si>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</si>
  <si>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</si>
  <si>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</si>
  <si>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</si>
  <si>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</si>
  <si>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</si>
  <si>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</si>
  <si>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</si>
  <si>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</si>
  <si>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</si>
  <si>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</si>
  <si>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</si>
  <si>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</si>
  <si>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</si>
  <si>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</si>
  <si>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</si>
  <si>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</si>
  <si>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</si>
  <si>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</si>
  <si>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</si>
  <si>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</si>
  <si>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</si>
  <si>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</si>
  <si>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Economic Prosperity Indicator 3: Access to services*:</t>
  </si>
  <si>
    <t>*”Services” include parks, K-12 schools, higher education facilities, libraries, hospitals, other medical service facilities, grocery stores, pharmacies, clothing stores, and banks.</t>
  </si>
  <si>
    <t>Economic Prosperity Indicator 4: K-12 Enrollment within 0.5mi of project location:</t>
  </si>
  <si>
    <t>Economic Prosperity Indicator 5: Education Facility (K12 schools and higher education) Access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</si>
  <si>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</si>
  <si>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</si>
  <si>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</si>
  <si>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</si>
  <si>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</si>
  <si>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</si>
  <si>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</si>
  <si>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</si>
  <si>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</si>
  <si>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</si>
  <si>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</si>
  <si>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</si>
  <si>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</si>
  <si>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</si>
  <si>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</si>
  <si>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</si>
  <si>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</si>
  <si>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</si>
  <si>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</si>
  <si>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</si>
  <si>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</si>
  <si>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</si>
  <si>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</si>
  <si>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</si>
  <si>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</si>
  <si>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</si>
  <si>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</si>
  <si>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</si>
  <si>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</si>
  <si>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</si>
  <si>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</si>
  <si>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</si>
  <si>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</si>
  <si>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</si>
  <si>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</si>
  <si>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</si>
  <si>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</si>
  <si>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</si>
  <si>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</si>
  <si>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</si>
  <si>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r>
      <t>*Free-flow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</si>
  <si>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</si>
  <si>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</si>
  <si>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</si>
  <si>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</si>
  <si>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</si>
  <si>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</si>
  <si>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</si>
  <si>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</si>
  <si>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</si>
  <si>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</si>
  <si>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</si>
  <si>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</si>
  <si>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</si>
  <si>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</si>
  <si>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</si>
  <si>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</si>
  <si>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Economic Prosperity Indicator 6: Change in Ag acreage share within 0.5mi of project location</t>
  </si>
  <si>
    <t>Using This Report</t>
  </si>
  <si>
    <t>What this report does NOT do</t>
  </si>
  <si>
    <t>What this report does</t>
  </si>
  <si>
    <t>This report provides base year data on observed 2016 data and, where not observable, on base-year modeled conditions. It is meant to provide rich, quantitative contextual information about each project to aid reviewers in deciding which projects most align with program goals.
For example, if a project sponsor states that a project's goal is to reduce congestion, the report provides data on how congested the project corridor is under current conditions, and also shows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</si>
  <si>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on the project area.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congestion on the segment, nor will it say whether a proposed safety project will address the root cause of the safety issue).</t>
    </r>
  </si>
  <si>
    <t>State of good repair indicator 3: Complete Streets Index</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</si>
  <si>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means the project type selected is not eligible to be evaluated based on complete streets potential (e.g. freeway projects are not eligible for complete streets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</si>
</sst>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9" fillId="0" borderId="0" xfId="0" applyFont="1"/>
    <xf numFmtId="0" fontId="21" fillId="0" borderId="0" xfId="0" applyFont="1" applyBorder="1" applyAlignment="1">
      <alignment vertical="center"/>
    </xf>
    <xf numFmtId="0" fontId="29"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30" fillId="0" borderId="0" xfId="0" applyFont="1" applyAlignment="1">
      <alignment vertical="center" wrapText="1"/>
    </xf>
    <xf numFmtId="0" fontId="31"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164" fontId="0" fillId="0" borderId="0" xfId="1" applyNumberFormat="1" applyFont="1" applyBorder="1"/>
    <xf numFmtId="0" fontId="16" fillId="0" borderId="22" xfId="0" applyFont="1" applyBorder="1" applyAlignment="1">
      <alignment vertical="center"/>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and Dwelling Units per Acre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13-C6EE-4C16-B6BC-53FADD444E3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14-C6EE-4C16-B6BC-53FADD444E3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15-C6EE-4C16-B6BC-53FADD444E3F}"/>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4136-4FB2-B332-E360D914229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4136-4FB2-B332-E360D914229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4136-4FB2-B332-E360D914229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5FE6-4D93-BAA4-2F8C28BC2782}"/>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45</xdr:row>
      <xdr:rowOff>142875</xdr:rowOff>
    </xdr:from>
    <xdr:to>
      <xdr:col>7</xdr:col>
      <xdr:colOff>652463</xdr:colOff>
      <xdr:row>60</xdr:row>
      <xdr:rowOff>57150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104776</xdr:colOff>
      <xdr:row>69</xdr:row>
      <xdr:rowOff>66675</xdr:rowOff>
    </xdr:from>
    <xdr:to>
      <xdr:col>7</xdr:col>
      <xdr:colOff>1047751</xdr:colOff>
      <xdr:row>82</xdr:row>
      <xdr:rowOff>171450</xdr:rowOff>
    </xdr:to>
    <xdr:graphicFrame macro="">
      <xdr:nvGraphicFramePr>
        <xdr:cNvPr id="4" name="Chart 3">
          <a:extLst>
            <a:ext uri="{FF2B5EF4-FFF2-40B4-BE49-F238E27FC236}">
              <a16:creationId xmlns:a16="http://schemas.microsoft.com/office/drawing/2014/main" id="{06621BC6-AB07-4C13-AD66-3D890573E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90487</xdr:colOff>
      <xdr:row>88</xdr:row>
      <xdr:rowOff>66675</xdr:rowOff>
    </xdr:from>
    <xdr:to>
      <xdr:col>7</xdr:col>
      <xdr:colOff>61912</xdr:colOff>
      <xdr:row>100</xdr:row>
      <xdr:rowOff>85725</xdr:rowOff>
    </xdr:to>
    <xdr:graphicFrame macro="">
      <xdr:nvGraphicFramePr>
        <xdr:cNvPr id="5" name="Chart 4">
          <a:extLst>
            <a:ext uri="{FF2B5EF4-FFF2-40B4-BE49-F238E27FC236}">
              <a16:creationId xmlns:a16="http://schemas.microsoft.com/office/drawing/2014/main" id="{4000EC27-DEA6-4571-95D8-5B4D47A5C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41" activePane="bottomLeft" state="frozen"/>
      <selection pane="bottomLeft" activeCell="E70" sqref="E7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291</v>
      </c>
      <c r="B3" t="s">
        <v>289</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255</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0">
        <v>1.3624389724527719</v>
      </c>
    </row>
    <row r="69" spans="1:5" x14ac:dyDescent="0.25">
      <c r="A69" s="2" t="s">
        <v>66</v>
      </c>
      <c r="B69" s="80">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79" activePane="bottomLeft" state="frozen"/>
      <selection activeCell="B1" sqref="B1"/>
      <selection pane="bottomLeft" activeCell="B94" sqref="B94"/>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4" t="s">
        <v>281</v>
      </c>
      <c r="Q18" s="62">
        <f t="array" ref="Q18">MAX(IF(ISNUMBER(SEARCH("calc_len",import!$A:$A)),import!$B:$B))</f>
        <v>7460.2525126827086</v>
      </c>
      <c r="R18" s="63"/>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1" t="s">
        <v>280</v>
      </c>
      <c r="Q19" s="65">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211</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211</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8" customFormat="1" ht="30" x14ac:dyDescent="0.25">
      <c r="A65" s="88" t="s">
        <v>30</v>
      </c>
      <c r="B65" s="87" t="s">
        <v>159</v>
      </c>
      <c r="C65" s="88" t="s">
        <v>209</v>
      </c>
      <c r="D65" s="86">
        <f>VLOOKUP($A65,import!$A:$G,MATCH(lookup_helper!D$1,import!$A$1:$G$1,0),FALSE)</f>
        <v>1175.845221386116</v>
      </c>
      <c r="E65" s="86">
        <f>VLOOKUP($A65,import!$A:$G,MATCH(lookup_helper!E$1,import!$A$1:$G$1,0),FALSE)</f>
        <v>0</v>
      </c>
      <c r="F65" s="86">
        <f>VLOOKUP($A65,import!$A:$G,MATCH(lookup_helper!F$1,import!$A$1:$G$1,0),FALSE)</f>
        <v>0</v>
      </c>
      <c r="G65" s="86">
        <f>VLOOKUP($A65,import!$A:$G,MATCH(lookup_helper!G$1,import!$A$1:$G$1,0),FALSE)</f>
        <v>0</v>
      </c>
      <c r="H65" s="88">
        <f>VLOOKUP($A65,import!$A:$G,MATCH(lookup_helper!H$1,import!$A$1:$G$1,0),FALSE)</f>
        <v>0</v>
      </c>
      <c r="I65" s="88">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8" customFormat="1" x14ac:dyDescent="0.25">
      <c r="A80" s="88" t="s">
        <v>88</v>
      </c>
      <c r="B80" s="87" t="s">
        <v>186</v>
      </c>
      <c r="C80" s="88" t="s">
        <v>214</v>
      </c>
      <c r="D80" s="86">
        <f>VLOOKUP($A80,import!$A:$G,MATCH(lookup_helper!D$1,import!$A$1:$G$1,0),FALSE)</f>
        <v>1916</v>
      </c>
      <c r="E80" s="86">
        <f>VLOOKUP($A80,import!$A:$G,MATCH(lookup_helper!E$1,import!$A$1:$G$1,0),FALSE)</f>
        <v>2072.611115859987</v>
      </c>
      <c r="F80" s="88">
        <f>VLOOKUP($A80,import!$A:$G,MATCH(lookup_helper!F$1,import!$A$1:$G$1,0),FALSE)</f>
        <v>0</v>
      </c>
      <c r="G80" s="88">
        <f>VLOOKUP($A80,import!$A:$G,MATCH(lookup_helper!G$1,import!$A$1:$G$1,0),FALSE)</f>
        <v>0</v>
      </c>
      <c r="H80" s="88">
        <f>VLOOKUP($A80,import!$A:$G,MATCH(lookup_helper!H$1,import!$A$1:$G$1,0),FALSE)</f>
        <v>0</v>
      </c>
      <c r="I80" s="88">
        <f>VLOOKUP($A80,import!$A:$G,MATCH(lookup_helper!I$1,import!$A$1:$G$1,0),FALSE)</f>
        <v>0</v>
      </c>
    </row>
    <row r="81" spans="1:16" s="88" customFormat="1" x14ac:dyDescent="0.25">
      <c r="A81" s="88" t="s">
        <v>89</v>
      </c>
      <c r="B81" s="87" t="s">
        <v>184</v>
      </c>
      <c r="C81" s="88" t="s">
        <v>214</v>
      </c>
      <c r="D81" s="86">
        <f>VLOOKUP($A81,import!$A:$G,MATCH(lookup_helper!D$1,import!$A$1:$G$1,0),FALSE)</f>
        <v>1769</v>
      </c>
      <c r="E81" s="86">
        <f>VLOOKUP($A81,import!$A:$G,MATCH(lookup_helper!E$1,import!$A$1:$G$1,0),FALSE)</f>
        <v>2761.6599999999989</v>
      </c>
      <c r="F81" s="88">
        <f>VLOOKUP($A81,import!$A:$G,MATCH(lookup_helper!F$1,import!$A$1:$G$1,0),FALSE)</f>
        <v>0</v>
      </c>
      <c r="G81" s="88">
        <f>VLOOKUP($A81,import!$A:$G,MATCH(lookup_helper!G$1,import!$A$1:$G$1,0),FALSE)</f>
        <v>0</v>
      </c>
      <c r="H81" s="88">
        <f>VLOOKUP($A81,import!$A:$G,MATCH(lookup_helper!H$1,import!$A$1:$G$1,0),FALSE)</f>
        <v>0</v>
      </c>
      <c r="I81" s="88">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8" customFormat="1" x14ac:dyDescent="0.25">
      <c r="A83" s="86" t="s">
        <v>65</v>
      </c>
      <c r="B83" s="87" t="s">
        <v>177</v>
      </c>
      <c r="C83" s="88" t="s">
        <v>215</v>
      </c>
      <c r="D83" s="89">
        <f>VLOOKUP($A83,import!$A:$G,MATCH(lookup_helper!D$1,import!$A$1:$G$1,0),FALSE)</f>
        <v>1.3624389724527719</v>
      </c>
      <c r="E83" s="89">
        <f>VLOOKUP($A83,import!$A:$G,MATCH(lookup_helper!E$1,import!$A$1:$G$1,0),FALSE)</f>
        <v>0</v>
      </c>
      <c r="F83" s="89">
        <f>VLOOKUP($A83,import!$A:$G,MATCH(lookup_helper!F$1,import!$A$1:$G$1,0),FALSE)</f>
        <v>0</v>
      </c>
      <c r="G83" s="89">
        <f>VLOOKUP($A83,import!$A:$G,MATCH(lookup_helper!G$1,import!$A$1:$G$1,0),FALSE)</f>
        <v>0</v>
      </c>
      <c r="H83" s="89">
        <f>VLOOKUP($A83,import!$A:$G,MATCH(lookup_helper!H$1,import!$A$1:$G$1,0),FALSE)</f>
        <v>0</v>
      </c>
      <c r="I83" s="89">
        <f>VLOOKUP($A83,import!$A:$G,MATCH(lookup_helper!I$1,import!$A$1:$G$1,0),FALSE)</f>
        <v>0</v>
      </c>
    </row>
    <row r="84" spans="1:16" s="88" customFormat="1" ht="30" x14ac:dyDescent="0.25">
      <c r="A84" s="86" t="s">
        <v>66</v>
      </c>
      <c r="B84" s="87" t="s">
        <v>178</v>
      </c>
      <c r="C84" s="88" t="s">
        <v>215</v>
      </c>
      <c r="D84" s="89">
        <f>VLOOKUP($A84,import!$A:$G,MATCH(lookup_helper!D$1,import!$A$1:$G$1,0),FALSE)</f>
        <v>1.475654647382425</v>
      </c>
      <c r="E84" s="89">
        <f>VLOOKUP($A84,import!$A:$G,MATCH(lookup_helper!E$1,import!$A$1:$G$1,0),FALSE)</f>
        <v>0</v>
      </c>
      <c r="F84" s="89">
        <f>VLOOKUP($A84,import!$A:$G,MATCH(lookup_helper!F$1,import!$A$1:$G$1,0),FALSE)</f>
        <v>0</v>
      </c>
      <c r="G84" s="89">
        <f>VLOOKUP($A84,import!$A:$G,MATCH(lookup_helper!G$1,import!$A$1:$G$1,0),FALSE)</f>
        <v>0</v>
      </c>
      <c r="H84" s="89">
        <f>VLOOKUP($A84,import!$A:$G,MATCH(lookup_helper!H$1,import!$A$1:$G$1,0),FALSE)</f>
        <v>0</v>
      </c>
      <c r="I84" s="89">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268</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264</v>
      </c>
      <c r="P96" s="28"/>
    </row>
    <row r="97" spans="1:16" x14ac:dyDescent="0.25">
      <c r="A97" s="2" t="s">
        <v>72</v>
      </c>
      <c r="B97" s="28" t="s">
        <v>269</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264</v>
      </c>
      <c r="P97" s="28"/>
    </row>
    <row r="98" spans="1:16" x14ac:dyDescent="0.25">
      <c r="A98" s="1" t="s">
        <v>73</v>
      </c>
      <c r="B98" s="28" t="s">
        <v>270</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264</v>
      </c>
      <c r="P98" s="28"/>
    </row>
    <row r="99" spans="1:16" x14ac:dyDescent="0.25">
      <c r="A99" s="1" t="s">
        <v>74</v>
      </c>
      <c r="B99" s="28" t="s">
        <v>271</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264</v>
      </c>
      <c r="P99" s="28"/>
    </row>
    <row r="100" spans="1:16" x14ac:dyDescent="0.25">
      <c r="A100" s="1" t="s">
        <v>75</v>
      </c>
      <c r="B100" s="28" t="s">
        <v>268</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265</v>
      </c>
      <c r="P100" s="28"/>
    </row>
    <row r="101" spans="1:16" x14ac:dyDescent="0.25">
      <c r="A101" s="1" t="s">
        <v>76</v>
      </c>
      <c r="B101" s="28" t="s">
        <v>269</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265</v>
      </c>
      <c r="P101" s="28"/>
    </row>
    <row r="102" spans="1:16" x14ac:dyDescent="0.25">
      <c r="A102" s="1" t="s">
        <v>77</v>
      </c>
      <c r="B102" s="28" t="s">
        <v>270</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265</v>
      </c>
      <c r="P102" s="28"/>
    </row>
    <row r="103" spans="1:16" x14ac:dyDescent="0.25">
      <c r="A103" s="1" t="s">
        <v>78</v>
      </c>
      <c r="B103" s="28" t="s">
        <v>271</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265</v>
      </c>
      <c r="P103" s="28"/>
    </row>
    <row r="104" spans="1:16" x14ac:dyDescent="0.25">
      <c r="A104" t="s">
        <v>79</v>
      </c>
      <c r="B104" s="28" t="s">
        <v>268</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266</v>
      </c>
      <c r="P104" s="28"/>
    </row>
    <row r="105" spans="1:16" x14ac:dyDescent="0.25">
      <c r="A105" t="s">
        <v>80</v>
      </c>
      <c r="B105" s="28" t="s">
        <v>269</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266</v>
      </c>
      <c r="P105" s="28"/>
    </row>
    <row r="106" spans="1:16" x14ac:dyDescent="0.25">
      <c r="A106" t="s">
        <v>81</v>
      </c>
      <c r="B106" s="28" t="s">
        <v>270</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266</v>
      </c>
      <c r="P106" s="28"/>
    </row>
    <row r="107" spans="1:16" x14ac:dyDescent="0.25">
      <c r="A107" t="s">
        <v>82</v>
      </c>
      <c r="B107" s="28" t="s">
        <v>271</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266</v>
      </c>
      <c r="P107" s="28"/>
    </row>
    <row r="108" spans="1:16" x14ac:dyDescent="0.25">
      <c r="A108" t="s">
        <v>83</v>
      </c>
      <c r="B108" s="28" t="s">
        <v>268</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267</v>
      </c>
      <c r="P108" s="28"/>
    </row>
    <row r="109" spans="1:16" x14ac:dyDescent="0.25">
      <c r="A109" t="s">
        <v>84</v>
      </c>
      <c r="B109" s="28" t="s">
        <v>269</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267</v>
      </c>
      <c r="P109" s="28"/>
    </row>
    <row r="110" spans="1:16" x14ac:dyDescent="0.25">
      <c r="A110" t="s">
        <v>85</v>
      </c>
      <c r="B110" s="28" t="s">
        <v>272</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267</v>
      </c>
      <c r="P110" s="28"/>
    </row>
    <row r="111" spans="1:16" x14ac:dyDescent="0.25">
      <c r="A111" t="s">
        <v>86</v>
      </c>
      <c r="B111" s="28" t="s">
        <v>271</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267</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291</v>
      </c>
      <c r="B113" s="28" t="s">
        <v>290</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255</v>
      </c>
      <c r="B118" s="28" t="s">
        <v>256</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7" zoomScaleNormal="100" workbookViewId="0">
      <selection activeCell="C23" sqref="C23"/>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3" t="str">
        <f>"Project Performance Assessment Report: "&amp;import!$B$2</f>
        <v>Project Performance Assessment Report: test_project_YubaCity</v>
      </c>
      <c r="B2" s="93"/>
      <c r="C2" s="93"/>
      <c r="D2" s="93"/>
      <c r="E2" s="93"/>
      <c r="F2" s="93"/>
      <c r="G2" s="93"/>
      <c r="H2" s="93"/>
      <c r="I2" s="93"/>
    </row>
    <row r="3" spans="1:9" x14ac:dyDescent="0.25">
      <c r="A3" s="93"/>
      <c r="B3" s="93"/>
      <c r="C3" s="93"/>
      <c r="D3" s="93"/>
      <c r="E3" s="93"/>
      <c r="F3" s="93"/>
      <c r="G3" s="93"/>
      <c r="H3" s="93"/>
      <c r="I3" s="93"/>
    </row>
    <row r="4" spans="1:9" x14ac:dyDescent="0.25">
      <c r="A4" s="93"/>
      <c r="B4" s="93"/>
      <c r="C4" s="93"/>
      <c r="D4" s="93"/>
      <c r="E4" s="93"/>
      <c r="F4" s="93"/>
      <c r="G4" s="93"/>
      <c r="H4" s="93"/>
      <c r="I4" s="93"/>
    </row>
    <row r="6" spans="1:9" x14ac:dyDescent="0.25">
      <c r="A6" t="s">
        <v>123</v>
      </c>
    </row>
    <row r="30" spans="1:5" ht="21" x14ac:dyDescent="0.25">
      <c r="A30" s="8" t="s">
        <v>124</v>
      </c>
    </row>
    <row r="31" spans="1:5" x14ac:dyDescent="0.25">
      <c r="A31" s="92" t="s">
        <v>129</v>
      </c>
      <c r="B31" s="92"/>
      <c r="C31" s="92"/>
      <c r="D31" s="92"/>
      <c r="E31" s="31" t="str">
        <f>VLOOKUP(A31,lookup_helper!$B$112:$D$119,3,FALSE)</f>
        <v>test_project_YubaCity</v>
      </c>
    </row>
    <row r="32" spans="1:5" x14ac:dyDescent="0.25">
      <c r="A32" s="70" t="s">
        <v>290</v>
      </c>
      <c r="B32" s="70"/>
      <c r="C32" s="70"/>
      <c r="D32" s="70"/>
      <c r="E32" s="31" t="str">
        <f>VLOOKUP(A32,lookup_helper!$B$112:$D$119,3,FALSE)</f>
        <v>anyplace</v>
      </c>
    </row>
    <row r="33" spans="1:9" x14ac:dyDescent="0.25">
      <c r="A33" s="92" t="s">
        <v>130</v>
      </c>
      <c r="B33" s="92"/>
      <c r="C33" s="92"/>
      <c r="D33" s="92"/>
      <c r="E33" s="31" t="str">
        <f>VLOOKUP(A33,lookup_helper!$B$112:$D$119,3,FALSE)</f>
        <v>Freeway</v>
      </c>
    </row>
    <row r="34" spans="1:9" x14ac:dyDescent="0.25">
      <c r="A34" s="92" t="s">
        <v>131</v>
      </c>
      <c r="B34" s="92"/>
      <c r="C34" s="92"/>
      <c r="D34" s="92"/>
      <c r="E34" s="32">
        <f>VLOOKUP(A34,lookup_helper!$B$112:$D$119,3,FALSE)</f>
        <v>60000</v>
      </c>
    </row>
    <row r="35" spans="1:9" x14ac:dyDescent="0.25">
      <c r="A35" s="92" t="s">
        <v>132</v>
      </c>
      <c r="B35" s="92"/>
      <c r="C35" s="92"/>
      <c r="D35" s="92"/>
      <c r="E35" s="32">
        <f>VLOOKUP(A35,lookup_helper!$B$112:$D$119,3,FALSE)</f>
        <v>60</v>
      </c>
    </row>
    <row r="36" spans="1:9" x14ac:dyDescent="0.25">
      <c r="A36" s="92" t="s">
        <v>133</v>
      </c>
      <c r="B36" s="92"/>
      <c r="C36" s="92"/>
      <c r="D36" s="92"/>
      <c r="E36" s="32">
        <f>VLOOKUP(A36,lookup_helper!$B$112:$D$119,3,FALSE)</f>
        <v>65</v>
      </c>
    </row>
    <row r="37" spans="1:9" x14ac:dyDescent="0.25">
      <c r="A37" s="92" t="s">
        <v>256</v>
      </c>
      <c r="B37" s="92"/>
      <c r="C37" s="92"/>
      <c r="D37" s="92"/>
      <c r="E37" s="48">
        <f>VLOOKUP(A37,lookup_helper!$B$112:$D$119,3,FALSE)</f>
        <v>1.41</v>
      </c>
      <c r="F37" s="30"/>
      <c r="G37" s="30"/>
      <c r="H37" s="30"/>
      <c r="I37" s="30"/>
    </row>
    <row r="38" spans="1:9" x14ac:dyDescent="0.25">
      <c r="A38" s="92" t="s">
        <v>134</v>
      </c>
      <c r="B38" s="92"/>
      <c r="C38" s="92"/>
      <c r="D38" s="92"/>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6" t="s">
        <v>285</v>
      </c>
      <c r="B43" s="11"/>
      <c r="C43" s="11"/>
      <c r="D43" s="11"/>
      <c r="E43" s="11"/>
      <c r="F43" s="11"/>
      <c r="G43" s="11"/>
      <c r="H43" s="11"/>
      <c r="I43" s="11"/>
    </row>
    <row r="44" spans="1:9" x14ac:dyDescent="0.25">
      <c r="A44" s="57">
        <f ca="1">NOW()</f>
        <v>43866.38463310185</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view="pageLayout" topLeftCell="A4" zoomScaleNormal="100" workbookViewId="0">
      <selection activeCell="A10" sqref="A10:I10"/>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300</v>
      </c>
    </row>
    <row r="4" spans="1:9" x14ac:dyDescent="0.25">
      <c r="B4" s="84"/>
      <c r="C4" s="84"/>
      <c r="D4" s="84"/>
      <c r="E4" s="84"/>
      <c r="F4" s="84"/>
      <c r="G4" s="84"/>
      <c r="H4" s="84"/>
      <c r="I4" s="84"/>
    </row>
    <row r="5" spans="1:9" x14ac:dyDescent="0.25">
      <c r="A5" s="85" t="s">
        <v>302</v>
      </c>
    </row>
    <row r="6" spans="1:9" ht="159" customHeight="1" x14ac:dyDescent="0.25">
      <c r="A6" s="94" t="s">
        <v>303</v>
      </c>
      <c r="B6" s="94"/>
      <c r="C6" s="94"/>
      <c r="D6" s="94"/>
      <c r="E6" s="94"/>
      <c r="F6" s="94"/>
      <c r="G6" s="94"/>
      <c r="H6" s="94"/>
      <c r="I6" s="94"/>
    </row>
    <row r="9" spans="1:9" x14ac:dyDescent="0.25">
      <c r="A9" s="85" t="s">
        <v>301</v>
      </c>
    </row>
    <row r="10" spans="1:9" ht="223.5" customHeight="1" x14ac:dyDescent="0.25">
      <c r="A10" s="94" t="s">
        <v>304</v>
      </c>
      <c r="B10" s="94"/>
      <c r="C10" s="94"/>
      <c r="D10" s="94"/>
      <c r="E10" s="94"/>
      <c r="F10" s="94"/>
      <c r="G10" s="94"/>
      <c r="H10" s="94"/>
      <c r="I10" s="94"/>
    </row>
    <row r="28" spans="1:5" x14ac:dyDescent="0.25">
      <c r="A28" s="70"/>
      <c r="B28" s="70"/>
      <c r="C28" s="70"/>
      <c r="D28" s="70"/>
      <c r="E28" s="31"/>
    </row>
    <row r="29" spans="1:5" x14ac:dyDescent="0.25">
      <c r="A29" s="82"/>
      <c r="E29" s="31"/>
    </row>
    <row r="30" spans="1:5" x14ac:dyDescent="0.25">
      <c r="A30" s="70"/>
      <c r="B30" s="70"/>
      <c r="C30" s="70"/>
      <c r="D30" s="70"/>
      <c r="E30" s="31"/>
    </row>
    <row r="31" spans="1:5" x14ac:dyDescent="0.25">
      <c r="A31" s="70"/>
      <c r="B31" s="70"/>
      <c r="C31" s="70"/>
      <c r="D31" s="70"/>
      <c r="E31" s="31"/>
    </row>
    <row r="32" spans="1:5" x14ac:dyDescent="0.25">
      <c r="A32" s="70"/>
      <c r="B32" s="70"/>
      <c r="C32" s="70"/>
      <c r="D32" s="70"/>
      <c r="E32" s="32"/>
    </row>
    <row r="33" spans="1:9" x14ac:dyDescent="0.25">
      <c r="A33" s="70"/>
      <c r="B33" s="70"/>
      <c r="C33" s="70"/>
      <c r="D33" s="70"/>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6"/>
      <c r="B39" s="11"/>
      <c r="C39" s="11"/>
      <c r="D39" s="11"/>
      <c r="E39" s="11"/>
      <c r="F39" s="11"/>
      <c r="G39" s="11"/>
      <c r="H39" s="11"/>
      <c r="I39" s="11"/>
    </row>
    <row r="40" spans="1:9" x14ac:dyDescent="0.25">
      <c r="A40" s="5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10:I10"/>
    <mergeCell ref="A6:I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4"/>
  <sheetViews>
    <sheetView view="pageBreakPreview" topLeftCell="A22" zoomScaleNormal="100" zoomScaleSheetLayoutView="100" workbookViewId="0">
      <selection activeCell="I16" sqref="I16"/>
    </sheetView>
  </sheetViews>
  <sheetFormatPr defaultRowHeight="15" x14ac:dyDescent="0.25"/>
  <cols>
    <col min="1" max="1" width="24" customWidth="1"/>
  </cols>
  <sheetData>
    <row r="1" spans="1:8" s="46" customFormat="1" x14ac:dyDescent="0.25">
      <c r="H1" s="58" t="str">
        <f>"Project name: "&amp;VLOOKUP("Project name",lookup_helper!$B:$D,3,FALSE)</f>
        <v>Project name: test_project_YubaCity</v>
      </c>
    </row>
    <row r="2" spans="1:8" s="46" customFormat="1" x14ac:dyDescent="0.25">
      <c r="H2" s="58" t="str">
        <f>"Project community type: "&amp;VLOOKUP("Project Community Type",lookup_helper!$B:$D,3,FALSE)</f>
        <v>Project community type: Small-Town Established Communities</v>
      </c>
    </row>
    <row r="4" spans="1:8" ht="17.25" x14ac:dyDescent="0.25">
      <c r="A4" s="12" t="s">
        <v>125</v>
      </c>
    </row>
    <row r="5" spans="1:8" x14ac:dyDescent="0.25">
      <c r="A5" s="29" t="s">
        <v>273</v>
      </c>
    </row>
    <row r="23" spans="1:1" x14ac:dyDescent="0.25">
      <c r="A23" s="29" t="s">
        <v>298</v>
      </c>
    </row>
    <row r="41" spans="1:8" ht="15" customHeight="1" x14ac:dyDescent="0.25">
      <c r="B41" s="71"/>
      <c r="C41" s="71"/>
      <c r="D41" s="71"/>
      <c r="E41" s="71"/>
      <c r="F41" s="71"/>
      <c r="G41" s="71"/>
      <c r="H41" s="71"/>
    </row>
    <row r="42" spans="1:8" ht="93" customHeight="1" x14ac:dyDescent="0.25">
      <c r="A42" s="95" t="s">
        <v>274</v>
      </c>
      <c r="B42" s="95"/>
      <c r="C42" s="95"/>
      <c r="D42" s="95"/>
      <c r="E42" s="95"/>
      <c r="F42" s="95"/>
      <c r="G42" s="95"/>
      <c r="H42" s="95"/>
    </row>
    <row r="43" spans="1:8" x14ac:dyDescent="0.25">
      <c r="A43" s="71"/>
      <c r="B43" s="71"/>
      <c r="C43" s="71"/>
      <c r="D43" s="71"/>
      <c r="E43" s="71"/>
      <c r="F43" s="71"/>
      <c r="G43" s="71"/>
      <c r="H43" s="71"/>
    </row>
    <row r="44" spans="1:8" ht="30" customHeight="1" x14ac:dyDescent="0.25">
      <c r="A44" s="71"/>
      <c r="B44" s="71"/>
      <c r="C44" s="71"/>
      <c r="D44" s="71"/>
      <c r="E44" s="71"/>
      <c r="F44" s="71"/>
      <c r="G44" s="71"/>
      <c r="H44" s="71"/>
    </row>
  </sheetData>
  <mergeCells count="1">
    <mergeCell ref="A42:H42"/>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topLeftCell="A4" zoomScaleNormal="100" workbookViewId="0">
      <selection activeCell="D30" sqref="D30"/>
    </sheetView>
  </sheetViews>
  <sheetFormatPr defaultRowHeight="15" x14ac:dyDescent="0.25"/>
  <cols>
    <col min="1" max="1" width="22.5703125" customWidth="1"/>
    <col min="8" max="8" width="11"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59"/>
    </row>
    <row r="4" spans="1:8" ht="17.25" x14ac:dyDescent="0.25">
      <c r="A4" s="12" t="s">
        <v>126</v>
      </c>
    </row>
    <row r="5" spans="1:8" x14ac:dyDescent="0.25">
      <c r="A5" s="29" t="s">
        <v>292</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8" t="s">
        <v>293</v>
      </c>
      <c r="B22" s="76" t="str">
        <f>lookup_helper!Q7</f>
        <v>EB</v>
      </c>
      <c r="C22" s="76" t="str">
        <f>lookup_helper!R7</f>
        <v>WB</v>
      </c>
    </row>
    <row r="23" spans="1:8" ht="30" x14ac:dyDescent="0.25">
      <c r="A23" s="77" t="s">
        <v>296</v>
      </c>
      <c r="B23" s="81">
        <f>IFERROR(lookup_helper!Q9/lookup_helper!Q8,0)</f>
        <v>0.62906584321456371</v>
      </c>
      <c r="C23" s="81">
        <f>IFERROR(lookup_helper!R9/lookup_helper!R8,0)</f>
        <v>0.81902208942477273</v>
      </c>
    </row>
    <row r="25" spans="1:8" ht="15.75" thickBot="1" x14ac:dyDescent="0.3">
      <c r="A25" s="82" t="s">
        <v>131</v>
      </c>
      <c r="C25" s="73"/>
    </row>
    <row r="26" spans="1:8" ht="15.75" thickBot="1" x14ac:dyDescent="0.3">
      <c r="A26" s="83">
        <f>VLOOKUP(A25,lookup_helper!$B:$D,3,FALSE)</f>
        <v>60000</v>
      </c>
    </row>
    <row r="27" spans="1:8" x14ac:dyDescent="0.25">
      <c r="D27" s="74"/>
      <c r="E27" s="74"/>
      <c r="F27" s="74"/>
      <c r="G27" s="74"/>
      <c r="H27" s="74"/>
    </row>
    <row r="28" spans="1:8" x14ac:dyDescent="0.25">
      <c r="A28" s="72"/>
      <c r="B28" s="75"/>
      <c r="C28" s="75"/>
      <c r="D28" s="74"/>
      <c r="E28" s="74"/>
      <c r="F28" s="74"/>
      <c r="G28" s="74"/>
      <c r="H28" s="74"/>
    </row>
    <row r="29" spans="1:8" ht="57.75" customHeight="1" x14ac:dyDescent="0.25">
      <c r="A29" s="96" t="s">
        <v>282</v>
      </c>
      <c r="B29" s="96"/>
      <c r="C29" s="96"/>
      <c r="D29" s="96"/>
      <c r="E29" s="96"/>
      <c r="F29" s="96"/>
      <c r="G29" s="96"/>
      <c r="H29" s="96"/>
    </row>
    <row r="31" spans="1:8" x14ac:dyDescent="0.25">
      <c r="A31" s="74"/>
      <c r="B31" s="74"/>
      <c r="C31" s="74"/>
      <c r="D31" s="74"/>
      <c r="E31" s="74"/>
      <c r="F31" s="74"/>
      <c r="G31" s="74"/>
      <c r="H31" s="74"/>
    </row>
    <row r="32" spans="1:8" x14ac:dyDescent="0.25">
      <c r="A32" s="74"/>
      <c r="B32" s="74"/>
      <c r="C32" s="74"/>
      <c r="D32" s="74"/>
      <c r="E32" s="74"/>
      <c r="F32" s="74"/>
      <c r="G32" s="74"/>
      <c r="H32" s="74"/>
    </row>
    <row r="33" spans="1:8" x14ac:dyDescent="0.25">
      <c r="A33" s="74"/>
      <c r="B33" s="74"/>
      <c r="C33" s="74"/>
      <c r="D33" s="74"/>
      <c r="E33" s="74"/>
      <c r="F33" s="74"/>
      <c r="G33" s="74"/>
      <c r="H33" s="74"/>
    </row>
    <row r="34" spans="1:8" x14ac:dyDescent="0.25">
      <c r="A34" s="74"/>
      <c r="B34" s="74"/>
      <c r="C34" s="74"/>
      <c r="D34" s="74"/>
      <c r="E34" s="74"/>
      <c r="F34" s="74"/>
      <c r="G34" s="74"/>
      <c r="H34" s="74"/>
    </row>
    <row r="35" spans="1:8" x14ac:dyDescent="0.25">
      <c r="A35" s="74"/>
      <c r="B35" s="74"/>
      <c r="C35" s="74"/>
      <c r="D35" s="74"/>
      <c r="E35" s="74"/>
      <c r="F35" s="74"/>
      <c r="G35" s="74"/>
      <c r="H35" s="74"/>
    </row>
    <row r="36" spans="1:8" x14ac:dyDescent="0.25">
      <c r="A36" s="74"/>
      <c r="B36" s="74"/>
      <c r="C36" s="74"/>
      <c r="D36" s="74"/>
      <c r="E36" s="74"/>
      <c r="F36" s="74"/>
      <c r="G36" s="74"/>
      <c r="H36" s="74"/>
    </row>
    <row r="44" spans="1:8" x14ac:dyDescent="0.25">
      <c r="A44" s="29" t="s">
        <v>297</v>
      </c>
    </row>
    <row r="62" spans="1:8" ht="42" customHeight="1" x14ac:dyDescent="0.25">
      <c r="A62" s="96" t="s">
        <v>283</v>
      </c>
      <c r="B62" s="96"/>
      <c r="C62" s="96"/>
      <c r="D62" s="96"/>
      <c r="E62" s="96"/>
      <c r="F62" s="96"/>
      <c r="G62" s="96"/>
      <c r="H62" s="96"/>
    </row>
    <row r="65" spans="1:1" x14ac:dyDescent="0.25">
      <c r="A65" s="29" t="s">
        <v>294</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BreakPreview" topLeftCell="A34" zoomScaleNormal="100" zoomScaleSheetLayoutView="100" workbookViewId="0">
      <selection activeCell="L57" sqref="L57"/>
    </sheetView>
  </sheetViews>
  <sheetFormatPr defaultRowHeight="15" x14ac:dyDescent="0.25"/>
  <cols>
    <col min="1" max="1" width="17.7109375" customWidth="1"/>
    <col min="2" max="2" width="17.5703125" customWidth="1"/>
    <col min="3" max="3" width="15.28515625" customWidth="1"/>
  </cols>
  <sheetData>
    <row r="1" spans="1:9" s="67" customFormat="1" x14ac:dyDescent="0.25">
      <c r="H1" s="69" t="str">
        <f>"Project name: "&amp;VLOOKUP("Project name",lookup_helper!$B:$D,3,FALSE)</f>
        <v>Project name: test_project_YubaCity</v>
      </c>
    </row>
    <row r="2" spans="1:9" s="67" customFormat="1" x14ac:dyDescent="0.25">
      <c r="H2" s="69" t="str">
        <f>"Project community type: "&amp;VLOOKUP("Project Community Type",lookup_helper!$B:$D,3,FALSE)</f>
        <v>Project community type: Small-Town Established Communities</v>
      </c>
    </row>
    <row r="3" spans="1:9" x14ac:dyDescent="0.25">
      <c r="A3" s="60"/>
    </row>
    <row r="4" spans="1:9" ht="17.25" x14ac:dyDescent="0.25">
      <c r="A4" s="12" t="s">
        <v>224</v>
      </c>
    </row>
    <row r="5" spans="1:9" ht="27.75" customHeight="1" x14ac:dyDescent="0.25">
      <c r="A5" s="97" t="s">
        <v>225</v>
      </c>
      <c r="B5" s="97"/>
      <c r="C5" s="97"/>
      <c r="D5" s="97"/>
      <c r="E5" s="97"/>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7" t="s">
        <v>226</v>
      </c>
      <c r="B12" s="97"/>
      <c r="C12" s="97"/>
      <c r="D12" s="97"/>
      <c r="E12" s="97"/>
      <c r="F12" s="36"/>
      <c r="G12" s="36"/>
      <c r="H12" s="36"/>
      <c r="I12" s="36"/>
    </row>
    <row r="14" spans="1:9" ht="15.75" thickBot="1" x14ac:dyDescent="0.3">
      <c r="A14" s="98" t="s">
        <v>236</v>
      </c>
      <c r="B14" s="98"/>
      <c r="C14" s="98"/>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279</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I88"/>
  <sheetViews>
    <sheetView view="pageLayout" topLeftCell="A100" zoomScaleNormal="100" workbookViewId="0">
      <selection activeCell="E32" sqref="E32"/>
    </sheetView>
  </sheetViews>
  <sheetFormatPr defaultRowHeight="15" x14ac:dyDescent="0.25"/>
  <cols>
    <col min="8" max="8" width="18.285156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231</v>
      </c>
    </row>
    <row r="5" spans="1:8" ht="75" customHeight="1" x14ac:dyDescent="0.25">
      <c r="A5" s="99" t="s">
        <v>295</v>
      </c>
      <c r="B5" s="99"/>
      <c r="C5" s="99"/>
      <c r="D5" s="99"/>
      <c r="E5" s="99"/>
      <c r="F5" s="99"/>
      <c r="G5" s="99"/>
      <c r="H5" s="99"/>
    </row>
    <row r="6" spans="1:8" x14ac:dyDescent="0.25">
      <c r="A6" s="79"/>
      <c r="B6" s="79"/>
      <c r="C6" s="79"/>
      <c r="D6" s="79"/>
      <c r="E6" s="79"/>
      <c r="F6" s="79"/>
      <c r="G6" s="79"/>
      <c r="H6" s="79"/>
    </row>
    <row r="7" spans="1:8" x14ac:dyDescent="0.25">
      <c r="A7" s="29"/>
    </row>
    <row r="8" spans="1:8" ht="15.75" x14ac:dyDescent="0.25">
      <c r="A8" s="33" t="s">
        <v>277</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x14ac:dyDescent="0.25">
      <c r="A31" s="29"/>
    </row>
    <row r="32" spans="1:1" x14ac:dyDescent="0.25">
      <c r="A32" s="90"/>
    </row>
    <row r="44" spans="1:1" x14ac:dyDescent="0.25">
      <c r="A44" s="29" t="s">
        <v>238</v>
      </c>
    </row>
    <row r="46" spans="1:1" ht="30.75" customHeight="1" x14ac:dyDescent="0.25"/>
    <row r="62" spans="1:9" ht="37.5" customHeight="1" x14ac:dyDescent="0.25">
      <c r="A62" s="96" t="s">
        <v>239</v>
      </c>
      <c r="B62" s="96"/>
      <c r="C62" s="96"/>
      <c r="D62" s="96"/>
      <c r="E62" s="96"/>
      <c r="F62" s="96"/>
      <c r="G62" s="96"/>
      <c r="H62" s="96"/>
      <c r="I62" s="66"/>
    </row>
    <row r="65" spans="1:1" ht="15.75" x14ac:dyDescent="0.25">
      <c r="A65" s="33" t="s">
        <v>278</v>
      </c>
    </row>
    <row r="66" spans="1:1" ht="15.75" thickBot="1" x14ac:dyDescent="0.3">
      <c r="A66" s="29" t="s">
        <v>240</v>
      </c>
    </row>
    <row r="67" spans="1:1" ht="15.75" thickBot="1" x14ac:dyDescent="0.3">
      <c r="A67" s="54">
        <f>lookup_helper!D55</f>
        <v>657</v>
      </c>
    </row>
    <row r="69" spans="1:1" x14ac:dyDescent="0.25">
      <c r="A69" s="29" t="s">
        <v>241</v>
      </c>
    </row>
    <row r="86" spans="1:1" ht="15.75" x14ac:dyDescent="0.25">
      <c r="A86" s="33" t="s">
        <v>242</v>
      </c>
    </row>
    <row r="88" spans="1:1" x14ac:dyDescent="0.25">
      <c r="A88" s="29" t="s">
        <v>299</v>
      </c>
    </row>
  </sheetData>
  <mergeCells count="2">
    <mergeCell ref="A62:H62"/>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1"/>
  <sheetViews>
    <sheetView view="pageBreakPreview" topLeftCell="A19" zoomScaleNormal="100" zoomScaleSheetLayoutView="100" workbookViewId="0">
      <selection activeCell="A6" sqref="A6"/>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7" customFormat="1" x14ac:dyDescent="0.25">
      <c r="H1" s="69" t="str">
        <f>"Project name: "&amp;VLOOKUP("Project name",lookup_helper!$B:$D,3,FALSE)</f>
        <v>Project name: test_project_YubaCity</v>
      </c>
    </row>
    <row r="2" spans="1:9" s="67" customFormat="1" x14ac:dyDescent="0.25">
      <c r="H2" s="69" t="str">
        <f>"Project community type: "&amp;VLOOKUP("Project Community Type",lookup_helper!$B:$D,3,FALSE)</f>
        <v>Project community type: Small-Town Established Communities</v>
      </c>
    </row>
    <row r="3" spans="1:9" x14ac:dyDescent="0.25">
      <c r="A3" s="60"/>
    </row>
    <row r="4" spans="1:9" ht="17.25" x14ac:dyDescent="0.25">
      <c r="A4" s="12" t="s">
        <v>243</v>
      </c>
    </row>
    <row r="5" spans="1:9" ht="37.5" customHeight="1" x14ac:dyDescent="0.25">
      <c r="A5" s="100" t="s">
        <v>276</v>
      </c>
      <c r="B5" s="100"/>
      <c r="C5" s="100"/>
      <c r="D5" s="100"/>
      <c r="E5" s="100"/>
      <c r="F5" s="100"/>
      <c r="G5" s="100"/>
      <c r="H5" s="100"/>
      <c r="I5" s="55"/>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5" t="s">
        <v>244</v>
      </c>
      <c r="B8" s="95"/>
      <c r="C8" s="95"/>
      <c r="D8" s="95"/>
      <c r="E8" s="95"/>
      <c r="F8" s="95"/>
      <c r="G8" s="95"/>
      <c r="H8" s="95"/>
      <c r="I8" s="55"/>
    </row>
    <row r="10" spans="1:9" x14ac:dyDescent="0.25">
      <c r="A10" s="29" t="s">
        <v>245</v>
      </c>
    </row>
    <row r="11" spans="1:9" x14ac:dyDescent="0.25">
      <c r="A11" t="s">
        <v>246</v>
      </c>
    </row>
    <row r="26" spans="1:3" x14ac:dyDescent="0.25">
      <c r="A26" s="29" t="s">
        <v>247</v>
      </c>
    </row>
    <row r="27" spans="1:3" ht="15.75" thickBot="1" x14ac:dyDescent="0.3">
      <c r="A27" s="41" t="s">
        <v>194</v>
      </c>
    </row>
    <row r="28" spans="1:3" ht="45.75" thickBot="1" x14ac:dyDescent="0.3">
      <c r="A28" s="34" t="s">
        <v>284</v>
      </c>
      <c r="B28" s="35" t="s">
        <v>234</v>
      </c>
      <c r="C28" s="35" t="s">
        <v>235</v>
      </c>
    </row>
    <row r="29" spans="1:3" ht="15.75" thickBot="1" x14ac:dyDescent="0.3">
      <c r="A29" s="42">
        <f>VLOOKUP($A27,lookup_helper!$B:$I,MATCH("projval_2016",lookup_helper!$1:$1,0)-1,FALSE)</f>
        <v>7.072357263990954E-2</v>
      </c>
      <c r="B29" s="42">
        <f>VLOOKUP($A27,lookup_helper!$B:$I,MATCH("CommunityType_2016",lookup_helper!$B$1:$I$1,0),FALSE)</f>
        <v>0.1343871705182399</v>
      </c>
      <c r="C29" s="42">
        <f>VLOOKUP($A27,lookup_helper!$B:$I,MATCH("REGION_2016",lookup_helper!$B$1:$I$1,0),FALSE)</f>
        <v>0.13021497769289109</v>
      </c>
    </row>
    <row r="31" spans="1:3" x14ac:dyDescent="0.25">
      <c r="A31" s="29"/>
    </row>
  </sheetData>
  <mergeCells count="2">
    <mergeCell ref="A8:H8"/>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tabSelected="1" view="pageLayout" topLeftCell="A22" zoomScaleNormal="100" workbookViewId="0">
      <selection activeCell="M1" sqref="M1"/>
    </sheetView>
  </sheetViews>
  <sheetFormatPr defaultRowHeight="15" x14ac:dyDescent="0.25"/>
  <cols>
    <col min="1" max="1" width="14.7109375" customWidth="1"/>
    <col min="2" max="2" width="15.425781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248</v>
      </c>
    </row>
    <row r="5" spans="1:8" s="28" customFormat="1" ht="35.25" customHeight="1" x14ac:dyDescent="0.25">
      <c r="A5" s="95" t="s">
        <v>249</v>
      </c>
      <c r="B5" s="95"/>
      <c r="C5" s="95"/>
      <c r="D5" s="95"/>
      <c r="E5" s="95"/>
      <c r="F5" s="95"/>
      <c r="G5" s="95"/>
      <c r="H5" s="95"/>
    </row>
    <row r="7" spans="1:8" x14ac:dyDescent="0.25">
      <c r="A7" s="29" t="s">
        <v>251</v>
      </c>
    </row>
    <row r="8" spans="1:8" x14ac:dyDescent="0.25">
      <c r="A8" s="43">
        <f>VLOOKUP(lookup_helper!B86,lookup_helper!$B:$D,3,FALSE)</f>
        <v>56</v>
      </c>
    </row>
    <row r="11" spans="1:8" x14ac:dyDescent="0.25">
      <c r="A11" s="41" t="s">
        <v>250</v>
      </c>
    </row>
    <row r="12" spans="1:8" x14ac:dyDescent="0.25">
      <c r="A12" t="s">
        <v>252</v>
      </c>
    </row>
    <row r="32" spans="1:1" x14ac:dyDescent="0.25">
      <c r="A32" s="29" t="s">
        <v>253</v>
      </c>
    </row>
    <row r="33" spans="1:3" x14ac:dyDescent="0.25">
      <c r="A33" s="29"/>
    </row>
    <row r="34" spans="1:3" ht="15.75" thickBot="1" x14ac:dyDescent="0.3">
      <c r="A34" s="46" t="s">
        <v>149</v>
      </c>
    </row>
    <row r="35" spans="1:3" ht="45.75" thickBot="1" x14ac:dyDescent="0.3">
      <c r="A35" s="34" t="s">
        <v>275</v>
      </c>
      <c r="B35" s="35" t="s">
        <v>234</v>
      </c>
      <c r="C35" s="35" t="s">
        <v>235</v>
      </c>
    </row>
    <row r="36" spans="1:3" ht="15.75" thickBot="1" x14ac:dyDescent="0.3">
      <c r="A36" s="47">
        <f>VLOOKUP($A34,lookup_helper!$B:$I,MATCH("projval_2016",lookup_helper!$1:$1,0)-1,FALSE)</f>
        <v>41.285465803940781</v>
      </c>
      <c r="B36" s="47">
        <f>VLOOKUP($A34,lookup_helper!$B:$I,MATCH("CommunityType_2016",lookup_helper!$B$1:$I$1,0),FALSE)</f>
        <v>61.135362311155802</v>
      </c>
      <c r="C36" s="47">
        <f>VLOOKUP($A34,lookup_helper!$B:$I,MATCH("REGION_2016",lookup_helper!$B$1:$I$1,0),FALSE)</f>
        <v>63.369834818958772</v>
      </c>
    </row>
    <row r="48" spans="1:3" x14ac:dyDescent="0.25">
      <c r="A48" s="29" t="s">
        <v>254</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topLeftCell="A4" zoomScaleNormal="100" workbookViewId="0">
      <selection activeCell="E33" sqref="E33"/>
    </sheetView>
  </sheetViews>
  <sheetFormatPr defaultRowHeight="15" x14ac:dyDescent="0.25"/>
  <cols>
    <col min="7" max="7" width="15.7109375" customWidth="1"/>
    <col min="8" max="8" width="14.8554687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257</v>
      </c>
    </row>
    <row r="6" spans="1:8" x14ac:dyDescent="0.25">
      <c r="A6" s="29" t="s">
        <v>258</v>
      </c>
    </row>
    <row r="7" spans="1:8" x14ac:dyDescent="0.25">
      <c r="A7" s="43">
        <f>VLOOKUP("Project Pavement Condition Index (PCI)",lookup_helper!$B:$D,3,FALSE)</f>
        <v>60</v>
      </c>
    </row>
    <row r="9" spans="1:8" x14ac:dyDescent="0.25">
      <c r="A9" s="29" t="s">
        <v>259</v>
      </c>
    </row>
    <row r="10" spans="1:8" x14ac:dyDescent="0.25">
      <c r="A10" s="49">
        <f>VLOOKUP("Project AADT",lookup_helper!$B:$D,3,FALSE)</f>
        <v>60000</v>
      </c>
    </row>
    <row r="13" spans="1:8" x14ac:dyDescent="0.25">
      <c r="A13" s="29" t="s">
        <v>305</v>
      </c>
    </row>
    <row r="14" spans="1:8" x14ac:dyDescent="0.25">
      <c r="A14" s="91">
        <f>VLOOKUP("Complete street score",lookup_helper!$B:$D,3,FALSE)</f>
        <v>-1</v>
      </c>
    </row>
    <row r="16" spans="1:8" ht="163.5" customHeight="1" x14ac:dyDescent="0.25">
      <c r="A16" s="100" t="s">
        <v>306</v>
      </c>
      <c r="B16" s="100"/>
      <c r="C16" s="100"/>
      <c r="D16" s="100"/>
      <c r="E16" s="100"/>
      <c r="F16" s="100"/>
      <c r="G16" s="100"/>
      <c r="H16" s="100"/>
    </row>
  </sheetData>
  <mergeCells count="1">
    <mergeCell ref="A16:H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D10" sqref="D10"/>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260</v>
      </c>
    </row>
    <row r="5" spans="1:8" x14ac:dyDescent="0.25">
      <c r="A5" s="29" t="s">
        <v>286</v>
      </c>
    </row>
    <row r="6" spans="1:8" x14ac:dyDescent="0.25">
      <c r="A6" s="49">
        <f>lookup_helper!D95*lookup_helper!D72</f>
        <v>4050</v>
      </c>
    </row>
    <row r="9" spans="1:8" ht="15.75" thickBot="1" x14ac:dyDescent="0.3">
      <c r="A9" s="29" t="s">
        <v>287</v>
      </c>
    </row>
    <row r="10" spans="1:8" ht="45.75" thickBot="1" x14ac:dyDescent="0.3">
      <c r="A10" s="34" t="s">
        <v>261</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262</v>
      </c>
    </row>
    <row r="16" spans="1:8" x14ac:dyDescent="0.25">
      <c r="A16" s="29" t="s">
        <v>288</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7" spans="1:1" x14ac:dyDescent="0.25">
      <c r="A37" s="68" t="s">
        <v>263</v>
      </c>
    </row>
    <row r="86" spans="1:9" ht="28.5" customHeight="1" x14ac:dyDescent="0.25">
      <c r="A86" s="96" t="s">
        <v>239</v>
      </c>
      <c r="B86" s="96"/>
      <c r="C86" s="96"/>
      <c r="D86" s="96"/>
      <c r="E86" s="96"/>
      <c r="F86" s="96"/>
      <c r="G86" s="96"/>
      <c r="H86" s="66"/>
      <c r="I86" s="66"/>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0_0TitlePg</vt:lpstr>
      <vt:lpstr>0_1UsingThisReport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2020-02-05T17:13:52Z</dcterms:modified>
</cp:coreProperties>
</file>