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omments3.xml" ContentType="application/vnd.openxmlformats-officedocument.spreadsheetml.comments+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66925"/>
  <mc:AlternateContent xmlns:mc="http://schemas.openxmlformats.org/markup-compatibility/2006">
    <mc:Choice Requires="x15">
      <x15ac:absPath xmlns:x15ac="http://schemas.microsoft.com/office/spreadsheetml/2010/11/ac" url="C:\Users\PUDC MASSENE\Downloads\"/>
    </mc:Choice>
  </mc:AlternateContent>
  <xr:revisionPtr revIDLastSave="0" documentId="13_ncr:1_{CD295301-BA3F-4A61-8A09-24864DC1F008}" xr6:coauthVersionLast="36" xr6:coauthVersionMax="36" xr10:uidLastSave="{00000000-0000-0000-0000-000000000000}"/>
  <bookViews>
    <workbookView xWindow="0" yWindow="0" windowWidth="23040" windowHeight="7332" firstSheet="18" activeTab="18" xr2:uid="{72066B5A-F15F-45A3-A187-33F476B8A456}"/>
  </bookViews>
  <sheets>
    <sheet name="PONDERATION" sheetId="46" state="hidden" r:id="rId1"/>
    <sheet name="ACCUEIL" sheetId="42" state="hidden" r:id="rId2"/>
    <sheet name="EXECUTION PHYSIQUE" sheetId="12" state="hidden" r:id="rId3"/>
    <sheet name="MATRICE COORDINATION MENSUELLE" sheetId="13" state="hidden" r:id="rId4"/>
    <sheet name="PTBA 2023" sheetId="10" state="hidden" r:id="rId5"/>
    <sheet name="AGENDA ATELIER BILAN MiPa" sheetId="25" state="hidden" r:id="rId6"/>
    <sheet name="EXTRANTS PHASE 2" sheetId="24" state="hidden" r:id="rId7"/>
    <sheet name="AVANCEMENT TECHNIQUE" sheetId="11" state="hidden" r:id="rId8"/>
    <sheet name="PPM " sheetId="44" state="hidden" r:id="rId9"/>
    <sheet name="DETAILS DECAISSEMENTS" sheetId="32" state="hidden" r:id="rId10"/>
    <sheet name="CONTROLE AVEC T 3 ET T4" sheetId="51" state="hidden" r:id="rId11"/>
    <sheet name="EX CONVENTIONS" sheetId="45" state="hidden" r:id="rId12"/>
    <sheet name="EXECUTION DU PTBA 2024 TRIM 2" sheetId="52" state="hidden" r:id="rId13"/>
    <sheet name="Repartit budget PTBA par projet" sheetId="60" r:id="rId14"/>
    <sheet name="Execution budgetaire PTBA 2025" sheetId="64" r:id="rId15"/>
    <sheet name="DECAISSEMENT GLOBAUX 2025" sheetId="56" r:id="rId16"/>
    <sheet name="Execution technique  PTBA 2025" sheetId="9" r:id="rId17"/>
    <sheet name="Avancement Global PONDERE" sheetId="49" state="hidden" r:id="rId18"/>
    <sheet name="EXE TECH ANNUELLE PTBA 2025" sheetId="62" r:id="rId19"/>
    <sheet name="Analyse par Projet" sheetId="8" r:id="rId20"/>
    <sheet name="TEC. BUDGETAIRE. PPM " sheetId="23" r:id="rId21"/>
    <sheet name="PERFORMANCE GLOBALE 2025" sheetId="63" r:id="rId22"/>
    <sheet name="Marchés FSD" sheetId="15" state="hidden" r:id="rId23"/>
  </sheets>
  <definedNames>
    <definedName name="_xlnm._FilterDatabase" localSheetId="9" hidden="1">'DETAILS DECAISSEMENTS'!$B$1:$P$83</definedName>
    <definedName name="_xlnm._FilterDatabase" localSheetId="2" hidden="1">'EXECUTION PHYSIQUE'!$B$1:$H$56</definedName>
    <definedName name="_xlnm._FilterDatabase" localSheetId="3" hidden="1">'MATRICE COORDINATION MENSUELLE'!$B$1:$AG$160</definedName>
    <definedName name="_xlnm._FilterDatabase" localSheetId="21" hidden="1">'PERFORMANCE GLOBALE 2025'!$A$1:$L$54</definedName>
    <definedName name="_ftn1" localSheetId="14">'Execution budgetaire PTBA 2025'!$A$12</definedName>
    <definedName name="_ftnref1" localSheetId="14">'Execution budgetaire PTBA 2025'!$D$4</definedName>
    <definedName name="_Hlk102504666" localSheetId="19">'Analyse par Projet'!$A$10</definedName>
    <definedName name="_Hlk184255164" localSheetId="13">'Repartit budget PTBA par projet'!$D$23</definedName>
    <definedName name="_Hlk184257579" localSheetId="13">'Repartit budget PTBA par projet'!$C$52</definedName>
    <definedName name="_Hlk187311713" localSheetId="13">'Repartit budget PTBA par projet'!$A$2</definedName>
    <definedName name="_Hlk68534722" localSheetId="7">'AVANCEMENT TECHNIQUE'!$B$61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9" i="64" l="1"/>
  <c r="K5" i="64"/>
  <c r="K6" i="64"/>
  <c r="K7" i="64"/>
  <c r="K8" i="64"/>
  <c r="K4" i="64"/>
  <c r="I8" i="64"/>
  <c r="J5" i="64"/>
  <c r="J6" i="64"/>
  <c r="J7" i="64"/>
  <c r="J8" i="64"/>
  <c r="J4" i="64"/>
  <c r="J9" i="64" s="1"/>
  <c r="I5" i="64"/>
  <c r="I6" i="64"/>
  <c r="I7" i="64"/>
  <c r="I9" i="64"/>
  <c r="I4" i="64"/>
  <c r="H5" i="64"/>
  <c r="H4" i="64"/>
  <c r="G9" i="64"/>
  <c r="F9" i="64"/>
  <c r="E9" i="64"/>
  <c r="D9" i="64"/>
  <c r="H6" i="64"/>
  <c r="H7" i="64"/>
  <c r="G5" i="64"/>
  <c r="G6" i="64"/>
  <c r="G7" i="64"/>
  <c r="F7" i="64"/>
  <c r="F6" i="64"/>
  <c r="F5" i="64"/>
  <c r="F4" i="64"/>
  <c r="G4" i="64" s="1"/>
  <c r="E4" i="64"/>
  <c r="G39" i="63"/>
  <c r="G12" i="63"/>
  <c r="G5" i="63"/>
  <c r="G4" i="63"/>
  <c r="K59" i="63"/>
  <c r="K58" i="63"/>
  <c r="K48" i="63"/>
  <c r="K46" i="63"/>
  <c r="E45" i="63"/>
  <c r="K45" i="63" s="1"/>
  <c r="D45" i="63"/>
  <c r="B42" i="63"/>
  <c r="K40" i="63"/>
  <c r="K39" i="63"/>
  <c r="K38" i="63"/>
  <c r="B38" i="63"/>
  <c r="K33" i="63"/>
  <c r="B33" i="63"/>
  <c r="K28" i="63"/>
  <c r="K26" i="63"/>
  <c r="K25" i="63"/>
  <c r="B25" i="63"/>
  <c r="K24" i="63"/>
  <c r="K23" i="63"/>
  <c r="K22" i="63"/>
  <c r="K21" i="63"/>
  <c r="B21" i="63"/>
  <c r="I20" i="63"/>
  <c r="K20" i="63" s="1"/>
  <c r="D20" i="63"/>
  <c r="K19" i="63"/>
  <c r="K18" i="63"/>
  <c r="K17" i="63"/>
  <c r="B17" i="63"/>
  <c r="K16" i="63"/>
  <c r="K15" i="63"/>
  <c r="B15" i="63"/>
  <c r="B13" i="63"/>
  <c r="K12" i="63"/>
  <c r="K11" i="63"/>
  <c r="K10" i="63"/>
  <c r="K9" i="63"/>
  <c r="B9" i="63"/>
  <c r="K5" i="63"/>
  <c r="K4" i="63"/>
  <c r="B4" i="63"/>
  <c r="E3" i="56"/>
  <c r="H9" i="64" l="1"/>
  <c r="B45" i="63"/>
  <c r="F3" i="56" l="1"/>
  <c r="G3" i="56" s="1"/>
  <c r="H3" i="56" s="1"/>
  <c r="E6" i="56"/>
  <c r="F6" i="56" s="1"/>
  <c r="G6" i="56" s="1"/>
  <c r="H6" i="56" s="1"/>
  <c r="E7" i="56"/>
  <c r="F7" i="56" s="1"/>
  <c r="G7" i="56" s="1"/>
  <c r="H7" i="56" s="1"/>
  <c r="E8" i="56"/>
  <c r="F8" i="56" s="1"/>
  <c r="G8" i="56" s="1"/>
  <c r="H8" i="56" s="1"/>
  <c r="E9" i="56"/>
  <c r="F9" i="56" s="1"/>
  <c r="G9" i="56" s="1"/>
  <c r="H9" i="56" s="1"/>
  <c r="E10" i="56"/>
  <c r="F10" i="56" s="1"/>
  <c r="G10" i="56" s="1"/>
  <c r="H10" i="56" s="1"/>
  <c r="E11" i="56"/>
  <c r="F11" i="56" s="1"/>
  <c r="G11" i="56" s="1"/>
  <c r="H11" i="56" s="1"/>
  <c r="E12" i="56"/>
  <c r="F12" i="56" s="1"/>
  <c r="G12" i="56" s="1"/>
  <c r="H12" i="56" s="1"/>
  <c r="E13" i="56"/>
  <c r="F13" i="56" s="1"/>
  <c r="G13" i="56" s="1"/>
  <c r="H13" i="56" s="1"/>
  <c r="E14" i="56"/>
  <c r="F14" i="56" s="1"/>
  <c r="G14" i="56" s="1"/>
  <c r="H14" i="56" s="1"/>
  <c r="E4" i="56"/>
  <c r="F4" i="56" s="1"/>
  <c r="G4" i="56" s="1"/>
  <c r="H4" i="56" s="1"/>
  <c r="A57" i="52" l="1"/>
  <c r="F106" i="52" l="1"/>
  <c r="I76" i="51" l="1"/>
  <c r="H75" i="51"/>
  <c r="H76" i="51" s="1"/>
  <c r="I50" i="51"/>
  <c r="I70" i="51"/>
  <c r="H70" i="51" s="1"/>
  <c r="I69" i="51"/>
  <c r="H69" i="51" s="1"/>
  <c r="I68" i="51"/>
  <c r="H68" i="51" s="1"/>
  <c r="I72" i="51"/>
  <c r="H72" i="51" s="1"/>
  <c r="H51" i="51"/>
  <c r="H52" i="51"/>
  <c r="H53" i="51"/>
  <c r="H54" i="51"/>
  <c r="H55" i="51"/>
  <c r="H56" i="51"/>
  <c r="H57" i="51"/>
  <c r="H58" i="51"/>
  <c r="H59" i="51"/>
  <c r="H60" i="51"/>
  <c r="H61" i="51"/>
  <c r="H62" i="51"/>
  <c r="H63" i="51"/>
  <c r="H64" i="51"/>
  <c r="H65" i="51"/>
  <c r="H66" i="51"/>
  <c r="H67" i="51"/>
  <c r="H71" i="51"/>
  <c r="H73" i="51"/>
  <c r="H74" i="51"/>
  <c r="I71" i="51"/>
  <c r="H48" i="51"/>
  <c r="H38" i="51"/>
  <c r="H39" i="51"/>
  <c r="H40" i="51"/>
  <c r="H41" i="51"/>
  <c r="H42" i="51"/>
  <c r="H43" i="51"/>
  <c r="H44" i="51"/>
  <c r="H45" i="51"/>
  <c r="H46" i="51"/>
  <c r="H47" i="51"/>
  <c r="H37" i="51"/>
  <c r="I48" i="51"/>
  <c r="I35" i="51"/>
  <c r="H35" i="51"/>
  <c r="I25" i="51"/>
  <c r="H25" i="51" s="1"/>
  <c r="I23" i="51"/>
  <c r="H23" i="51" s="1"/>
  <c r="H24" i="51"/>
  <c r="H26" i="51"/>
  <c r="H27" i="51"/>
  <c r="H28" i="51"/>
  <c r="H29" i="51"/>
  <c r="H30" i="51"/>
  <c r="H31" i="51"/>
  <c r="H32" i="51"/>
  <c r="H33" i="51"/>
  <c r="H34" i="51"/>
  <c r="I21" i="51"/>
  <c r="H21" i="51"/>
  <c r="I30" i="51"/>
  <c r="H4" i="51"/>
  <c r="H5" i="51"/>
  <c r="H6" i="51"/>
  <c r="H7" i="51"/>
  <c r="H8" i="51"/>
  <c r="H9" i="51"/>
  <c r="H10" i="51"/>
  <c r="H11" i="51"/>
  <c r="H12" i="51"/>
  <c r="H13" i="51"/>
  <c r="H14" i="51"/>
  <c r="H15" i="51"/>
  <c r="H16" i="51"/>
  <c r="H17" i="51"/>
  <c r="H18" i="51"/>
  <c r="H19" i="51"/>
  <c r="H20" i="51"/>
  <c r="H3" i="51"/>
  <c r="I16" i="51"/>
  <c r="I7" i="51"/>
  <c r="I75" i="51" l="1"/>
  <c r="E91" i="32" l="1"/>
  <c r="G91" i="32"/>
  <c r="H91" i="32"/>
  <c r="I91" i="32"/>
  <c r="J91" i="32"/>
  <c r="K91" i="32"/>
  <c r="N91" i="32"/>
  <c r="O91" i="32"/>
  <c r="E90" i="32"/>
  <c r="G90" i="32"/>
  <c r="H90" i="32"/>
  <c r="K90" i="32"/>
  <c r="O90" i="32"/>
  <c r="E89" i="32"/>
  <c r="F89" i="32"/>
  <c r="G89" i="32"/>
  <c r="H89" i="32"/>
  <c r="I89" i="32"/>
  <c r="J89" i="32"/>
  <c r="K89" i="32"/>
  <c r="N89" i="32"/>
  <c r="O89" i="32"/>
  <c r="E88" i="32"/>
  <c r="F88" i="32"/>
  <c r="G88" i="32"/>
  <c r="H88" i="32"/>
  <c r="I88" i="32"/>
  <c r="J88" i="32"/>
  <c r="K88" i="32"/>
  <c r="N88" i="32"/>
  <c r="O88" i="32"/>
  <c r="E87" i="32"/>
  <c r="G87" i="32"/>
  <c r="G92" i="32" s="1"/>
  <c r="H87" i="32"/>
  <c r="I87" i="32"/>
  <c r="K87" i="32"/>
  <c r="O78" i="32"/>
  <c r="O82" i="32" s="1"/>
  <c r="O52" i="32"/>
  <c r="O50" i="32"/>
  <c r="O31" i="32"/>
  <c r="O87" i="32" s="1"/>
  <c r="O92" i="32" s="1"/>
  <c r="O17" i="32"/>
  <c r="O8" i="32"/>
  <c r="O22" i="32" s="1"/>
  <c r="O83" i="32" l="1"/>
  <c r="O36" i="32"/>
  <c r="E92" i="32"/>
  <c r="H92" i="32"/>
  <c r="K92" i="32"/>
  <c r="N20" i="44" l="1"/>
  <c r="M20" i="44"/>
  <c r="L20" i="44"/>
  <c r="K20" i="44"/>
  <c r="O19" i="44"/>
  <c r="O18" i="44"/>
  <c r="O17" i="44"/>
  <c r="O16" i="44"/>
  <c r="O20" i="44" l="1"/>
  <c r="D94" i="32" l="1"/>
  <c r="G43" i="49"/>
  <c r="F43" i="49"/>
  <c r="F35" i="49"/>
  <c r="F21" i="49"/>
  <c r="F11" i="49"/>
  <c r="D40" i="49"/>
  <c r="D39" i="49"/>
  <c r="D38" i="49"/>
  <c r="D37" i="49"/>
  <c r="D36" i="49"/>
  <c r="D35" i="49"/>
  <c r="D30" i="49"/>
  <c r="D29" i="49"/>
  <c r="D28" i="49"/>
  <c r="D27" i="49"/>
  <c r="D24" i="49"/>
  <c r="D23" i="49"/>
  <c r="D22" i="49"/>
  <c r="D21" i="49"/>
  <c r="D20" i="49"/>
  <c r="D19" i="49"/>
  <c r="D18" i="49"/>
  <c r="D17" i="49"/>
  <c r="D16" i="49"/>
  <c r="D15" i="49"/>
  <c r="D14" i="49"/>
  <c r="D10" i="49"/>
  <c r="D6" i="49"/>
  <c r="D5" i="49"/>
  <c r="D4" i="49"/>
  <c r="D3" i="49"/>
  <c r="D2" i="49"/>
  <c r="L4" i="32"/>
  <c r="G11" i="49" l="1"/>
  <c r="G35" i="49"/>
  <c r="G21" i="49"/>
  <c r="L5" i="32" l="1"/>
  <c r="L7" i="32"/>
  <c r="L9" i="32"/>
  <c r="L10" i="32"/>
  <c r="L11" i="32"/>
  <c r="L12" i="32"/>
  <c r="L91" i="32" s="1"/>
  <c r="L14" i="32"/>
  <c r="L15" i="32"/>
  <c r="L16" i="32"/>
  <c r="L17" i="32"/>
  <c r="L18" i="32"/>
  <c r="L19" i="32"/>
  <c r="L20" i="32"/>
  <c r="L21" i="32"/>
  <c r="L23" i="32"/>
  <c r="L24" i="32"/>
  <c r="L25" i="32"/>
  <c r="L26" i="32"/>
  <c r="L27" i="32"/>
  <c r="L28" i="32"/>
  <c r="L30" i="32"/>
  <c r="L31" i="32"/>
  <c r="L32" i="32"/>
  <c r="L33" i="32"/>
  <c r="L34" i="32"/>
  <c r="L35" i="32"/>
  <c r="L37" i="32"/>
  <c r="L38" i="32"/>
  <c r="L39" i="32"/>
  <c r="L40" i="32"/>
  <c r="L41" i="32"/>
  <c r="L44" i="32"/>
  <c r="L45" i="32"/>
  <c r="L47" i="32"/>
  <c r="L48" i="32"/>
  <c r="L49" i="32"/>
  <c r="L51" i="32"/>
  <c r="L52" i="32"/>
  <c r="L53" i="32"/>
  <c r="L54" i="32"/>
  <c r="L55" i="32"/>
  <c r="L56" i="32"/>
  <c r="L59" i="32"/>
  <c r="L60" i="32"/>
  <c r="L61" i="32"/>
  <c r="L62" i="32"/>
  <c r="L63" i="32"/>
  <c r="L64" i="32"/>
  <c r="L65" i="32"/>
  <c r="L66" i="32"/>
  <c r="L67" i="32"/>
  <c r="L68" i="32"/>
  <c r="L69" i="32"/>
  <c r="L70" i="32"/>
  <c r="L71" i="32"/>
  <c r="L73" i="32"/>
  <c r="L74" i="32"/>
  <c r="L75" i="32"/>
  <c r="L76" i="32"/>
  <c r="L77" i="32"/>
  <c r="L79" i="32"/>
  <c r="L80" i="32"/>
  <c r="L81" i="32"/>
  <c r="L3" i="32"/>
  <c r="L89" i="32" l="1"/>
  <c r="L88" i="32"/>
  <c r="Q8" i="11" l="1"/>
  <c r="N62" i="11" l="1"/>
  <c r="N49" i="11"/>
  <c r="O28" i="11"/>
  <c r="N28" i="11"/>
  <c r="J28" i="11"/>
  <c r="N10" i="11"/>
  <c r="O13" i="44"/>
  <c r="K13" i="44"/>
  <c r="O9" i="44"/>
  <c r="O12" i="44"/>
  <c r="K22" i="32" l="1"/>
  <c r="K36" i="32"/>
  <c r="K50" i="32"/>
  <c r="K82" i="32"/>
  <c r="K83" i="32" l="1"/>
  <c r="M52" i="32"/>
  <c r="M53" i="32"/>
  <c r="M56" i="32"/>
  <c r="M60" i="32"/>
  <c r="M66" i="32"/>
  <c r="M70" i="32"/>
  <c r="M71" i="32"/>
  <c r="M74" i="32"/>
  <c r="M75" i="32"/>
  <c r="M76" i="32"/>
  <c r="M77" i="32"/>
  <c r="M24" i="32"/>
  <c r="M26" i="32"/>
  <c r="M28" i="32"/>
  <c r="M5" i="32"/>
  <c r="M7" i="32"/>
  <c r="M9" i="32"/>
  <c r="M11" i="32"/>
  <c r="M12" i="32"/>
  <c r="M91" i="32" s="1"/>
  <c r="Q91" i="32" s="1"/>
  <c r="M14" i="32"/>
  <c r="M15" i="32"/>
  <c r="M17" i="32"/>
  <c r="M18" i="32"/>
  <c r="M21" i="32"/>
  <c r="M4" i="32"/>
  <c r="N78" i="32"/>
  <c r="N87" i="32" s="1"/>
  <c r="N42" i="32"/>
  <c r="N29" i="32"/>
  <c r="N6" i="32"/>
  <c r="L6" i="32" s="1"/>
  <c r="N50" i="32" l="1"/>
  <c r="N90" i="32"/>
  <c r="N92" i="32"/>
  <c r="N82" i="32"/>
  <c r="M88" i="32"/>
  <c r="M89" i="32"/>
  <c r="N22" i="32"/>
  <c r="N36" i="32"/>
  <c r="M6" i="32"/>
  <c r="L78" i="32"/>
  <c r="M78" i="32"/>
  <c r="D45" i="32"/>
  <c r="N83" i="32" l="1"/>
  <c r="H13" i="12"/>
  <c r="J10" i="11" l="1"/>
  <c r="I80" i="32" l="1"/>
  <c r="I77" i="32"/>
  <c r="I76" i="32"/>
  <c r="I73" i="32"/>
  <c r="I70" i="32"/>
  <c r="I69" i="32"/>
  <c r="I66" i="32"/>
  <c r="I64" i="32"/>
  <c r="I62" i="32"/>
  <c r="I60" i="32"/>
  <c r="I56" i="32"/>
  <c r="I55" i="32"/>
  <c r="I44" i="32"/>
  <c r="I39" i="32"/>
  <c r="I33" i="32"/>
  <c r="I27" i="32"/>
  <c r="I24" i="32"/>
  <c r="I17" i="32"/>
  <c r="J57" i="32" l="1"/>
  <c r="L57" i="32" l="1"/>
  <c r="M57" i="32"/>
  <c r="I57" i="32"/>
  <c r="O10" i="44" l="1"/>
  <c r="N13" i="44" l="1"/>
  <c r="L13" i="44"/>
  <c r="M13" i="44"/>
  <c r="Q89" i="32" l="1"/>
  <c r="Q88" i="32"/>
  <c r="J72" i="32"/>
  <c r="J58" i="32"/>
  <c r="J46" i="32"/>
  <c r="J43" i="32"/>
  <c r="J87" i="32" s="1"/>
  <c r="J42" i="32"/>
  <c r="J29" i="32"/>
  <c r="J13" i="32"/>
  <c r="J8" i="32"/>
  <c r="J90" i="32" l="1"/>
  <c r="J92" i="32" s="1"/>
  <c r="L8" i="32"/>
  <c r="J22" i="32"/>
  <c r="M8" i="32"/>
  <c r="I8" i="32"/>
  <c r="L42" i="32"/>
  <c r="I42" i="32"/>
  <c r="J50" i="32"/>
  <c r="L13" i="32"/>
  <c r="M13" i="32"/>
  <c r="J36" i="32"/>
  <c r="M29" i="32"/>
  <c r="L29" i="32"/>
  <c r="L43" i="32"/>
  <c r="L87" i="32" s="1"/>
  <c r="M43" i="32"/>
  <c r="L46" i="32"/>
  <c r="M46" i="32"/>
  <c r="L58" i="32"/>
  <c r="M58" i="32"/>
  <c r="I58" i="32"/>
  <c r="J82" i="32"/>
  <c r="L82" i="32" s="1"/>
  <c r="L72" i="32"/>
  <c r="L90" i="32" s="1"/>
  <c r="I72" i="32"/>
  <c r="L92" i="32" l="1"/>
  <c r="M82" i="32"/>
  <c r="M90" i="32"/>
  <c r="Q90" i="32" s="1"/>
  <c r="M87" i="32"/>
  <c r="J83" i="32"/>
  <c r="M50" i="32"/>
  <c r="L50" i="32"/>
  <c r="M36" i="32"/>
  <c r="L36" i="32"/>
  <c r="M22" i="32"/>
  <c r="L22" i="32"/>
  <c r="AC160" i="13"/>
  <c r="AB160" i="13"/>
  <c r="AA160" i="13"/>
  <c r="W160" i="13"/>
  <c r="K160" i="13"/>
  <c r="M160" i="13" s="1"/>
  <c r="Z160" i="13" s="1"/>
  <c r="AC159" i="13"/>
  <c r="AB159" i="13"/>
  <c r="AA159" i="13"/>
  <c r="W159" i="13"/>
  <c r="M159" i="13"/>
  <c r="Z159" i="13" s="1"/>
  <c r="K159" i="13"/>
  <c r="AC158" i="13"/>
  <c r="AB158" i="13"/>
  <c r="AA158" i="13"/>
  <c r="W158" i="13"/>
  <c r="K158" i="13"/>
  <c r="M158" i="13" s="1"/>
  <c r="Z158" i="13" s="1"/>
  <c r="AC157" i="13"/>
  <c r="AB157" i="13"/>
  <c r="AA157" i="13"/>
  <c r="W157" i="13"/>
  <c r="K157" i="13"/>
  <c r="M157" i="13" s="1"/>
  <c r="Z157" i="13" s="1"/>
  <c r="AC156" i="13"/>
  <c r="AB156" i="13"/>
  <c r="AA156" i="13"/>
  <c r="W156" i="13"/>
  <c r="K156" i="13"/>
  <c r="M156" i="13" s="1"/>
  <c r="Z156" i="13" s="1"/>
  <c r="AC155" i="13"/>
  <c r="AB155" i="13"/>
  <c r="AA155" i="13"/>
  <c r="W155" i="13"/>
  <c r="M155" i="13"/>
  <c r="Z155" i="13" s="1"/>
  <c r="K155" i="13"/>
  <c r="AC154" i="13"/>
  <c r="AB154" i="13"/>
  <c r="AA154" i="13"/>
  <c r="Z154" i="13"/>
  <c r="W154" i="13"/>
  <c r="AC153" i="13"/>
  <c r="AB153" i="13"/>
  <c r="AA153" i="13"/>
  <c r="W153" i="13"/>
  <c r="M153" i="13"/>
  <c r="Z153" i="13" s="1"/>
  <c r="AC152" i="13"/>
  <c r="AB152" i="13"/>
  <c r="AA152" i="13"/>
  <c r="W152" i="13"/>
  <c r="K152" i="13"/>
  <c r="M152" i="13" s="1"/>
  <c r="Z152" i="13" s="1"/>
  <c r="AC151" i="13"/>
  <c r="AB151" i="13"/>
  <c r="AA151" i="13"/>
  <c r="W151" i="13"/>
  <c r="O151" i="13"/>
  <c r="K151" i="13"/>
  <c r="M151" i="13" s="1"/>
  <c r="Z151" i="13" s="1"/>
  <c r="AC150" i="13"/>
  <c r="AB150" i="13"/>
  <c r="AA150" i="13"/>
  <c r="W150" i="13"/>
  <c r="K150" i="13"/>
  <c r="M150" i="13" s="1"/>
  <c r="Z150" i="13" s="1"/>
  <c r="AC149" i="13"/>
  <c r="AB149" i="13"/>
  <c r="AA149" i="13"/>
  <c r="W149" i="13"/>
  <c r="K149" i="13"/>
  <c r="M149" i="13" s="1"/>
  <c r="Z149" i="13" s="1"/>
  <c r="AC148" i="13"/>
  <c r="AB148" i="13"/>
  <c r="AA148" i="13"/>
  <c r="W148" i="13"/>
  <c r="K148" i="13"/>
  <c r="M148" i="13" s="1"/>
  <c r="Z148" i="13" s="1"/>
  <c r="AC147" i="13"/>
  <c r="AB147" i="13"/>
  <c r="AA147" i="13"/>
  <c r="W147" i="13"/>
  <c r="K147" i="13"/>
  <c r="M147" i="13" s="1"/>
  <c r="Z147" i="13" s="1"/>
  <c r="AC146" i="13"/>
  <c r="AB146" i="13"/>
  <c r="AA146" i="13"/>
  <c r="W146" i="13"/>
  <c r="K146" i="13"/>
  <c r="M146" i="13" s="1"/>
  <c r="Z146" i="13" s="1"/>
  <c r="AC145" i="13"/>
  <c r="AB145" i="13"/>
  <c r="AA145" i="13"/>
  <c r="W145" i="13"/>
  <c r="M145" i="13"/>
  <c r="Z145" i="13" s="1"/>
  <c r="K145" i="13"/>
  <c r="AC144" i="13"/>
  <c r="AB144" i="13"/>
  <c r="AA144" i="13"/>
  <c r="W144" i="13"/>
  <c r="K144" i="13"/>
  <c r="M144" i="13" s="1"/>
  <c r="Z144" i="13" s="1"/>
  <c r="AC143" i="13"/>
  <c r="AB143" i="13"/>
  <c r="AA143" i="13"/>
  <c r="W143" i="13"/>
  <c r="K143" i="13"/>
  <c r="M143" i="13" s="1"/>
  <c r="Z143" i="13" s="1"/>
  <c r="J143" i="13"/>
  <c r="AC142" i="13"/>
  <c r="AB142" i="13"/>
  <c r="AA142" i="13"/>
  <c r="W142" i="13"/>
  <c r="J142" i="13"/>
  <c r="K142" i="13" s="1"/>
  <c r="M142" i="13" s="1"/>
  <c r="Z142" i="13" s="1"/>
  <c r="I142" i="13"/>
  <c r="AC141" i="13"/>
  <c r="AB141" i="13"/>
  <c r="AA141" i="13"/>
  <c r="W141" i="13"/>
  <c r="J141" i="13"/>
  <c r="K141" i="13" s="1"/>
  <c r="M141" i="13" s="1"/>
  <c r="Z141" i="13" s="1"/>
  <c r="I141" i="13"/>
  <c r="AC140" i="13"/>
  <c r="AB140" i="13"/>
  <c r="AA140" i="13"/>
  <c r="J140" i="13"/>
  <c r="K140" i="13" s="1"/>
  <c r="M140" i="13" s="1"/>
  <c r="Z140" i="13" s="1"/>
  <c r="I140" i="13"/>
  <c r="AC139" i="13"/>
  <c r="AB139" i="13"/>
  <c r="AA139" i="13"/>
  <c r="Z139" i="13"/>
  <c r="W139" i="13"/>
  <c r="AC138" i="13"/>
  <c r="AB138" i="13"/>
  <c r="AA138" i="13"/>
  <c r="Z138" i="13"/>
  <c r="W138" i="13"/>
  <c r="M138" i="13"/>
  <c r="AC137" i="13"/>
  <c r="AB137" i="13"/>
  <c r="AA137" i="13"/>
  <c r="W137" i="13"/>
  <c r="M137" i="13"/>
  <c r="Z137" i="13" s="1"/>
  <c r="AC136" i="13"/>
  <c r="AB136" i="13"/>
  <c r="AA136" i="13"/>
  <c r="Z136" i="13"/>
  <c r="W136" i="13"/>
  <c r="K136" i="13"/>
  <c r="AC135" i="13"/>
  <c r="AB135" i="13"/>
  <c r="AA135" i="13"/>
  <c r="Z135" i="13"/>
  <c r="W135" i="13"/>
  <c r="K135" i="13"/>
  <c r="AC134" i="13"/>
  <c r="AB134" i="13"/>
  <c r="AA134" i="13"/>
  <c r="W134" i="13"/>
  <c r="K134" i="13"/>
  <c r="M134" i="13" s="1"/>
  <c r="Z134" i="13" s="1"/>
  <c r="AC133" i="13"/>
  <c r="AB133" i="13"/>
  <c r="AA133" i="13"/>
  <c r="W133" i="13"/>
  <c r="K133" i="13"/>
  <c r="M133" i="13" s="1"/>
  <c r="Z133" i="13" s="1"/>
  <c r="AC132" i="13"/>
  <c r="AB132" i="13"/>
  <c r="AA132" i="13"/>
  <c r="W132" i="13"/>
  <c r="K132" i="13"/>
  <c r="M132" i="13" s="1"/>
  <c r="Z132" i="13" s="1"/>
  <c r="AC131" i="13"/>
  <c r="AB131" i="13"/>
  <c r="AA131" i="13"/>
  <c r="W131" i="13"/>
  <c r="K131" i="13"/>
  <c r="M131" i="13" s="1"/>
  <c r="Z131" i="13" s="1"/>
  <c r="AC130" i="13"/>
  <c r="AB130" i="13"/>
  <c r="AA130" i="13"/>
  <c r="W130" i="13"/>
  <c r="M130" i="13"/>
  <c r="Z130" i="13" s="1"/>
  <c r="K130" i="13"/>
  <c r="AC129" i="13"/>
  <c r="AB129" i="13"/>
  <c r="AA129" i="13"/>
  <c r="W129" i="13"/>
  <c r="K129" i="13"/>
  <c r="M129" i="13" s="1"/>
  <c r="Z129" i="13" s="1"/>
  <c r="AC128" i="13"/>
  <c r="AB128" i="13"/>
  <c r="AA128" i="13"/>
  <c r="W128" i="13"/>
  <c r="K128" i="13"/>
  <c r="M128" i="13" s="1"/>
  <c r="Z128" i="13" s="1"/>
  <c r="AC127" i="13"/>
  <c r="AB127" i="13"/>
  <c r="AA127" i="13"/>
  <c r="W127" i="13"/>
  <c r="K127" i="13"/>
  <c r="M127" i="13" s="1"/>
  <c r="Z127" i="13" s="1"/>
  <c r="AC126" i="13"/>
  <c r="AB126" i="13"/>
  <c r="AA126" i="13"/>
  <c r="W126" i="13"/>
  <c r="M126" i="13"/>
  <c r="Z126" i="13" s="1"/>
  <c r="K126" i="13"/>
  <c r="AC125" i="13"/>
  <c r="AB125" i="13"/>
  <c r="AA125" i="13"/>
  <c r="W125" i="13"/>
  <c r="K125" i="13"/>
  <c r="M125" i="13" s="1"/>
  <c r="Z125" i="13" s="1"/>
  <c r="AC124" i="13"/>
  <c r="AB124" i="13"/>
  <c r="AA124" i="13"/>
  <c r="W124" i="13"/>
  <c r="K124" i="13"/>
  <c r="M124" i="13" s="1"/>
  <c r="Z124" i="13" s="1"/>
  <c r="AC123" i="13"/>
  <c r="AB123" i="13"/>
  <c r="AA123" i="13"/>
  <c r="W123" i="13"/>
  <c r="K123" i="13"/>
  <c r="M123" i="13" s="1"/>
  <c r="Z123" i="13" s="1"/>
  <c r="AC122" i="13"/>
  <c r="AB122" i="13"/>
  <c r="AA122" i="13"/>
  <c r="W122" i="13"/>
  <c r="K122" i="13"/>
  <c r="M122" i="13" s="1"/>
  <c r="Z122" i="13" s="1"/>
  <c r="AC121" i="13"/>
  <c r="AB121" i="13"/>
  <c r="AA121" i="13"/>
  <c r="W121" i="13"/>
  <c r="K121" i="13"/>
  <c r="M121" i="13" s="1"/>
  <c r="Z121" i="13" s="1"/>
  <c r="AC120" i="13"/>
  <c r="AB120" i="13"/>
  <c r="AA120" i="13"/>
  <c r="W120" i="13"/>
  <c r="K120" i="13"/>
  <c r="M120" i="13" s="1"/>
  <c r="Z120" i="13" s="1"/>
  <c r="AC119" i="13"/>
  <c r="AB119" i="13"/>
  <c r="AA119" i="13"/>
  <c r="W119" i="13"/>
  <c r="K119" i="13"/>
  <c r="M119" i="13" s="1"/>
  <c r="Z119" i="13" s="1"/>
  <c r="AC118" i="13"/>
  <c r="AB118" i="13"/>
  <c r="AA118" i="13"/>
  <c r="W118" i="13"/>
  <c r="K118" i="13"/>
  <c r="M118" i="13" s="1"/>
  <c r="Z118" i="13" s="1"/>
  <c r="AC117" i="13"/>
  <c r="AB117" i="13"/>
  <c r="AA117" i="13"/>
  <c r="W117" i="13"/>
  <c r="K117" i="13"/>
  <c r="M117" i="13" s="1"/>
  <c r="Z117" i="13" s="1"/>
  <c r="AC116" i="13"/>
  <c r="AB116" i="13"/>
  <c r="AA116" i="13"/>
  <c r="K116" i="13"/>
  <c r="M116" i="13" s="1"/>
  <c r="Z116" i="13" s="1"/>
  <c r="AC115" i="13"/>
  <c r="AB115" i="13"/>
  <c r="AA115" i="13"/>
  <c r="W115" i="13"/>
  <c r="K115" i="13"/>
  <c r="M115" i="13" s="1"/>
  <c r="Z115" i="13" s="1"/>
  <c r="AC114" i="13"/>
  <c r="AB114" i="13"/>
  <c r="AA114" i="13"/>
  <c r="W114" i="13"/>
  <c r="K114" i="13"/>
  <c r="M114" i="13" s="1"/>
  <c r="Z114" i="13" s="1"/>
  <c r="AC113" i="13"/>
  <c r="AB113" i="13"/>
  <c r="AA113" i="13"/>
  <c r="W113" i="13"/>
  <c r="M113" i="13"/>
  <c r="Z113" i="13" s="1"/>
  <c r="K113" i="13"/>
  <c r="AC112" i="13"/>
  <c r="AB112" i="13"/>
  <c r="AA112" i="13"/>
  <c r="W112" i="13"/>
  <c r="K112" i="13"/>
  <c r="M112" i="13" s="1"/>
  <c r="Z112" i="13" s="1"/>
  <c r="AC111" i="13"/>
  <c r="AB111" i="13"/>
  <c r="AA111" i="13"/>
  <c r="W111" i="13"/>
  <c r="K111" i="13"/>
  <c r="M111" i="13" s="1"/>
  <c r="Z111" i="13" s="1"/>
  <c r="AC110" i="13"/>
  <c r="AB110" i="13"/>
  <c r="AA110" i="13"/>
  <c r="W110" i="13"/>
  <c r="K110" i="13"/>
  <c r="M110" i="13" s="1"/>
  <c r="Z110" i="13" s="1"/>
  <c r="AC109" i="13"/>
  <c r="AB109" i="13"/>
  <c r="AA109" i="13"/>
  <c r="W109" i="13"/>
  <c r="K109" i="13"/>
  <c r="M109" i="13" s="1"/>
  <c r="Z109" i="13" s="1"/>
  <c r="AC108" i="13"/>
  <c r="AB108" i="13"/>
  <c r="AA108" i="13"/>
  <c r="W108" i="13"/>
  <c r="K108" i="13"/>
  <c r="M108" i="13" s="1"/>
  <c r="Z108" i="13" s="1"/>
  <c r="AC107" i="13"/>
  <c r="AB107" i="13"/>
  <c r="AA107" i="13"/>
  <c r="W107" i="13"/>
  <c r="K107" i="13"/>
  <c r="M107" i="13" s="1"/>
  <c r="Z107" i="13" s="1"/>
  <c r="AC106" i="13"/>
  <c r="AB106" i="13"/>
  <c r="AA106" i="13"/>
  <c r="W106" i="13"/>
  <c r="K106" i="13"/>
  <c r="M106" i="13" s="1"/>
  <c r="Z106" i="13" s="1"/>
  <c r="AC105" i="13"/>
  <c r="AB105" i="13"/>
  <c r="AA105" i="13"/>
  <c r="W105" i="13"/>
  <c r="K105" i="13"/>
  <c r="M105" i="13" s="1"/>
  <c r="Z105" i="13" s="1"/>
  <c r="AC104" i="13"/>
  <c r="AB104" i="13"/>
  <c r="AA104" i="13"/>
  <c r="Z104" i="13"/>
  <c r="W104" i="13"/>
  <c r="K104" i="13"/>
  <c r="AC103" i="13"/>
  <c r="AB103" i="13"/>
  <c r="AA103" i="13"/>
  <c r="W103" i="13"/>
  <c r="K103" i="13"/>
  <c r="M103" i="13" s="1"/>
  <c r="Z103" i="13" s="1"/>
  <c r="AC102" i="13"/>
  <c r="AB102" i="13"/>
  <c r="AA102" i="13"/>
  <c r="W102" i="13"/>
  <c r="K102" i="13"/>
  <c r="M102" i="13" s="1"/>
  <c r="Z102" i="13" s="1"/>
  <c r="AC101" i="13"/>
  <c r="AB101" i="13"/>
  <c r="AA101" i="13"/>
  <c r="W101" i="13"/>
  <c r="J101" i="13"/>
  <c r="K101" i="13" s="1"/>
  <c r="M101" i="13" s="1"/>
  <c r="Z101" i="13" s="1"/>
  <c r="AC100" i="13"/>
  <c r="AB100" i="13"/>
  <c r="AA100" i="13"/>
  <c r="W100" i="13"/>
  <c r="J100" i="13"/>
  <c r="K100" i="13" s="1"/>
  <c r="M100" i="13" s="1"/>
  <c r="Z100" i="13" s="1"/>
  <c r="AC99" i="13"/>
  <c r="AB99" i="13"/>
  <c r="AA99" i="13"/>
  <c r="W99" i="13"/>
  <c r="J99" i="13"/>
  <c r="K99" i="13" s="1"/>
  <c r="M99" i="13" s="1"/>
  <c r="Z99" i="13" s="1"/>
  <c r="AC98" i="13"/>
  <c r="AB98" i="13"/>
  <c r="AA98" i="13"/>
  <c r="W98" i="13"/>
  <c r="K98" i="13"/>
  <c r="M98" i="13" s="1"/>
  <c r="Z98" i="13" s="1"/>
  <c r="AC97" i="13"/>
  <c r="AB97" i="13"/>
  <c r="AA97" i="13"/>
  <c r="W97" i="13"/>
  <c r="K97" i="13"/>
  <c r="M97" i="13" s="1"/>
  <c r="Z97" i="13" s="1"/>
  <c r="AC96" i="13"/>
  <c r="AB96" i="13"/>
  <c r="AA96" i="13"/>
  <c r="W96" i="13"/>
  <c r="K96" i="13"/>
  <c r="M96" i="13" s="1"/>
  <c r="Z96" i="13" s="1"/>
  <c r="AC95" i="13"/>
  <c r="AB95" i="13"/>
  <c r="AA95" i="13"/>
  <c r="Z95" i="13"/>
  <c r="W95" i="13"/>
  <c r="K95" i="13"/>
  <c r="AC94" i="13"/>
  <c r="AB94" i="13"/>
  <c r="AA94" i="13"/>
  <c r="Z94" i="13"/>
  <c r="W94" i="13"/>
  <c r="K94" i="13"/>
  <c r="AC93" i="13"/>
  <c r="AB93" i="13"/>
  <c r="AA93" i="13"/>
  <c r="Z93" i="13"/>
  <c r="W93" i="13"/>
  <c r="K93" i="13"/>
  <c r="AC92" i="13"/>
  <c r="AB92" i="13"/>
  <c r="AA92" i="13"/>
  <c r="W92" i="13"/>
  <c r="K92" i="13"/>
  <c r="M92" i="13" s="1"/>
  <c r="Z92" i="13" s="1"/>
  <c r="AC91" i="13"/>
  <c r="AB91" i="13"/>
  <c r="AA91" i="13"/>
  <c r="W91" i="13"/>
  <c r="K91" i="13"/>
  <c r="M91" i="13" s="1"/>
  <c r="Z91" i="13" s="1"/>
  <c r="AC90" i="13"/>
  <c r="AB90" i="13"/>
  <c r="AA90" i="13"/>
  <c r="W90" i="13"/>
  <c r="K90" i="13"/>
  <c r="M90" i="13" s="1"/>
  <c r="Z90" i="13" s="1"/>
  <c r="AC89" i="13"/>
  <c r="AB89" i="13"/>
  <c r="AA89" i="13"/>
  <c r="W89" i="13"/>
  <c r="K89" i="13"/>
  <c r="M89" i="13" s="1"/>
  <c r="Z89" i="13" s="1"/>
  <c r="AC88" i="13"/>
  <c r="AB88" i="13"/>
  <c r="AA88" i="13"/>
  <c r="W88" i="13"/>
  <c r="M88" i="13"/>
  <c r="Z88" i="13" s="1"/>
  <c r="K88" i="13"/>
  <c r="AC87" i="13"/>
  <c r="AB87" i="13"/>
  <c r="AA87" i="13"/>
  <c r="W87" i="13"/>
  <c r="K87" i="13"/>
  <c r="M87" i="13" s="1"/>
  <c r="Z87" i="13" s="1"/>
  <c r="AC86" i="13"/>
  <c r="AB86" i="13"/>
  <c r="AA86" i="13"/>
  <c r="W86" i="13"/>
  <c r="K86" i="13"/>
  <c r="M86" i="13" s="1"/>
  <c r="Z86" i="13" s="1"/>
  <c r="AC85" i="13"/>
  <c r="AB85" i="13"/>
  <c r="AA85" i="13"/>
  <c r="W85" i="13"/>
  <c r="K85" i="13"/>
  <c r="M85" i="13" s="1"/>
  <c r="Z85" i="13" s="1"/>
  <c r="AC84" i="13"/>
  <c r="AB84" i="13"/>
  <c r="AA84" i="13"/>
  <c r="W84" i="13"/>
  <c r="K84" i="13"/>
  <c r="M84" i="13" s="1"/>
  <c r="Z84" i="13" s="1"/>
  <c r="AC83" i="13"/>
  <c r="AB83" i="13"/>
  <c r="AA83" i="13"/>
  <c r="W83" i="13"/>
  <c r="K83" i="13"/>
  <c r="M83" i="13" s="1"/>
  <c r="Z83" i="13" s="1"/>
  <c r="AC82" i="13"/>
  <c r="AB82" i="13"/>
  <c r="AA82" i="13"/>
  <c r="W82" i="13"/>
  <c r="M82" i="13"/>
  <c r="Z82" i="13" s="1"/>
  <c r="K82" i="13"/>
  <c r="AC81" i="13"/>
  <c r="AB81" i="13"/>
  <c r="AA81" i="13"/>
  <c r="W81" i="13"/>
  <c r="K81" i="13"/>
  <c r="M81" i="13" s="1"/>
  <c r="Z81" i="13" s="1"/>
  <c r="AC80" i="13"/>
  <c r="AB80" i="13"/>
  <c r="AA80" i="13"/>
  <c r="W80" i="13"/>
  <c r="K80" i="13"/>
  <c r="M80" i="13" s="1"/>
  <c r="Z80" i="13" s="1"/>
  <c r="AC79" i="13"/>
  <c r="AB79" i="13"/>
  <c r="AA79" i="13"/>
  <c r="W79" i="13"/>
  <c r="K79" i="13"/>
  <c r="M79" i="13" s="1"/>
  <c r="Z79" i="13" s="1"/>
  <c r="AC78" i="13"/>
  <c r="AB78" i="13"/>
  <c r="AA78" i="13"/>
  <c r="W78" i="13"/>
  <c r="K78" i="13"/>
  <c r="M78" i="13" s="1"/>
  <c r="Z78" i="13" s="1"/>
  <c r="AC77" i="13"/>
  <c r="AB77" i="13"/>
  <c r="AA77" i="13"/>
  <c r="W77" i="13"/>
  <c r="K77" i="13"/>
  <c r="M77" i="13" s="1"/>
  <c r="Z77" i="13" s="1"/>
  <c r="AC76" i="13"/>
  <c r="AB76" i="13"/>
  <c r="AA76" i="13"/>
  <c r="W76" i="13"/>
  <c r="K76" i="13"/>
  <c r="M76" i="13" s="1"/>
  <c r="Z76" i="13" s="1"/>
  <c r="AC75" i="13"/>
  <c r="AB75" i="13"/>
  <c r="AA75" i="13"/>
  <c r="W75" i="13"/>
  <c r="K75" i="13"/>
  <c r="M75" i="13" s="1"/>
  <c r="Z75" i="13" s="1"/>
  <c r="AC74" i="13"/>
  <c r="AB74" i="13"/>
  <c r="AA74" i="13"/>
  <c r="W74" i="13"/>
  <c r="K74" i="13"/>
  <c r="M74" i="13" s="1"/>
  <c r="Z74" i="13" s="1"/>
  <c r="AC73" i="13"/>
  <c r="AB73" i="13"/>
  <c r="AA73" i="13"/>
  <c r="W73" i="13"/>
  <c r="K73" i="13"/>
  <c r="M73" i="13" s="1"/>
  <c r="Z73" i="13" s="1"/>
  <c r="AC72" i="13"/>
  <c r="AB72" i="13"/>
  <c r="AA72" i="13"/>
  <c r="W72" i="13"/>
  <c r="K72" i="13"/>
  <c r="M72" i="13" s="1"/>
  <c r="Z72" i="13" s="1"/>
  <c r="AC71" i="13"/>
  <c r="AB71" i="13"/>
  <c r="AA71" i="13"/>
  <c r="W71" i="13"/>
  <c r="M71" i="13"/>
  <c r="Z71" i="13" s="1"/>
  <c r="K71" i="13"/>
  <c r="AC70" i="13"/>
  <c r="AB70" i="13"/>
  <c r="AA70" i="13"/>
  <c r="Z70" i="13"/>
  <c r="W70" i="13"/>
  <c r="K70" i="13"/>
  <c r="AC69" i="13"/>
  <c r="AB69" i="13"/>
  <c r="AA69" i="13"/>
  <c r="Z69" i="13"/>
  <c r="W69" i="13"/>
  <c r="K69" i="13"/>
  <c r="AC68" i="13"/>
  <c r="AB68" i="13"/>
  <c r="AA68" i="13"/>
  <c r="W68" i="13"/>
  <c r="K68" i="13"/>
  <c r="M68" i="13" s="1"/>
  <c r="Z68" i="13" s="1"/>
  <c r="AC67" i="13"/>
  <c r="AB67" i="13"/>
  <c r="AA67" i="13"/>
  <c r="W67" i="13"/>
  <c r="K67" i="13"/>
  <c r="M67" i="13" s="1"/>
  <c r="Z67" i="13" s="1"/>
  <c r="AC66" i="13"/>
  <c r="AB66" i="13"/>
  <c r="AA66" i="13"/>
  <c r="W66" i="13"/>
  <c r="K66" i="13"/>
  <c r="M66" i="13" s="1"/>
  <c r="Z66" i="13" s="1"/>
  <c r="AC65" i="13"/>
  <c r="AB65" i="13"/>
  <c r="AA65" i="13"/>
  <c r="W65" i="13"/>
  <c r="K65" i="13"/>
  <c r="M65" i="13" s="1"/>
  <c r="Z65" i="13" s="1"/>
  <c r="AC64" i="13"/>
  <c r="AB64" i="13"/>
  <c r="AA64" i="13"/>
  <c r="W64" i="13"/>
  <c r="K64" i="13"/>
  <c r="M64" i="13" s="1"/>
  <c r="Z64" i="13" s="1"/>
  <c r="K63" i="13"/>
  <c r="M63" i="13" s="1"/>
  <c r="M62" i="13"/>
  <c r="K62" i="13"/>
  <c r="AC61" i="13"/>
  <c r="AB61" i="13"/>
  <c r="AA61" i="13"/>
  <c r="W61" i="13"/>
  <c r="K61" i="13"/>
  <c r="M61" i="13" s="1"/>
  <c r="Z61" i="13" s="1"/>
  <c r="AC60" i="13"/>
  <c r="AB60" i="13"/>
  <c r="AA60" i="13"/>
  <c r="W60" i="13"/>
  <c r="K60" i="13"/>
  <c r="M60" i="13" s="1"/>
  <c r="Z60" i="13" s="1"/>
  <c r="AC59" i="13"/>
  <c r="AB59" i="13"/>
  <c r="AA59" i="13"/>
  <c r="W59" i="13"/>
  <c r="M59" i="13"/>
  <c r="Z59" i="13" s="1"/>
  <c r="K59" i="13"/>
  <c r="AC58" i="13"/>
  <c r="AB58" i="13"/>
  <c r="AA58" i="13"/>
  <c r="W58" i="13"/>
  <c r="K58" i="13"/>
  <c r="M58" i="13" s="1"/>
  <c r="Z58" i="13" s="1"/>
  <c r="AC57" i="13"/>
  <c r="AB57" i="13"/>
  <c r="AA57" i="13"/>
  <c r="W57" i="13"/>
  <c r="K57" i="13"/>
  <c r="M57" i="13" s="1"/>
  <c r="Z57" i="13" s="1"/>
  <c r="AC56" i="13"/>
  <c r="AB56" i="13"/>
  <c r="AA56" i="13"/>
  <c r="W56" i="13"/>
  <c r="K56" i="13"/>
  <c r="M56" i="13" s="1"/>
  <c r="Z56" i="13" s="1"/>
  <c r="AC55" i="13"/>
  <c r="AB55" i="13"/>
  <c r="AA55" i="13"/>
  <c r="W55" i="13"/>
  <c r="K55" i="13"/>
  <c r="M55" i="13" s="1"/>
  <c r="Z55" i="13" s="1"/>
  <c r="AC54" i="13"/>
  <c r="AB54" i="13"/>
  <c r="AA54" i="13"/>
  <c r="W54" i="13"/>
  <c r="K54" i="13"/>
  <c r="M54" i="13" s="1"/>
  <c r="Z54" i="13" s="1"/>
  <c r="AC53" i="13"/>
  <c r="AB53" i="13"/>
  <c r="AA53" i="13"/>
  <c r="W53" i="13"/>
  <c r="K53" i="13"/>
  <c r="M53" i="13" s="1"/>
  <c r="Z53" i="13" s="1"/>
  <c r="AC52" i="13"/>
  <c r="AB52" i="13"/>
  <c r="AA52" i="13"/>
  <c r="W52" i="13"/>
  <c r="K52" i="13"/>
  <c r="M52" i="13" s="1"/>
  <c r="Z52" i="13" s="1"/>
  <c r="AC51" i="13"/>
  <c r="AB51" i="13"/>
  <c r="AA51" i="13"/>
  <c r="W51" i="13"/>
  <c r="K51" i="13"/>
  <c r="M51" i="13" s="1"/>
  <c r="Z51" i="13" s="1"/>
  <c r="AC50" i="13"/>
  <c r="AB50" i="13"/>
  <c r="AA50" i="13"/>
  <c r="W50" i="13"/>
  <c r="K50" i="13"/>
  <c r="M50" i="13" s="1"/>
  <c r="Z50" i="13" s="1"/>
  <c r="AC49" i="13"/>
  <c r="AB49" i="13"/>
  <c r="AA49" i="13"/>
  <c r="W49" i="13"/>
  <c r="K49" i="13"/>
  <c r="M49" i="13" s="1"/>
  <c r="Z49" i="13" s="1"/>
  <c r="AC48" i="13"/>
  <c r="AB48" i="13"/>
  <c r="AA48" i="13"/>
  <c r="W48" i="13"/>
  <c r="K48" i="13"/>
  <c r="M48" i="13" s="1"/>
  <c r="Z48" i="13" s="1"/>
  <c r="AC47" i="13"/>
  <c r="AB47" i="13"/>
  <c r="AA47" i="13"/>
  <c r="W47" i="13"/>
  <c r="K47" i="13"/>
  <c r="M47" i="13" s="1"/>
  <c r="Z47" i="13" s="1"/>
  <c r="AC46" i="13"/>
  <c r="AB46" i="13"/>
  <c r="AA46" i="13"/>
  <c r="W46" i="13"/>
  <c r="K46" i="13"/>
  <c r="M46" i="13" s="1"/>
  <c r="Z46" i="13" s="1"/>
  <c r="AC45" i="13"/>
  <c r="AB45" i="13"/>
  <c r="AA45" i="13"/>
  <c r="W45" i="13"/>
  <c r="K45" i="13"/>
  <c r="M45" i="13" s="1"/>
  <c r="Z45" i="13" s="1"/>
  <c r="AC44" i="13"/>
  <c r="AB44" i="13"/>
  <c r="AA44" i="13"/>
  <c r="W44" i="13"/>
  <c r="K44" i="13"/>
  <c r="M44" i="13" s="1"/>
  <c r="Z44" i="13" s="1"/>
  <c r="AC43" i="13"/>
  <c r="AB43" i="13"/>
  <c r="AA43" i="13"/>
  <c r="W43" i="13"/>
  <c r="K43" i="13"/>
  <c r="M43" i="13" s="1"/>
  <c r="Z43" i="13" s="1"/>
  <c r="AC42" i="13"/>
  <c r="AB42" i="13"/>
  <c r="AA42" i="13"/>
  <c r="W42" i="13"/>
  <c r="K42" i="13"/>
  <c r="M42" i="13" s="1"/>
  <c r="Z42" i="13" s="1"/>
  <c r="AC41" i="13"/>
  <c r="AB41" i="13"/>
  <c r="AA41" i="13"/>
  <c r="W41" i="13"/>
  <c r="K41" i="13"/>
  <c r="M41" i="13" s="1"/>
  <c r="Z41" i="13" s="1"/>
  <c r="AC40" i="13"/>
  <c r="AB40" i="13"/>
  <c r="AA40" i="13"/>
  <c r="W40" i="13"/>
  <c r="K40" i="13"/>
  <c r="M40" i="13" s="1"/>
  <c r="Z40" i="13" s="1"/>
  <c r="AC39" i="13"/>
  <c r="AB39" i="13"/>
  <c r="AA39" i="13"/>
  <c r="W39" i="13"/>
  <c r="K39" i="13"/>
  <c r="M39" i="13" s="1"/>
  <c r="Z39" i="13" s="1"/>
  <c r="AC38" i="13"/>
  <c r="AB38" i="13"/>
  <c r="AA38" i="13"/>
  <c r="W38" i="13"/>
  <c r="K38" i="13"/>
  <c r="M38" i="13" s="1"/>
  <c r="Z38" i="13" s="1"/>
  <c r="AC37" i="13"/>
  <c r="AB37" i="13"/>
  <c r="AA37" i="13"/>
  <c r="W37" i="13"/>
  <c r="K37" i="13"/>
  <c r="M37" i="13" s="1"/>
  <c r="Z37" i="13" s="1"/>
  <c r="AC36" i="13"/>
  <c r="AB36" i="13"/>
  <c r="AA36" i="13"/>
  <c r="W36" i="13"/>
  <c r="M36" i="13"/>
  <c r="Z36" i="13" s="1"/>
  <c r="K36" i="13"/>
  <c r="AC35" i="13"/>
  <c r="AB35" i="13"/>
  <c r="AA35" i="13"/>
  <c r="W35" i="13"/>
  <c r="K35" i="13"/>
  <c r="M35" i="13" s="1"/>
  <c r="Z35" i="13" s="1"/>
  <c r="AC34" i="13"/>
  <c r="AB34" i="13"/>
  <c r="AA34" i="13"/>
  <c r="W34" i="13"/>
  <c r="K34" i="13"/>
  <c r="M34" i="13" s="1"/>
  <c r="Z34" i="13" s="1"/>
  <c r="AC33" i="13"/>
  <c r="AB33" i="13"/>
  <c r="AA33" i="13"/>
  <c r="W33" i="13"/>
  <c r="K33" i="13"/>
  <c r="M33" i="13" s="1"/>
  <c r="Z33" i="13" s="1"/>
  <c r="AC32" i="13"/>
  <c r="AB32" i="13"/>
  <c r="AA32" i="13"/>
  <c r="W32" i="13"/>
  <c r="K32" i="13"/>
  <c r="M32" i="13" s="1"/>
  <c r="Z32" i="13" s="1"/>
  <c r="AC31" i="13"/>
  <c r="AB31" i="13"/>
  <c r="AA31" i="13"/>
  <c r="W31" i="13"/>
  <c r="K31" i="13"/>
  <c r="M31" i="13" s="1"/>
  <c r="Z31" i="13" s="1"/>
  <c r="AC30" i="13"/>
  <c r="AB30" i="13"/>
  <c r="AA30" i="13"/>
  <c r="W30" i="13"/>
  <c r="K30" i="13"/>
  <c r="M30" i="13" s="1"/>
  <c r="Z30" i="13" s="1"/>
  <c r="AC29" i="13"/>
  <c r="AB29" i="13"/>
  <c r="AA29" i="13"/>
  <c r="W29" i="13"/>
  <c r="K29" i="13"/>
  <c r="M29" i="13" s="1"/>
  <c r="Z29" i="13" s="1"/>
  <c r="AC28" i="13"/>
  <c r="AB28" i="13"/>
  <c r="AA28" i="13"/>
  <c r="W28" i="13"/>
  <c r="K28" i="13"/>
  <c r="M28" i="13" s="1"/>
  <c r="Z28" i="13" s="1"/>
  <c r="AC27" i="13"/>
  <c r="AB27" i="13"/>
  <c r="AA27" i="13"/>
  <c r="W27" i="13"/>
  <c r="K27" i="13"/>
  <c r="M27" i="13" s="1"/>
  <c r="Z27" i="13" s="1"/>
  <c r="AC26" i="13"/>
  <c r="AB26" i="13"/>
  <c r="AA26" i="13"/>
  <c r="W26" i="13"/>
  <c r="K26" i="13"/>
  <c r="M26" i="13" s="1"/>
  <c r="Z26" i="13" s="1"/>
  <c r="AC25" i="13"/>
  <c r="AB25" i="13"/>
  <c r="AA25" i="13"/>
  <c r="W25" i="13"/>
  <c r="K25" i="13"/>
  <c r="M25" i="13" s="1"/>
  <c r="Z25" i="13" s="1"/>
  <c r="AC24" i="13"/>
  <c r="AB24" i="13"/>
  <c r="AA24" i="13"/>
  <c r="W24" i="13"/>
  <c r="K24" i="13"/>
  <c r="M24" i="13" s="1"/>
  <c r="Z24" i="13" s="1"/>
  <c r="AC22" i="13"/>
  <c r="AB22" i="13"/>
  <c r="AA22" i="13"/>
  <c r="W22" i="13"/>
  <c r="K22" i="13"/>
  <c r="M22" i="13" s="1"/>
  <c r="Z22" i="13" s="1"/>
  <c r="AC21" i="13"/>
  <c r="AB21" i="13"/>
  <c r="AA21" i="13"/>
  <c r="W21" i="13"/>
  <c r="K21" i="13"/>
  <c r="M21" i="13" s="1"/>
  <c r="Z21" i="13" s="1"/>
  <c r="AC20" i="13"/>
  <c r="AB20" i="13"/>
  <c r="AA20" i="13"/>
  <c r="W20" i="13"/>
  <c r="K20" i="13"/>
  <c r="M20" i="13" s="1"/>
  <c r="Z20" i="13" s="1"/>
  <c r="AC19" i="13"/>
  <c r="AB19" i="13"/>
  <c r="AA19" i="13"/>
  <c r="W19" i="13"/>
  <c r="K19" i="13"/>
  <c r="M19" i="13" s="1"/>
  <c r="Z19" i="13" s="1"/>
  <c r="AC18" i="13"/>
  <c r="AB18" i="13"/>
  <c r="AA18" i="13"/>
  <c r="W18" i="13"/>
  <c r="K18" i="13"/>
  <c r="M18" i="13" s="1"/>
  <c r="Z18" i="13" s="1"/>
  <c r="AC17" i="13"/>
  <c r="AB17" i="13"/>
  <c r="AA17" i="13"/>
  <c r="W17" i="13"/>
  <c r="K17" i="13"/>
  <c r="M17" i="13" s="1"/>
  <c r="Z17" i="13" s="1"/>
  <c r="AC16" i="13"/>
  <c r="AB16" i="13"/>
  <c r="AA16" i="13"/>
  <c r="W16" i="13"/>
  <c r="K16" i="13"/>
  <c r="M16" i="13" s="1"/>
  <c r="Z16" i="13" s="1"/>
  <c r="AC15" i="13"/>
  <c r="AB15" i="13"/>
  <c r="AA15" i="13"/>
  <c r="W15" i="13"/>
  <c r="K15" i="13"/>
  <c r="M15" i="13" s="1"/>
  <c r="Z15" i="13" s="1"/>
  <c r="AC14" i="13"/>
  <c r="AB14" i="13"/>
  <c r="AA14" i="13"/>
  <c r="W14" i="13"/>
  <c r="K14" i="13"/>
  <c r="M14" i="13" s="1"/>
  <c r="Z14" i="13" s="1"/>
  <c r="AC13" i="13"/>
  <c r="AB13" i="13"/>
  <c r="AA13" i="13"/>
  <c r="W13" i="13"/>
  <c r="K13" i="13"/>
  <c r="M13" i="13" s="1"/>
  <c r="Z13" i="13" s="1"/>
  <c r="AC12" i="13"/>
  <c r="AB12" i="13"/>
  <c r="AA12" i="13"/>
  <c r="W12" i="13"/>
  <c r="K12" i="13"/>
  <c r="M12" i="13" s="1"/>
  <c r="Z12" i="13" s="1"/>
  <c r="AC11" i="13"/>
  <c r="AB11" i="13"/>
  <c r="AA11" i="13"/>
  <c r="W11" i="13"/>
  <c r="K11" i="13"/>
  <c r="M11" i="13" s="1"/>
  <c r="Z11" i="13" s="1"/>
  <c r="AC10" i="13"/>
  <c r="AB10" i="13"/>
  <c r="AA10" i="13"/>
  <c r="W10" i="13"/>
  <c r="K10" i="13"/>
  <c r="M10" i="13" s="1"/>
  <c r="Z10" i="13" s="1"/>
  <c r="AC9" i="13"/>
  <c r="AB9" i="13"/>
  <c r="AA9" i="13"/>
  <c r="K9" i="13"/>
  <c r="M9" i="13" s="1"/>
  <c r="Z9" i="13" s="1"/>
  <c r="AC8" i="13"/>
  <c r="AB8" i="13"/>
  <c r="AA8" i="13"/>
  <c r="W8" i="13"/>
  <c r="K8" i="13"/>
  <c r="M8" i="13" s="1"/>
  <c r="Z8" i="13" s="1"/>
  <c r="AC7" i="13"/>
  <c r="AB7" i="13"/>
  <c r="AA7" i="13"/>
  <c r="W7" i="13"/>
  <c r="K7" i="13"/>
  <c r="M7" i="13" s="1"/>
  <c r="Z7" i="13" s="1"/>
  <c r="AC6" i="13"/>
  <c r="AB6" i="13"/>
  <c r="AA6" i="13"/>
  <c r="W6" i="13"/>
  <c r="K6" i="13"/>
  <c r="M6" i="13" s="1"/>
  <c r="Z6" i="13" s="1"/>
  <c r="AC5" i="13"/>
  <c r="AB5" i="13"/>
  <c r="AA5" i="13"/>
  <c r="W5" i="13"/>
  <c r="K5" i="13"/>
  <c r="M5" i="13" s="1"/>
  <c r="Z5" i="13" s="1"/>
  <c r="AC4" i="13"/>
  <c r="AB4" i="13"/>
  <c r="AA4" i="13"/>
  <c r="W4" i="13"/>
  <c r="K4" i="13"/>
  <c r="M4" i="13" s="1"/>
  <c r="Z4" i="13" s="1"/>
  <c r="AC3" i="13"/>
  <c r="AB3" i="13"/>
  <c r="AA3" i="13"/>
  <c r="W3" i="13"/>
  <c r="K3" i="13"/>
  <c r="M3" i="13" s="1"/>
  <c r="Z3" i="13" s="1"/>
  <c r="AC2" i="13"/>
  <c r="AB2" i="13"/>
  <c r="AA2" i="13"/>
  <c r="W2" i="13"/>
  <c r="K2" i="13"/>
  <c r="M2" i="13" s="1"/>
  <c r="Z2" i="13" s="1"/>
  <c r="H82" i="32"/>
  <c r="G82" i="32"/>
  <c r="E82" i="32"/>
  <c r="D82" i="32"/>
  <c r="F52" i="32"/>
  <c r="F90" i="32" s="1"/>
  <c r="H50" i="32"/>
  <c r="G50" i="32"/>
  <c r="E50" i="32"/>
  <c r="D49" i="32"/>
  <c r="D47" i="32"/>
  <c r="F46" i="32"/>
  <c r="I46" i="32" s="1"/>
  <c r="D46" i="32"/>
  <c r="F43" i="32"/>
  <c r="F87" i="32" s="1"/>
  <c r="D43" i="32"/>
  <c r="D40" i="32"/>
  <c r="D39" i="32"/>
  <c r="H36" i="32"/>
  <c r="G36" i="32"/>
  <c r="E36" i="32"/>
  <c r="D35" i="32"/>
  <c r="D34" i="32"/>
  <c r="D33" i="32"/>
  <c r="D32" i="32"/>
  <c r="D31" i="32"/>
  <c r="F29" i="32"/>
  <c r="F36" i="32" s="1"/>
  <c r="D29" i="32"/>
  <c r="D28" i="32"/>
  <c r="D27" i="32"/>
  <c r="D26" i="32"/>
  <c r="H22" i="32"/>
  <c r="G22" i="32"/>
  <c r="E22" i="32"/>
  <c r="D17" i="32"/>
  <c r="D16" i="32"/>
  <c r="F15" i="32"/>
  <c r="D15" i="32"/>
  <c r="D14" i="32"/>
  <c r="F13" i="32"/>
  <c r="I13" i="32" s="1"/>
  <c r="D13" i="32"/>
  <c r="F12" i="32"/>
  <c r="F91" i="32" s="1"/>
  <c r="D12" i="32"/>
  <c r="D91" i="32" s="1"/>
  <c r="P91" i="32" s="1"/>
  <c r="D10" i="32"/>
  <c r="D9" i="32"/>
  <c r="D8" i="32"/>
  <c r="D7" i="32"/>
  <c r="D89" i="32" s="1"/>
  <c r="P89" i="32" s="1"/>
  <c r="D6" i="32"/>
  <c r="D5" i="32"/>
  <c r="F4" i="32"/>
  <c r="M92" i="32" l="1"/>
  <c r="Q92" i="32" s="1"/>
  <c r="Q87" i="32"/>
  <c r="F92" i="32"/>
  <c r="D90" i="32"/>
  <c r="P90" i="32" s="1"/>
  <c r="D22" i="32"/>
  <c r="D50" i="32"/>
  <c r="F50" i="32"/>
  <c r="I52" i="32"/>
  <c r="I90" i="32" s="1"/>
  <c r="I92" i="32" s="1"/>
  <c r="D87" i="32"/>
  <c r="P87" i="32" s="1"/>
  <c r="F22" i="32"/>
  <c r="I4" i="32"/>
  <c r="D88" i="32"/>
  <c r="P88" i="32" s="1"/>
  <c r="D36" i="32"/>
  <c r="M83" i="32"/>
  <c r="P83" i="32" s="1"/>
  <c r="L83" i="32"/>
  <c r="M100" i="32"/>
  <c r="N102" i="32"/>
  <c r="N100" i="32"/>
  <c r="E100" i="32"/>
  <c r="E102" i="32"/>
  <c r="D99" i="32"/>
  <c r="D100" i="32"/>
  <c r="G83" i="32"/>
  <c r="E83" i="32"/>
  <c r="D83" i="32"/>
  <c r="H83" i="32"/>
  <c r="F82" i="32"/>
  <c r="N99" i="32" l="1"/>
  <c r="F83" i="32"/>
  <c r="N101" i="32"/>
  <c r="P4" i="32"/>
  <c r="P42" i="32"/>
  <c r="P44" i="32"/>
  <c r="P24" i="32"/>
  <c r="P52" i="32"/>
  <c r="D101" i="32"/>
  <c r="P13" i="32"/>
  <c r="M98" i="32"/>
  <c r="P8" i="32"/>
  <c r="E101" i="32"/>
  <c r="D98" i="32"/>
  <c r="M101" i="32"/>
  <c r="P33" i="32"/>
  <c r="P39" i="32"/>
  <c r="E98" i="32"/>
  <c r="N98" i="32"/>
  <c r="P17" i="32"/>
  <c r="M99" i="32"/>
  <c r="P27" i="32"/>
  <c r="P46" i="32"/>
  <c r="D92" i="32"/>
  <c r="M102" i="32"/>
  <c r="E99" i="32"/>
  <c r="D102" i="32"/>
  <c r="D6" i="24"/>
  <c r="P92" i="32" l="1"/>
  <c r="O93" i="32"/>
  <c r="N93" i="32"/>
  <c r="G37" i="12"/>
  <c r="C22" i="12"/>
  <c r="G23" i="12"/>
  <c r="G22" i="12"/>
  <c r="G21" i="12"/>
  <c r="G20" i="12"/>
  <c r="G19" i="12"/>
  <c r="G18" i="12"/>
  <c r="G17" i="12"/>
  <c r="H17" i="12" s="1"/>
  <c r="G16" i="12"/>
  <c r="G15" i="12"/>
  <c r="G13" i="12"/>
  <c r="C19" i="12"/>
  <c r="C16" i="12"/>
  <c r="H10" i="12" l="1"/>
  <c r="G10" i="12" l="1"/>
  <c r="G9" i="12"/>
  <c r="G8" i="12"/>
  <c r="C7" i="12"/>
  <c r="G7" i="12"/>
  <c r="F11" i="12"/>
  <c r="G11" i="12" s="1"/>
  <c r="C11" i="12"/>
  <c r="G4" i="12"/>
  <c r="G3" i="12"/>
  <c r="C50" i="12" l="1"/>
  <c r="E44" i="12"/>
  <c r="C41" i="12"/>
  <c r="C37" i="12"/>
  <c r="C33" i="12"/>
  <c r="C29" i="12"/>
  <c r="C26" i="12"/>
  <c r="C13" i="12"/>
  <c r="C3" i="12"/>
  <c r="C44" i="12" l="1"/>
  <c r="G44" i="12"/>
  <c r="S10" i="15" l="1"/>
  <c r="O10" i="15"/>
  <c r="P10" i="15" s="1"/>
  <c r="S9" i="15"/>
  <c r="P9" i="15"/>
  <c r="O9" i="15"/>
  <c r="N8" i="15"/>
  <c r="S8" i="15" s="1"/>
  <c r="AL7" i="15"/>
  <c r="N7" i="15"/>
  <c r="O7" i="15" s="1"/>
  <c r="N6" i="15"/>
  <c r="S6" i="15" s="1"/>
  <c r="AL5" i="15"/>
  <c r="P7" i="15" l="1"/>
  <c r="O6" i="15"/>
  <c r="S7" i="15"/>
  <c r="P6" i="15"/>
  <c r="Q6" i="15"/>
  <c r="R6" i="15" s="1"/>
  <c r="O8" i="15"/>
  <c r="P8"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M&amp;E</author>
    <author>Pudc Ndiemy FAYE</author>
  </authors>
  <commentList>
    <comment ref="Q75" authorId="0" shapeId="0" xr:uid="{5F338E65-636C-4DEF-964B-7928E021ECC6}">
      <text>
        <r>
          <rPr>
            <b/>
            <sz val="9"/>
            <color indexed="81"/>
            <rFont val="Tahoma"/>
            <family val="2"/>
          </rPr>
          <t>M&amp;E:</t>
        </r>
        <r>
          <rPr>
            <sz val="9"/>
            <color indexed="81"/>
            <rFont val="Tahoma"/>
            <family val="2"/>
          </rPr>
          <t xml:space="preserve">
</t>
        </r>
        <r>
          <rPr>
            <sz val="8"/>
            <color indexed="81"/>
            <rFont val="Tahoma"/>
            <family val="2"/>
          </rPr>
          <t>Un OS de suspension emis le 28/09/2021 et un OS de reprise 15/03/2022, pour 14 mois</t>
        </r>
      </text>
    </comment>
    <comment ref="I85" authorId="0" shapeId="0" xr:uid="{2D073550-A79B-4AE0-82CE-A55D495E8BD0}">
      <text>
        <r>
          <rPr>
            <b/>
            <sz val="9"/>
            <color indexed="81"/>
            <rFont val="Tahoma"/>
            <family val="2"/>
          </rPr>
          <t>M&amp;E:</t>
        </r>
        <r>
          <rPr>
            <sz val="9"/>
            <color indexed="81"/>
            <rFont val="Tahoma"/>
            <family val="2"/>
          </rPr>
          <t xml:space="preserve">
Actualiser le coût du contrat pour prendre en charge l'avenant.</t>
        </r>
      </text>
    </comment>
    <comment ref="I86" authorId="0" shapeId="0" xr:uid="{C748FC94-C442-4672-B29C-EF02A981A930}">
      <text>
        <r>
          <rPr>
            <b/>
            <sz val="9"/>
            <color indexed="81"/>
            <rFont val="Tahoma"/>
            <family val="2"/>
          </rPr>
          <t>M&amp;E:</t>
        </r>
        <r>
          <rPr>
            <sz val="9"/>
            <color indexed="81"/>
            <rFont val="Tahoma"/>
            <family val="2"/>
          </rPr>
          <t xml:space="preserve">
Actualiser le coût du contrat pour prendre en charge l'avenant.</t>
        </r>
      </text>
    </comment>
    <comment ref="I103" authorId="1" shapeId="0" xr:uid="{6B6D9499-4322-41B6-8541-24E08956C597}">
      <text>
        <r>
          <rPr>
            <b/>
            <sz val="9"/>
            <color indexed="81"/>
            <rFont val="Tahoma"/>
            <family val="2"/>
          </rPr>
          <t>Pudc Ndiemy FAYE:</t>
        </r>
        <r>
          <rPr>
            <sz val="9"/>
            <color indexed="81"/>
            <rFont val="Tahoma"/>
            <family val="2"/>
          </rPr>
          <t xml:space="preserve">
ERREUR SUR LE MONTANT HT DU CONTRAT
36545514
</t>
        </r>
      </text>
    </comment>
    <comment ref="K112" authorId="0" shapeId="0" xr:uid="{C20E2FC5-A7E6-4213-AF08-FE7AEF35F515}">
      <text>
        <r>
          <rPr>
            <b/>
            <sz val="9"/>
            <color indexed="81"/>
            <rFont val="Tahoma"/>
            <family val="2"/>
          </rPr>
          <t>M&amp;E:</t>
        </r>
        <r>
          <rPr>
            <sz val="9"/>
            <color indexed="81"/>
            <rFont val="Tahoma"/>
            <family val="2"/>
          </rPr>
          <t xml:space="preserve">
Revoir le coût (CDG et PPM)</t>
        </r>
      </text>
    </comment>
    <comment ref="F136" authorId="0" shapeId="0" xr:uid="{91806B00-8A9B-420A-A397-9F2092DC8ACE}">
      <text>
        <r>
          <rPr>
            <b/>
            <sz val="8"/>
            <color indexed="81"/>
            <rFont val="Tahoma"/>
            <family val="2"/>
          </rPr>
          <t>M&amp;E:</t>
        </r>
        <r>
          <rPr>
            <sz val="8"/>
            <color indexed="81"/>
            <rFont val="Tahoma"/>
            <family val="2"/>
          </rPr>
          <t xml:space="preserve">
</t>
        </r>
        <r>
          <rPr>
            <sz val="8"/>
            <color indexed="81"/>
            <rFont val="Arial Narrow"/>
            <family val="2"/>
          </rPr>
          <t>Construction de six (06) Châteaux d'eau (100-220m3) + Linéaire de réseau de 120 km, fourniture et pose d’équipements d'exhaure (Groupe électrogène et Pompe) pour six (06) forages Rotary (multi-villages) dans la région de Kaffrine. (LOT 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PUDC</author>
  </authors>
  <commentList>
    <comment ref="C31" authorId="0" shapeId="0" xr:uid="{CD37E2E8-D0EF-465E-A703-8CC900108BA1}">
      <text>
        <r>
          <rPr>
            <b/>
            <sz val="9"/>
            <color indexed="81"/>
            <rFont val="Tahoma"/>
            <family val="2"/>
          </rPr>
          <t>PUDC:</t>
        </r>
        <r>
          <rPr>
            <sz val="9"/>
            <color indexed="81"/>
            <rFont val="Tahoma"/>
            <family val="2"/>
          </rPr>
          <t xml:space="preserve">
Système (Forage+château d'eau+réseau d'adduction+borne fontaine+Potence ou prise charrette et abrevoir): 
</t>
        </r>
        <r>
          <rPr>
            <b/>
            <sz val="9"/>
            <color indexed="81"/>
            <rFont val="Tahoma"/>
            <family val="2"/>
          </rPr>
          <t>Pour BAD Suivre</t>
        </r>
        <r>
          <rPr>
            <sz val="9"/>
            <color indexed="81"/>
            <rFont val="Tahoma"/>
            <family val="2"/>
          </rPr>
          <t>: (iv) Réalisation de 80 abreuvoirs ; (vi) Réalisation de 40 prises de charrette ;  (ix) Réalisation de 600 bornes fontaines. (vii) Réalisation de 40 branchements scolaires ; (viii) Réalisation de 40 édicules scolaires</t>
        </r>
      </text>
    </comment>
    <comment ref="C50" authorId="0" shapeId="0" xr:uid="{B0AB3477-4123-4366-AA28-C66E30617E9B}">
      <text>
        <r>
          <rPr>
            <b/>
            <sz val="9"/>
            <color indexed="81"/>
            <rFont val="Tahoma"/>
            <family val="2"/>
          </rPr>
          <t>PUDC:</t>
        </r>
        <r>
          <rPr>
            <sz val="9"/>
            <color indexed="81"/>
            <rFont val="Tahoma"/>
            <family val="2"/>
          </rPr>
          <t xml:space="preserve">
Toilettes d'écoles raccordées au système hydrolique.</t>
        </r>
      </text>
    </comment>
    <comment ref="C54" authorId="0" shapeId="0" xr:uid="{67C26079-C24D-4B20-BFD3-68E825D16F3B}">
      <text>
        <r>
          <rPr>
            <b/>
            <sz val="8"/>
            <color indexed="81"/>
            <rFont val="Tahoma"/>
            <family val="2"/>
          </rPr>
          <t>PUDC:</t>
        </r>
        <r>
          <rPr>
            <sz val="8"/>
            <color indexed="81"/>
            <rFont val="Tahoma"/>
            <family val="2"/>
          </rPr>
          <t xml:space="preserve">
</t>
        </r>
        <r>
          <rPr>
            <b/>
            <sz val="8"/>
            <color indexed="81"/>
            <rFont val="Tahoma"/>
            <family val="2"/>
          </rPr>
          <t>Pour BID</t>
        </r>
        <r>
          <rPr>
            <sz val="8"/>
            <color indexed="81"/>
            <rFont val="Tahoma"/>
            <family val="2"/>
          </rPr>
          <t xml:space="preserve">: Dans le document de projet on 30 et le budget ne permet de faire 20.
</t>
        </r>
        <r>
          <rPr>
            <b/>
            <sz val="8"/>
            <color indexed="81"/>
            <rFont val="Tahoma"/>
            <family val="2"/>
          </rPr>
          <t>BAD</t>
        </r>
        <r>
          <rPr>
            <sz val="8"/>
            <color indexed="81"/>
            <rFont val="Tahoma"/>
            <family val="2"/>
          </rPr>
          <t xml:space="preserve">: (x) Réalisation et équipements de 20 postes de santé incluant le paquet minimum d’activité de santé/nutrition.
</t>
        </r>
        <r>
          <rPr>
            <b/>
            <sz val="8"/>
            <color indexed="81"/>
            <rFont val="Tahoma"/>
            <family val="2"/>
          </rPr>
          <t>BAD</t>
        </r>
        <r>
          <rPr>
            <sz val="8"/>
            <color indexed="81"/>
            <rFont val="Tahoma"/>
            <family val="2"/>
          </rPr>
          <t>: Suivi-promotion de la croissance-Eveil-Prise en charge de la maladie.</t>
        </r>
      </text>
    </comment>
    <comment ref="C68" authorId="0" shapeId="0" xr:uid="{88BC0D1C-1FC8-418D-A3CF-3EF2ED855210}">
      <text>
        <r>
          <rPr>
            <b/>
            <sz val="9"/>
            <color indexed="81"/>
            <rFont val="Tahoma"/>
            <family val="2"/>
          </rPr>
          <t>PUDC:</t>
        </r>
        <r>
          <rPr>
            <sz val="9"/>
            <color indexed="81"/>
            <rFont val="Tahoma"/>
            <family val="2"/>
          </rPr>
          <t xml:space="preserve">
Acquisition de 500 équipements de transformation pour les femmes et les jeunes (BAD)</t>
        </r>
      </text>
    </comment>
    <comment ref="C77" authorId="0" shapeId="0" xr:uid="{8BE7211F-247E-412C-9B35-75043F5512F3}">
      <text>
        <r>
          <rPr>
            <b/>
            <sz val="9"/>
            <color indexed="81"/>
            <rFont val="Tahoma"/>
            <family val="2"/>
          </rPr>
          <t>PUDC:</t>
        </r>
        <r>
          <rPr>
            <sz val="9"/>
            <color indexed="81"/>
            <rFont val="Tahoma"/>
            <family val="2"/>
          </rPr>
          <t xml:space="preserve">
BID: Zig: 84, Kolda: 100 et Sédhiou:71</t>
        </r>
      </text>
    </comment>
    <comment ref="C80" authorId="0" shapeId="0" xr:uid="{88B481F5-6CA4-49FB-B1D1-1F48AA5E59B0}">
      <text>
        <r>
          <rPr>
            <b/>
            <sz val="9"/>
            <color indexed="81"/>
            <rFont val="Tahoma"/>
            <family val="2"/>
          </rPr>
          <t>PUDC:</t>
        </r>
        <r>
          <rPr>
            <sz val="9"/>
            <color indexed="81"/>
            <rFont val="Tahoma"/>
            <family val="2"/>
          </rPr>
          <t xml:space="preserve">
Prendre en compte Formations pour les membres du comité de gestion des plateformes agricoles et des équipements de transformation</t>
        </r>
      </text>
    </comment>
    <comment ref="C84" authorId="0" shapeId="0" xr:uid="{B1432133-6BCC-43E0-A783-9EF7C924AAAE}">
      <text>
        <r>
          <rPr>
            <b/>
            <sz val="9"/>
            <color indexed="81"/>
            <rFont val="Tahoma"/>
            <family val="2"/>
          </rPr>
          <t>PUDC:</t>
        </r>
        <r>
          <rPr>
            <sz val="9"/>
            <color indexed="81"/>
            <rFont val="Tahoma"/>
            <family val="2"/>
          </rPr>
          <t xml:space="preserve">
</t>
        </r>
        <r>
          <rPr>
            <b/>
            <sz val="9"/>
            <color indexed="81"/>
            <rFont val="Tahoma"/>
            <family val="2"/>
          </rPr>
          <t>Pour BAD</t>
        </r>
        <r>
          <rPr>
            <sz val="9"/>
            <color indexed="81"/>
            <rFont val="Tahoma"/>
            <family val="2"/>
          </rPr>
          <t xml:space="preserve">: Suivre: (1) Réalisation d’une étude de faisabilité technique et économique pour la mise en place des plateformes agricoles. (2) Acquisition de lots d’équipements pour les 25 plateformes agricoles, (3) Formation pour les opérateurs des machines des plateformes agricoles. </t>
        </r>
      </text>
    </comment>
    <comment ref="C90" authorId="0" shapeId="0" xr:uid="{6D62BBA7-6263-4057-9685-4B5B813FB27B}">
      <text>
        <r>
          <rPr>
            <b/>
            <sz val="9"/>
            <color indexed="81"/>
            <rFont val="Tahoma"/>
            <family val="2"/>
          </rPr>
          <t>PUDC:</t>
        </r>
        <r>
          <rPr>
            <sz val="9"/>
            <color indexed="81"/>
            <rFont val="Tahoma"/>
            <family val="2"/>
          </rPr>
          <t xml:space="preserve">
(5 -10 hectares)/parcelles</t>
        </r>
      </text>
    </comment>
    <comment ref="C97" authorId="0" shapeId="0" xr:uid="{348DC420-16B9-4F35-B13B-D2314CEC246A}">
      <text>
        <r>
          <rPr>
            <b/>
            <sz val="9"/>
            <color indexed="81"/>
            <rFont val="Tahoma"/>
            <family val="2"/>
          </rPr>
          <t>PUDC:</t>
        </r>
        <r>
          <rPr>
            <sz val="9"/>
            <color indexed="81"/>
            <rFont val="Tahoma"/>
            <family val="2"/>
          </rPr>
          <t xml:space="preserve">
Suivre les activités d'appui à la mise en marché de la production des SAR (ciblage et actualisation)</t>
        </r>
      </text>
    </comment>
    <comment ref="C103" authorId="0" shapeId="0" xr:uid="{91345FB2-C777-4AC5-946E-633146F2CFD0}">
      <text>
        <r>
          <rPr>
            <b/>
            <sz val="9"/>
            <color indexed="81"/>
            <rFont val="Tahoma"/>
            <family val="2"/>
          </rPr>
          <t>PUDC:</t>
        </r>
        <r>
          <rPr>
            <sz val="9"/>
            <color indexed="81"/>
            <rFont val="Tahoma"/>
            <family val="2"/>
          </rPr>
          <t xml:space="preserve">
Revoir la Cible à la revue.</t>
        </r>
      </text>
    </comment>
    <comment ref="C106" authorId="0" shapeId="0" xr:uid="{B60DC485-B5F3-4963-B637-64240F20AE75}">
      <text>
        <r>
          <rPr>
            <b/>
            <sz val="9"/>
            <color indexed="81"/>
            <rFont val="Tahoma"/>
            <family val="2"/>
          </rPr>
          <t>PUDC:</t>
        </r>
        <r>
          <rPr>
            <sz val="9"/>
            <color indexed="81"/>
            <rFont val="Tahoma"/>
            <family val="2"/>
          </rPr>
          <t xml:space="preserve">
** Avec le paquet d'équipement complet
** Suivre la formation des gestionnaires des mini laiteries.</t>
        </r>
      </text>
    </comment>
    <comment ref="C112" authorId="0" shapeId="0" xr:uid="{5C84EEB9-B67A-4FAA-B207-FED80F45C15A}">
      <text>
        <r>
          <rPr>
            <b/>
            <sz val="8"/>
            <color indexed="81"/>
            <rFont val="Tahoma"/>
            <family val="2"/>
          </rPr>
          <t>PUDC:</t>
        </r>
        <r>
          <rPr>
            <sz val="8"/>
            <color indexed="81"/>
            <rFont val="Tahoma"/>
            <family val="2"/>
          </rPr>
          <t xml:space="preserve">
Prise en charge dans la partie unités laitières (Unités laitières sont accompagnées de package complet d'équipements)</t>
        </r>
      </text>
    </comment>
    <comment ref="B117" authorId="0" shapeId="0" xr:uid="{0765C572-0673-476D-A967-369222DA8DE1}">
      <text>
        <r>
          <rPr>
            <b/>
            <sz val="8"/>
            <color indexed="81"/>
            <rFont val="Tahoma"/>
            <family val="2"/>
          </rPr>
          <t>PUDC:</t>
        </r>
        <r>
          <rPr>
            <sz val="8"/>
            <color indexed="81"/>
            <rFont val="Tahoma"/>
            <family val="2"/>
          </rPr>
          <t xml:space="preserve">
</t>
        </r>
        <r>
          <rPr>
            <b/>
            <sz val="8"/>
            <color indexed="81"/>
            <rFont val="Tahoma"/>
            <family val="2"/>
          </rPr>
          <t>(1) Volet mise en œuvre du PCGES</t>
        </r>
        <r>
          <rPr>
            <sz val="8"/>
            <color indexed="81"/>
            <rFont val="Tahoma"/>
            <family val="2"/>
          </rPr>
          <t xml:space="preserve"> 
</t>
        </r>
        <r>
          <rPr>
            <b/>
            <sz val="8"/>
            <color indexed="81"/>
            <rFont val="Tahoma"/>
            <family val="2"/>
          </rPr>
          <t>(2) Volet promotion d’une économie verte</t>
        </r>
        <r>
          <rPr>
            <sz val="8"/>
            <color indexed="81"/>
            <rFont val="Tahoma"/>
            <family val="2"/>
          </rPr>
          <t>: Implantation de Bidigesteurs, Reboisement massif 300 hectares, Atténuation des impacts négatifs (construction pistes) (sur total pistes),  Atténuation des impacts négatifs (forages, santé, energie) 2%</t>
        </r>
      </text>
    </comment>
    <comment ref="C137" authorId="0" shapeId="0" xr:uid="{4A4C8E74-C487-4ED0-9185-E61C836D80C0}">
      <text>
        <r>
          <rPr>
            <b/>
            <sz val="8"/>
            <color indexed="81"/>
            <rFont val="Tahoma"/>
            <family val="2"/>
          </rPr>
          <t>PUDC:</t>
        </r>
        <r>
          <rPr>
            <sz val="8"/>
            <color indexed="81"/>
            <rFont val="Tahoma"/>
            <family val="2"/>
          </rPr>
          <t xml:space="preserve">
Suivre l'accompagnement des porteurs de projets pour l'obtention du financement</t>
        </r>
      </text>
    </comment>
    <comment ref="C153" authorId="0" shapeId="0" xr:uid="{CCBBDBAA-17B0-4505-8F69-D471CC307E28}">
      <text>
        <r>
          <rPr>
            <b/>
            <sz val="8"/>
            <color indexed="81"/>
            <rFont val="Tahoma"/>
            <family val="2"/>
          </rPr>
          <t xml:space="preserve">PUDC: Autres activités de la BAD à suivre:
IEC sur le projet, Sensibilisation, Changement de Comportement:
</t>
        </r>
        <r>
          <rPr>
            <sz val="8"/>
            <color indexed="81"/>
            <rFont val="Tahoma"/>
            <family val="2"/>
          </rPr>
          <t xml:space="preserve">(i) Appui à la formation pour 100 agents des services déconcentrés ; (ii) Renforcement des Capacités de 50 Collectivités territoriales ; </t>
        </r>
        <r>
          <rPr>
            <b/>
            <i/>
            <sz val="8"/>
            <color indexed="81"/>
            <rFont val="Tahoma"/>
            <family val="2"/>
          </rPr>
          <t>(iii) Formations des Formatrices pour 250 Groupements féminins</t>
        </r>
        <r>
          <rPr>
            <sz val="8"/>
            <color indexed="81"/>
            <rFont val="Tahoma"/>
            <family val="2"/>
          </rPr>
          <t xml:space="preserve"> ; (iv) Etude du coût de la faim ; (v) Formation de 150 ASC dans la zone du projet ; (vi) Suivi-promotion de la croissance-Eveil-Prise en charge de la maladie ; (vii) Appuis Institutionnels pour les services sectoriels ; (viii)Appui aux cantines scolaires dans 2 régions ; </t>
        </r>
        <r>
          <rPr>
            <b/>
            <sz val="8"/>
            <color indexed="81"/>
            <rFont val="Tahoma"/>
            <family val="2"/>
          </rPr>
          <t>**</t>
        </r>
        <r>
          <rPr>
            <sz val="8"/>
            <color indexed="81"/>
            <rFont val="Tahoma"/>
            <family val="2"/>
          </rPr>
          <t xml:space="preserve"> (ix) Appui à la mise à jour du RNU (Enquête)</t>
        </r>
        <r>
          <rPr>
            <b/>
            <sz val="8"/>
            <color indexed="81"/>
            <rFont val="Tahoma"/>
            <family val="2"/>
          </rPr>
          <t>**</t>
        </r>
        <r>
          <rPr>
            <sz val="8"/>
            <color indexed="81"/>
            <rFont val="Tahoma"/>
            <family val="2"/>
          </rPr>
          <t xml:space="preserve">; </t>
        </r>
        <r>
          <rPr>
            <b/>
            <sz val="8"/>
            <color indexed="81"/>
            <rFont val="Tahoma"/>
            <family val="2"/>
          </rPr>
          <t>**</t>
        </r>
        <r>
          <rPr>
            <sz val="8"/>
            <color indexed="81"/>
            <rFont val="Tahoma"/>
            <family val="2"/>
          </rPr>
          <t>(x) Etudes d' impact sur la pauvreté et la protection sociale</t>
        </r>
        <r>
          <rPr>
            <b/>
            <sz val="8"/>
            <color indexed="81"/>
            <rFont val="Tahoma"/>
            <family val="2"/>
          </rPr>
          <t>**</t>
        </r>
        <r>
          <rPr>
            <sz val="8"/>
            <color indexed="81"/>
            <rFont val="Tahoma"/>
            <family val="2"/>
          </rPr>
          <t xml:space="preserve"> ; (xi) Renforcement des capacités des mutuelles de santé ; (xii)Appuis Institutionnels à ANRAC.
</t>
        </r>
        <r>
          <rPr>
            <b/>
            <sz val="8"/>
            <color indexed="81"/>
            <rFont val="Tahoma"/>
            <family val="2"/>
          </rPr>
          <t xml:space="preserve">Gestion du Projet: 
</t>
        </r>
        <r>
          <rPr>
            <sz val="8"/>
            <color indexed="81"/>
            <rFont val="Tahoma"/>
            <family val="2"/>
          </rPr>
          <t xml:space="preserve">(vi) Appuis aux services déconcentrés pour le suivi et la supervision du projet ; ix) Assistance à la mise en oeuvre du PGES ; et (x) Rapports d'audit du projet.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PUDC Mme DIOPAminata</author>
  </authors>
  <commentList>
    <comment ref="F66" authorId="0" shapeId="0" xr:uid="{9A6394DD-1C84-4435-AA2C-2FF873B5149A}">
      <text>
        <r>
          <rPr>
            <b/>
            <sz val="9"/>
            <color indexed="81"/>
            <rFont val="Tahoma"/>
            <family val="2"/>
          </rPr>
          <t>PUDC Mme DIOPAminata:</t>
        </r>
        <r>
          <rPr>
            <sz val="9"/>
            <color indexed="81"/>
            <rFont val="Tahoma"/>
            <family val="2"/>
          </rPr>
          <t xml:space="preserve">
Frais de mission EXCELLEC 2000 village</t>
        </r>
      </text>
    </comment>
    <comment ref="F70" authorId="0" shapeId="0" xr:uid="{64B3558B-E284-4C44-9648-865802F15177}">
      <text>
        <r>
          <rPr>
            <b/>
            <sz val="9"/>
            <color indexed="81"/>
            <rFont val="Tahoma"/>
            <family val="2"/>
          </rPr>
          <t>PUDC Mme DIOPAminata:</t>
        </r>
        <r>
          <rPr>
            <sz val="9"/>
            <color indexed="81"/>
            <rFont val="Tahoma"/>
            <family val="2"/>
          </rPr>
          <t xml:space="preserve">
SATRACONS</t>
        </r>
      </text>
    </comment>
  </commentList>
</comments>
</file>

<file path=xl/sharedStrings.xml><?xml version="1.0" encoding="utf-8"?>
<sst xmlns="http://schemas.openxmlformats.org/spreadsheetml/2006/main" count="7199" uniqueCount="2761">
  <si>
    <t>VOLET</t>
  </si>
  <si>
    <t>PROJET</t>
  </si>
  <si>
    <t>BUDGET Global (FCFA)</t>
  </si>
  <si>
    <t>Observations</t>
  </si>
  <si>
    <t>Composante 1 : Développement des Infrastructures de base</t>
  </si>
  <si>
    <t>PISTES RURALES</t>
  </si>
  <si>
    <t>BCI</t>
  </si>
  <si>
    <t>BID</t>
  </si>
  <si>
    <t>BAD</t>
  </si>
  <si>
    <t>FSD</t>
  </si>
  <si>
    <t>ENERGIE</t>
  </si>
  <si>
    <t>2000 Villages</t>
  </si>
  <si>
    <t>HYDRAULIQUE</t>
  </si>
  <si>
    <t>SANTE</t>
  </si>
  <si>
    <t>EDUCATION</t>
  </si>
  <si>
    <t>Composante 2 : Développement des Infrastructures de base</t>
  </si>
  <si>
    <t>EQUIPEMENTS</t>
  </si>
  <si>
    <t>Châine de valeur agricole</t>
  </si>
  <si>
    <t>Châine de valeur lait</t>
  </si>
  <si>
    <t>Plateformes de transformation agroalimentaire</t>
  </si>
  <si>
    <t>Entreprenariat</t>
  </si>
  <si>
    <t>Composante 3: Environnement, Ingénierie sociale, Communication et genre</t>
  </si>
  <si>
    <t>Unités de Biodigesteurs</t>
  </si>
  <si>
    <t xml:space="preserve">Mise en œuvre du PCGES </t>
  </si>
  <si>
    <t xml:space="preserve"> Ingénierie sociale et gestion des connaissances</t>
  </si>
  <si>
    <t>Genre et Inclusion sociale</t>
  </si>
  <si>
    <t xml:space="preserve">Communication </t>
  </si>
  <si>
    <t>Renforcement de capacités des acteurs</t>
  </si>
  <si>
    <r>
      <rPr>
        <b/>
        <sz val="11"/>
        <color indexed="8"/>
        <rFont val="Arial Narrow"/>
        <family val="2"/>
      </rPr>
      <t>Composante 4</t>
    </r>
    <r>
      <rPr>
        <sz val="11"/>
        <color indexed="8"/>
        <rFont val="Arial Narrow"/>
        <family val="2"/>
      </rPr>
      <t>: Appui à la Gestion et à la Coordination</t>
    </r>
  </si>
  <si>
    <t>Salaire UGP</t>
  </si>
  <si>
    <t>Loyers et Gardiennage</t>
  </si>
  <si>
    <t>Consommables informatiques et bureautique</t>
  </si>
  <si>
    <t>Réparations, Entretien Véhicules, Carburant</t>
  </si>
  <si>
    <t xml:space="preserve">Appui aux services déconcentrés pour le suivi et la supervision du projet </t>
  </si>
  <si>
    <t xml:space="preserve">Suivi-évaluation </t>
  </si>
  <si>
    <t>Frais de mission /hôtel &amp; frais de restauration et Divers</t>
  </si>
  <si>
    <t>Assistance technique du PNUD</t>
  </si>
  <si>
    <t xml:space="preserve">Fonctionnement &amp; Opérations </t>
  </si>
  <si>
    <t xml:space="preserve">Lancement du projet, Communication, Publicité, Enquête </t>
  </si>
  <si>
    <t>Fonctionnement des Unités hors siège (CRD, Points focaux régionaux)</t>
  </si>
  <si>
    <t>Conception et supervision</t>
  </si>
  <si>
    <t>Audit comptable</t>
  </si>
  <si>
    <t>Total</t>
  </si>
  <si>
    <t>Acquisition de véhicules</t>
  </si>
  <si>
    <t>Sig</t>
  </si>
  <si>
    <t>Gestion du FSD</t>
  </si>
  <si>
    <t>Acquisition matériel informatique et bureautique</t>
  </si>
  <si>
    <t>Le projet de convention de partenariat a été finalisé et soumis à la BAD pour ANO</t>
  </si>
  <si>
    <t>Projets</t>
  </si>
  <si>
    <t>Source financement</t>
  </si>
  <si>
    <t>Montant décaissé</t>
  </si>
  <si>
    <t>ETAT</t>
  </si>
  <si>
    <t>BENEFICIAIRES</t>
  </si>
  <si>
    <t>PA-PUDC / BAD</t>
  </si>
  <si>
    <t>PSP-PUDC / FSD</t>
  </si>
  <si>
    <t>E. 2000 Villages</t>
  </si>
  <si>
    <t>-</t>
  </si>
  <si>
    <t>TOTAL PA-PUDC /BID</t>
  </si>
  <si>
    <t>TOTAL PA-PUDC /BAD</t>
  </si>
  <si>
    <t>Projet</t>
  </si>
  <si>
    <t>Volet</t>
  </si>
  <si>
    <t>Performance Technique</t>
  </si>
  <si>
    <t>Réalisation (Trim1)</t>
  </si>
  <si>
    <t>Pistes rurales</t>
  </si>
  <si>
    <t>Non démarré</t>
  </si>
  <si>
    <t>Electrification rurale</t>
  </si>
  <si>
    <t>Hydraulique</t>
  </si>
  <si>
    <t>Equipements post-récolte</t>
  </si>
  <si>
    <t>PUDC-Phase 2/ BID</t>
  </si>
  <si>
    <t>Santé</t>
  </si>
  <si>
    <t>Education</t>
  </si>
  <si>
    <t>Equipement post-récolte</t>
  </si>
  <si>
    <t>Chaîne de valeur agricole</t>
  </si>
  <si>
    <t>Chaîne de valeur laitière</t>
  </si>
  <si>
    <t>08 unités laitières équipées sont installées.</t>
  </si>
  <si>
    <t>4 projets productifs à gains rapides pour booster la création d'emplois dans les territoires sont accompagnés.</t>
  </si>
  <si>
    <t>PA-PUDC /BAD </t>
  </si>
  <si>
    <t>Poursuite des travaux en cours pour finaliser 33 Km dans la région de Louga</t>
  </si>
  <si>
    <t>Poursuite des travaux en cours sur 41,5 Km dans la région de Fatick</t>
  </si>
  <si>
    <t>Poursuite des travaux en cours sur 44,5 Km dans la région de Diourbel</t>
  </si>
  <si>
    <t>Les travaux d’électrification de 26 centrales solaires ont démarré dont 05 sont réceptionnés.</t>
  </si>
  <si>
    <t>09 forages au rotary sont finalisés et réceptionnés.</t>
  </si>
  <si>
    <t>Les travaux de construction de 20 postes de santé ont démarré.</t>
  </si>
  <si>
    <t>L'acquisition des équipements de 20 postes de santé est finalisée</t>
  </si>
  <si>
    <t>448 équipements post-récolte sont réceptionnés</t>
  </si>
  <si>
    <t>Les comités de gestion des équipements sont mis en place et les membres formés</t>
  </si>
  <si>
    <t>Les travaux d’aménagement de réseaux d'irrigation de 08 périmètres agricoles communautaires sont réceptionnés.</t>
  </si>
  <si>
    <r>
      <t xml:space="preserve">Réalisation de forages équipés de pompes solaires sur 23 périmètres </t>
    </r>
    <r>
      <rPr>
        <i/>
        <sz val="9"/>
        <rFont val="Arial Narrow"/>
        <family val="2"/>
      </rPr>
      <t>agricoles communautaires</t>
    </r>
  </si>
  <si>
    <t>Plateforme de Transformation Agroalimentaire</t>
  </si>
  <si>
    <t>L’étude de faisabilité de 10 plateformes agroalimentaire est finalisée.</t>
  </si>
  <si>
    <t xml:space="preserve">Etudes de faisabilité finalisée pour la réalisation de 10 plateformes. </t>
  </si>
  <si>
    <t>Le DAO génie civil pour la réalisation de préfabrication est en cours d’élaboration avec les prescriptions techniques déjà définies.  Le DAO équipements est en cours d’élaboration avec l'appui de l'ITA. Les plans d'affaire sont quant à eux en cours de finalisation avec la mobilisation du cabinet MSA</t>
  </si>
  <si>
    <t>Le financement des projets porteurs de haute valeur ajoutée dans les territoires a démarré.</t>
  </si>
  <si>
    <t>PSP-PUDC /FSD </t>
  </si>
  <si>
    <t>La procédure de passation de marché a été reprise. Le DAO est en cours de finalisation.</t>
  </si>
  <si>
    <t>Il a été décidé que les travaux soient réalisés sous financement BCI. La procédure de passation de marché est bouclée et la contractualisation est en cours.</t>
  </si>
  <si>
    <t>Acquisition d’équipements de 20 postes de santé.</t>
  </si>
  <si>
    <t>Concernant l’équipement des postes de santé, les procès-verbaux d'évaluation des offres sont transmis au FSD pour ANO.</t>
  </si>
  <si>
    <t>Projet « Electrification de 2000 villages ».</t>
  </si>
  <si>
    <t>Unités de bio digesteurs</t>
  </si>
  <si>
    <t>Electrification de villages</t>
  </si>
  <si>
    <t>Dorsale Electrique</t>
  </si>
  <si>
    <t>Unité de bio digesteur</t>
  </si>
  <si>
    <t>Exécution Physique</t>
  </si>
  <si>
    <t>PROJETS</t>
  </si>
  <si>
    <t>PA-PUDC/BID</t>
  </si>
  <si>
    <t>PA-PUDC/BAD</t>
  </si>
  <si>
    <t>PSP-PUDC/ FSD</t>
  </si>
  <si>
    <t>N/D</t>
  </si>
  <si>
    <t>EXECUTION BUDGETAIRE</t>
  </si>
  <si>
    <t>N/A</t>
  </si>
  <si>
    <t>PSP-PUDC/FSD</t>
  </si>
  <si>
    <t>PUDC-BCI</t>
  </si>
  <si>
    <t>Projet « Elec.  2000 villages ».</t>
  </si>
  <si>
    <t>PPM</t>
  </si>
  <si>
    <t>Indicateur de produit</t>
  </si>
  <si>
    <t>Cible</t>
  </si>
  <si>
    <t>Activités</t>
  </si>
  <si>
    <t>Coût Total Activité</t>
  </si>
  <si>
    <t>Source de Financement</t>
  </si>
  <si>
    <t>Sous Activités</t>
  </si>
  <si>
    <t>Chronogramme</t>
  </si>
  <si>
    <t>T1</t>
  </si>
  <si>
    <t>T2</t>
  </si>
  <si>
    <t>T3</t>
  </si>
  <si>
    <t>T4</t>
  </si>
  <si>
    <t>J</t>
  </si>
  <si>
    <t>F</t>
  </si>
  <si>
    <t>M</t>
  </si>
  <si>
    <t>A</t>
  </si>
  <si>
    <t>S</t>
  </si>
  <si>
    <t>O</t>
  </si>
  <si>
    <t>N</t>
  </si>
  <si>
    <t>D</t>
  </si>
  <si>
    <t>COMPOSANTE 1 : DÉVELOPPEMENT DES INFRASTRUCTURES DE BASE</t>
  </si>
  <si>
    <t>VOLET PISTES RURALES</t>
  </si>
  <si>
    <t>P.1.1.1. Lineaire de pistes construits et ouverts à la circulation (254,85 km)</t>
  </si>
  <si>
    <t>A.1.1.1.1. Démarrage des travaux de réalisation de 10 km de pistes</t>
  </si>
  <si>
    <t>Installation de chantier</t>
  </si>
  <si>
    <t>X</t>
  </si>
  <si>
    <t>Travaux préparatoires</t>
  </si>
  <si>
    <t xml:space="preserve"> Terrassement généraux</t>
  </si>
  <si>
    <t xml:space="preserve"> Chaussée</t>
  </si>
  <si>
    <t>Assainissement Ouvrage Protection</t>
  </si>
  <si>
    <t>Sécurité et signalisation</t>
  </si>
  <si>
    <t xml:space="preserve">Environnement </t>
  </si>
  <si>
    <t>Réception provisoire</t>
  </si>
  <si>
    <t>A.1.1.1.2. Réaliser 69 km de piste rurales</t>
  </si>
  <si>
    <t>Terrassements généraux et appro de la couche de roulement</t>
  </si>
  <si>
    <t>x</t>
  </si>
  <si>
    <t>Traitement de la couche de roulement</t>
  </si>
  <si>
    <t>Travaux de protection des talus (Perrés maçonnés).</t>
  </si>
  <si>
    <t xml:space="preserve">Construction de ralentisseurs (Dos d'âne). </t>
  </si>
  <si>
    <t>Fourniture et pose des panneaux de signalisation verticale.</t>
  </si>
  <si>
    <t>Notification de démarrage</t>
  </si>
  <si>
    <t xml:space="preserve">Supervision et contrôle des travaux de pistes </t>
  </si>
  <si>
    <t>A.1.1.2.1. Réaliser le TR01 : Maka Bélél – Paffa (27 km)</t>
  </si>
  <si>
    <t xml:space="preserve">  Procédures administratives, Mobilisation et installation</t>
  </si>
  <si>
    <t>A.1.1.2.2. Réaliser le TR02 :Ndioum guenth-Bele- Keur IBA (18 km)</t>
  </si>
  <si>
    <t>A.1.1.2.3. Réaliser le TR03 : Ndioum Guenth- Kour Ndoumbé (9km)</t>
  </si>
  <si>
    <t>Travaux preparatoires</t>
  </si>
  <si>
    <t>A.1.1.2.4. Réaliser le TR04 : Ségré Gatta - Ndimbéré:(7km)</t>
  </si>
  <si>
    <t>A.1.1.2.5.Réaliser le TR05 Missirah Wadène -Port Ndramé-Arafat- Maka Yopp &amp; une bretelle de Arafat - Ainoumani ndramé (23.2km)</t>
  </si>
  <si>
    <t>A.1.1.2.6. Réaliser le TR06 : Méréto -Sillamé-Pétèle Body:(27km)</t>
  </si>
  <si>
    <t>A.1.1.2.7. Réaliser le TR08 : RN2 - Namandiry(6.8km)</t>
  </si>
  <si>
    <t>A.1.1.2.8.TR07 : Syll - Missira - Boustane - Koukouyel -Darou Salam 1 (19.5km)</t>
  </si>
  <si>
    <t xml:space="preserve">   A.1.1.2 .9 .TR01 : Ndiaye Bopp - Kémaye - Thiaye &amp; Bretelle de Ngokh (8,3 km) ;</t>
  </si>
  <si>
    <t>A.1.1.2.10.TR02 : cf Rte (Thiès -Mont Roland) - Pallo Youga - Pallo Dial (4,5 km)</t>
  </si>
  <si>
    <t>A.1.1.2.11. TR04 : Toucar-Ndock-Ngoning-Bari-Ngangarlam (10 km)</t>
  </si>
  <si>
    <t xml:space="preserve">A.1.1.2.12.TR05 : Rondpoint Touba -Touba Fall -Kawsara - Gueeb Fall (19 km) </t>
  </si>
  <si>
    <t xml:space="preserve">A.1.1.2.13.TR06 : Ndankh Sene – Mbappe (12 km) </t>
  </si>
  <si>
    <t xml:space="preserve">    A.1.1.2.14.TR07 : Labgar - Yaré Lao : 37 km </t>
  </si>
  <si>
    <t>A.1.1.2.15.TR03 : Route des Niayes - Keur Pathé Ndiaye -keur Dialal (4 km)</t>
  </si>
  <si>
    <t>A.1.1.2.16.TR08 : PK 00 –Pont téglé – Projet Fourarate – Canal CK2 – Kheune (23,5 km) ;</t>
  </si>
  <si>
    <t>A.1.1.3.1. Réaliser le tronçon « Sénoba - Ndiamacouta - Boudouck – Diallocounda » dans la région de Sédhiou : 38 km</t>
  </si>
  <si>
    <t>Finaliser les Travaux de protection des talus (Perrés maçonnés)</t>
  </si>
  <si>
    <t xml:space="preserve">Finaliser les Construction de ralentisseurs (Dos d'âne) </t>
  </si>
  <si>
    <t>Finaliser les travaux de Fourniture et pose des panneaux de signalisation verticale</t>
  </si>
  <si>
    <t>Fourniture et Pose de barrières de pluie y compris guérite</t>
  </si>
  <si>
    <t>A.1.1.3.2. TR 02 : Réaliser le tronçon « Sassita - Saré Seydi Sall - Saré Aliou - Médina Hancounda - Saré Samba Cissé » dans la région de Sédhiou :16 km.</t>
  </si>
  <si>
    <t>Finaliser le traitement de la couche de roulement sur 4,1 km</t>
  </si>
  <si>
    <t>Travaux de protection des talus (Perrés maçonnés)</t>
  </si>
  <si>
    <t xml:space="preserve">Construction de ralentisseurs (Dos d'âne) </t>
  </si>
  <si>
    <t>Fourniture et pose des panneaux de signalisation verticale</t>
  </si>
  <si>
    <t>Réception provisoire (technique &amp; Environnementale)</t>
  </si>
  <si>
    <t>A.1.1.3.3. TR 03 : Réaliser le tronçon « Bourouco - Sare Samba Cisse-Hamdallaye-Medina Passy – Tankonfara » dans la région de Kolda : 56,35 km</t>
  </si>
  <si>
    <t>Mise en œuvre (traitement) de la couche de roulement sur 53 km.</t>
  </si>
  <si>
    <t>Construction de 21 d’ouvrages hydrauliques (dont 08 Radiers et 13 Dalots).</t>
  </si>
  <si>
    <t>A.1.1.3.4. TR 04 : Réaliser le tronçon « Keur Mbir - Ngadiaga - Beureup Ba - Mer + une bretelle » dans la région de Thiès : (10 km)</t>
  </si>
  <si>
    <t>Finaliser le traitement de la couche de roulement sur 10 km.</t>
  </si>
  <si>
    <t>A.1.1.3.5. TR 02 :  Réalisation du tronçon « Notto - Keur Mallal - Keur Omar » dans la région de Thiès : (7 km)</t>
  </si>
  <si>
    <t>Finaliser le traitement de la couche de roulement sur 0,8 km.</t>
  </si>
  <si>
    <t>Fourniture et pose de pavés de 8 cm sur la traversée de Notto.</t>
  </si>
  <si>
    <t>A.1.1.3.6. TR 03 : Réalisation du tronçon « Mboro - Touba Tawfekh - Touba Ndiaye - Darou Salam Diouf + une bretelle » dans la région de Thiès » : (12,5 km) </t>
  </si>
  <si>
    <t>Finaliser le traitement de la couche de roulement sur 12,5 km.</t>
  </si>
  <si>
    <t>A.1.1.3.7. TR 04 : Réalisation du tronçon « Mérina Dakar – Ngadiaga-Tabbi-Thiékère » dans la région de Thiès : (7,700 km).</t>
  </si>
  <si>
    <t>Finaliser les Approvisionnements et la mise en œuvre (traitement) de la couche de roulement sur 5,7 km.</t>
  </si>
  <si>
    <t xml:space="preserve">A.1.1.3.8. TR 01 : Réaliser le tronçon Ndande - kab Gaye dans la région de Louga : (12,5 km) </t>
  </si>
  <si>
    <t>Finaliser les Approvisionnements et la mise en œuvre (traitement) de la couche de roulement sur 10 km.</t>
  </si>
  <si>
    <t>Fourniture et pose de pavés de 8 cm sur la traversée de Kab Gaye.</t>
  </si>
  <si>
    <t>A.1.1.3.9. Piste 03 : Réaliser le tronçon « RN2 - Kel Gueye » dans la région de Louga : (2 km).</t>
  </si>
  <si>
    <t>Travaux préparatoires : (Nettoyage du terrain, Décapage terres végétales, Purge)</t>
  </si>
  <si>
    <t>Terrassements généraux (Déblais et remblais)</t>
  </si>
  <si>
    <t>Approvisionnement et mise en œuvre (traitement) de la couche de roulement sur 2 km.</t>
  </si>
  <si>
    <t>Construction des ouvrages hydrauliques</t>
  </si>
  <si>
    <t>A.1.1.3.10. Piste 04 : Réaliser le tronçon « Depal Mbaye-Pété Warack » dans la région de Louga : (6,5km).</t>
  </si>
  <si>
    <t>Finaliser les Terrassements généraux (Déblais et remblais)</t>
  </si>
  <si>
    <t>Finaliser les Approvisionnements des couches de roulement sur 2 km et Mise en œuvre (traitement) de la couche de roulement sur 6,5 km.</t>
  </si>
  <si>
    <t>A.1.1.3.11. Piste 05 : Réalisation du tronçon « Doundodji, Ndiané, Yang Yang, Mbeuleukhé » dans la région de Louga : 28 km</t>
  </si>
  <si>
    <t>A.1.1.3.12. Missions de Supervision</t>
  </si>
  <si>
    <t>Réaliser les missions de supervision</t>
  </si>
  <si>
    <t>TOTAL VOLET PISTES RURALES</t>
  </si>
  <si>
    <t>VOLET ELECTRIFICATION</t>
  </si>
  <si>
    <t>P.1.2.1. Nombre de villages électrifiés</t>
  </si>
  <si>
    <t>A.1.2.1.1. Lot 2 : électrification de 5 villages</t>
  </si>
  <si>
    <t>239 994 062</t>
  </si>
  <si>
    <t xml:space="preserve">Travaux d'électrification de 5 villages </t>
  </si>
  <si>
    <t>Finalisation et réception de 5 villages</t>
  </si>
  <si>
    <t>A.1.2.1.2. Lot 3 : électrification de 4 villages</t>
  </si>
  <si>
    <t>133 924 789</t>
  </si>
  <si>
    <t xml:space="preserve">Travaux d'électrification de 4 villages </t>
  </si>
  <si>
    <t>Finalisation et réception de 4 villages</t>
  </si>
  <si>
    <t>A.1.2.1.3. Electrification de 3 villages</t>
  </si>
  <si>
    <t>535 714 286</t>
  </si>
  <si>
    <t xml:space="preserve"> Travaux d'électrification de 3 villages </t>
  </si>
  <si>
    <t>Finalisation et réception de 3 villages</t>
  </si>
  <si>
    <t>A.1.2.2.1. Réalisation de 10 centrales solaires</t>
  </si>
  <si>
    <t>Signer le marché et notifier le démarrage</t>
  </si>
  <si>
    <t>Etudes et conception &amp; Approbation</t>
  </si>
  <si>
    <t>Commande du matériel</t>
  </si>
  <si>
    <t>Génie civil : terrassement, fouille, massif, plateforme, mur de clôture</t>
  </si>
  <si>
    <t>Pose des Shelter</t>
  </si>
  <si>
    <t>Pose du champ photovoltaïque</t>
  </si>
  <si>
    <t>Electricité : câbles, groupes électrogène, onduleurs</t>
  </si>
  <si>
    <t>Test et réception</t>
  </si>
  <si>
    <t>Mise en service</t>
  </si>
  <si>
    <t>A.1.2.2.2. Supervision des travaux de réalisation de 10 centrales solaires</t>
  </si>
  <si>
    <t>Supervision et contrôle des travaux solaires</t>
  </si>
  <si>
    <t>A.1.2.3.1. Démarrage des travaux pour Vingt-Quatre (24) centrales solaires et finalisation</t>
  </si>
  <si>
    <t>Démarrage des travaux et suivi des chantiers</t>
  </si>
  <si>
    <t>Etudes et conception et approbation par la mission de contrôle et PUDC</t>
  </si>
  <si>
    <t>Commande de matériels</t>
  </si>
  <si>
    <t>Travaux génie Civil (terrassement, fouille, massif, plateforme, mur de clôture)</t>
  </si>
  <si>
    <t xml:space="preserve">Pose des Shelter </t>
  </si>
  <si>
    <t>Pose de champs photovoltaïque</t>
  </si>
  <si>
    <t>Electricité (pose câbles, onduleurs, groupes, batteries)</t>
  </si>
  <si>
    <t>Test et réception provisoire</t>
  </si>
  <si>
    <t>Mise en service de 05 centrales solaires</t>
  </si>
  <si>
    <t>A.1.2.3.2. SUPERVISION DES TRAVAUX</t>
  </si>
  <si>
    <t>Prise en charge de la supervision des travaux d'électrification</t>
  </si>
  <si>
    <t>A.1.2.4.1. Installer 19 centrales solaires</t>
  </si>
  <si>
    <t xml:space="preserve">Commande de matériels </t>
  </si>
  <si>
    <t>Travaux génie civil (Terrassement, fouille, massif, plateforme, mur de clôture)</t>
  </si>
  <si>
    <t>Pose Shelter</t>
  </si>
  <si>
    <t>Electricité (pose de câbles, onduleurs, groupes, batteries …)</t>
  </si>
  <si>
    <t xml:space="preserve">Mise en service </t>
  </si>
  <si>
    <t>A.1.2.4.2. Mission supervision et contrôle</t>
  </si>
  <si>
    <t>Prise en charge de la mission de supervision</t>
  </si>
  <si>
    <t>A.1.2.5.1. Poursuite des travaux d'électrification pour finaliser au moins 300 villages</t>
  </si>
  <si>
    <t>Projet 2000 villages</t>
  </si>
  <si>
    <t xml:space="preserve">Poursuite et suivi des travaux d'électrification de 1192 villages du projet 2000 villages </t>
  </si>
  <si>
    <t>Finalisation et réception de 300 villages</t>
  </si>
  <si>
    <t>P.1.2.2. Nombre de dorsales électriques</t>
  </si>
  <si>
    <t>A.1.2.6.1. Finalisation des travaux de 4 dorsales électriques</t>
  </si>
  <si>
    <t xml:space="preserve">Poursuite et suivi des travaux de 04 dorsales </t>
  </si>
  <si>
    <t xml:space="preserve">Finalisation et réception de 04 dorsales </t>
  </si>
  <si>
    <t>TOTAL VOLET ELECTRIFICATION</t>
  </si>
  <si>
    <t>VOLET HYDRAULIQUE</t>
  </si>
  <si>
    <t>P.1.3.1. Nombre de forages réalisés</t>
  </si>
  <si>
    <t>A.1.3.1. 1.Réalisation de forages</t>
  </si>
  <si>
    <t>Implantation des forages</t>
  </si>
  <si>
    <t>Démarrage des travaux de forage</t>
  </si>
  <si>
    <t>Réception des forages</t>
  </si>
  <si>
    <t>P.1.3.2. Nombre de châteaux d'eau construits</t>
  </si>
  <si>
    <t>A.1.3.2. 1.Construction de châteaux d'eau</t>
  </si>
  <si>
    <t>Implantations des châteaux d'eaux</t>
  </si>
  <si>
    <t>Démarrage des travaux de châteaux d'eaux</t>
  </si>
  <si>
    <t>Dimensionnement et commande des équipements d'exhaure</t>
  </si>
  <si>
    <t>Pose réseau d'adduction d'eau</t>
  </si>
  <si>
    <t>Réception des équipements d'exhaure</t>
  </si>
  <si>
    <t>Réceptions des systèmes</t>
  </si>
  <si>
    <t>P.1.3.3. Réalisation et réception de 9 forages hydrauliques</t>
  </si>
  <si>
    <t>A.1.3.3. 1.Réalisation et réception de 9 forages hydrauliques</t>
  </si>
  <si>
    <t>Implantation et installation de chantier</t>
  </si>
  <si>
    <t>Vérification et validation des matériaux et matériels</t>
  </si>
  <si>
    <t>Démarrage des travaux de foration</t>
  </si>
  <si>
    <t>Captage</t>
  </si>
  <si>
    <t>Pré-réception et réception provisoire (technique et environnement)</t>
  </si>
  <si>
    <t>P.1.3.4. Finalisation de 19 systèmes hydrauliques</t>
  </si>
  <si>
    <t>A.1.3.4. 1.Finalisation des travaux des systèmes hydrauliques</t>
  </si>
  <si>
    <t>Implantation &amp; réalisation des études d'exécution</t>
  </si>
  <si>
    <t>Travaux de réalisation de château d'eau</t>
  </si>
  <si>
    <t>Travaux de réalisation des ouvrages annexes</t>
  </si>
  <si>
    <t>Pose de réseaux</t>
  </si>
  <si>
    <t>Equipement des forages</t>
  </si>
  <si>
    <t>Pré-réception et Réception</t>
  </si>
  <si>
    <t>Mise en services</t>
  </si>
  <si>
    <t>A.1.3.4. 2.Supervision des travaux hydrauliques</t>
  </si>
  <si>
    <t>Supervision des travaux hydrauliques</t>
  </si>
  <si>
    <t xml:space="preserve">P.1.3.5. Travaux de réalisation de dix (10) forages au Marteau Fond de Trou (MFT) avec investigations géophysiques dans les régions de Kédougou et Tambacounda, de six (06) forages au rotary, de construction de six (06) châteaux d’eau avec réseau d’adduction d’eau et fourniture et pose de six (06) équipements d’exhaure dans la région de Kaffrine. </t>
  </si>
  <si>
    <t>A.1.3.5. 1.Démarrage des travaux de 06 forages au rotary du projet FSD et en réceptionner 06 forages</t>
  </si>
  <si>
    <t>Contractualisation avec l'Entreprise de travaux</t>
  </si>
  <si>
    <t>Implantation, installation de chantier et approvisionnement</t>
  </si>
  <si>
    <t xml:space="preserve">Démarrage et suivi des travaux de foration </t>
  </si>
  <si>
    <t>Réception provisoire (technique et environnementale) de 02 forages</t>
  </si>
  <si>
    <t>Réception provisoire (technique et environnementale) de 04 forages</t>
  </si>
  <si>
    <t>Réception provisoire (technique et environnementale) de 06 forages</t>
  </si>
  <si>
    <t>A.1.3.5. 2.Démarrage des travaux de 06 châteaux d’eau du projet FSD</t>
  </si>
  <si>
    <t>Implantation</t>
  </si>
  <si>
    <t>Réalisation étude d'exécution</t>
  </si>
  <si>
    <t>Installation de chantier et approvisionnement</t>
  </si>
  <si>
    <t xml:space="preserve">Démarrage des travaux de réalisation de 02 CE </t>
  </si>
  <si>
    <t>Démarrage des travaux de réalisation de 04 CE</t>
  </si>
  <si>
    <t>Démarrage des travaux de réalisation de 06 CE</t>
  </si>
  <si>
    <t>Ouvrages annexes</t>
  </si>
  <si>
    <t>Démarrage pose réseau</t>
  </si>
  <si>
    <t>Dimensionnement, commande des équipements d'exhaure</t>
  </si>
  <si>
    <t>Réception provisoire (technique et environnementale) des systèmes</t>
  </si>
  <si>
    <t>Mise en service d'au moins 02 systèmes</t>
  </si>
  <si>
    <t>P.1.3.6. Travaux de réalisation de 10 forages au Marteau Fond de Trou (MFT) à Kédougou et Tambacounda</t>
  </si>
  <si>
    <t>A.1.3.6. 1.Démarrage et réception des travaux de 03 forages MFT équipés au solaire du projet FSD</t>
  </si>
  <si>
    <t>Implantation, installation de chantier et approvisionnement, démarrage et suivi des travaux</t>
  </si>
  <si>
    <t>Démarrage et suivi des travaux</t>
  </si>
  <si>
    <t xml:space="preserve">Réception (technique et environnementale) au moins de 03 forages </t>
  </si>
  <si>
    <t>P.1.3.7. Etude de transféré à Bokiladji</t>
  </si>
  <si>
    <t xml:space="preserve">A.1.3.7. 1.Démarrage des travaux d'un (1) système de transfert d’eau potable + 40 km de réseau d’adduction d’eau potable du projet FSD </t>
  </si>
  <si>
    <t>Réunion de démarrage de l'étude</t>
  </si>
  <si>
    <t>Réalisation de l'étude</t>
  </si>
  <si>
    <t>Elaboration de rapport APD et validation</t>
  </si>
  <si>
    <t>Elaboration de DAO</t>
  </si>
  <si>
    <t>SUPERVISION DES TRAVAUX</t>
  </si>
  <si>
    <t>Prise en charge de la mission de supervision des travaux</t>
  </si>
  <si>
    <t xml:space="preserve">  P.1.3.8. 30 forages et 29 châteaux d’eau avec réseaux de distribution sont construits </t>
  </si>
  <si>
    <t>A.1.3.8. 1.Réaliser 2 nouveaux forages</t>
  </si>
  <si>
    <t xml:space="preserve">Implantation, Installation de chantier et approvisionnement </t>
  </si>
  <si>
    <t>Démarrage et suivi des travaux de forage</t>
  </si>
  <si>
    <t>Réception des 2 nouveaux forages à Sansamba et Awa Taba</t>
  </si>
  <si>
    <t>P.1.3.9. 25 forages (Marteau Fonds de Trou) sont équipés au solaire et fonctionnels.</t>
  </si>
  <si>
    <t>A.1.3.9. 1.Réaliser 14 forages MFT</t>
  </si>
  <si>
    <t>Implantation, Réalisation des études d'exécution, Installation de chantier approvisionnement. Finalisation et réception de 14 Forages MTF.</t>
  </si>
  <si>
    <t>2 SAEMV</t>
  </si>
  <si>
    <t>  A.1.3.9. 2. Réception et mis en service de 02 système restants</t>
  </si>
  <si>
    <t>Finalisation, réception et mise en service de 02 systèmes AEMV restants</t>
  </si>
  <si>
    <t>25 MFT</t>
  </si>
  <si>
    <t>A.1.3.10. 1.Equipement de 25 forages MFT</t>
  </si>
  <si>
    <t>Equipement des 25 MFT</t>
  </si>
  <si>
    <t>A.1.3.11. 1.Missions de Supervision</t>
  </si>
  <si>
    <t>TOTAL VOLET HYDRAULIQUE</t>
  </si>
  <si>
    <t>VOLET SANTE ET PROTECTION SOCIALE</t>
  </si>
  <si>
    <t xml:space="preserve">P.1.4.1. Nombre de postes de santé construits et équipés </t>
  </si>
  <si>
    <t xml:space="preserve">A.1.4.1.1. Démarrage des travaux de construction de postes de santé </t>
  </si>
  <si>
    <t>Réunions d'information villageoise</t>
  </si>
  <si>
    <t>Sensibilisation sur hygiène et santé</t>
  </si>
  <si>
    <t>Campagne de distribution de kit de protection contre certaines maladies tropicales</t>
  </si>
  <si>
    <t>A.1.4.2.1. Réalisation des postes de santé</t>
  </si>
  <si>
    <t>Notifier le démarrage des travaux des postes de santé</t>
  </si>
  <si>
    <t>Installation et approvisionnement du chantier</t>
  </si>
  <si>
    <t>Réalisation de fondation</t>
  </si>
  <si>
    <t>Elévation RDC et dallage</t>
  </si>
  <si>
    <t>Elévation étage et préparation plancher</t>
  </si>
  <si>
    <t>Elévation mur et étanchéité plancher terrasse</t>
  </si>
  <si>
    <t>Plomberie, électricité, menuiserie, enduit</t>
  </si>
  <si>
    <t>Peinture, nettoyage, repli</t>
  </si>
  <si>
    <t>A.1.4.2.2. Equipement des postes de santé</t>
  </si>
  <si>
    <t>Notification bonne de commande</t>
  </si>
  <si>
    <t>Passer la commande</t>
  </si>
  <si>
    <t>Réception de la commande</t>
  </si>
  <si>
    <t>Equipement des postes de santé</t>
  </si>
  <si>
    <t>A.1.4.2.3. Supervision des travaux de postes de santé</t>
  </si>
  <si>
    <t>Supervision et contrôle des travaux de réalisation des postes de santé</t>
  </si>
  <si>
    <t>A.1.4.3.1. CNDN ex CLM</t>
  </si>
  <si>
    <t>Prise en charge de la convention CNDN PUDC</t>
  </si>
  <si>
    <t>P.1.4.3. Dix (10) Edicules scolaires construits</t>
  </si>
  <si>
    <t>A.1.4.4.1. Démarrage des travaux de réalisation d'édicules scolaires</t>
  </si>
  <si>
    <t xml:space="preserve"> Recrutement de prestataires pour la réalisation 40 édicules scolaires</t>
  </si>
  <si>
    <t>Contractualisation et notification de démarrage</t>
  </si>
  <si>
    <t>Réception des édicules construits et raccordés au réseau d'eau</t>
  </si>
  <si>
    <t xml:space="preserve">A.1.4.5.1.LOT 1 /Travaux de construction de 05 postes de santé </t>
  </si>
  <si>
    <t>Terrassement et fondations</t>
  </si>
  <si>
    <t>Réception provisoire au moins (01) poste de sante</t>
  </si>
  <si>
    <t xml:space="preserve">A.1.4.5.2. LOT2 /Travaux de construction de 05 postes de santé </t>
  </si>
  <si>
    <t xml:space="preserve">A.1.4.5.3.LOT 3 / Travaux de construction de 06 postes de santé </t>
  </si>
  <si>
    <t xml:space="preserve">A.1.4.5.4.LOT 4 / Travaux de construction de 04 postes de santé </t>
  </si>
  <si>
    <t>A.1.4.5.5. SUPERVISION DES TRAVAUX</t>
  </si>
  <si>
    <t>Prise en charge de la supervisipon des travaux de postes de santé</t>
  </si>
  <si>
    <t>A.1.4.6.1. Lot 1 : Construction de 5 postes de santé dans la région de Ziguinchor</t>
  </si>
  <si>
    <t>Equipement</t>
  </si>
  <si>
    <t>A.1.4.6.2. Lot 4 : Construction de 5 postes de santé dans la région de Sédhiou</t>
  </si>
  <si>
    <t>Finaliser les travaux d'Elévation du mur de clôture et étanchéité du plancher du terrasse</t>
  </si>
  <si>
    <t>Equipements</t>
  </si>
  <si>
    <t>A.1.4.6.3. Construction de 10 postes de santé dans la région de Kolda</t>
  </si>
  <si>
    <t>Elévation mur de clôture et Etanchéité plancher terrasse</t>
  </si>
  <si>
    <t>A.1.4.6.4. Mobilier de bureau Postes de santé</t>
  </si>
  <si>
    <t>A.1.4.6.5. Equipement Hospitalier Postes de santé</t>
  </si>
  <si>
    <t>A.1.4.7.1. Missions de Supervision</t>
  </si>
  <si>
    <t>TOTAL VOLET SANTE</t>
  </si>
  <si>
    <t>VOLET EDUCATION</t>
  </si>
  <si>
    <t>P.1.5.1. 21 infrastructures scolaires sont construites / réhabilitées.</t>
  </si>
  <si>
    <t>A.1.5.1.1. Lot 1 : Travaux de construction /réhabilitation de 06 d'infrastructures scolaires dans la région de Sédhiou</t>
  </si>
  <si>
    <t>Finaliser les travaux d'Elévation et toiture</t>
  </si>
  <si>
    <t xml:space="preserve">Elévation mur clôture </t>
  </si>
  <si>
    <t>A.1.5.1.2. Lot 2 : Travaux de construction /réhabilitation de 08 infrastructures scolaires dans la région de Kolda.</t>
  </si>
  <si>
    <t>A.1.5.1.3. Lot 3 : Travaux de construction /réhabilitation de 07 infrastructures scolaires dans la région de Ziguinchor.</t>
  </si>
  <si>
    <t>Elévation et toiture</t>
  </si>
  <si>
    <t>A.1.5.2.1. Missions de Supervision</t>
  </si>
  <si>
    <t>TOTAL VOLET EDUCATION</t>
  </si>
  <si>
    <t>TOTAL COMPOSANTE 1</t>
  </si>
  <si>
    <t>Composante 2 : Amélioration de la productivité rurale, de la production agricole et de l’élevage</t>
  </si>
  <si>
    <t>VOLET ÉQUIPEMENTS DE TRANSFORMATION POST-RÉCOLTE</t>
  </si>
  <si>
    <t>P.2.1.1. Nombre d'équipements post-récoltes livrés</t>
  </si>
  <si>
    <t>A.2.1.1.1. Fourniture de 100 équipements post-récoltes</t>
  </si>
  <si>
    <t xml:space="preserve">Elaboration, lancement des DAO et sélection d'une entreprise pour la fourniture de 100 équipements post-récolte   </t>
  </si>
  <si>
    <t xml:space="preserve">Suivi de la production et réception des 350 équipements </t>
  </si>
  <si>
    <t xml:space="preserve">Déploiement, mise en service des équipements et formation des opérateurs </t>
  </si>
  <si>
    <t>A.2.1.2.1. Réceptionner les équipements</t>
  </si>
  <si>
    <t>Faire les teste en usine</t>
  </si>
  <si>
    <t>Réceptionner les équipements</t>
  </si>
  <si>
    <t>P.2.1.3. Mise en place et formation des membres des comités de gestion des équipements</t>
  </si>
  <si>
    <t>A.2.1.3.1. Mise en place des comités de gestion des équipements</t>
  </si>
  <si>
    <t>Recrutement du prestataire pour la mise en place et formation des membres des comités de gestion des équipements</t>
  </si>
  <si>
    <t>Mise en place et formation des membres des comités de gestion des équipements</t>
  </si>
  <si>
    <t>A.2.1.4.1. Finaliser la réception des 24 équipements restants de PDI</t>
  </si>
  <si>
    <t>A.2.1.4.2. Réaliser 38 Equipements Zone Sud dans les régions de Kolda, Sédhiou et Ziguinchor.</t>
  </si>
  <si>
    <t>Fabrication des équipements et certification</t>
  </si>
  <si>
    <t>Livraison</t>
  </si>
  <si>
    <t>TOTAL VOLET EQUIPEMENTS DE TRANSFORMATION POST-RECOLTE</t>
  </si>
  <si>
    <t xml:space="preserve">VOLET CHAINE DE VALEUR AGRICOLE </t>
  </si>
  <si>
    <t>P.2.2.1. Nombre de porteurs de projets accompagnés</t>
  </si>
  <si>
    <t xml:space="preserve">A.2.2.1.1. Accompagnement des SAR dans la mise en valeur des PAC </t>
  </si>
  <si>
    <t>Mise à disposition des SAR de techniciens horticoles pour l'accompagnement et suivi des SAR dans la mise ne valeur des PAC</t>
  </si>
  <si>
    <t>P.2.2.2. Périmètres horticoles aménagés et mis en valeurs</t>
  </si>
  <si>
    <t>A.2.2.2.1. Finalisation des travaux d’aménagement de 23 périmètres agricoles</t>
  </si>
  <si>
    <t>Réalisation et réception des réseaux d'irrigation sur 8 périmètres</t>
  </si>
  <si>
    <t>P.2.2.3. Réalisation de point d'eau autonome sur 15 périmètres</t>
  </si>
  <si>
    <t>  A.2.2.3.1. Réalisation de point d'eau autonome sur 15 périmètres</t>
  </si>
  <si>
    <t>Réalisation de point d'eau autonome sur 15 périmètres</t>
  </si>
  <si>
    <t xml:space="preserve">Equipement des 10 points d'eau </t>
  </si>
  <si>
    <t>P.2.2.4. Infrastructures de stockage installés</t>
  </si>
  <si>
    <t>A.2.2.4.1. Réalisation d'infrastructures de stockage</t>
  </si>
  <si>
    <t>Contractualisation avec les prestataires</t>
  </si>
  <si>
    <t xml:space="preserve">Démarrage et suivi des travaux des infrastructures </t>
  </si>
  <si>
    <t>A.2.2.5.1. Mise en valeur de périmètres agricoles communautaires sont aménagés et mis en valeur</t>
  </si>
  <si>
    <t xml:space="preserve">Finaliser la livraison et pose des grillages </t>
  </si>
  <si>
    <t>Réception des clôtures des PAC grillagés</t>
  </si>
  <si>
    <t>A.2.2.5.2. Fourniture et pose de grillage de 35 périmètres dans la région de Sédhiou et Kolda</t>
  </si>
  <si>
    <t>Réception des clôtures des PAC</t>
  </si>
  <si>
    <t>P.2.2.6. Nombre de missions de supervision réalisées</t>
  </si>
  <si>
    <t>A.2.2.6.1. Missions de Supervision</t>
  </si>
  <si>
    <t>TOTAL VOLET CHAÎNE DE VALEUR AGRICOLE</t>
  </si>
  <si>
    <t>VOLET CHAINE DE VALEUR LAITIÈRE</t>
  </si>
  <si>
    <t>P.2.3.1. Unités laitières mises en place</t>
  </si>
  <si>
    <t>A.2.3.1.1. Construction de 6 laiteries dans les régions de Louga et de Diourbel</t>
  </si>
  <si>
    <t>Signature des contrats</t>
  </si>
  <si>
    <t xml:space="preserve">Gros œuvre </t>
  </si>
  <si>
    <t>Second œuvre</t>
  </si>
  <si>
    <t>A.2.3.1.2. Fournitures et installation d'équipements dans 7 laiteries et dans 1 centre de collecte de lait dans les régions de Louga et Diourbel</t>
  </si>
  <si>
    <t>Fourniture et installation des équipements sur site, formation des opérateurs</t>
  </si>
  <si>
    <t>A.2.3.1.3. Fourniture et installation de 8 kits solaires pour 7 laiteries et 1 centre de collecte dans les régions de Louga et de Diourbel</t>
  </si>
  <si>
    <t>Fourniture et installation des Kits solaires sur site, formation des opérateurs</t>
  </si>
  <si>
    <t>A.2.3.1.4. Acquisition et livraison de 12 tricycles et de 6 motocyclettes</t>
  </si>
  <si>
    <t>Fourniture et formation des opérateurs</t>
  </si>
  <si>
    <t>A.2.3.1.5. Acquisition de mobiliers de bureau</t>
  </si>
  <si>
    <t>Fourniture et installation du mobilier de bureau sur site, formation des opérateurs</t>
  </si>
  <si>
    <t>A.2.3.2.1. Missions de Supervision</t>
  </si>
  <si>
    <t>TOTAL VOLET CHAÎNE DE VALEUR LAIT</t>
  </si>
  <si>
    <t xml:space="preserve">VOLET PLATEFORMES DE TRANSFORMATION AGROALIMENTAIRE </t>
  </si>
  <si>
    <t>P.2.4.1. Plateformes de transformation agroalimentaire équipées mises en place</t>
  </si>
  <si>
    <t xml:space="preserve">  A.2.4.1.1. Finalisation de l’étude de faisabilité des plateformes</t>
  </si>
  <si>
    <t>Elaborer le rapport de l'étude</t>
  </si>
  <si>
    <t>A.2.4.1.2. Travaux de mise en place des plateformes de services agricoles</t>
  </si>
  <si>
    <t>Lancer le DAO GC après validation par la DCMP</t>
  </si>
  <si>
    <t>A.2.4.1.3. Fourniture d'équipements de plateformes de services agricoles</t>
  </si>
  <si>
    <t>Lancer le DAO Equipements plateformes après validation par la DCMP/BAD</t>
  </si>
  <si>
    <t>Evaluer les offres et signer les marchés</t>
  </si>
  <si>
    <t>Formation des membres des comités de gestion</t>
  </si>
  <si>
    <t>Démarrer les travaux</t>
  </si>
  <si>
    <t>A.2.4.2.1. Elaboration des plans d’affaire pour 15 porteurs de plateforme</t>
  </si>
  <si>
    <t>Elaborer les 15 plans d’affaire pour les porteurs de plateforme</t>
  </si>
  <si>
    <t xml:space="preserve">A.2.4.2.2. Construction abris </t>
  </si>
  <si>
    <t xml:space="preserve">Construire les abris </t>
  </si>
  <si>
    <t>A.2.4.2.3. Equipements plateforme</t>
  </si>
  <si>
    <t>Equiper les plateformes</t>
  </si>
  <si>
    <t>A.2.4.2.4. Formation des porteurs</t>
  </si>
  <si>
    <t>Former les porteurs</t>
  </si>
  <si>
    <t>TOTAL VOLET PLATEFORMES DE TRANSFORMATION AGROALIMENTAIRE</t>
  </si>
  <si>
    <t>VOLET "ENTREPRENARIAT ET VALORISATION ECONOMIQUE"</t>
  </si>
  <si>
    <t>P.2.5.1. Nombre d'évènements auxquels le PUDC a participé</t>
  </si>
  <si>
    <t>A.2.5.1.1. Participation aux évènements promouvant l'entreprenariat et la valorisation économique</t>
  </si>
  <si>
    <t>Participation aux événements de promotion de l'entreprenariat et de valorisation économiques (foires, salon, etc.)</t>
  </si>
  <si>
    <t>P.2.5.2. Nombre de projets et de porteurs d'initiatives accompagnés</t>
  </si>
  <si>
    <t>A.2.5.2.1. Accompagnement des porteurs de projets BAD</t>
  </si>
  <si>
    <t>Approbation de la convention</t>
  </si>
  <si>
    <t>A.2.5.2.2.Financement des porteurs de projets BAD</t>
  </si>
  <si>
    <t>Ciblage et sélection des porteurs de projets</t>
  </si>
  <si>
    <t>Mise en disposition des fonds</t>
  </si>
  <si>
    <t>Financement des porteurs de projets sélectionnés et suivi</t>
  </si>
  <si>
    <t>P.2.5.3. Plateformes agricoles mises en place</t>
  </si>
  <si>
    <t>A.2.5.3.1. Fourniture et installation d'équipements pour les plateformes dans les communes de Sokone Sewekhaye, et Dioffior</t>
  </si>
  <si>
    <t>A.2.5.3.2. Construction de plateformes dans les communes de Sokone Sewekhaye, et Dioffior</t>
  </si>
  <si>
    <t>Réalisation des travaux de gros-œuvre</t>
  </si>
  <si>
    <t>Réalisation des travaux du second-œuvre</t>
  </si>
  <si>
    <t>Travaux de finition et réception provisoire</t>
  </si>
  <si>
    <t>P.2.5.4.  Nombre de missions de supervision réalisées</t>
  </si>
  <si>
    <t>A.2.5.4.1. Missions de Supervision</t>
  </si>
  <si>
    <t>TOTAL VOLET ENTREPRENARIAT ET VALORISATION ECONOMIQUE</t>
  </si>
  <si>
    <t>TOTAL COMPOSANTE 2</t>
  </si>
  <si>
    <t>Composante 3 : Environnement, Ingénierie sociale, Communication et genre</t>
  </si>
  <si>
    <t>ENVIRONNEMENT ET PROMOTION D’UNE ÉCONOMIE VERTE</t>
  </si>
  <si>
    <t>P.3.1.1. Nombre de personnes formées sur la gestion environnementale et sociale du PUDC</t>
  </si>
  <si>
    <t>Non précisé</t>
  </si>
  <si>
    <t>A.3.1.1.1. Renforcement de capacités de l'équipe du projet sur la gestion environnementale et sociale du PUDC</t>
  </si>
  <si>
    <t>Formation des agents du PUDC  sur la gestion environnementale et sociale du PUDC</t>
  </si>
  <si>
    <t>A.3.1.1.2. Prix du PUDC aux GPF champions du reboisement</t>
  </si>
  <si>
    <t>P.3.1.2. Nombre de personnes formées sur le volet environnement social, hygiène, sécurité et santé</t>
  </si>
  <si>
    <t>A.3.1.2.1. Formation du personnel technique sur le volet environnement social, hygiène, sécurité et santé</t>
  </si>
  <si>
    <t>P.3.1.3. Nombre de membres des PAC formés sur les bonnes pratiques agroécologiques et environnementales</t>
  </si>
  <si>
    <t>A.3.1.3.1. Formation des membres des PAC sur les bonnes pratiques agroécologiques</t>
  </si>
  <si>
    <t>P.3.1.4. Suivi de la mise en œuvre de la convention PUDC-DEEC</t>
  </si>
  <si>
    <t>A.3.1.4.1. Suivi de la mise en œuvre de la convention PUDC-DEEC</t>
  </si>
  <si>
    <t>Screening environnemental et social</t>
  </si>
  <si>
    <t>Ateliers régionaux sur le partage du PGES</t>
  </si>
  <si>
    <t xml:space="preserve">Suivi environnemental et social des travaux </t>
  </si>
  <si>
    <t>Communication sur l'environnement avec les acteurs</t>
  </si>
  <si>
    <t>Tenue des rencontres des comités régionaux de suivi environnemental et social</t>
  </si>
  <si>
    <t>A.3.1.5.1. Suivi de la mise en œuvre de la convention PUDC-DEFCCS</t>
  </si>
  <si>
    <t>Mise en place des technologies agroforestières (haies vives et brises vent)</t>
  </si>
  <si>
    <t xml:space="preserve">P.3.1.5. Mise en œuvre du PCGES </t>
  </si>
  <si>
    <t>Plantations fruitières</t>
  </si>
  <si>
    <t>Aménagement et mise en place des pépinières</t>
  </si>
  <si>
    <t>Plantation de mangroves</t>
  </si>
  <si>
    <t>P.3.1.6. Appui à la gestion des ressources naturelles et des habitats</t>
  </si>
  <si>
    <t>Suivi et entretien des plantations</t>
  </si>
  <si>
    <t>Renforcement de capacités</t>
  </si>
  <si>
    <t>Communication et sensibilisation</t>
  </si>
  <si>
    <t>P.3.1.7. Implémentation de Vingt-cinq (25) unités de bio digesteurs à proximité des PAC</t>
  </si>
  <si>
    <t>A.3.1.6.1. Convention de partenariat avec le PNB-SN pour l’étude de la faisabilité socio-économique et l’appui à l’implémentation des 25 bio digesteurs</t>
  </si>
  <si>
    <t>Elaboration convention, ANO, et signature</t>
  </si>
  <si>
    <t>A.3.1.6.2. Réalisation de l’étude de faisabilité socio-économique de l’implémentation de vingt-cinq (25) bio digesteur</t>
  </si>
  <si>
    <t>Partager avec le PNB-SN la liste des sites de périmètres agricoles communautaires du PUDC sur lequel le choix des vingt-cinq (25) sites devra être fait (ciblage)</t>
  </si>
  <si>
    <t>Elaborer et transmettre au PNB-SN les TDR de l’étude de faisabilité socio-économique des 25 bio digesteurs</t>
  </si>
  <si>
    <t>Analyse des besoins des ménages et demande en énergie domestique (gaz) et des difficultés d'accès dans les sites d’implémentation de Vingt-Cinq (25) bio digesteurs</t>
  </si>
  <si>
    <t>Analyse des capacités entrepreneuriales au niveau local pour confirmer l’éligibilité de vingt-cinq (25) sites de périmètres agricoles communautaires du PUDC ;</t>
  </si>
  <si>
    <t>P.3.1.8. Mise en œuvre du Plan Cadre de Gestion Environnementale et Social (PCGES)</t>
  </si>
  <si>
    <t>A.3.1.7.1. Mise en œuvre et l’accompagnement du processus d’implémentation des bio digesteurs dans les vingt-cinq (25) sites retenus,</t>
  </si>
  <si>
    <t>Mise en place de comités de gestion des vingt-cinq (25) bio digesteurs ;</t>
  </si>
  <si>
    <t>Elaboration des documents de mise en œuvre : plans d’affaires/business, modèles</t>
  </si>
  <si>
    <t>Renforcement de capacités ;</t>
  </si>
  <si>
    <t>Acquisition et l’implémentation de vingt-cinq (25) bio digesteurs du modèle « SISTEMA BIOBOLSA » de taille variable entre BB10 et BB8 et les accessoires nécessaires au niveau des sites retenus ;</t>
  </si>
  <si>
    <t>Appui technique aux comités de gestion au démarrage des activités</t>
  </si>
  <si>
    <t>A.3.1.7.1. Mesures d’atténuation des impacts négatifs (construction pistes) (sur total pistes)</t>
  </si>
  <si>
    <t>Identification des villages impactés et groupement de femmes à impliquer</t>
  </si>
  <si>
    <t>Evaluation des besoins en plants, matériels de reboisement et renforcement de capacité sur les techniques de reboisement et de suivi de plantation</t>
  </si>
  <si>
    <t>Signature d'acte d'engagement tripartite entre PUDC-Collectivité territoriale et GPF pour la réalisation des objectifs de reboisement par villages/Communes</t>
  </si>
  <si>
    <t>Plantation, suivi et évaluation des réalisations (évaluation taux de reprise, survie, réussite,)</t>
  </si>
  <si>
    <t>Promotion de l'éducation environnemental et appui en fourniture et matériels des écoles sur l'emprise des pistes et appui social pour les daaras</t>
  </si>
  <si>
    <t xml:space="preserve">A.3.1.7.2. Mesures d’atténuation des impacts négatifs (forages, santé, energie) </t>
  </si>
  <si>
    <t>Appui au ménage en foyers améliorés</t>
  </si>
  <si>
    <t>Renforcement de capacité (entretien, maintenance, risque</t>
  </si>
  <si>
    <t>Reboisement et aménagement paysagé des sites</t>
  </si>
  <si>
    <t>Renforcement de capacité sur la gestion des déchets bio médicaux</t>
  </si>
  <si>
    <t>Sensibilisation des populations riverain sur les risques des déchets médicaux</t>
  </si>
  <si>
    <t>TOTAL VOLET ENVIRONNEMENT ET PROMOTION D'UNE ECONOMIE VERTE</t>
  </si>
  <si>
    <t>VOLET INGÉNIERIE SOCIALE ET GESTION DES CONNAISSANCES</t>
  </si>
  <si>
    <t>P.3.2.1. Ingénierie sociale et gestion des connaissances</t>
  </si>
  <si>
    <t>A.3.2.1.1. Mise en œuvre des activités d'ingénierie sociale</t>
  </si>
  <si>
    <t>Information, sensibilisation, accompagnement des bénéficiaires</t>
  </si>
  <si>
    <t>A.3.2.1.2. PUDC academy : capitalisation et gestion des connaissances</t>
  </si>
  <si>
    <t>Recherche, études, capitalisation et valorisation des résultats</t>
  </si>
  <si>
    <t>P.3.2.2. Renforcement de l'appropriation des projets du PUDC par les bénéficiaires, dans une perspective de knowledge management</t>
  </si>
  <si>
    <t>A.3.2.2.1. Appui à la mise en œuvre de la conventions IEC avec l'ANRAC</t>
  </si>
  <si>
    <t>Approbation de la convention avec l'ANRAC</t>
  </si>
  <si>
    <t>Information, sensibilisation, formation et accompagnement des bénéficiaires avec l'ANRAC</t>
  </si>
  <si>
    <t>A.3.2.2.2. Mise en œuvre des activités d'IEC du projet BAD vac MSA</t>
  </si>
  <si>
    <t>Information, sensibilisation, formation et accompagnement des bénéficiaires avec le cabinet MSA</t>
  </si>
  <si>
    <t>TOTAL VOLET INGENIERIE SOCIALE ETGESTION DES CONNAISSANCES</t>
  </si>
  <si>
    <t>VOLET GENRE ET INCLUSION SOCIALE</t>
  </si>
  <si>
    <t xml:space="preserve">  P.3.3.1. Prise en charge du genre et inclusion sociale </t>
  </si>
  <si>
    <t xml:space="preserve">  A.3.3.1.1. Mise en œuvre des activités d'ingénierie sociale</t>
  </si>
  <si>
    <t>A.3.3.1.2. PUDC académie : capitalisation et gestion des connaissances</t>
  </si>
  <si>
    <t xml:space="preserve">A.3.3.1.3. Appui à la mise en œuvre de la convention ANRAC-PUDC sur l'inclusion et l'animation sociale </t>
  </si>
  <si>
    <t xml:space="preserve">Appui à la mise en œuvre de la stratégie d’ingénierie sociale et d’IEC </t>
  </si>
  <si>
    <t>Appui à la réintégration et à la résilience des communautés.</t>
  </si>
  <si>
    <t xml:space="preserve">A.3.3.1.4. Appui à la mise en œuvre des activités de MSA sur l'inclusion et l'animation sociale </t>
  </si>
  <si>
    <t>Suivi des résultats et effets des interventions sur les sur les communautés bénéficiaires.</t>
  </si>
  <si>
    <t>TOTAL VOLET GENRE ET INCLUSION SOCAILE</t>
  </si>
  <si>
    <t xml:space="preserve">VOLET COMMUNICATION </t>
  </si>
  <si>
    <t>P.3.4.1. Signer des conventions avec les structures de la presse</t>
  </si>
  <si>
    <t>A.3.4.1.1. Convention la RTS</t>
  </si>
  <si>
    <t>Prise d'images Montage vidéo Couverture activités Diffusion     Emission</t>
  </si>
  <si>
    <t>A.3.4.1.2. Convention le GFM</t>
  </si>
  <si>
    <t xml:space="preserve">Prise d'images Montage vidéo Couverture activités Diffusion     Emission </t>
  </si>
  <si>
    <t>A.3.4.1.3. Convention la 2S TV</t>
  </si>
  <si>
    <t>Prise d'image Montage vidéo Couverture activité Diffusion     Emission     Publicité     Interview</t>
  </si>
  <si>
    <t>A.3.4.1.4. Convention LERAL</t>
  </si>
  <si>
    <t>Prise d'image Montage vidéo Couverture activité Diffusion     Emission</t>
  </si>
  <si>
    <t>A.3.4.1.5. Convention Source A</t>
  </si>
  <si>
    <t>Publireportage Interview Communiqué Publicitaires Couverture activités Publicité     Interview</t>
  </si>
  <si>
    <t>A.3.4.1.6. Convention SSPP le Soleil</t>
  </si>
  <si>
    <t xml:space="preserve">Publireportage Interview Communiqué Publicitaires Couverture activités Interview </t>
  </si>
  <si>
    <t>P.3.4.2. Communication FSD</t>
  </si>
  <si>
    <t>A.3.4.1.7. Communication du Projet FSD</t>
  </si>
  <si>
    <t>Contribution du FSD à la mise en œuvre de la stratégie de communication du projet FSD</t>
  </si>
  <si>
    <t xml:space="preserve">TOTAL VOLET GOMMUNICATION </t>
  </si>
  <si>
    <t>VOLET ACCOMPAGNEMENT ET RENFORCEMENT DE CAPACITÉS DES ACTEURS</t>
  </si>
  <si>
    <t>P.3.5.1. Formation et renforcement de capacités des acteurs</t>
  </si>
  <si>
    <t>A.3.5.1.1. Acquisition d'équipements pour le renforcement des activités génératrices de revenus des OCB dans les zones d'intervention électrifiées et formations des acteurs</t>
  </si>
  <si>
    <t>50 000 000</t>
  </si>
  <si>
    <t>Missions d’ingénierie sociale et de coaching organisationnel</t>
  </si>
  <si>
    <t>Formation en dynamique organisationnelle des OCB porteuses identifiées</t>
  </si>
  <si>
    <t xml:space="preserve">Signature de contrats pour l'acquisition d'équipements </t>
  </si>
  <si>
    <t>Fourniture et livraison d'équipements</t>
  </si>
  <si>
    <t xml:space="preserve">  A.3.5.1.2. Appui à la mise en œuvre des activités de formation et de renforcement de capacités des acteurs.</t>
  </si>
  <si>
    <t xml:space="preserve"> BAD </t>
  </si>
  <si>
    <t>Contractualisation pour la prestation</t>
  </si>
  <si>
    <t>TOTAL VOLET ACCOMPAGNEMENT ET RENFORCEMENT DE CAPACITES DES ACTEURS</t>
  </si>
  <si>
    <t>167 000 000</t>
  </si>
  <si>
    <t>TOTAL COMPOSANTE 3</t>
  </si>
  <si>
    <t>COMPOSANTE 4 : APPUI À LA GESTION ET À LA COORDINATION</t>
  </si>
  <si>
    <t>GESTION ET COORDINATION DU PROGRAMME</t>
  </si>
  <si>
    <t>  P.4.1.1. Coordination et gestion administrative, organisationnel et suivi évaluation et planification du programme</t>
  </si>
  <si>
    <t>A.4.1.1.1. Salaires membre UGP</t>
  </si>
  <si>
    <t xml:space="preserve"> BCI </t>
  </si>
  <si>
    <t>Contribution du PUDC BCI à la prise en charge des salaires des membres de l'UGP</t>
  </si>
  <si>
    <t>Contribution du PUDC BAD à la prise en charge des salaires des membres de l'UGP</t>
  </si>
  <si>
    <t>A.4.1.1.2. Loyers et Gardiennage</t>
  </si>
  <si>
    <t>Prise en charge du loyer et gardiennaage des locaux</t>
  </si>
  <si>
    <t>A.4.1.1.3. Acquisition matériel informatique et bureautique</t>
  </si>
  <si>
    <t>Prise en charge de l'acquisition du matériel informatique et bureautique</t>
  </si>
  <si>
    <t>A.4.1.1.3. Acquisition de véhicules</t>
  </si>
  <si>
    <t>Priche en charge de l'acquisition de véhicules</t>
  </si>
  <si>
    <t>A.4.1.1.4. Consommables informatiques et bureautiques</t>
  </si>
  <si>
    <t>Prise en charge des consommables informatiques et bureautiques</t>
  </si>
  <si>
    <t>A.4.1.1.5. Réparations, Entretiens Véhicules, Carburant</t>
  </si>
  <si>
    <t>Prise en charge des réparations, Entretiens Véhicules, Carburant</t>
  </si>
  <si>
    <t>A.4.1.1.6. Appui aux services déconcentrés</t>
  </si>
  <si>
    <t>Prise en charge de l'appui aux services déconcentrés</t>
  </si>
  <si>
    <t xml:space="preserve">A.4.1.1.7. Frais de mission /hôtel &amp; frais de restauration </t>
  </si>
  <si>
    <t xml:space="preserve">Prise en charges des missions/ /hôtel &amp; frais de restauration </t>
  </si>
  <si>
    <t>A.4.1.1.8. Gestion du programme FSD</t>
  </si>
  <si>
    <t>Contribution du FSD au fnctionnement et à la gestion du Proramme</t>
  </si>
  <si>
    <t xml:space="preserve">A.4.1.1.9. Fonctionnement &amp; Opérations </t>
  </si>
  <si>
    <t>Prise en charge des opérations et autres fonctionnement</t>
  </si>
  <si>
    <t>A.4.1.1.10. Fonctionnement des Unités hors siège (CRD, Points focaux régionaux)</t>
  </si>
  <si>
    <t>Prise en charge du fonctionnement des Unités hors siège (CRD, Points focaux régionaux)</t>
  </si>
  <si>
    <t>A.4.1.1.15. Audit comptable</t>
  </si>
  <si>
    <t>Prise en charge de l'audit comptable</t>
  </si>
  <si>
    <t xml:space="preserve">A.4.1.1.16. Lancement du projet, Communication, Publicité, Enquête </t>
  </si>
  <si>
    <t xml:space="preserve">Prise en charge des lancements, Communication, Publicité, Enquête </t>
  </si>
  <si>
    <t>A.4.1.1.17. Suivi-évaluation et planification</t>
  </si>
  <si>
    <t>Suivre et évaluer / planifier les activités du programme</t>
  </si>
  <si>
    <t>A.4.1.1.18.SIG</t>
  </si>
  <si>
    <t>Mise en œuvre du SIG du programme</t>
  </si>
  <si>
    <t>A.4.1.1.19. FONCTIONNEMENT BAD</t>
  </si>
  <si>
    <t>Mise en œuvre des activités des projets</t>
  </si>
  <si>
    <t>A.4.2.1.1. Supervision des travaux de pistes</t>
  </si>
  <si>
    <t xml:space="preserve"> FSD </t>
  </si>
  <si>
    <t>Prise en charge de la supervision des travaux piste du projet FSD</t>
  </si>
  <si>
    <t>A.4.2.1.2. Supervision des travaux d'électrification</t>
  </si>
  <si>
    <t>Prise en charge de la supervision des travauxd'électrification du projet FSD</t>
  </si>
  <si>
    <t>A.4.2.1.3. Supervision des travaux de postes de santé équipés</t>
  </si>
  <si>
    <t>Prise en charge de la supervision des travauxde construction de postes de santé du projet FSD</t>
  </si>
  <si>
    <t>A.4.2.1.4. Supervision des travaux d'hydraulique</t>
  </si>
  <si>
    <t>Prise en charge de la supervision des travaux hydrauliques du projet FSD</t>
  </si>
  <si>
    <t xml:space="preserve">A.4.2.1.5. Prise en charge du cabinet de supervision du </t>
  </si>
  <si>
    <t>Prise en charge de l'avance démarrage de la mission supervision FSD</t>
  </si>
  <si>
    <t>SOUS-TOTAL GESTION ET COORDINATION DU PROGRAMME</t>
  </si>
  <si>
    <t>TOTAL COMPOSANTE 4 :</t>
  </si>
  <si>
    <t>TOTAL GÉNÉRAL PTA 2023</t>
  </si>
  <si>
    <t>Plateforme de Transformation Agroalimentaire.</t>
  </si>
  <si>
    <t>Acquisition et Installation de 22 magasins de stockage</t>
  </si>
  <si>
    <t>La procédure de passation de marché est bouclée.</t>
  </si>
  <si>
    <t>Objectifs Année 2023</t>
  </si>
  <si>
    <t>Cible Trim 1</t>
  </si>
  <si>
    <t>Réal.</t>
  </si>
  <si>
    <t>Résultats obtenus</t>
  </si>
  <si>
    <t>PUDC-Phase 2 / BID</t>
  </si>
  <si>
    <t xml:space="preserve">Poursuite des travaux pour finaliser et réceptionner 138,5 km de piste </t>
  </si>
  <si>
    <t>Poursuite des travaux pour finaliser et réceptionner 56 km dans la région de Kolda</t>
  </si>
  <si>
    <t>Approvisionnement de la couche de roulement effectué à 98% Mise en œuvre de la couche de roulement réalisée à 68 %</t>
  </si>
  <si>
    <t>Retards notés dans l’approvisionnement de matériaux génie civil pour finaliser les ouvrages hydrauliques en cours.</t>
  </si>
  <si>
    <t>Poursuite des travaux pour finaliser et réceptionner 22,5 km dans la région de Thiès</t>
  </si>
  <si>
    <t>Retards notés dans l’exécution des travaux. Pour le tronçon « Ngadiaga-Beureup Sow » du fait de la défaillance de l’entreprise. Les travaux ont été repris par un sous-traitant</t>
  </si>
  <si>
    <t>Poursuite des travaux pour finaliser et réceptionner 60 km dans la région de Louga</t>
  </si>
  <si>
    <t>Livraison et la pose de pavés réalisé à 40%, approvisionnement couche de roulement et la réalisation Ouvrages hydrauliques sont exécutés à 100%. La mise en œuvre de la couche de roulement est réalisée à 78% et les travaux de protection des talus sont en cours d'exécution.</t>
  </si>
  <si>
    <t>Retards dans l’exécution des travaux des pistes Piste « RN2 - Kel Gueye : 2 km », « Nayobé – Pété Ouarack (6,1 km) » et « Doundodji - Ndiakhaté- Gouye Diéry: 14 km »  du fait de la défaillance de l’entreprise en charge des travaux.</t>
  </si>
  <si>
    <t>Les travaux ont été repris avec un sous-traitant.</t>
  </si>
  <si>
    <t>PA-PUDC /BAD</t>
  </si>
  <si>
    <t>Poursuite des travaux en cours sur 148 km dont au moins 69 km réceptionnés</t>
  </si>
  <si>
    <t>Poursuite des travaux de construction de 29,5 Km dans la région de Kaolack</t>
  </si>
  <si>
    <t>Nettoyage réalisé à 100%. Terrassement : 13% et l’approvisionnement de la couche de roulement est à 10%.</t>
  </si>
  <si>
    <t>Retards importants dans la réalisation des travaux du fait notamment du défaut de mobilisation du matériel contractuel par l’entreprise.</t>
  </si>
  <si>
    <t>Lenteurs notées dans la mise en œuvre des travaux selon le planning défini.</t>
  </si>
  <si>
    <t>Terrassement : 87 %. Et Approvisionnement couche de roulement : 31 %.</t>
  </si>
  <si>
    <t>Il est aussi prévu la prise en charge de la requête spéciale pour la réalisation de la piste « Piste : Bagdad – Touba : 3,1 km » dont le nettoyage est déjà réalisé.</t>
  </si>
  <si>
    <t>PSP-PUDC /FSD</t>
  </si>
  <si>
    <t>Démarrage des travaux de construction de 256 km de pistes rurales dont au moins 29,8 km réceptionnés.</t>
  </si>
  <si>
    <t>Finalisation de la contractualisation pour la réalisation de 256 km de pistes rurales et démarrage des travaux de 120 km dont au moins 29,8 km</t>
  </si>
  <si>
    <t>Les contrats sont signés et enregistrés. Le lancement des travaux est en attente de démarrage.</t>
  </si>
  <si>
    <t>Retards importants notés dans le paiement des avances de démarrages aux entreprises.</t>
  </si>
  <si>
    <t>ELECTRIFICATION RURALE</t>
  </si>
  <si>
    <t xml:space="preserve">Poursuite des travaux d’électrification par centrales solaires pour finaliser et réceptionner 19 villages électrifiés </t>
  </si>
  <si>
    <t xml:space="preserve">Poursuite des travaux pour finaliser et réceptionner 22 centrales </t>
  </si>
  <si>
    <t>Les implantations sont effectuées sur 14 sites et les travaux de génie civil en cours pour 09 sites</t>
  </si>
  <si>
    <t>Extrant revue à la baisse à 19 centrales pour prendre en compte le renchérissement des coûts des matières premières.</t>
  </si>
  <si>
    <t>Démarrage des travaux d’électrification de 26 villages par centrales solaires dont au moins 05 centrales solaires t réceptionnées et mises en services.</t>
  </si>
  <si>
    <t>Finalisation de la procédure de passation de marché pour l’électrification par centrales solaires.</t>
  </si>
  <si>
    <t>La procédure de passation de marché a été reprise et l’évaluation des offres est entamée.</t>
  </si>
  <si>
    <t>Marché initial déclaré infructueux du fait que les offres étaient supérieures à l’enveloppe disponible.</t>
  </si>
  <si>
    <t>Démarrage des travaux d’électrification de 24 centrales da, solaires dont au moins 05 centrales réceptionnées et mises en services</t>
  </si>
  <si>
    <t xml:space="preserve">Achèvement de la contractualisation et démarrage des travaux de 24 centrales solaires </t>
  </si>
  <si>
    <t xml:space="preserve">La procédure de passation de marché est bouclée. Le projet de contrat est transmis au FSD pour ANO avant signature et lancement des travaux. </t>
  </si>
  <si>
    <t>Des retards importants sont notés dans la réponse aux demandes d’ANO</t>
  </si>
  <si>
    <t>Electrification 2000 villages</t>
  </si>
  <si>
    <t>Poursuite des travaux d'électrification de villages dont 300 seront finalisés</t>
  </si>
  <si>
    <t>Poursuite des travaux d'électrification pour finaliser 75 villages</t>
  </si>
  <si>
    <t>Sur l’objectif au premier trimestre de 75 villages, soit 25% de l’objectif annuel, les 36 ont été finalisés, représentant 12% de l’objectif annuel. Soit un taux de réalisation de l’objectif trimestriel de 48%.</t>
  </si>
  <si>
    <t>Les travaux de 326 autres villages sont en cours.</t>
  </si>
  <si>
    <t>Poursuite des travaux en cours pour finaliser et réceptionner 04 dorsales électriques.</t>
  </si>
  <si>
    <t>Poursuite des travaux de 04 dorsales électriques dont 02 seront réceptionnés</t>
  </si>
  <si>
    <t>02 dorsales réceptionnées et mise en service :</t>
  </si>
  <si>
    <t>Les deux autres dorsales restantes sont en cours de travaux :</t>
  </si>
  <si>
    <t>Poursuite des travaux de réalisation de 12 forages et 6 châteaux d'eau</t>
  </si>
  <si>
    <t xml:space="preserve">Les 12 forages sont finalisés et réceptionnés. </t>
  </si>
  <si>
    <t>La procédure de passation de marché pour la réalisation des châteaux d’eau est en cours.</t>
  </si>
  <si>
    <t>Réception de 02 systèmes AEMV restant du projet.</t>
  </si>
  <si>
    <t xml:space="preserve">Reprise des travaux de forages sur 02 sites et réception des travaux </t>
  </si>
  <si>
    <t>Il a été décidé de reprendre la procédure de passation de marché pour la réalisation des deux forages.</t>
  </si>
  <si>
    <t xml:space="preserve">Le démarrage des travaux est reprogrammé pour le second trimestre. </t>
  </si>
  <si>
    <t>PA-PUDC/ BAD</t>
  </si>
  <si>
    <t>Poursuivre les travaux pour finaliser et réceptionner 09 forages et mettre en services 19 systèmes AEMV du projet</t>
  </si>
  <si>
    <t xml:space="preserve">Réception provisoire de 03 forages </t>
  </si>
  <si>
    <t>DAO en cours d’élaboration</t>
  </si>
  <si>
    <t>Reprise de la procédure d’attribution du contrat</t>
  </si>
  <si>
    <t>Réception provisoire de 10 systèmes.</t>
  </si>
  <si>
    <t xml:space="preserve">09 ont été finalisé dont 03 mis en service </t>
  </si>
  <si>
    <t>04 autres systèmes sont en cours de finition</t>
  </si>
  <si>
    <t xml:space="preserve">Démarrage des travaux de réalisation de 06 systèmes AEMV dont 02 finalisés et mis en service </t>
  </si>
  <si>
    <t>Achèvement de la contractualisation et démarrage des travaux de réalisation de 06 forages et 06 châteaux d'eau.</t>
  </si>
  <si>
    <t>Les projets de contrat sont élaborés et transmis au FSD pour ANO avant signature</t>
  </si>
  <si>
    <t>Démarrage des travaux de réalisation de 10 forages MFT dont au moins 03 réceptionnés.</t>
  </si>
  <si>
    <t xml:space="preserve"> Démarrage des travaux du systèmes de transfert d’eau potable de BOKILADJI.</t>
  </si>
  <si>
    <t>Finalisation de la procédure e passation de marché et lancement des travaux.</t>
  </si>
  <si>
    <t xml:space="preserve">- </t>
  </si>
  <si>
    <t>PUDC-Phase 2 /BID</t>
  </si>
  <si>
    <t>Poursuite des travaux en cours pour finaliser et réceptionner 20 postes de santé équipés</t>
  </si>
  <si>
    <t>Retards importants notés dans l’exécution des travaux du lot de Ziguinchor du fait de la défaillance de l’entreprise attributaire du contrat.</t>
  </si>
  <si>
    <t xml:space="preserve">Finalisation de la procédure de passation de marché et lancement des travaux de construction de 20 postes de santé </t>
  </si>
  <si>
    <t>L’évaluation des offres pour les travaux est finalisée et contractualisation est en cours.</t>
  </si>
  <si>
    <t>Acquisition des équipements et mobiliers de bureau pour 20 postes de santé</t>
  </si>
  <si>
    <t>Finalisation de la procédure de passation de marché pour l’acquisition des équipements et mobiliers de bureau des postes de santé</t>
  </si>
  <si>
    <t>Pour ce qui est des équipements et mobiliers de bureau des postes de santé, les DAO finalisés sont envoyés à la DCMP pour avis.</t>
  </si>
  <si>
    <t>Démarrage des travaux de construction de 20 postes de santé équipés dont au moins 04 réceptionnés</t>
  </si>
  <si>
    <t>Signature des contrats et démarrage des travaux</t>
  </si>
  <si>
    <t xml:space="preserve">Contrats signés et implantations effectués sur l’ensemble des sites. Les réunions villageoises d’informations ont été tenues. </t>
  </si>
  <si>
    <t>Retards sont notés dans le paiement de l’avance de démarrage aux entreprises attributaires des contrats.</t>
  </si>
  <si>
    <t>Attente de la réponse du FSD sur l demande d’ANO sur les PV d’évaluation des offres.</t>
  </si>
  <si>
    <t>Poursuite des travaux pour finaliser et réceptionner 21 infrastructures scolaires</t>
  </si>
  <si>
    <t>Finaliser les travaux d’élévation de mur de clôture et de toiture de 14 infrastructures scolaires dans les régions de Kolda et Sédhiou</t>
  </si>
  <si>
    <t xml:space="preserve">Les travaux sont en cours pour Sédhiou et Kolda avec un avancement moyen respectif de 57% (Sédhiou) et 56% (Kolda). </t>
  </si>
  <si>
    <t>Finalisation de la passation de marchés pour le lot de Ziguinchor (07) et démarrage des travaux.</t>
  </si>
  <si>
    <t>Pour le lot de Ziguinchor, la procédure de passation de marché est bouclée.</t>
  </si>
  <si>
    <t xml:space="preserve">Prototypes ont été validés. </t>
  </si>
  <si>
    <t>Retards importants notés dans la production des équipements par l’entreprise.</t>
  </si>
  <si>
    <t>Finalisation et de la fabrication et déploiement de 448 équipements</t>
  </si>
  <si>
    <t>Achèvement de la contractualisation, démarrage de la fabrication et réception de 448 équipements.</t>
  </si>
  <si>
    <t>Prototypes validés et production à l'échelle des équipements en cours avec un avancement estimé à 35%.</t>
  </si>
  <si>
    <t>Achèvement de la passation de marché pour le recrutement de prestataires en charge de la mise en place des comités de gestion des équipements et de la formation des membres</t>
  </si>
  <si>
    <t>Poursuite de la pose des grillages. Sur 35 PAC</t>
  </si>
  <si>
    <t>Retards importants notés dans l’exécution des travaux.</t>
  </si>
  <si>
    <t>Les comptes d’exploitation des 14 SAR ont été produits et sont en cours d’exploitation.</t>
  </si>
  <si>
    <t>Aménagement de 23 PAC</t>
  </si>
  <si>
    <t>Retards importants notés dans la réalisation des travaux par l’entreprise.</t>
  </si>
  <si>
    <t>Poursuite des travaux de réalisation de forages équipés de pompes solaires sur 23 périmètres agricoles communautaires.</t>
  </si>
  <si>
    <t>PTA</t>
  </si>
  <si>
    <t>Mise en place de 10 plateformes de transformation agroalimentaire</t>
  </si>
  <si>
    <t>Finalisation des études de faisabilité de 10 plateformes retenus</t>
  </si>
  <si>
    <t>Etudes de faisabilité finalisée pour la réalisation de 10 plateformes.</t>
  </si>
  <si>
    <t>Lenteurs notées dans l’élaboration des DAO</t>
  </si>
  <si>
    <t>Finalisation de la procédure de passation de marché (travaux +équipements) et lancement des travaux pour la réalisation 10 plateformes.</t>
  </si>
  <si>
    <t xml:space="preserve">Mise en place de 10 plateformes de transformation agroalimentaire </t>
  </si>
  <si>
    <t>Finalisation de la passation de marchés et réalisation des 15 plateformes (travaux +équipements)</t>
  </si>
  <si>
    <t>Les DAO (Travaux &amp; Equipements) pour la construction et l'équipement de 15 plateformes est en cours.</t>
  </si>
  <si>
    <t>Recrutement d’un Cabinet d’Assistance technique aux opérateurs des 15 plateformes de services et démarrage de l’accompagnement</t>
  </si>
  <si>
    <t>L’élaboration des TDR pour recrutement d’un prestataire en charge de l’élaboration de plans d'affaires des 15 plateformes est en cours.</t>
  </si>
  <si>
    <t>PUDC-Phase 2/BID</t>
  </si>
  <si>
    <t>Finalisation de la procédure de passation de marché et lancement des travaux de 08 unités laitières équipées.</t>
  </si>
  <si>
    <t>Les procédures de passation des marchés de (1) construction de laiteries, (2) fournitures et installation d'équipements, (3) fourniture et installation de 8 kits solaires, (4) acquisition et livraison de 12 tricycles et de 6 motocyclettes et (5) acquisition de mobiliers de bureau sont bouclées. La mission de reconnaissance et d'implantation des sites déjà réalisée.</t>
  </si>
  <si>
    <t>Réalisation de 08 unités laitières équipées</t>
  </si>
  <si>
    <t>CHAÎNE DE VALEUR LAIT</t>
  </si>
  <si>
    <t>CHAÎNE DE VALEUR AGRICOLE</t>
  </si>
  <si>
    <t xml:space="preserve">Finalisation de la passation de marché pour la réalisation des plateformes et la fourniture d'équipements pour les plateformes </t>
  </si>
  <si>
    <t xml:space="preserve">Les contrats sont signés et les missions d'implantation ont déjà été réalisés </t>
  </si>
  <si>
    <t>Démarrage de la mise en œuvre du fonds de financement des porteurs de projets</t>
  </si>
  <si>
    <t>Approbation et signature de la convention PUDC-LBA pour le financement des porteurs de projets dans les territoires</t>
  </si>
  <si>
    <t xml:space="preserve">Projet de convention avec la LBA a été finalisée et soumis à la BAD pour ANO. </t>
  </si>
  <si>
    <t>Une note sur les modalités de mise en œuvre du fond a été envoyée à la BAD pour avis sur l'éligibilité de certaines mesures prévues.</t>
  </si>
  <si>
    <t>Retards notés dans la réponse à la demande d’ANO par la BAD.</t>
  </si>
  <si>
    <t>ENTREPRENARIAT</t>
  </si>
  <si>
    <t>BIO DIGESTEURS</t>
  </si>
  <si>
    <t>Signature de la convention PUDC-PNB</t>
  </si>
  <si>
    <t>Installation et mise en exploitation de 25 Unités de bio digesteurs</t>
  </si>
  <si>
    <t xml:space="preserve">Convention avec le PNB-SN en cours de signature. Un plan d’action est élaboré entre les deux parties prenantes pour la réalisation d’au moins 25 biodigesteurs. </t>
  </si>
  <si>
    <t>Construction de 02 postes de santé</t>
  </si>
  <si>
    <t>Réalisation de 10 édicules scolaires</t>
  </si>
  <si>
    <t>Edicules scolaires</t>
  </si>
  <si>
    <t>En cours</t>
  </si>
  <si>
    <t>Situation marchés_FSD_signés et enregistrés</t>
  </si>
  <si>
    <t>SITUATION FACTURES AVANCES DE DEMARRAGE EN INSTANCE DE PAIEMENT AU NIVEAU FSD</t>
  </si>
  <si>
    <t xml:space="preserve">SITUATION DOSSIERS EN ATTENTE D'AVIS DE NON OBJECTION AU NIVEAU FSD </t>
  </si>
  <si>
    <t>MARCHES EN COURS D'ENREGISTREMENT: TRAVAUX DE CONSTRUCTION DE 256 Km DE PISES RURALES</t>
  </si>
  <si>
    <t>DOSSIERS EN COURS AU NIVEAU PUDC</t>
  </si>
  <si>
    <t>REALSATIONS ENVISAGEES</t>
  </si>
  <si>
    <t xml:space="preserve">Financement </t>
  </si>
  <si>
    <t>LOT</t>
  </si>
  <si>
    <t>ENTREPRISE</t>
  </si>
  <si>
    <t>Réf CONTRAT</t>
  </si>
  <si>
    <t>Date notification</t>
  </si>
  <si>
    <t>REGIONS</t>
  </si>
  <si>
    <t>Delai d'exécution</t>
  </si>
  <si>
    <t>Cautions</t>
  </si>
  <si>
    <t>Recommandation</t>
  </si>
  <si>
    <t xml:space="preserve">MONTANT DU MARCHE DE BASE
</t>
  </si>
  <si>
    <t>Montant total des marchés</t>
  </si>
  <si>
    <t>Ecart</t>
  </si>
  <si>
    <t xml:space="preserve">Factures avances de démarrage
(HTVA)
</t>
  </si>
  <si>
    <t>DATE D'ENVOIES DES FACTURES</t>
  </si>
  <si>
    <t>N°</t>
  </si>
  <si>
    <t>Titre du marché</t>
  </si>
  <si>
    <t>Lot/Entreprise</t>
  </si>
  <si>
    <t>Tranche ferme/km</t>
  </si>
  <si>
    <t>Montant/marché (HTVA)</t>
  </si>
  <si>
    <t>Montant total offre (HTVA)</t>
  </si>
  <si>
    <t>1) DAO : Equipement solaire de 10 forages MFT,
2) DAO Construction de 15 abris pour plateformes
3) DAO Equipement complémentaire pour 15 sites (post récolte)
4) DAO Matériels informatiques  pour  Vingt (20) postes de santé dans les régions de Ziguinchor, Sédhiou, Tambacounda, Kédougou et Fatick</t>
  </si>
  <si>
    <t>Garantie de restitution d'avance de démarrage</t>
  </si>
  <si>
    <t>Garantie de bonne exécution</t>
  </si>
  <si>
    <t>Retenue de garantie</t>
  </si>
  <si>
    <t>HTVA</t>
  </si>
  <si>
    <t>TVA</t>
  </si>
  <si>
    <t>TTC</t>
  </si>
  <si>
    <t>Construction de 209+47 km de pistes rurales dans les régions de Thiès, Tambacounda, Diourbel, Fatick, Louga et Kaffrine.</t>
  </si>
  <si>
    <t xml:space="preserve">
Tranche ferme : 118 km</t>
  </si>
  <si>
    <t>Travaux de construction de 05 postes de santé dans les localités de la  région de Zguinchor</t>
  </si>
  <si>
    <t>LOT 1</t>
  </si>
  <si>
    <t>SATRACONS</t>
  </si>
  <si>
    <t>n° 001/2022/PUDC/FSD</t>
  </si>
  <si>
    <t>Zchor</t>
  </si>
  <si>
    <t>14 mois</t>
  </si>
  <si>
    <t>Fournie</t>
  </si>
  <si>
    <t>NF</t>
  </si>
  <si>
    <t>ATTENTE DES PREMIERS DECAISSEMENT POUR DEMARRER LES TRAVAUX</t>
  </si>
  <si>
    <t>Travaux de construction de 05 postes de santé dans les localités de la  région de Sédhiou</t>
  </si>
  <si>
    <t>LOT 2</t>
  </si>
  <si>
    <t>n° 002/2022/PUDC/FSD</t>
  </si>
  <si>
    <t>Sédhiou</t>
  </si>
  <si>
    <t>Tranche ferme : 90.8 km</t>
  </si>
  <si>
    <t>Travaux de construction de 06 postes de santé dans les localités de les régions de Tambacounda et Kédougou</t>
  </si>
  <si>
    <t>LOT 3</t>
  </si>
  <si>
    <t>BARRY JUNIOR</t>
  </si>
  <si>
    <t>n° 003/2022/PUDC/FSD</t>
  </si>
  <si>
    <t>Tb+Kd</t>
  </si>
  <si>
    <t>Travaux de construction de 04 postes de santé dans les localités de la  région de Fatick</t>
  </si>
  <si>
    <t>LOT 4</t>
  </si>
  <si>
    <t>GREEN GC Sarl</t>
  </si>
  <si>
    <t>n° 004/2022/PUDC/FSD</t>
  </si>
  <si>
    <t>FATICK</t>
  </si>
  <si>
    <t xml:space="preserve">Contrôle et supervision des travaux d'ouvrages hydrauliques, de pistes rurales, d'électrification, de construction de postes de santé équipés </t>
  </si>
  <si>
    <t>Unique</t>
  </si>
  <si>
    <t>SEMIS/ETIC/TECHNOSOL</t>
  </si>
  <si>
    <t>n° 005/2022/PUDC/FSD</t>
  </si>
  <si>
    <t>Thiès, Diourbel, Fatick, Louga, Kaffrine, Sédhiou, Matam, Saint Louis, Tambacounda, Kolda et Ziguinchor</t>
  </si>
  <si>
    <t>26 mois</t>
  </si>
  <si>
    <t>Demande de paiement envoyée au niveau DODP le 09/01/23
Envoie FSD par DODP le 23/01/23</t>
  </si>
  <si>
    <t>Fourniture de divers matériel de commande (marché à commande)
Lot 1 : Fourniture de divers article de communication
Lot 2 : Location de divers matériels de communication</t>
  </si>
  <si>
    <t>Lot 1 et 2</t>
  </si>
  <si>
    <t>PRISMA COM SAS</t>
  </si>
  <si>
    <t>n° 008/2022/PUDC/FSD</t>
  </si>
  <si>
    <t>03 ans</t>
  </si>
  <si>
    <t>Le paiement des factures liées au marchés communication se fera sur la contrepartie de l'état du Sénégal</t>
  </si>
  <si>
    <r>
      <t xml:space="preserve">
</t>
    </r>
    <r>
      <rPr>
        <b/>
        <sz val="16"/>
        <color theme="8" tint="-0.249977111117893"/>
        <rFont val="Arial"/>
        <family val="2"/>
      </rPr>
      <t xml:space="preserve">1) Projet </t>
    </r>
    <r>
      <rPr>
        <b/>
        <sz val="16"/>
        <color theme="1"/>
        <rFont val="Arial"/>
        <family val="2"/>
      </rPr>
      <t>de contrat :</t>
    </r>
    <r>
      <rPr>
        <b/>
        <sz val="16"/>
        <color rgb="FFFF0000"/>
        <rFont val="Arial"/>
        <family val="2"/>
      </rPr>
      <t xml:space="preserve"> </t>
    </r>
    <r>
      <rPr>
        <b/>
        <sz val="16"/>
        <rFont val="Arial"/>
        <family val="2"/>
      </rPr>
      <t>travaux de réalisation de 06</t>
    </r>
    <r>
      <rPr>
        <b/>
        <sz val="16"/>
        <color rgb="FFFF0000"/>
        <rFont val="Arial"/>
        <family val="2"/>
      </rPr>
      <t xml:space="preserve"> </t>
    </r>
    <r>
      <rPr>
        <b/>
        <sz val="16"/>
        <color theme="1"/>
        <rFont val="Arial"/>
        <family val="2"/>
      </rPr>
      <t xml:space="preserve">forages au rotary dans la région de Kaffrine </t>
    </r>
    <r>
      <rPr>
        <b/>
        <sz val="16"/>
        <color theme="5"/>
        <rFont val="Arial"/>
        <family val="2"/>
      </rPr>
      <t>(envoyé au FSD le 08/11/22)</t>
    </r>
    <r>
      <rPr>
        <b/>
        <sz val="16"/>
        <color theme="1"/>
        <rFont val="Arial"/>
        <family val="2"/>
      </rPr>
      <t xml:space="preserve">
</t>
    </r>
    <r>
      <rPr>
        <b/>
        <sz val="16"/>
        <color rgb="FFFF0000"/>
        <rFont val="Arial"/>
        <family val="2"/>
      </rPr>
      <t xml:space="preserve">
</t>
    </r>
    <r>
      <rPr>
        <b/>
        <sz val="16"/>
        <color theme="8" tint="-0.249977111117893"/>
        <rFont val="Arial"/>
        <family val="2"/>
      </rPr>
      <t>2) Projet</t>
    </r>
    <r>
      <rPr>
        <b/>
        <sz val="16"/>
        <color rgb="FFFF0000"/>
        <rFont val="Arial"/>
        <family val="2"/>
      </rPr>
      <t xml:space="preserve"> </t>
    </r>
    <r>
      <rPr>
        <b/>
        <sz val="16"/>
        <color theme="1"/>
        <rFont val="Arial"/>
        <family val="2"/>
      </rPr>
      <t xml:space="preserve">de contrat : travaux de construction de 06 chateaux d'eau </t>
    </r>
    <r>
      <rPr>
        <b/>
        <sz val="16"/>
        <color theme="5"/>
        <rFont val="Arial"/>
        <family val="2"/>
      </rPr>
      <t xml:space="preserve">(envoyé au FSD le 14/11/22)
</t>
    </r>
    <r>
      <rPr>
        <b/>
        <sz val="16"/>
        <color theme="1"/>
        <rFont val="Arial"/>
        <family val="2"/>
      </rPr>
      <t xml:space="preserve">
</t>
    </r>
    <r>
      <rPr>
        <b/>
        <sz val="16"/>
        <color theme="4"/>
        <rFont val="Arial"/>
        <family val="2"/>
      </rPr>
      <t>3) Projet</t>
    </r>
    <r>
      <rPr>
        <b/>
        <sz val="16"/>
        <color theme="1"/>
        <rFont val="Arial"/>
        <family val="2"/>
      </rPr>
      <t xml:space="preserve"> de contrat : travaux de construction de 24 centrales solaires </t>
    </r>
    <r>
      <rPr>
        <b/>
        <sz val="16"/>
        <color theme="5"/>
        <rFont val="Arial"/>
        <family val="2"/>
      </rPr>
      <t xml:space="preserve">(envoyé au FSD le 05/01/23)
</t>
    </r>
    <r>
      <rPr>
        <b/>
        <sz val="16"/>
        <color theme="1"/>
        <rFont val="Arial"/>
        <family val="2"/>
      </rPr>
      <t xml:space="preserve">
</t>
    </r>
    <r>
      <rPr>
        <b/>
        <sz val="16"/>
        <color theme="4"/>
        <rFont val="Arial"/>
        <family val="2"/>
      </rPr>
      <t>4)</t>
    </r>
    <r>
      <rPr>
        <b/>
        <sz val="16"/>
        <color theme="8" tint="-0.249977111117893"/>
        <rFont val="Arial"/>
        <family val="2"/>
      </rPr>
      <t xml:space="preserve"> Rapport</t>
    </r>
    <r>
      <rPr>
        <b/>
        <sz val="16"/>
        <color rgb="FFFF0000"/>
        <rFont val="Arial"/>
        <family val="2"/>
      </rPr>
      <t xml:space="preserve"> </t>
    </r>
    <r>
      <rPr>
        <b/>
        <sz val="16"/>
        <color theme="1"/>
        <rFont val="Arial"/>
        <family val="2"/>
      </rPr>
      <t xml:space="preserve">d'évaluation équipement hospitalier des 20 postes de santé  </t>
    </r>
    <r>
      <rPr>
        <b/>
        <sz val="16"/>
        <color theme="5"/>
        <rFont val="Arial"/>
        <family val="2"/>
      </rPr>
      <t xml:space="preserve">(envoyé au FSD le 25/10/22)
</t>
    </r>
    <r>
      <rPr>
        <b/>
        <sz val="16"/>
        <color theme="1"/>
        <rFont val="Arial"/>
        <family val="2"/>
      </rPr>
      <t xml:space="preserve">
</t>
    </r>
    <r>
      <rPr>
        <b/>
        <sz val="16"/>
        <color theme="4"/>
        <rFont val="Arial"/>
        <family val="2"/>
      </rPr>
      <t>5)</t>
    </r>
    <r>
      <rPr>
        <b/>
        <sz val="16"/>
        <color theme="8" tint="-0.249977111117893"/>
        <rFont val="Arial"/>
        <family val="2"/>
      </rPr>
      <t xml:space="preserve"> Rapport</t>
    </r>
    <r>
      <rPr>
        <b/>
        <sz val="16"/>
        <color theme="1"/>
        <rFont val="Arial"/>
        <family val="2"/>
      </rPr>
      <t xml:space="preserve"> d'évaluation mobilier de bureau des 20 postes de santé </t>
    </r>
    <r>
      <rPr>
        <b/>
        <sz val="16"/>
        <color theme="5"/>
        <rFont val="Arial"/>
        <family val="2"/>
      </rPr>
      <t xml:space="preserve"> (envoyé au FSD le 25/10/22)</t>
    </r>
    <r>
      <rPr>
        <b/>
        <sz val="16"/>
        <color theme="1"/>
        <rFont val="Arial"/>
        <family val="2"/>
      </rPr>
      <t xml:space="preserve">
</t>
    </r>
    <r>
      <rPr>
        <b/>
        <sz val="16"/>
        <color rgb="FFFF0000"/>
        <rFont val="Arial"/>
        <family val="2"/>
      </rPr>
      <t xml:space="preserve">
</t>
    </r>
  </si>
  <si>
    <r>
      <t xml:space="preserve">Lot1/ ICONS </t>
    </r>
    <r>
      <rPr>
        <b/>
        <sz val="16"/>
        <color rgb="FF00B050"/>
        <rFont val="Calibri"/>
        <family val="2"/>
        <scheme val="minor"/>
      </rPr>
      <t>(137,5 km)</t>
    </r>
  </si>
  <si>
    <r>
      <t xml:space="preserve">Demande de paiement envoyée au niveau DODP le 23/01/23
</t>
    </r>
    <r>
      <rPr>
        <b/>
        <sz val="16"/>
        <color rgb="FFFF0000"/>
        <rFont val="Calibri"/>
        <family val="2"/>
      </rPr>
      <t>Envoie FSD par DODP le 30/01/2023</t>
    </r>
  </si>
  <si>
    <r>
      <t xml:space="preserve">Tranche conditionnelle : 19 ,5 km </t>
    </r>
    <r>
      <rPr>
        <sz val="16"/>
        <color theme="1"/>
        <rFont val="Calibri"/>
        <family val="2"/>
        <scheme val="minor"/>
      </rPr>
      <t>(TR07: Syll - Missira - Boustane - Koukouyel -Darou Salam 1 (19.5km)</t>
    </r>
  </si>
  <si>
    <r>
      <t>Demande de paiement envoyée au niveau DODP le 23/01/23
Envoie FSD par DODP le 30</t>
    </r>
    <r>
      <rPr>
        <b/>
        <sz val="16"/>
        <color rgb="FFFF0000"/>
        <rFont val="Calibri"/>
        <family val="2"/>
      </rPr>
      <t>/01/2023</t>
    </r>
  </si>
  <si>
    <r>
      <t xml:space="preserve">Lot 2 / CAMACHO/RC SENEGAL SAU 
</t>
    </r>
    <r>
      <rPr>
        <b/>
        <sz val="16"/>
        <color rgb="FF00B050"/>
        <rFont val="Calibri"/>
        <family val="2"/>
        <scheme val="minor"/>
      </rPr>
      <t>(118.3 km)</t>
    </r>
  </si>
  <si>
    <r>
      <t>Tranche conditionnelle : 27.5 km
(TR03</t>
    </r>
    <r>
      <rPr>
        <sz val="16"/>
        <color theme="1"/>
        <rFont val="Calibri"/>
        <family val="2"/>
        <scheme val="minor"/>
      </rPr>
      <t xml:space="preserve">: Route des Niayes - Keur Pathé Ndiaye -keur Dialal (4 km) ; </t>
    </r>
    <r>
      <rPr>
        <b/>
        <sz val="16"/>
        <color theme="1"/>
        <rFont val="Calibri"/>
        <family val="2"/>
        <scheme val="minor"/>
      </rPr>
      <t>TR08:</t>
    </r>
    <r>
      <rPr>
        <sz val="16"/>
        <color theme="1"/>
        <rFont val="Calibri"/>
        <family val="2"/>
        <scheme val="minor"/>
      </rPr>
      <t xml:space="preserve"> PK 00 –Pont téglé – Projet Fourarate – Canal CK2 – Kheune (23,5 km) </t>
    </r>
  </si>
  <si>
    <r>
      <t xml:space="preserve">Demande de paiement envoyée au niveau DODP le 27/10/22
</t>
    </r>
    <r>
      <rPr>
        <sz val="16"/>
        <color theme="1"/>
        <rFont val="Calibri"/>
        <family val="2"/>
        <scheme val="minor"/>
      </rPr>
      <t>Envoie</t>
    </r>
    <r>
      <rPr>
        <b/>
        <sz val="16"/>
        <color theme="1"/>
        <rFont val="Calibri"/>
        <family val="2"/>
        <scheme val="minor"/>
      </rPr>
      <t xml:space="preserve"> FSD par DODP le 07/11/22</t>
    </r>
  </si>
  <si>
    <t>EXECUTION DU PPM 2023 AU PREMIER TRIMESTRE</t>
  </si>
  <si>
    <t>Financement</t>
  </si>
  <si>
    <t>Intitulé du marché</t>
  </si>
  <si>
    <r>
      <t xml:space="preserve">Etat d'Exécution
</t>
    </r>
    <r>
      <rPr>
        <b/>
        <sz val="9"/>
        <color rgb="FFFF0000"/>
        <rFont val="Arial Narrow"/>
        <family val="2"/>
      </rPr>
      <t>(Non démarré, Faire une description précise du niveau d'exécution)</t>
    </r>
  </si>
  <si>
    <t>Commentaires</t>
  </si>
  <si>
    <t>relance un DAO pour la construction/réhabiliation 04 postes de santé à Zuiguinchor</t>
  </si>
  <si>
    <t>marché enrigistré , attente caution</t>
  </si>
  <si>
    <t>Travaux de construction de six laiteries dans les régions de Louga et Diourbel</t>
  </si>
  <si>
    <t>demarrage 08 fevrier 2023</t>
  </si>
  <si>
    <t>Construction d'insfrasture scolaires</t>
  </si>
  <si>
    <t>Construction d'une unité de transformations dans la commune de DIOFIOR</t>
  </si>
  <si>
    <t>demarrage 31 mars 2023</t>
  </si>
  <si>
    <t>Construction d'une unité de transformations dans le département de SOKHONE</t>
  </si>
  <si>
    <t>demarrage 14 mars 2023</t>
  </si>
  <si>
    <t>Construction d'une unité de transformations dans la commune de NGOUNDIANE 
SEWEKHAYE SEWEKHAYE</t>
  </si>
  <si>
    <t>demarrage 14 mars 2024</t>
  </si>
  <si>
    <t>FOURNITURE ET L’INSTALLATION D’ÉQUIPEMENTS DES UNITÉS DE TRANSFORMATION D’ANACARDE (NOIX ET POMMES) DANS LA RÉGION DE FATICK (LOT1</t>
  </si>
  <si>
    <t>signature DN</t>
  </si>
  <si>
    <t xml:space="preserve">FOURNITURE ET INSTALLATION D’ÉQUIPEMENTS D’UNE UNITÉ DE TRANSFORMATION DE CÉRÉALES ET D’ARACHIDES DANS LA RÉGION DE FATICK ET DE THIÈS (lot 2) </t>
  </si>
  <si>
    <t>FOURNITURE ET INSTALLATION D’EQUIPEMENTS D’UNE UNITE DE TRANSFORMATION NOIX DE CAJOU DANS LA REGION DE FATICK (lot 3)</t>
  </si>
  <si>
    <t>Fourniture et installation de 8 kits solaires pour le fonctionnement de sept (07) laiteries et d’un (01) centre de collecte dans les régions de Louga et Diourbel</t>
  </si>
  <si>
    <t>Notification de l'entreprise 28/03/2023</t>
  </si>
  <si>
    <t xml:space="preserve">FOURNITURE ET INSTALLATION D’EQUIPEMENTS DANS LES REGIONS DE LOUGA ET DIOUBEL </t>
  </si>
  <si>
    <t>FOURNITURE DE PETITS EQUIPEMENTS ET ACCESSOIRES POUR LES CENTRES DE COLLECTE ET UNITE DE TRANSFORMATION DE LAIT DANS LES REGIONS DE LOUGA ET DIOURBEL</t>
  </si>
  <si>
    <t>Signature DN</t>
  </si>
  <si>
    <t>CONTRATUCTION DE 26 CENTRALES SOLAIRES</t>
  </si>
  <si>
    <t>Lancé le 09/02/2023
Ouverture 06/04/2023</t>
  </si>
  <si>
    <t>Correction des evaluation des 20 postes de santé (4 lots)</t>
  </si>
  <si>
    <t>ANO Lots 1&amp;2</t>
  </si>
  <si>
    <t>EJT  ANO DCMP sur le contrat</t>
  </si>
  <si>
    <t>Avis sur les propositions techniques</t>
  </si>
  <si>
    <t>Etude de transfert d'eau à BOKILADJI</t>
  </si>
  <si>
    <t>Notification provisoire</t>
  </si>
  <si>
    <t>avenant sur les 12 forages</t>
  </si>
  <si>
    <t>demande de EJT ANO DCMP sur le projet avenant</t>
  </si>
  <si>
    <t>acquisition de consommable informatiques</t>
  </si>
  <si>
    <t>livré</t>
  </si>
  <si>
    <t xml:space="preserve">construction de 02 postes de santé FANDENE ET MALICOUNDA (commencement dans le 4eme trimestre 2022 ) finalisation de procédure: contrat </t>
  </si>
  <si>
    <t>notification pour enrigistrement</t>
  </si>
  <si>
    <t>005/2022/PUDC/FSD</t>
  </si>
  <si>
    <t>007/2022/PUDC/FSD</t>
  </si>
  <si>
    <t>PISTES</t>
  </si>
  <si>
    <t>CAMACHO</t>
  </si>
  <si>
    <t>I-CONS</t>
  </si>
  <si>
    <t>C_PUDC_058</t>
  </si>
  <si>
    <t>RMA NEXIA</t>
  </si>
  <si>
    <t>SAHEL DECOUVERTES</t>
  </si>
  <si>
    <t>UNIVERS DE L'EQUIPEMENT</t>
  </si>
  <si>
    <t>EL HADJ YOUSSOUF DIALLO</t>
  </si>
  <si>
    <t>IMHOTEP N.B. ARCHI CONSULT</t>
  </si>
  <si>
    <t>ACT COMMUNICATION</t>
  </si>
  <si>
    <t>T-1100/21</t>
  </si>
  <si>
    <t>GEOTOP INGENIERIE</t>
  </si>
  <si>
    <t>T-1105/21</t>
  </si>
  <si>
    <t>ETF</t>
  </si>
  <si>
    <t>T-1345/21</t>
  </si>
  <si>
    <t>ECOTRA SA</t>
  </si>
  <si>
    <t>T-1101/21</t>
  </si>
  <si>
    <t>DEFCCS (EAUX ET FORETS)</t>
  </si>
  <si>
    <t>MSA</t>
  </si>
  <si>
    <t>DIOUBO</t>
  </si>
  <si>
    <t>C0370/22-DK</t>
  </si>
  <si>
    <t>NAMAN</t>
  </si>
  <si>
    <t>ANRAC</t>
  </si>
  <si>
    <t>007/2019/PUDC2/BID</t>
  </si>
  <si>
    <t>CSTI</t>
  </si>
  <si>
    <t>DITEF</t>
  </si>
  <si>
    <t>029/2019/PUDC2/BID</t>
  </si>
  <si>
    <t>E MEDIA</t>
  </si>
  <si>
    <t>008/2019/PUDC2/BID</t>
  </si>
  <si>
    <t>009/2019/PUDC2/BID</t>
  </si>
  <si>
    <t>044/2020/PUDC2/BID</t>
  </si>
  <si>
    <t>031/2019/PUDC2/BID</t>
  </si>
  <si>
    <t>030/2019/PUDC2/BID</t>
  </si>
  <si>
    <t>PROSE</t>
  </si>
  <si>
    <t>026/2019/PUDC2/BID</t>
  </si>
  <si>
    <t>S4E-SEMIS</t>
  </si>
  <si>
    <t>039/2019/PUDC2/BID</t>
  </si>
  <si>
    <t>027/2019/PUDC2/BID</t>
  </si>
  <si>
    <t>042/2019/PUDC2/BID</t>
  </si>
  <si>
    <t>SHENZEN</t>
  </si>
  <si>
    <t>011/2019/PUDC2/BID</t>
  </si>
  <si>
    <t>035/2019/PUDC2/BID</t>
  </si>
  <si>
    <t>045/2020/PUDC2/BID</t>
  </si>
  <si>
    <t>028/2019/PUDC2/BID</t>
  </si>
  <si>
    <t>SECOTRAS</t>
  </si>
  <si>
    <t>MEDICALIS</t>
  </si>
  <si>
    <t>64/2022/PUDC2/BID</t>
  </si>
  <si>
    <t>SPEEDO</t>
  </si>
  <si>
    <t>EGECOM</t>
  </si>
  <si>
    <t>006/2023/PUDC2/BID</t>
  </si>
  <si>
    <t>003/2023/PUDC2/BID</t>
  </si>
  <si>
    <t>005/2023/PUDC2/BID</t>
  </si>
  <si>
    <t>012/2023/PUDC2/BID</t>
  </si>
  <si>
    <t>FINANCEMENT</t>
  </si>
  <si>
    <t xml:space="preserve">construction de 02 postes de santé FANDENE ET MALICOUNDA </t>
  </si>
  <si>
    <t>retour de l'enrigistrement OS à préparer (bouclé)</t>
  </si>
  <si>
    <t>bouclé</t>
  </si>
  <si>
    <t>Hygiène et Assainissement  Scolaire</t>
  </si>
  <si>
    <t>BUDGETAIRE</t>
  </si>
  <si>
    <t>TECHNIQUE</t>
  </si>
  <si>
    <t>PA-PUDC- / BID</t>
  </si>
  <si>
    <t>TOTAL 2000 Villages</t>
  </si>
  <si>
    <t>Indicateurs de Produits</t>
  </si>
  <si>
    <t>Cible/Projet</t>
  </si>
  <si>
    <t>PTF/Phase</t>
  </si>
  <si>
    <t>Volet Piste/Désenclavement</t>
  </si>
  <si>
    <t xml:space="preserve"> P1.1.1 Linéaire de pistes rurales construit</t>
  </si>
  <si>
    <t>Volet Electrification / Energie</t>
  </si>
  <si>
    <t>P1.2.1. Nombre total de villages électrifiés</t>
  </si>
  <si>
    <t>Volet Hydraulique</t>
  </si>
  <si>
    <t>(**) P1.3.1.2. Nouveaux Forages MFT réalisés</t>
  </si>
  <si>
    <t>(**) P1.3.2.1. Linéaire de réseaux  d’adduction d'eau posé</t>
  </si>
  <si>
    <t>Km</t>
  </si>
  <si>
    <t>Phase 1</t>
  </si>
  <si>
    <t>P1.3.3 systèmes hydrauliques mis en service (SMV)</t>
  </si>
  <si>
    <t xml:space="preserve">Volet Education </t>
  </si>
  <si>
    <t>P1.4.1. Infrastructures scolaires construites/Réhabilités  et équipées</t>
  </si>
  <si>
    <t xml:space="preserve">P1.4.2. Edicules réalisées </t>
  </si>
  <si>
    <t>Volet Santé</t>
  </si>
  <si>
    <t>P1.4.3 Postes de santé construits et équipés</t>
  </si>
  <si>
    <t>Volet équipements post-récolte</t>
  </si>
  <si>
    <r>
      <t xml:space="preserve">P2.1.1 Equipements </t>
    </r>
    <r>
      <rPr>
        <sz val="8"/>
        <color indexed="17"/>
        <rFont val="Segoe Print"/>
      </rPr>
      <t>post-récolte</t>
    </r>
    <r>
      <rPr>
        <sz val="8"/>
        <color indexed="8"/>
        <rFont val="Segoe Print"/>
      </rPr>
      <t xml:space="preserve"> produits et déployés</t>
    </r>
  </si>
  <si>
    <t xml:space="preserve"> P2.2.1. Plateformes agricoles équipées mises en place</t>
  </si>
  <si>
    <r>
      <t xml:space="preserve">P2.2.3. Périmètres </t>
    </r>
    <r>
      <rPr>
        <sz val="10"/>
        <color indexed="17"/>
        <rFont val="Segoe Print"/>
      </rPr>
      <t>horticoles</t>
    </r>
    <r>
      <rPr>
        <sz val="10"/>
        <color indexed="8"/>
        <rFont val="Segoe Print"/>
      </rPr>
      <t xml:space="preserve"> aménagés et mis en valeur</t>
    </r>
  </si>
  <si>
    <t>P2.2.7 Unités laitières mises en place</t>
  </si>
  <si>
    <t>ELECTRIFICATION</t>
  </si>
  <si>
    <t>Phase</t>
  </si>
  <si>
    <t>Entreprise</t>
  </si>
  <si>
    <t>Engagements contractuels</t>
  </si>
  <si>
    <t>Montant du contrat FCFA en HT (1)</t>
  </si>
  <si>
    <t>Montant du contrat FCFA en TTC (A)</t>
  </si>
  <si>
    <t>PISTES:
SENTHRAS</t>
  </si>
  <si>
    <t>Finalisé</t>
  </si>
  <si>
    <t>PISTES:
SOCETRA</t>
  </si>
  <si>
    <t>PISTES:
ACI / Technosol</t>
  </si>
  <si>
    <t>PISTES:
Technosol / ACI</t>
  </si>
  <si>
    <t xml:space="preserve">Electrification </t>
  </si>
  <si>
    <t>Supervision et contrôle des travaux de réalisation de 22 centrales solaires, 20 réseaux HTA et 20 réseaux BT dans 42 villages</t>
  </si>
  <si>
    <t>LSE</t>
  </si>
  <si>
    <t>HYDRAULIQUE:
Elma forages</t>
  </si>
  <si>
    <t>Lot 1: Réalisation de 10 Forages dans la région de Sédhiou</t>
  </si>
  <si>
    <t>Lot 2 : Réalisation de 10 Forages dans la région de Kolda</t>
  </si>
  <si>
    <t>HYDRAULIQUE:
CDE</t>
  </si>
  <si>
    <t>Lot 3: Réalisation de 10 Forages dans les régions de Kolda, Diourbel et Louga</t>
  </si>
  <si>
    <t>HYDRAULIQUE:
ECORE</t>
  </si>
  <si>
    <t>Lot 4:Construction de 10 Châteaux d'eau dans la région de Sédhiou</t>
  </si>
  <si>
    <t>Lot 5: Construction de 10 Châteaux d'eau dans la région de Kolda</t>
  </si>
  <si>
    <t>HYDRAULIQUE:
CSTI</t>
  </si>
  <si>
    <t xml:space="preserve">Lot 6: Construction de 9 Châteaux d'eau dans les régions de Kolda, Diourbel et Louga
</t>
  </si>
  <si>
    <t>Etudes et controle de 25 forages au MFT dans les régions de Tambacounda et Kédougou</t>
  </si>
  <si>
    <t xml:space="preserve"> HYDRAULIQUE:
SEMIS / ETIC</t>
  </si>
  <si>
    <t>Supervision des travaux de forages et château d'eau</t>
  </si>
  <si>
    <t xml:space="preserve"> HYDRAULIQUE:
NAMAN</t>
  </si>
  <si>
    <t xml:space="preserve">Réalisation de 25 forages MFT
</t>
  </si>
  <si>
    <t xml:space="preserve"> HYDRAULIQUE:
SOLENE</t>
  </si>
  <si>
    <t xml:space="preserve">Fourniture et pose de 43 équipements de pompage
</t>
  </si>
  <si>
    <t>Lot 1: Construction de 5 postes de santé dans la région de Ziguinchor</t>
  </si>
  <si>
    <t>POSTES DE SANTE:
DITEF</t>
  </si>
  <si>
    <t>Lot 4: Construction de 5 postes de santé dans la région de Sédhiou</t>
  </si>
  <si>
    <t>POSTES DE SANTE:
SECOTRAS</t>
  </si>
  <si>
    <t>Lot 5: Construction de 5 postes de santé dans la région de Kolda</t>
  </si>
  <si>
    <t>Lot 6: Construction de 5 postes de santé dans la région de Kolda</t>
  </si>
  <si>
    <t>SANTE/SUPERVISION</t>
  </si>
  <si>
    <t>GIC SA / AGECET- BTP</t>
  </si>
  <si>
    <t>Lot 1: Recrutement d'un cabinet de contrôle et de supervision des travaux des postes de santé, d'écoles</t>
  </si>
  <si>
    <t>EDUCATION/SUPERVISION</t>
  </si>
  <si>
    <t>TPF S.A</t>
  </si>
  <si>
    <t>Lot 2: Recrutement d'un cabinet de contrôle et de supervision des travaux des postes de santé, d'écoles</t>
  </si>
  <si>
    <t xml:space="preserve">Travaux de construction /réhabilitation de 06 d'infrastructures scolaires dans la région de Sédhiou </t>
  </si>
  <si>
    <t>Travaux de construction /réhabilitation de 08 d'infrastructures scolaires dans la région de Kolda.</t>
  </si>
  <si>
    <t>Travaux de construction /réhabilitation de 07 infrastructures scolaires dans la région de Ziguinchor.</t>
  </si>
  <si>
    <t>Equipements Post-Récolte</t>
  </si>
  <si>
    <t>EQUIPEMENTS POST-RECOLTE:
SISMAR</t>
  </si>
  <si>
    <t>Lot 1: 124 Equipements Zone Sud dans les régions de Kolda, Sédhiou et Ziguinchor</t>
  </si>
  <si>
    <t>Lot 2: 122 Equipements Zone Sud dans les régions de Kolda, Sédhiou et Ziguinchor</t>
  </si>
  <si>
    <t>EQUIPEMENTS POST-RECOLTE:
PDI</t>
  </si>
  <si>
    <t>Lot 3: 53 Equipements Zone Sud dans les régions de Kolda, Sédhiou et Ziguinchor
Délai : 12 mois</t>
  </si>
  <si>
    <t>IS: Equipements Post-Récolte</t>
  </si>
  <si>
    <t>COMITES DE GESTION (Région Kolda) MSA</t>
  </si>
  <si>
    <t>Mise en place de 100 comités de gestion (CG) dans la région de Kolda
Délai : 5 mois</t>
  </si>
  <si>
    <t>COMITES DE GESTION (Région Ziguinchor)                                                    MSA</t>
  </si>
  <si>
    <t>Mise en place de 84 comités de gestion (CG) dans la région de Ziguinchor
Délai : 5 mois</t>
  </si>
  <si>
    <t>COMITES DE GESTION (Région Sédhiou)                                                  GRADELS</t>
  </si>
  <si>
    <t>Mise en place de 71 comités de gestion (CG) dans la région de Sédhiou
Délai : 5 mois</t>
  </si>
  <si>
    <t>CHAINE DE VALEUR HORTICOLE:
DIOUBO</t>
  </si>
  <si>
    <t>Réseau d'irrigation dans les régions de Louga et Matam
Délai: 4 mois</t>
  </si>
  <si>
    <t>Réseau d'irrigation dans la région de Tambacounda
Délai: 4 mois</t>
  </si>
  <si>
    <t>Réseau d'irrigation dans la région de Kolda
Délai: 4 mois</t>
  </si>
  <si>
    <t>CHAINE DE VALEUR HORTICOLE:
IDEAL 860</t>
  </si>
  <si>
    <t>Fourniture et pose de grillage dans la région de Kolda
Délai: 4 mois</t>
  </si>
  <si>
    <t>CHAINE DE VALEUR HORTICOLE:
FOLAND SARL</t>
  </si>
  <si>
    <t>CHAINE DE VALEUR HORTICOLE:
CAPCI</t>
  </si>
  <si>
    <t>Fourniture et livraison de semences dans la région de Kolda
Délai: 20 jours</t>
  </si>
  <si>
    <t>Fourniture et livraison de semences dans la région de Sédhiou
Délai: 20 jours</t>
  </si>
  <si>
    <t>Fourniture et livraison de semences dans la région de Tambacounda
Délai: 20 jours</t>
  </si>
  <si>
    <t>Fourniture et livraison de semences dans les régions de Louga et Matam
Délai: 20 jours</t>
  </si>
  <si>
    <t>Fourniture et livraison d'engrais dans la région de Kolda
Délai: 20 jours</t>
  </si>
  <si>
    <t>Fourniture et livraison d'engrais dans la région de Sédhiou
Délai: 20 jours</t>
  </si>
  <si>
    <t>Fourniture et livraison d'engrais dans la région de Tambacounda
Délai: 20 jours</t>
  </si>
  <si>
    <t>Fourniture et livraison d'engrais dans la région de Louga et Matam
Délai: 20 jours</t>
  </si>
  <si>
    <t>CDV-Lait</t>
  </si>
  <si>
    <t>En PPM</t>
  </si>
  <si>
    <t>Plateformes de services agricoles</t>
  </si>
  <si>
    <t xml:space="preserve">Audit </t>
  </si>
  <si>
    <t>GRANT THORTONE (Audit Annuel)</t>
  </si>
  <si>
    <t>Géoportail</t>
  </si>
  <si>
    <t>conception et réalisation du géoportail du PUDC</t>
  </si>
  <si>
    <t>SISE</t>
  </si>
  <si>
    <t>Parametrage du SISE</t>
  </si>
  <si>
    <t>Travaux de réalisation de 66,5 Km de pistes rurales dans le région de Thiès</t>
  </si>
  <si>
    <t>Kélimane (Ex- ECCOTRA) - Lot 5- Louga</t>
  </si>
  <si>
    <t>PISTES:
GENIE MILITAIRE (Contrepartie)</t>
  </si>
  <si>
    <t>Construcion de piste : 
Khelcom - Darou Salam : 85 km</t>
  </si>
  <si>
    <t>ICA / SONED AFRIQUE</t>
  </si>
  <si>
    <t>Travaux constriuction et d'insrallation de 30 centrales solaires</t>
  </si>
  <si>
    <t>Contrôle et supervison des travaux d'électrification de 30 villages par centrales solaires</t>
  </si>
  <si>
    <t>HYDRAULIQUE : 
CGC INT</t>
  </si>
  <si>
    <t>Lot 1 : Réalisation de 10 forages danas les régions de Thiès, Saint Louis et Matam</t>
  </si>
  <si>
    <t>HYDRAULIQUE : 
ECORE</t>
  </si>
  <si>
    <t>Lot 1 : Construction de 10 CE + Réseau+Equipements exhaures les régions de Thiès, Saint Louis et Matam</t>
  </si>
  <si>
    <t>HYDRAULIQUE : 
CSTI / DAROSA</t>
  </si>
  <si>
    <t>Lot 2 : Construction de 10 CE + Réseau+Equipements exhaures les régions  de Kaffrine et Louga</t>
  </si>
  <si>
    <t>HYDRAULIQUE : 
OKAZ TRADING / DELTA</t>
  </si>
  <si>
    <t>Lot 3 : Construction de 11 CE + Réseau+Equipements exhaures les régions de Kolda et Tamba</t>
  </si>
  <si>
    <t>Lot 4 : Construction de 9 CE + Réseau+Equipements exhaures les régions de Sédhiou et Ziguinchor</t>
  </si>
  <si>
    <t>HYDRAULIQUE : 
HYDROCONSULT</t>
  </si>
  <si>
    <t>SANTE/PROTECTION SOCIALE</t>
  </si>
  <si>
    <t>Partenariat CNDN (Ex CLM)</t>
  </si>
  <si>
    <t xml:space="preserve">Appui aux cantines scolaires, suivi-promotion de la croissance </t>
  </si>
  <si>
    <t>Mise en place Comités de gestion et formation</t>
  </si>
  <si>
    <t>PLATEFORMES
GRADELS                                             Etude en cours</t>
  </si>
  <si>
    <t>Etude de faisabilité technique et économique pour la mise en place de 25 plateformes de transformation agricole</t>
  </si>
  <si>
    <t xml:space="preserve">Partenariat </t>
  </si>
  <si>
    <t xml:space="preserve">AUDIT </t>
  </si>
  <si>
    <t>Audit comptable et financier BAD</t>
  </si>
  <si>
    <t>Forum de l'eau</t>
  </si>
  <si>
    <t>Recrutement consultant ou agence receptive en hotellerie et tourisme pour les besoins du 9e forum mondial de l'eau (Dakar 2021)</t>
  </si>
  <si>
    <t>Acquisition de matériels de communication pour les besoins du 9e forum mondial de l'Eau (Dakar 2021)</t>
  </si>
  <si>
    <t>Recrutement consultant en transport logistique</t>
  </si>
  <si>
    <t>Elaboration des pland d'aménagement des sites d'accueil du Forum mondial de l'Eau</t>
  </si>
  <si>
    <t>Stratégie de communication au profit du forum mondial de l'eau</t>
  </si>
  <si>
    <t>FONCTIONNEMENT POUR LE FORUM</t>
  </si>
  <si>
    <t>CDV: Magasins de stockage et de conditionnement</t>
  </si>
  <si>
    <t>MISE EN PLACE DES MAGASINS DE STOCKAGE ET INFRASTRUCTURES DE CONDITIONNEMENT</t>
  </si>
  <si>
    <t>IS: Cabinet IS BAD</t>
  </si>
  <si>
    <t>Sélection d'un cabinet en charge de l'IEC</t>
  </si>
  <si>
    <t>Environnement</t>
  </si>
  <si>
    <t>Gestion des ressources naturelles et des habitats</t>
  </si>
  <si>
    <t>DECC</t>
  </si>
  <si>
    <t>Appui à la mise en eouvre du PCGES</t>
  </si>
  <si>
    <t>Renforcement de capacités des collectivités territoriales</t>
  </si>
  <si>
    <t>LBA</t>
  </si>
  <si>
    <t>Financement des projets porteurs de haute valeur ajoutée</t>
  </si>
  <si>
    <t>Communication</t>
  </si>
  <si>
    <t>Supervision et contrôle des travaux du projet FSD</t>
  </si>
  <si>
    <t>Réalisation centrales solaires dans 24 villages
Délai: 13 mois</t>
  </si>
  <si>
    <t>Fourniture et pose de dix (10) équipements de pompage solaire pour les forages au Marteau Fond de Trou (MFT) et réalisation d'ouvrages annexes dans les régions de Tambacounda et Kédougou</t>
  </si>
  <si>
    <t>Etude d’implantation d’un forage en vue d’un transfert pour l’alimentation en eau potable (AEP) des villages de la commune de bokiladji</t>
  </si>
  <si>
    <t>Fourniture et installation d'équipements hospitalier sur 20 postes de santé dans les régions de Ziguinchor, Sédhiou, Tambacounda, Kédougou et Fatick</t>
  </si>
  <si>
    <t>Fourniture et installation de mobilier de bureau pour 20 postes de santé dans les régions de Ziguinchor, Sédhiou, Tambacounda, Kédougou et Fatick</t>
  </si>
  <si>
    <t>BIODIGESTEURS</t>
  </si>
  <si>
    <t>PNBS</t>
  </si>
  <si>
    <t>Accompagnement l'installation et à l'exploitation de bio digesteurs.</t>
  </si>
  <si>
    <t>Recrutement d’un Cabinet d’Assistance technique aux opérateurs et gestionnaires de Quinze (15) plateformes de services et démarrage de l’accompagnement</t>
  </si>
  <si>
    <t xml:space="preserve">Recrutement d'une agence de communication pour accompagner la mise en œuvre du projet </t>
  </si>
  <si>
    <t>PNUD</t>
  </si>
  <si>
    <t>Fourniture de service au projet PUDC PHASE 2/FSD</t>
  </si>
  <si>
    <t>EXCELLEC</t>
  </si>
  <si>
    <t>EDICULES SCOLAIRE</t>
  </si>
  <si>
    <t>REALISATION DE 10 EDICULES SCOLAIRE</t>
  </si>
  <si>
    <t>DAO</t>
  </si>
  <si>
    <t>LANCEMENT</t>
  </si>
  <si>
    <t>OUVERTURE</t>
  </si>
  <si>
    <t>EVALUATION</t>
  </si>
  <si>
    <t>ATTRIBUTION</t>
  </si>
  <si>
    <t>SIGNATURE CONTRAT</t>
  </si>
  <si>
    <t>Acquisition TOMPRO</t>
  </si>
  <si>
    <t>Matériel informatique santé</t>
  </si>
  <si>
    <t>DAO Equipement complémentaire pour 15 sites (post récolte)</t>
  </si>
  <si>
    <t>DAO Construction de 15 abris pour plateformes</t>
  </si>
  <si>
    <t>REAL.</t>
  </si>
  <si>
    <t>Taux de Réal.</t>
  </si>
  <si>
    <t xml:space="preserve"> Linéaire de pistes rurales construit</t>
  </si>
  <si>
    <t>Nombre total de villages électrifiés</t>
  </si>
  <si>
    <t xml:space="preserve"> Linéaire de dorsale Electrique réalisé</t>
  </si>
  <si>
    <t>Forages MFT réalisés</t>
  </si>
  <si>
    <t>Forages Rotary réalisés</t>
  </si>
  <si>
    <t>Château d'eau réalisés</t>
  </si>
  <si>
    <t>Systèmes hydrauliques mis en service (SMV)</t>
  </si>
  <si>
    <t>Infrastructures scolaires construites /Réhabilités  et équipées</t>
  </si>
  <si>
    <t xml:space="preserve">Edicules réalisées </t>
  </si>
  <si>
    <t>Postes de santé construits et équipés</t>
  </si>
  <si>
    <t>PTA mis en place</t>
  </si>
  <si>
    <t>Voletchaine de Lait</t>
  </si>
  <si>
    <t>Voletchaine de valeur Agricole</t>
  </si>
  <si>
    <t>Magasins de stockage installés</t>
  </si>
  <si>
    <t>Infrastructures de conditionnement mis en place</t>
  </si>
  <si>
    <t>Unités laitières mises en place</t>
  </si>
  <si>
    <t>Acteurs formés</t>
  </si>
  <si>
    <t>Plans d'affaires pour les porteurs de projets</t>
  </si>
  <si>
    <t>Produits</t>
  </si>
  <si>
    <t>Le PUDC fournira aussi le nombre de villages désenclévés à cet effet.</t>
  </si>
  <si>
    <t xml:space="preserve"> P1.1. Les infrastructures routières sont construites</t>
  </si>
  <si>
    <t xml:space="preserve"> P1.2. Les infrastructures énergétiques sont construites</t>
  </si>
  <si>
    <t>Désagréger par "Voie MT/BT et par Voie solaire"</t>
  </si>
  <si>
    <t>P1.3 Les ouvrages hydrauliques sont réalisés</t>
  </si>
  <si>
    <t>P1.3.1 Forages réalisés et équipés</t>
  </si>
  <si>
    <t>(**) P1.3.1.1  Nouveaux forages ROTARY réalisés et équipés</t>
  </si>
  <si>
    <t>P1.3.2 Chateaux d'eau construits et équipés</t>
  </si>
  <si>
    <t>P1.3.4  Membres de la communauté formés à l'exploitation et à la gestion des points d'eau</t>
  </si>
  <si>
    <t>P1.4. Les infrastructure sociales de base (Santé et Education) sont réalisées et capacités des structures de santé renforcées.</t>
  </si>
  <si>
    <t>Nombre</t>
  </si>
  <si>
    <t>P1.4.1.1 Ecoles primaires construites et équipées</t>
  </si>
  <si>
    <t>P1.4.1.2 Ecoles primaires réhabilitées et équipées</t>
  </si>
  <si>
    <t>P1.4.1.3 Ecoles secondaires (collèges d'Enseignement moyen) construites  et équipés</t>
  </si>
  <si>
    <t xml:space="preserve">(**) P1.4.3.1. Mutuelles de santé appuyées </t>
  </si>
  <si>
    <t xml:space="preserve">(**) P1.4.3.2. Enfants bénéficiant de la (Surveillance Nutritionnelle) </t>
  </si>
  <si>
    <t xml:space="preserve">(**) P1.4.3.3. Enfants malnutris pris en charge </t>
  </si>
  <si>
    <t>P2.1. Les équipements de transformation agricole et post-récolte sont mis à disposition et fonctionnels</t>
  </si>
  <si>
    <t>P2.1.2. Infrastructures de stockage construites et équipées (magasins de stockage BAD)</t>
  </si>
  <si>
    <t>P2.1.3. Infrastructures de condionnement construites et équipées (magasins de conditionnements des produits agricoles)</t>
  </si>
  <si>
    <t>P2.1.4. Comités de gestion mis en place pour la gestion des équipements</t>
  </si>
  <si>
    <t xml:space="preserve">P2.1.5 Membres des comités de gestion formés </t>
  </si>
  <si>
    <t>P2.2. Les chaines de valeurs agricoles et laitières sont promues pour renforcer les capacités entrepreunariales des bénéficiaires</t>
  </si>
  <si>
    <t>Voletchaine de valeur</t>
  </si>
  <si>
    <t xml:space="preserve"> P2.2.2. Plateformes agricoles fonctionnelles</t>
  </si>
  <si>
    <t>(**) P2.2.3.1. Superficies mis en valeur</t>
  </si>
  <si>
    <t>ha</t>
  </si>
  <si>
    <t>P2.2.4. SAR  créées et/ou redynamisées</t>
  </si>
  <si>
    <r>
      <t xml:space="preserve">P2.2.5  Nombre  d’équipements de récolte/ SAR </t>
    </r>
    <r>
      <rPr>
        <sz val="10"/>
        <color indexed="17"/>
        <rFont val="Segoe Print"/>
      </rPr>
      <t>(Nombre de SAR équipés en matériel agricole)</t>
    </r>
  </si>
  <si>
    <t>P2.2.6  TPE promues pour soutenir diverses chaînes de valeur agricoles</t>
  </si>
  <si>
    <t xml:space="preserve">P2.2.8 Coopératives laitières mises en place </t>
  </si>
  <si>
    <t>P2.2.9 Equipements d'unités de transformation de produits laitiers distribués (</t>
  </si>
  <si>
    <t>P3.1. Les infrastructures du PUDC sont réalisées dans le respect des clauses environnementales en vigueurs au Sénégal.</t>
  </si>
  <si>
    <t>Volet : Environnement et promotion d'une économie verte</t>
  </si>
  <si>
    <t>P3.1.1. Rapport d’Evaluation Environnementale Stratégique (EES) validé</t>
  </si>
  <si>
    <t>P3.1.2. Proportion de contrats de travaux de construction de pistes rurales disposant d'un plan de gestion environnemental.</t>
  </si>
  <si>
    <t>P3.1.3. Proportion de contrats hydraulique et d'électrification rurale exécutés dans le respect des cahiers de charges environnemental / hygienne et sécurité intégrés dans les DAO.</t>
  </si>
  <si>
    <t xml:space="preserve">P3.1.5. Nombre ha d'espaces naturels restaurés </t>
  </si>
  <si>
    <t>P3.1.6. Nombre d'unités de bio-digesteurs installés</t>
  </si>
  <si>
    <t>P3.2. Etudes, renforcement de capacités des acteurs, sensibilisation et changement de comportements sont promus dans la mise en œuvre du programme.</t>
  </si>
  <si>
    <t>Volet Accompagnement, renforcements de capacités et IEC/CCC</t>
  </si>
  <si>
    <t xml:space="preserve">P3.2.1. Personnes sensibilisés </t>
  </si>
  <si>
    <t>P3.2.2 Plans d’affaires élaborés pour les porteurs de projets dans les territoires d'intervention du projet</t>
  </si>
  <si>
    <t>P3.2.3. Agents des Ministères formés</t>
  </si>
  <si>
    <r>
      <t xml:space="preserve">P3.2.4.  Femmes formées </t>
    </r>
    <r>
      <rPr>
        <sz val="8"/>
        <color indexed="17"/>
        <rFont val="Segoe Print"/>
      </rPr>
      <t>(Formations des Formatrices pour 250 Groupements féminins)</t>
    </r>
  </si>
  <si>
    <r>
      <t xml:space="preserve">P3.2.5.  Jeunes formés </t>
    </r>
    <r>
      <rPr>
        <sz val="8"/>
        <color indexed="17"/>
        <rFont val="Segoe Print"/>
      </rPr>
      <t>(150 ASC ciblés dans la zone du projet et 100 agents des services déconcentrés)</t>
    </r>
  </si>
  <si>
    <r>
      <t>P3.2.6. Agents des CT formés</t>
    </r>
    <r>
      <rPr>
        <sz val="8"/>
        <color indexed="17"/>
        <rFont val="Segoe Print"/>
      </rPr>
      <t xml:space="preserve"> (50 Collectivités territoriales)</t>
    </r>
  </si>
  <si>
    <t>Composante 4 : Appui à la Gestion et à la Coordination</t>
  </si>
  <si>
    <t>NB: Autres activités</t>
  </si>
  <si>
    <t>1.</t>
  </si>
  <si>
    <t>2.</t>
  </si>
  <si>
    <t>3.</t>
  </si>
  <si>
    <t>VALIDATION EXECUTION BUDGETAIRE</t>
  </si>
  <si>
    <t>4.</t>
  </si>
  <si>
    <t>Unité de bio digesteur installés</t>
  </si>
  <si>
    <t>Total CIBLE</t>
  </si>
  <si>
    <t>Pour ce qui est de l’équipement des postes de santé, le DAO finalisé et approuvé par la DCMP et la BAD.</t>
  </si>
  <si>
    <t>Travaux finalisés et réceptionnés</t>
  </si>
  <si>
    <t>La procédure de passation de marché est bouclée et les demandes d'attestation d'existence de crédits sont introduites.</t>
  </si>
  <si>
    <t>Il a été décidé que l'étude soit réalisée sous financement BCI. La procédure de passation de marché est bouclée et la contractualisation est en cours.</t>
  </si>
  <si>
    <t>Kits d'amorçage</t>
  </si>
  <si>
    <t>Mini laitereies (Formation des gestionnaires</t>
  </si>
  <si>
    <t>Piste 29 km Kaolack</t>
  </si>
  <si>
    <t>Mini forages 23 PAC</t>
  </si>
  <si>
    <t>Audit (comptable)</t>
  </si>
  <si>
    <t>Audit (enviuronnemental)</t>
  </si>
  <si>
    <t>Audit (acquisitions)</t>
  </si>
  <si>
    <t>Accompagnement des unions maraichères</t>
  </si>
  <si>
    <t>consommable informatique</t>
  </si>
  <si>
    <r>
      <t>F</t>
    </r>
    <r>
      <rPr>
        <sz val="9"/>
        <color theme="1"/>
        <rFont val="Times New Roman"/>
        <family val="1"/>
      </rPr>
      <t xml:space="preserve">  </t>
    </r>
    <r>
      <rPr>
        <b/>
        <sz val="9"/>
        <color theme="1"/>
        <rFont val="Arial Narrow"/>
        <family val="2"/>
      </rPr>
      <t xml:space="preserve">Ndioum-Linguère (187 km ligne HTA 148) qui polarise 49 villages </t>
    </r>
    <r>
      <rPr>
        <sz val="9"/>
        <color theme="1"/>
        <rFont val="Arial Narrow"/>
        <family val="2"/>
      </rPr>
      <t>;</t>
    </r>
  </si>
  <si>
    <r>
      <t>F</t>
    </r>
    <r>
      <rPr>
        <sz val="9"/>
        <color theme="1"/>
        <rFont val="Times New Roman"/>
        <family val="1"/>
      </rPr>
      <t xml:space="preserve">  </t>
    </r>
    <r>
      <rPr>
        <b/>
        <sz val="9"/>
        <color theme="1"/>
        <rFont val="Arial Narrow"/>
        <family val="2"/>
      </rPr>
      <t>Niambour - Niakhène (25 km lignes HTA 148) qui polarise 31 villages.</t>
    </r>
  </si>
  <si>
    <r>
      <t>F</t>
    </r>
    <r>
      <rPr>
        <sz val="9"/>
        <color theme="1"/>
        <rFont val="Times New Roman"/>
        <family val="1"/>
      </rPr>
      <t xml:space="preserve">  </t>
    </r>
    <r>
      <rPr>
        <sz val="9"/>
        <color theme="1"/>
        <rFont val="Arial Narrow"/>
        <family val="2"/>
      </rPr>
      <t>Bandafassi –Salamata (56 km de ligne MT principale » et qui polarise 32 villages à électrifier.</t>
    </r>
  </si>
  <si>
    <t>Sélection de cabinet pour le contrôle et la supervision des travaux de construction de pistes rurales, d’ouvrages hydrauliques, d’infrastructures sanitaires et d’électrification dans les zones d’intervention du PSP-PUDC/FSD ;</t>
  </si>
  <si>
    <t xml:space="preserve">Recrutement d’une Agence de communication pour accompagner la mise en œuvre du PA-PUDC/FSD dans les régions d’intervention ; </t>
  </si>
  <si>
    <t>Construction  de Vingt (20) postes de santé dans les régions de Ziguinchor, Sédhiou, Tambacounda, Kédougou et Fatick ;</t>
  </si>
  <si>
    <t>Equipements hospitaliers pour  Vingt (20) postes de santé dans les régions de Ziguinchor, Sédhiou, Tambacounda, Kédougou et Fatick ;</t>
  </si>
  <si>
    <t>Matériels et mobiliers de bureau pour  Vingt (20) postes de santé dans les régions de Ziguinchor, Sédhiou, Tambacounda, Kédougou et Fatick ;</t>
  </si>
  <si>
    <t>Matériels informatiques  pour  Vingt (20) postes de santé dans les régions de Ziguinchor, Sédhiou, Tambacounda, Kédougou et Fatick ;</t>
  </si>
  <si>
    <t xml:space="preserve">Construction de Vingt-Quatre (24) centrales solaires dans les régions de Matam, Saint-Louis, Tambacounda, Ziguinchor et Sédhiou ; </t>
  </si>
  <si>
    <t>Etude d’implantation d’un forage en vue d’un transfert pour l’alimentation en eau potable (aep) des villages de la commune de Bokiladji</t>
  </si>
  <si>
    <t>Construction des travaux pour la mise en place d’un système hydraulique complet dans le Département de Kanel (Région de Matam) ;</t>
  </si>
  <si>
    <t xml:space="preserve">Construction de six (06) forages Rotary (20-50 m3/h) dans la région de Kaffrine ; </t>
  </si>
  <si>
    <r>
      <t>Construction de six (06) Châteaux d'eau (100-220m</t>
    </r>
    <r>
      <rPr>
        <vertAlign val="superscript"/>
        <sz val="10"/>
        <color rgb="FF000000"/>
        <rFont val="Calibri"/>
        <family val="2"/>
        <scheme val="minor"/>
      </rPr>
      <t>3</t>
    </r>
    <r>
      <rPr>
        <sz val="10"/>
        <color rgb="FF000000"/>
        <rFont val="Calibri"/>
        <family val="2"/>
        <scheme val="minor"/>
      </rPr>
      <t>) + Linéaire de réseau de 120 km, fourniture et pose d’équipements d'exhaure (Groupe électrogène et Pompe) pour six (06) forages Rotary (multi-villages) dans la région de Kaffrine ;</t>
    </r>
  </si>
  <si>
    <t>Construction de dix (10) forages au marteaux fond de trou (MFT) dans les régions de Tambacounda et Kédougou ;</t>
  </si>
  <si>
    <t>Fourniture d’équipements d'exhaure (Panneaux photovoltaïques, Pompes solaires et Réservoirs) pour dix (10) forages au marteaux fond de trou (MFT) dans les régions de Tambacounda et Kédougou ;</t>
  </si>
  <si>
    <t>Réalisation de l’électrification rurale par réseau MT/BT dans 25 villages et construction de Vingt-Cinq (25) Postes H61 dans les régions de Diourbel, Fatick, Louga et Thiès ;</t>
  </si>
  <si>
    <t>Recrutement d’un Cabinet pour le renforcement de capacités des mutuelles de santé et IEC des bénéficiaires des Vingt (20) postes de santé dans les régions de Ziguinchor, Sédhiou, Tambacounda, Kédougou et Fatick ;</t>
  </si>
  <si>
    <t>Recrutement d’un Cabinet pour le renforcement des capacités des collectivités locales bénéficiaires de Vingt (20) postes de santé dans les régions de Ziguinchor, Sédhiou, Tambacounda, Kédougou et Fatick ;</t>
  </si>
  <si>
    <t>Recrutement d’un Cabinet pour l’élaboration de plans d'affaires pour la mise en place de Quinze (15) plateformes de services ;</t>
  </si>
  <si>
    <t>Construction de quinze (15) abris pour l’installation de plateformes de services ;</t>
  </si>
  <si>
    <t>Mise en place de quinze (15) plateformes de services et dotation d’infrastructures et d’équipements complémentaires ;</t>
  </si>
  <si>
    <t>Assistance technique aux opérateurs et gestionnaires de Quinze (15) plateformes de services ;</t>
  </si>
  <si>
    <t xml:space="preserve">L’analyse des besoins des ménages et demande en énergie domestique (gaz) et des difficultés d'accès dans les sites d’implémentation de Vingt-Cinq (25) biodigesteurs ; et Analyse des capacités entrepreneuriales au niveau local pour l’implémentation de Vingt-Cinq (25) biodigesteurs dans les sites d’intervention du PUDC/ ; </t>
  </si>
  <si>
    <t>Appui technique au démarrage des activités (business plan, modèles de contrat, renforcement de capacités) au profit des acteurs bénéficiaires de Vingt-Cinq (25) biodigesteurs ;</t>
  </si>
  <si>
    <t>Implémentation de Vingt-Cinq (25) biodigesteurs dans les sites d’intervention du PUDC ;</t>
  </si>
  <si>
    <t>Attente Paiement Avance de démarrage</t>
  </si>
  <si>
    <r>
      <t xml:space="preserve">Construction de </t>
    </r>
    <r>
      <rPr>
        <strike/>
        <sz val="10"/>
        <color rgb="FF000000"/>
        <rFont val="Calibri"/>
        <family val="2"/>
        <scheme val="minor"/>
      </rPr>
      <t xml:space="preserve">210 </t>
    </r>
    <r>
      <rPr>
        <sz val="10"/>
        <color rgb="FF000000"/>
        <rFont val="Calibri"/>
        <family val="2"/>
        <scheme val="minor"/>
      </rPr>
      <t xml:space="preserve">256 km de pistes rurales dans les régions de Thiès, Tambacounda, Diourbel, Fatick, Louga et Kaffrine. </t>
    </r>
  </si>
  <si>
    <t>Transféré à PUDC-BCI</t>
  </si>
  <si>
    <t>ANO sur contrat (envoyé au FSD le 05/01/23)</t>
  </si>
  <si>
    <t>ANO sur contrat (envoyé au FSD le 08/11/22)</t>
  </si>
  <si>
    <t>ANO sur contrat (envoyé au FSD le 14/11/22)</t>
  </si>
  <si>
    <t>ANO rapport Evaluation (envoyé au FSD le 25/10/22)</t>
  </si>
  <si>
    <t>ANO rapport Evaluation  (envoyé au FSD le 25/10/22)</t>
  </si>
  <si>
    <t>Transféré au projet 2000 villages</t>
  </si>
  <si>
    <t>DAO en cours</t>
  </si>
  <si>
    <t>Partenariat avec le PNB-SN</t>
  </si>
  <si>
    <t>Acquisition d'équipements pour les Plateformes</t>
  </si>
  <si>
    <t xml:space="preserve">Réalisation de 40 Edicules scolaires </t>
  </si>
  <si>
    <t>Bouclée</t>
  </si>
  <si>
    <t>PUDC-BCI 2022</t>
  </si>
  <si>
    <t>Fonctionnement du Projet BAD</t>
  </si>
  <si>
    <t>Supervision des travaux du projet FSD</t>
  </si>
  <si>
    <t>Total Global 2023</t>
  </si>
  <si>
    <t>Total BAD 2023</t>
  </si>
  <si>
    <t>Total BID 2023</t>
  </si>
  <si>
    <t>Total FSD 2023</t>
  </si>
  <si>
    <t>Total BCI 2023</t>
  </si>
  <si>
    <t>P2000</t>
  </si>
  <si>
    <t>COMITE OPERATIONNEL BILAN TRIM 2: ATELIER BILAN A MI-PARCOURS</t>
  </si>
  <si>
    <t>VALIDATION DES PERFORMANCES TECHNIQUES AU 30 JUIN 2023</t>
  </si>
  <si>
    <t>VALIDATION PERFORMANCE EN PASSTION DE MARCHE AU 30 JUIN 2023</t>
  </si>
  <si>
    <t>Recrutement d’un Consultant spécialiste en Géophysique pour l’étude géophysique et hydrogéologique de six (06) forages Rotary (multi-villages) dans la région de Kaffrine et dix (10) forages au marteaux fond de trou (MFT) dans les régions de Tambacounda et Kédougou </t>
  </si>
  <si>
    <t>Travaux de construction de 66,5km pistes rurales dans la régions de Thies</t>
  </si>
  <si>
    <t xml:space="preserve">Construction de 22 Magasins de stockages </t>
  </si>
  <si>
    <t>LES AVENANTS DE DELAIS ET RELANCES (à insérer)</t>
  </si>
  <si>
    <t>Réalisation de PTA (Préfabriqué)</t>
  </si>
  <si>
    <t>DAO FINALISE</t>
  </si>
  <si>
    <t>Plans d'affaire pour les PTA</t>
  </si>
  <si>
    <t>En cours de finalisation avec la mobilisation du cabinet MSA</t>
  </si>
  <si>
    <r>
      <t xml:space="preserve">Renforcement de capacités des acteurs </t>
    </r>
    <r>
      <rPr>
        <sz val="8"/>
        <color theme="1"/>
        <rFont val="Arial Narrow"/>
        <family val="2"/>
      </rPr>
      <t>(Renforcement des capacités des Services techniques déconcentrés, Renforcement des capacités des collectivités territoriales, Renforcement des capacités des mutuelles de santé, Renforcement des capacités des Groupements de promotion féminine (GPF)</t>
    </r>
  </si>
  <si>
    <r>
      <t xml:space="preserve">Comité de gestion des équipements post-récolte </t>
    </r>
    <r>
      <rPr>
        <sz val="9"/>
        <color rgb="FFFF0000"/>
        <rFont val="Arial Narrow"/>
        <family val="2"/>
      </rPr>
      <t>continuité 2023</t>
    </r>
  </si>
  <si>
    <t>Réalisation des neuf forages</t>
  </si>
  <si>
    <t>Attribué: demande d'existence de crédits depuis 
lot 1 depuis le 24/03/2023
lot 2,3,4 depuis le 25/04/2023</t>
  </si>
  <si>
    <t>Piste rurales</t>
  </si>
  <si>
    <t>Electrification</t>
  </si>
  <si>
    <t>Acquisition matériel du sig</t>
  </si>
  <si>
    <t>Objectif TRIM 1</t>
  </si>
  <si>
    <t>Décaissement au 31/03/2023</t>
  </si>
  <si>
    <t>Objectif TRIM 2</t>
  </si>
  <si>
    <t>Décaissement au 31/05/2023</t>
  </si>
  <si>
    <t>Décaissement au 30/06/2023</t>
  </si>
  <si>
    <t>TOTAL COMPOSANTE 4</t>
  </si>
  <si>
    <t>TOTAL P 2000 VILLAGES</t>
  </si>
  <si>
    <t>PARTAGE DES ELEMENTS DE BASE DU RAPPORT DU TRIM2</t>
  </si>
  <si>
    <t>5.</t>
  </si>
  <si>
    <t>PERSPECTIVES TRIM3</t>
  </si>
  <si>
    <t>Numéros de contrat</t>
  </si>
  <si>
    <t>Engagement Physique</t>
  </si>
  <si>
    <t>Taux Engagement</t>
  </si>
  <si>
    <t>Montant Avenant en FCFA en TTC (B)</t>
  </si>
  <si>
    <t xml:space="preserve"> MONTANT TOTAL ACTUALISE (A+B)</t>
  </si>
  <si>
    <t>Date notification / OS</t>
  </si>
  <si>
    <t>Durée d'exécution
(mois)</t>
  </si>
  <si>
    <t>Échéance avant Avenant</t>
  </si>
  <si>
    <t>Nombre d'avenant</t>
  </si>
  <si>
    <t>Échéance dernier Avenant</t>
  </si>
  <si>
    <r>
      <t xml:space="preserve">Taux d'exécition 
</t>
    </r>
    <r>
      <rPr>
        <sz val="8"/>
        <rFont val="Arial Narrow"/>
        <family val="2"/>
      </rPr>
      <t>(Avancement et Ex. Physique)</t>
    </r>
  </si>
  <si>
    <t>Commentaires Avancement Physique</t>
  </si>
  <si>
    <r>
      <t xml:space="preserve">Montant total des décomptes reçus HT
</t>
    </r>
    <r>
      <rPr>
        <b/>
        <sz val="8"/>
        <color rgb="FF0070C0"/>
        <rFont val="Arial Narrow"/>
        <family val="2"/>
      </rPr>
      <t>(31/03/2023)</t>
    </r>
  </si>
  <si>
    <r>
      <t xml:space="preserve">Montant total des décomptes reçus TVA
</t>
    </r>
    <r>
      <rPr>
        <b/>
        <sz val="8"/>
        <color rgb="FF0070C0"/>
        <rFont val="Arial Narrow"/>
        <family val="2"/>
      </rPr>
      <t>(31/03/2023)</t>
    </r>
  </si>
  <si>
    <r>
      <t xml:space="preserve">Montant total des décomptes reçus TTC
</t>
    </r>
    <r>
      <rPr>
        <b/>
        <sz val="8"/>
        <color rgb="FF0070C0"/>
        <rFont val="Arial Narrow"/>
        <family val="2"/>
      </rPr>
      <t>(31/03/2023)</t>
    </r>
  </si>
  <si>
    <r>
      <t xml:space="preserve">Paiement HT (FCFA)
</t>
    </r>
    <r>
      <rPr>
        <b/>
        <sz val="8"/>
        <color rgb="FF00B050"/>
        <rFont val="Arial Narrow"/>
        <family val="2"/>
      </rPr>
      <t>(31/03/2023)</t>
    </r>
  </si>
  <si>
    <t>MONTANT PAIEMENT TVA - DODP
(31/03/2023)</t>
  </si>
  <si>
    <t>Taux d'exécition Finnacière Global</t>
  </si>
  <si>
    <t>Taux d'exécition Finnacière Réel</t>
  </si>
  <si>
    <t>Intaces Paiement</t>
  </si>
  <si>
    <t>TVA DUE SUR DECOMPTES</t>
  </si>
  <si>
    <t>Caution de garantie de restitution d'avance de démarrage</t>
  </si>
  <si>
    <t>Caution de retenue de garantie</t>
  </si>
  <si>
    <t>Caution de Garantie de bonne exécution</t>
  </si>
  <si>
    <r>
      <t xml:space="preserve">AUTRES POINTS D'ATTENTION
</t>
    </r>
    <r>
      <rPr>
        <sz val="8"/>
        <rFont val="Arial Narrow"/>
        <family val="2"/>
      </rPr>
      <t>(Délais d'exécution du contrat, contraintes, etc.)</t>
    </r>
  </si>
  <si>
    <t>001/2019/PUDC/BID</t>
  </si>
  <si>
    <r>
      <t xml:space="preserve">Lot 1: Construction de 54 km de pistes dans la réigion de Sédhiou , pour une durée de 16 mois
</t>
    </r>
    <r>
      <rPr>
        <sz val="8"/>
        <color rgb="FF0070C0"/>
        <rFont val="Arial Narrow"/>
        <family val="2"/>
      </rPr>
      <t>• TR 01 : Sénoba - Ndiamacouta - Boudouck – Diallocounda : 38 km ;
• TR 02: Sassita - Saré Seydi Sall - Saré Aliou - Médina Hancounda - Saré Samba Cissé :16 km.</t>
    </r>
    <r>
      <rPr>
        <sz val="8"/>
        <rFont val="Arial Narrow"/>
        <family val="2"/>
      </rPr>
      <t xml:space="preserve">
</t>
    </r>
    <r>
      <rPr>
        <b/>
        <sz val="8"/>
        <color rgb="FF7030A0"/>
        <rFont val="Arial Narrow"/>
        <family val="2"/>
      </rPr>
      <t>Travaux additionnels:</t>
    </r>
    <r>
      <rPr>
        <sz val="8"/>
        <color rgb="FF00B050"/>
        <rFont val="Arial Narrow"/>
        <family val="2"/>
      </rPr>
      <t xml:space="preserve">
*La piste Marssassoum -Marssassoum Santo : 4,570Km
 *La piste RN4-Médina Hancounda : 0,8Km
 Les pistes dans la commune de KOLIBANTANG (1,404 km) avec les tronçons suivants :
• TR01 : Piste d’accès du village de MOYANFARA (0.5 km ;
• TR 02 : Piste d’accès du village de BANTANDIANG (0,375 km)
• Piste d’accès du village de WASSADOU (0,529 km).</t>
    </r>
  </si>
  <si>
    <r>
      <rPr>
        <b/>
        <i/>
        <sz val="8"/>
        <color theme="1"/>
        <rFont val="Arial Narrow"/>
        <family val="2"/>
      </rPr>
      <t>Réception provisoire des travaux a été pronancée  à la date du 09 février avec réserves de:</t>
    </r>
    <r>
      <rPr>
        <sz val="8"/>
        <color theme="1"/>
        <rFont val="Arial Narrow"/>
        <family val="2"/>
      </rPr>
      <t xml:space="preserve">
(++)Terminer les travaux de protection de talus (perrés maçonnés) ainsi que les enrochements ;
(++) Mettre des enrochements ou perrés maçonnés au niveau des radiers ;
(++) Reprendre les fossés longitudinaux sur les deux tronçons et créer des divergents par endroit ;
(++) Canaliser l’écoulement des eaux au droit de tous les ouvrages ;
(++) Finaliser la remise en état de toutes les carrières d’emprunts (latéritique et Sable).
(++) Implanter les deux panneaux restant sur le tronçon « Sassita –Saré samba Cissé ».
</t>
    </r>
    <r>
      <rPr>
        <i/>
        <sz val="8"/>
        <color theme="4"/>
        <rFont val="Arial Narrow"/>
        <family val="2"/>
      </rPr>
      <t>** Avenant N°1, relatif à la prolongation des délais contractuels, ainsi que la prise en charge des travaux additionnels (piste Marsassoum santos, piste Médina Hancounda et les pistes à kolibantang)  est signé ( Fin contrat 03 /06/ 2023).</t>
    </r>
  </si>
  <si>
    <r>
      <t xml:space="preserve">il reste à lever les réserves sur " la remise en état de toutes les carrières d’emprunts (latéritique et Sable)".
</t>
    </r>
    <r>
      <rPr>
        <b/>
        <sz val="8"/>
        <color theme="1"/>
        <rFont val="Arial Narrow"/>
        <family val="2"/>
      </rPr>
      <t>En recommandations</t>
    </r>
    <r>
      <rPr>
        <sz val="8"/>
        <color theme="1"/>
        <rFont val="Arial Narrow"/>
        <family val="2"/>
      </rPr>
      <t xml:space="preserve">:
</t>
    </r>
    <r>
      <rPr>
        <sz val="8"/>
        <color rgb="FF002060"/>
        <rFont val="Arial Narrow"/>
        <family val="2"/>
      </rPr>
      <t>* Lever les réserves formulées dans un délai d’un (01) mois.</t>
    </r>
    <r>
      <rPr>
        <sz val="8"/>
        <color theme="1"/>
        <rFont val="Arial Narrow"/>
        <family val="2"/>
      </rPr>
      <t xml:space="preserve">
</t>
    </r>
    <r>
      <rPr>
        <sz val="8"/>
        <color rgb="FF00B0F0"/>
        <rFont val="Arial Narrow"/>
        <family val="2"/>
      </rPr>
      <t>* Préparer un avenant de délais supplémentaire jusqu'au 31 Décembre 2023 pour finaliser les travaux additionnels ci-après:
  * La piste Marssassoum -Marssassoum Santo : 4,570Km
  *La piste RN4-Médina Hancounda : 0,8Km
 Les pistes dans la commune de KOLIBANTANG (1,404 km) avec les tronçons suivants :
• TR01 : Piste d’accès du village de MOYANFARA (0.5 km ;
• TR 02 : Piste d’accès du village de BANTANDIANG (0,375 km)
• Piste d’accès du village de WASSADOU (0,529 km).</t>
    </r>
  </si>
  <si>
    <t>002/2019/PUDC/BID</t>
  </si>
  <si>
    <r>
      <t xml:space="preserve">Lot2: Construction de 56,2 km de pistes dans la réigion de Kolda,  pour une durée de 16 mois
</t>
    </r>
    <r>
      <rPr>
        <sz val="8"/>
        <color rgb="FF0070C0"/>
        <rFont val="Arial Narrow"/>
        <family val="2"/>
      </rPr>
      <t>• TR 01 : Bourouco - Sare Samba Cisse-Hamdallaye-Medina Passy – Tankonfara : 56,12 km.</t>
    </r>
  </si>
  <si>
    <r>
      <rPr>
        <b/>
        <sz val="8"/>
        <color theme="1"/>
        <rFont val="Arial Narrow"/>
        <family val="2"/>
      </rPr>
      <t xml:space="preserve">Avancement global :  78 % </t>
    </r>
    <r>
      <rPr>
        <sz val="8"/>
        <color theme="1"/>
        <rFont val="Arial Narrow"/>
        <family val="2"/>
      </rPr>
      <t xml:space="preserve">
*Couche de roulement approvisionnée à 100%;
* Travaux de finition couche de roulement: 68%;
* Travaux de construction d'ouvrages hydraulique: 02 dalots en cours d'exécution (OH retenu : 13 dalots et 08 Radiers)
</t>
    </r>
    <r>
      <rPr>
        <b/>
        <sz val="8"/>
        <color rgb="FFFF0000"/>
        <rFont val="Arial Narrow"/>
        <family val="2"/>
      </rPr>
      <t>NB</t>
    </r>
    <r>
      <rPr>
        <sz val="8"/>
        <color rgb="FFFF0000"/>
        <rFont val="Arial Narrow"/>
        <family val="2"/>
      </rPr>
      <t>: Avenant N°1 de prolongation des délais contractuels est déjà signé ( Fin contrat 03 /06/ 2023).</t>
    </r>
  </si>
  <si>
    <r>
      <rPr>
        <b/>
        <sz val="8"/>
        <color rgb="FFFF0000"/>
        <rFont val="Arial Narrow"/>
        <family val="2"/>
      </rPr>
      <t>Retards notés dans l'exécution des travaux
NB: Avenant N°1</t>
    </r>
    <r>
      <rPr>
        <sz val="8"/>
        <color theme="1"/>
        <rFont val="Arial Narrow"/>
        <family val="2"/>
      </rPr>
      <t xml:space="preserve"> de prolongation des délais contractuels est déjà signé ( Fin contrat 03 /06/ 2023).
</t>
    </r>
    <r>
      <rPr>
        <b/>
        <sz val="8"/>
        <color theme="1"/>
        <rFont val="Arial Narrow"/>
        <family val="2"/>
      </rPr>
      <t>En recommandations:</t>
    </r>
    <r>
      <rPr>
        <sz val="8"/>
        <color theme="1"/>
        <rFont val="Arial Narrow"/>
        <family val="2"/>
      </rPr>
      <t xml:space="preserve">
*Accélérer les travaux de construction des ouvrages hydrauliques (OH retenu : 13 dalots et 08 Radiers)
* Vu le niveau d'exécution des travaux (78%) : Préparer un avenant de délais supplémentaire jusqu'au 31 Décembre 2023.</t>
    </r>
  </si>
  <si>
    <t>003/2019/PUDC/BID</t>
  </si>
  <si>
    <r>
      <t xml:space="preserve">Lot 3: Construction de 29,5 km de pistes dans la réigion de Thiès ,  pour une durée de 16 mois
</t>
    </r>
    <r>
      <rPr>
        <sz val="8"/>
        <color rgb="FF0070C0"/>
        <rFont val="Arial Narrow"/>
        <family val="2"/>
      </rPr>
      <t xml:space="preserve">• TR 01 : Keur Mbir - Ngadiaga - Beureup Ba - Mer + une bretelle (10 km) ;
• TR 02  :  Notto - Keur Mallal - Keur Omar (7 km); 
• TR 03: Mboro - Touba Tawfekh - Touba Ndiaye - Darou Salam Diouf + une bretelle (12,5 km);
• </t>
    </r>
    <r>
      <rPr>
        <sz val="8"/>
        <color theme="8"/>
        <rFont val="Arial Narrow"/>
        <family val="2"/>
      </rPr>
      <t>TR 04: Mérina Dakar – Ngadiaga-Tabbi-Thiékère (7,700 km) .</t>
    </r>
    <r>
      <rPr>
        <sz val="8"/>
        <rFont val="Arial Narrow"/>
        <family val="2"/>
      </rPr>
      <t xml:space="preserve">
</t>
    </r>
    <r>
      <rPr>
        <b/>
        <sz val="8"/>
        <color rgb="FF7030A0"/>
        <rFont val="Arial Narrow"/>
        <family val="2"/>
      </rPr>
      <t>**Travaux additionnels:</t>
    </r>
    <r>
      <rPr>
        <sz val="8"/>
        <rFont val="Arial Narrow"/>
        <family val="2"/>
      </rPr>
      <t xml:space="preserve">
</t>
    </r>
    <r>
      <rPr>
        <sz val="8"/>
        <color rgb="FF00B050"/>
        <rFont val="Arial Narrow"/>
        <family val="2"/>
      </rPr>
      <t>• TR 04: Mérina Dakar – Ngadiaga-Tabbi-Thiékère (7,700 km) .
•TR05: Bretelle Mboro -NDioufène: 2km.</t>
    </r>
  </si>
  <si>
    <r>
      <rPr>
        <b/>
        <sz val="8"/>
        <color theme="1"/>
        <rFont val="Arial Narrow"/>
        <family val="2"/>
      </rPr>
      <t xml:space="preserve">Avancement global : 72 % 
</t>
    </r>
    <r>
      <rPr>
        <sz val="8"/>
        <color theme="1"/>
        <rFont val="Arial Narrow"/>
        <family val="2"/>
      </rPr>
      <t>1.  Piste: "Notto - Keur Malal: 7km ":  (Av des travaux: 92%)
*Couche de roulement réalisée à 100%  
 ** Travaux restant: 
*Fourniture et Pose de pavé : 630 ml sur 800 ml;
*Fourniture et pose des panneaux de signalisation;
* Perrés maçonnés : en cours
2.  Piste: Mboro : 12,5 km: (Av des travaux: 90%)
 *Appros couche de roulement réalisé 98 % .
 *Finition couche de roulement : 8,100 km soit 65%.
 2.1:  Bretelle vers Ndioufene (2 km)   (Av des travaux: 18 %).
 *Nettoyage réalisé à 100 %
 * Approvisionnement couche de roulement: 350 ml
3. Piste: Mérina Dakhar : 5,7 km : travaux terminés à 99%
 *Reste la fourniture et pose des panneaux de signalisation.
 4.  Piste: Ngadiaga (Keur Mbir) 10km :(Av des travaux: 89 %)                                                                                                 
  *Approvisionnement couche de roulement réalisé à 100%</t>
    </r>
  </si>
  <si>
    <r>
      <t xml:space="preserve">Fin contrat SOCETRA: le 13 Décembre 2022
</t>
    </r>
    <r>
      <rPr>
        <sz val="8"/>
        <color rgb="FFFF0000"/>
        <rFont val="Arial Narrow"/>
        <family val="2"/>
      </rPr>
      <t xml:space="preserve">** Fin contrat de sous traitant "NABIL GROUPE" : le 26 Octobre 2022. </t>
    </r>
    <r>
      <rPr>
        <sz val="8"/>
        <color theme="1"/>
        <rFont val="Arial Narrow"/>
        <family val="2"/>
      </rPr>
      <t xml:space="preserve">
</t>
    </r>
    <r>
      <rPr>
        <sz val="8"/>
        <color rgb="FFFF0000"/>
        <rFont val="Arial Narrow"/>
        <family val="2"/>
      </rPr>
      <t>*Exiger à SOCETRA la sous traitant total des travaux restant sur Notto.</t>
    </r>
  </si>
  <si>
    <t>004/2019/PUDC/BID</t>
  </si>
  <si>
    <r>
      <t xml:space="preserve">Lot 4: Construction de 60 km de pistes dans la réigion de Louga,  pour une durée de 16 mois:
• Piste 01 : Ndande - kab Gaye (12,5 km) ;
• Piste 03 : RN2 - Kel Gueye (2 km);
• Piste 02 : Guéoul , Badègne Ouolof (11km);
• Piste 04 : Pété Warack - Depal Mbaye (6,5km);
• Piste 05 : Doundodji , Ndiané , Yang Yang , Mbeuleukhé : 28 km
</t>
    </r>
    <r>
      <rPr>
        <b/>
        <sz val="8"/>
        <color rgb="FF7030A0"/>
        <rFont val="Arial Narrow"/>
        <family val="2"/>
      </rPr>
      <t xml:space="preserve">Travaux additionnels "Piste de Nayobé  (6,1 km) </t>
    </r>
    <r>
      <rPr>
        <sz val="8"/>
        <rFont val="Arial Narrow"/>
        <family val="2"/>
      </rPr>
      <t>"</t>
    </r>
  </si>
  <si>
    <r>
      <rPr>
        <b/>
        <sz val="8"/>
        <color theme="1"/>
        <rFont val="Arial Narrow"/>
        <family val="2"/>
      </rPr>
      <t xml:space="preserve">Avancement global : 42 %    </t>
    </r>
    <r>
      <rPr>
        <sz val="8"/>
        <color theme="1"/>
        <rFont val="Arial Narrow"/>
        <family val="2"/>
      </rPr>
      <t xml:space="preserve">                                                                                   
</t>
    </r>
    <r>
      <rPr>
        <b/>
        <sz val="8"/>
        <color rgb="FFFF0000"/>
        <rFont val="Arial Narrow"/>
        <family val="2"/>
      </rPr>
      <t xml:space="preserve">  ***SOCETRA:</t>
    </r>
    <r>
      <rPr>
        <sz val="8"/>
        <color theme="1"/>
        <rFont val="Arial Narrow"/>
        <family val="2"/>
      </rPr>
      <t xml:space="preserve">
 1. Piste Ndande  12,5 km (Av des travaux: 94%)                                                                                                                                                                                                                                                      
 *Livraison et la pose de pavés  : 144 m2 , soit 60% d'exécution ;
 * Finition couche de roulement: 86 % .  
 * Perrés maçonnés: en cours d'exécution
Travaux restants :
 * Finition couche de roulement sur 1,7 km                                                                                                                                                                                                                                                   
 *Fourniture et pose des panneaux de signalisation
2. Piste " Kel Gueye: 2 km " : (Av des travaux: 5%)
* Appros couche de roulement: en cours ( Appros : 200ml)
*** Sous traitant: Thiaytou
3. Piste : Dépal Mbaye 6,5 km (Av des travaux: 90%)
* Finition Couche de roulement : 100%
Travaux restant:
* OH dalot à réaliser au PK0+150
* Fourniture et pose des panneaux de signalisation.
</t>
    </r>
    <r>
      <rPr>
        <b/>
        <sz val="8"/>
        <color rgb="FF7030A0"/>
        <rFont val="Arial Narrow"/>
        <family val="2"/>
      </rPr>
      <t>4.Travaux additionnels "Piste</t>
    </r>
    <r>
      <rPr>
        <sz val="8"/>
        <color theme="1"/>
        <rFont val="Arial Narrow"/>
        <family val="2"/>
      </rPr>
      <t xml:space="preserve"> : Nayobé  (6,1 km) ": (Av des travaux: 10%) 
 * Nettoyage réalisé à 100%
 * Terrassement : 15%
 * Appros couche de roulement : sur 900 ml soit 15%
5.  Pour la Piste " Doundodji - Gouye Diéry: 14 km: (Av des travaux: 5%)
 *  Nettoyage réalisé à 100%</t>
    </r>
  </si>
  <si>
    <r>
      <rPr>
        <b/>
        <sz val="8"/>
        <color rgb="FFFF0000"/>
        <rFont val="Arial Narrow"/>
        <family val="2"/>
      </rPr>
      <t xml:space="preserve"> ** Fin délai contractuel : 13 / Mars / 2023.</t>
    </r>
    <r>
      <rPr>
        <sz val="8"/>
        <color theme="1"/>
        <rFont val="Arial Narrow"/>
        <family val="2"/>
      </rPr>
      <t xml:space="preserve">
</t>
    </r>
    <r>
      <rPr>
        <sz val="8"/>
        <color rgb="FFFF0000"/>
        <rFont val="Arial Narrow"/>
        <family val="2"/>
      </rPr>
      <t>*Piste "Pété Ouarack - Dépal Mbaye": Traitement en reprendre pour la couche de roulement et</t>
    </r>
    <r>
      <rPr>
        <sz val="8"/>
        <color theme="1"/>
        <rFont val="Arial Narrow"/>
        <family val="2"/>
      </rPr>
      <t xml:space="preserve">
</t>
    </r>
    <r>
      <rPr>
        <sz val="8"/>
        <color rgb="FFFF0000"/>
        <rFont val="Arial Narrow"/>
        <family val="2"/>
      </rPr>
      <t xml:space="preserve">*Piste "Pété Ouarack - Nayobé": Revoir la qualité de la latérite douteuse approvisionnée ".(NB: Travaux en arret pour défaut de matériau de bonne qualité).
</t>
    </r>
    <r>
      <rPr>
        <b/>
        <sz val="8"/>
        <rFont val="Arial Narrow"/>
        <family val="2"/>
      </rPr>
      <t xml:space="preserve">
*Actualiser le projet d'exécution ( linéaire en cours d'exécution: 41,1 km) sur 60 km prévu.
</t>
    </r>
    <r>
      <rPr>
        <sz val="8"/>
        <rFont val="Arial Narrow"/>
        <family val="2"/>
      </rPr>
      <t>1.Piste: Ndande - Kab Gaye: 12, 5 km;
2. Piste: RN2 - kel Gueye: 2 km;
3. Piste: Pété Ouarack Dépal Mbaye: 6,5 km;
4. RS: Piste: Nayobé - Pété Ouarack : 6,1 km
5. Piste: Doundodji - Gouye Diéry: 14 km</t>
    </r>
  </si>
  <si>
    <t>023/2019/PUDC/BID</t>
  </si>
  <si>
    <r>
      <rPr>
        <b/>
        <sz val="8"/>
        <rFont val="Arial Narrow"/>
        <family val="2"/>
      </rPr>
      <t>Lot 1</t>
    </r>
    <r>
      <rPr>
        <sz val="8"/>
        <rFont val="Arial Narrow"/>
        <family val="2"/>
      </rPr>
      <t>: Supervision et contrôle des travaux de construction de 110 km de pistes dans les réigions de Sédhiou et Kolda,  pour une durée de 18 mois</t>
    </r>
  </si>
  <si>
    <t>Rapport B1à B19 fournis
NB: Avenant n°1 déjà signé.</t>
  </si>
  <si>
    <r>
      <t xml:space="preserve">La CAT n'est pas courant des paiements des factures.
</t>
    </r>
    <r>
      <rPr>
        <sz val="8"/>
        <color rgb="FFFF0000"/>
        <rFont val="Arial Narrow"/>
        <family val="2"/>
      </rPr>
      <t xml:space="preserve">*Double paiement des factures n° 10, 11, 12? 13 et n°14 pour un montant  Total de 30 780 000 Fcfa HTVA.  
</t>
    </r>
    <r>
      <rPr>
        <b/>
        <sz val="8"/>
        <color rgb="FF7030A0"/>
        <rFont val="Arial Narrow"/>
        <family val="2"/>
      </rPr>
      <t>Recommandations:</t>
    </r>
    <r>
      <rPr>
        <sz val="8"/>
        <color rgb="FF7030A0"/>
        <rFont val="Arial Narrow"/>
        <family val="2"/>
      </rPr>
      <t xml:space="preserve">
* Procéder à la demande de remboursement .
* Diligenter la signature de l'avenant n°2 pour procéder au paiement des factures F17, F18 et F19.
</t>
    </r>
  </si>
  <si>
    <t>024/2019/PUDC/BID</t>
  </si>
  <si>
    <r>
      <rPr>
        <b/>
        <sz val="8"/>
        <rFont val="Arial Narrow"/>
        <family val="2"/>
      </rPr>
      <t>Lot 2</t>
    </r>
    <r>
      <rPr>
        <sz val="8"/>
        <rFont val="Arial Narrow"/>
        <family val="2"/>
      </rPr>
      <t>: Supervision et contrôle des travaux de construction de 29,5 km de pistes dans la région de Thiès,  pour une durée de 12 mois</t>
    </r>
  </si>
  <si>
    <r>
      <t xml:space="preserve">Rapport B1à B14 fournis
NB: Avenant n°1 déjà signé.
</t>
    </r>
    <r>
      <rPr>
        <sz val="8"/>
        <color rgb="FFFF0000"/>
        <rFont val="Arial Narrow"/>
        <family val="2"/>
      </rPr>
      <t xml:space="preserve"> ** Fin délai contractuel : 03 / Juin / 2023.</t>
    </r>
  </si>
  <si>
    <r>
      <rPr>
        <sz val="8"/>
        <rFont val="Arial Narrow"/>
        <family val="2"/>
      </rPr>
      <t xml:space="preserve">La CAT n'est pas courant des paiements des factures.  </t>
    </r>
    <r>
      <rPr>
        <sz val="8"/>
        <color rgb="FFFF0000"/>
        <rFont val="Arial Narrow"/>
        <family val="2"/>
      </rPr>
      <t xml:space="preserve">     
* Double paiement des factures n° 7, 8 et n°10 pour un montant  Total de 17 500 000 Fcfa HTVA.  
</t>
    </r>
    <r>
      <rPr>
        <b/>
        <sz val="8"/>
        <color rgb="FF7030A0"/>
        <rFont val="Arial Narrow"/>
        <family val="2"/>
      </rPr>
      <t>Recommandations:</t>
    </r>
    <r>
      <rPr>
        <sz val="8"/>
        <color rgb="FF7030A0"/>
        <rFont val="Arial Narrow"/>
        <family val="2"/>
      </rPr>
      <t xml:space="preserve">
* Procéder à la demande de remboursement .
* Préparer un avenant de supplémentaire de trois (03) mois , avec incidence financière  pour un montant de "10 410 000 Fcfa HTVA.   </t>
    </r>
    <r>
      <rPr>
        <sz val="8"/>
        <color rgb="FFFF0000"/>
        <rFont val="Arial Narrow"/>
        <family val="2"/>
      </rPr>
      <t xml:space="preserve">     </t>
    </r>
  </si>
  <si>
    <t>025/2019/PUDC/BID</t>
  </si>
  <si>
    <r>
      <rPr>
        <b/>
        <sz val="8"/>
        <rFont val="Arial Narrow"/>
        <family val="2"/>
      </rPr>
      <t>Lot 3</t>
    </r>
    <r>
      <rPr>
        <sz val="8"/>
        <rFont val="Arial Narrow"/>
        <family val="2"/>
      </rPr>
      <t>: Supervision et contrôle des travaux de construction de 60 km de pistes dans la région de Louga,  pour une durée de 18 mois</t>
    </r>
  </si>
  <si>
    <t>Rapport B1à B11 fournis
NB: Avenant n°1 déjà signé</t>
  </si>
  <si>
    <r>
      <t xml:space="preserve">* Double paiement de la facture n° 9 d'un montant de 7 280 000 Fcfa HTVA.   
</t>
    </r>
    <r>
      <rPr>
        <b/>
        <sz val="8"/>
        <color rgb="FF7030A0"/>
        <rFont val="Arial Narrow"/>
        <family val="2"/>
      </rPr>
      <t>Recommandations:</t>
    </r>
    <r>
      <rPr>
        <sz val="8"/>
        <color rgb="FF7030A0"/>
        <rFont val="Arial Narrow"/>
        <family val="2"/>
      </rPr>
      <t xml:space="preserve">
* Procéder à la demande de remboursement .    </t>
    </r>
    <r>
      <rPr>
        <sz val="8"/>
        <color rgb="FFFF0000"/>
        <rFont val="Arial Narrow"/>
        <family val="2"/>
      </rPr>
      <t xml:space="preserve">         
                               </t>
    </r>
  </si>
  <si>
    <r>
      <t xml:space="preserve">Missions de contrôle est mobilisée pour les travaux en cours.
</t>
    </r>
    <r>
      <rPr>
        <sz val="8"/>
        <color rgb="FFFF0000"/>
        <rFont val="Arial Narrow"/>
        <family val="2"/>
      </rPr>
      <t>**La mission de contrôle a autorisé les travaux sans les travaux de terrassement.
** Retard au niveau de l'exécution risque de dépassement de délai coté Shenzhen</t>
    </r>
    <r>
      <rPr>
        <sz val="8"/>
        <color theme="1"/>
        <rFont val="Arial Narrow"/>
        <family val="2"/>
      </rPr>
      <t xml:space="preserve"> (Délais 0 mois)</t>
    </r>
  </si>
  <si>
    <r>
      <t xml:space="preserve">Une réunion a été tenue avec la mission de contrôle pour résoudre ce problème. Il a été recommandé de ne plus laisser à l'entreprise de démarrer les travaux sans terrassement.
</t>
    </r>
    <r>
      <rPr>
        <sz val="8"/>
        <rFont val="Arial Narrow"/>
        <family val="2"/>
      </rPr>
      <t>Faire un avenant de delai en tenant compte du planning de l'entreprise</t>
    </r>
    <r>
      <rPr>
        <sz val="8"/>
        <color rgb="FFFF0000"/>
        <rFont val="Arial Narrow"/>
        <family val="2"/>
      </rPr>
      <t xml:space="preserve"> (Exécution?).</t>
    </r>
    <r>
      <rPr>
        <sz val="8"/>
        <color theme="1"/>
        <rFont val="Arial Narrow"/>
        <family val="2"/>
      </rPr>
      <t xml:space="preserve">
La mission de contrôle doit jouer davantage sont rôle, et imposer une rigueur et discipline au niveau des chantiers, elle doit mettre ma pression à l'entreprise en imposant des objectifs hebdommadaires claires et précises</t>
    </r>
  </si>
  <si>
    <t>043/2019/PUDC2/BID</t>
  </si>
  <si>
    <r>
      <t xml:space="preserve">Réalisation de réseaux HTA / BT 42 </t>
    </r>
    <r>
      <rPr>
        <b/>
        <sz val="8"/>
        <color rgb="FF00B050"/>
        <rFont val="Arial Narrow"/>
        <family val="2"/>
      </rPr>
      <t>(19+19)</t>
    </r>
    <r>
      <rPr>
        <sz val="8"/>
        <color theme="1"/>
        <rFont val="Arial Narrow"/>
        <family val="2"/>
      </rPr>
      <t xml:space="preserve"> villages</t>
    </r>
  </si>
  <si>
    <r>
      <rPr>
        <b/>
        <sz val="8"/>
        <color theme="1"/>
        <rFont val="Arial Narrow"/>
        <family val="2"/>
      </rPr>
      <t>Avancement global du contrat (en%): 60%</t>
    </r>
    <r>
      <rPr>
        <sz val="8"/>
        <color theme="1"/>
        <rFont val="Arial Narrow"/>
        <family val="2"/>
      </rPr>
      <t xml:space="preserve">
-Sur 20 villages prévus en HTA, 19 sont finalisés et mis en service  
</t>
    </r>
    <r>
      <rPr>
        <sz val="8"/>
        <color rgb="FF0070C0"/>
        <rFont val="Arial Narrow"/>
        <family val="2"/>
      </rPr>
      <t xml:space="preserve">-Sur 22 Villages prévus en BT pour les centrales solaires: 03  villages sont finalisés par LSE. </t>
    </r>
  </si>
  <si>
    <t>Sur les 16 restants 5 seront réalisés dans les projets 2000 villages et BCI et les 11 sur l'avenant phase 1.</t>
  </si>
  <si>
    <r>
      <t xml:space="preserve">Réalisation centrales solaires dans 22 </t>
    </r>
    <r>
      <rPr>
        <b/>
        <sz val="8"/>
        <color rgb="FF00B050"/>
        <rFont val="Arial Narrow"/>
        <family val="2"/>
      </rPr>
      <t>(19)</t>
    </r>
    <r>
      <rPr>
        <sz val="8"/>
        <color theme="1"/>
        <rFont val="Arial Narrow"/>
        <family val="2"/>
      </rPr>
      <t xml:space="preserve"> villages
Délai: 13 mois</t>
    </r>
  </si>
  <si>
    <t>02/12/2020
03/01/2022
régularisé</t>
  </si>
  <si>
    <r>
      <rPr>
        <b/>
        <sz val="8"/>
        <color rgb="FF7030A0"/>
        <rFont val="Arial Narrow"/>
        <family val="2"/>
      </rPr>
      <t>(++) Avancement global du contrat (en %):29%</t>
    </r>
    <r>
      <rPr>
        <sz val="8"/>
        <color theme="1"/>
        <rFont val="Arial Narrow"/>
        <family val="2"/>
      </rPr>
      <t xml:space="preserve">
**Implantation de 15 sites effectuée.
*En cours de travaux: 15 villages
* 04 Site en attente de demarrage
</t>
    </r>
    <r>
      <rPr>
        <sz val="8"/>
        <color rgb="FFFF0000"/>
        <rFont val="Arial Narrow"/>
        <family val="2"/>
      </rPr>
      <t xml:space="preserve">**L'entreprise a accusé un retard dans la livraison des travaux et les délais sont dépassés, une prologation de delai a été accordée à l'entreprise jusqu'au mois Août 2023 et ce delai risque encore d'être dépassé
** Malgré la prolongation de delai accordé, l'entreprise est toujours en retard par rapport au planning 
** L'entreprise constate que ces factures sont en retard de paiement 
** Des puces 3G doivent être achetée et identifiée au nom du PUDC et livrée à Shenzhen </t>
    </r>
  </si>
  <si>
    <r>
      <rPr>
        <sz val="8"/>
        <color rgb="FF00B050"/>
        <rFont val="Arial Narrow"/>
        <family val="2"/>
      </rPr>
      <t xml:space="preserve">**Une reunion a été tenue avec l'entreprise pour exiger le redeploiement des équipes sur ls différents site et finir les travaux pour tous les sites avant la date de fin (Août 2023)
** Faire une lettre de mise en demeure à l'entreprise suite aux non respects du planning réactualisé qu'elle a envoyé le 31 Mai 2023.
*Procéder aux paiments des factures en instances pour permettre à l'entreprise d'avancer sur l'approvisionnement des sites
** Il a été retenue que les reunions mensuelles se feront maitenant tous les 15 Jous à partir de ce mois
** Fournir les puces 2G ou plus à l'entreprise pour lui permettre de faciliter la télégestion de chaque centrale et le collecte des données et la suppervision en ligne des centrales solaires
</t>
    </r>
    <r>
      <rPr>
        <sz val="8"/>
        <color rgb="FFFF0000"/>
        <rFont val="Arial Narrow"/>
        <family val="2"/>
      </rPr>
      <t>Etat d'exécution des recommandations ?</t>
    </r>
  </si>
  <si>
    <t>005/2019/PUDC/BID</t>
  </si>
  <si>
    <t>N/A (Arrêt)</t>
  </si>
  <si>
    <r>
      <rPr>
        <b/>
        <sz val="8"/>
        <color theme="1"/>
        <rFont val="Arial Narrow"/>
        <family val="2"/>
      </rPr>
      <t xml:space="preserve">(++) Avancement global du contrat (en %): 90% </t>
    </r>
    <r>
      <rPr>
        <sz val="8"/>
        <color theme="1"/>
        <rFont val="Arial Narrow"/>
        <family val="2"/>
      </rPr>
      <t xml:space="preserve">
9 Réceptionés et </t>
    </r>
    <r>
      <rPr>
        <sz val="8"/>
        <color rgb="FFFF0000"/>
        <rFont val="Arial Narrow"/>
        <family val="2"/>
      </rPr>
      <t>01 à reprendre (sansamba): retards importants dans la reprise des travaux de forage)</t>
    </r>
  </si>
  <si>
    <r>
      <t xml:space="preserve">
***</t>
    </r>
    <r>
      <rPr>
        <sz val="8"/>
        <color rgb="FFFF0000"/>
        <rFont val="Arial Narrow"/>
        <family val="2"/>
      </rPr>
      <t xml:space="preserve">  Forage de SANSAMBA à réaliser sous financement BAD. DAO encours d'élaboration</t>
    </r>
    <r>
      <rPr>
        <sz val="8"/>
        <color theme="1"/>
        <rFont val="Arial Narrow"/>
        <family val="2"/>
      </rPr>
      <t xml:space="preserve">
</t>
    </r>
  </si>
  <si>
    <t>006/2019/PUDC/BID</t>
  </si>
  <si>
    <r>
      <rPr>
        <b/>
        <sz val="8"/>
        <color theme="1"/>
        <rFont val="Arial Narrow"/>
        <family val="2"/>
      </rPr>
      <t xml:space="preserve">(++) Avancement global du contrat (en %): 90% </t>
    </r>
    <r>
      <rPr>
        <sz val="8"/>
        <color theme="1"/>
        <rFont val="Arial Narrow"/>
        <family val="2"/>
      </rPr>
      <t xml:space="preserve">
10/10 Réceptionés dont </t>
    </r>
    <r>
      <rPr>
        <sz val="8"/>
        <color rgb="FFFF0000"/>
        <rFont val="Arial Narrow"/>
        <family val="2"/>
      </rPr>
      <t xml:space="preserve">01 à reprendre (Awa Taba) par suite d'un faible débit: retards importants dans la reprise des travaux de forage). </t>
    </r>
  </si>
  <si>
    <r>
      <rPr>
        <sz val="8"/>
        <color rgb="FFFF0000"/>
        <rFont val="Arial Narrow"/>
        <family val="2"/>
      </rPr>
      <t xml:space="preserve">
*** Forage de Awa TABA à réaliser sosu financement BAD. DAO encours d'élaboration</t>
    </r>
    <r>
      <rPr>
        <sz val="8"/>
        <color theme="1"/>
        <rFont val="Arial Narrow"/>
        <family val="2"/>
      </rPr>
      <t xml:space="preserve">
</t>
    </r>
  </si>
  <si>
    <r>
      <rPr>
        <b/>
        <sz val="8"/>
        <rFont val="Arial Narrow"/>
        <family val="2"/>
      </rPr>
      <t>(++) Avancement global du contrat (en %): 100% (13 Réceptionés).</t>
    </r>
    <r>
      <rPr>
        <sz val="8"/>
        <rFont val="Arial Narrow"/>
        <family val="2"/>
      </rPr>
      <t xml:space="preserve">
*NB: Le forage de Dolly a été remplacé par 4 forages: Dialba, Marssassoum Santo, Karantaba et Baïla. Ce qui porte le nombre de forages à 13.</t>
    </r>
  </si>
  <si>
    <r>
      <rPr>
        <b/>
        <sz val="8"/>
        <color rgb="FF00B050"/>
        <rFont val="Arial Narrow"/>
        <family val="2"/>
      </rPr>
      <t>(++) Avancement global du contrat (en %): 94 %</t>
    </r>
    <r>
      <rPr>
        <sz val="8"/>
        <color rgb="FF00B050"/>
        <rFont val="Arial Narrow"/>
        <family val="2"/>
      </rPr>
      <t xml:space="preserve">
</t>
    </r>
    <r>
      <rPr>
        <sz val="8"/>
        <color rgb="FF0070C0"/>
        <rFont val="Arial Narrow"/>
        <family val="2"/>
      </rPr>
      <t xml:space="preserve">Sur les 10 systémes, 09 déjà mise en service (Bloc, Bounkiling Diola, Gadiale, Manioré 2, Koboyel, Taïba Diassor et Bouchra, Manécounda et Safane balante); </t>
    </r>
    <r>
      <rPr>
        <sz val="8"/>
        <color rgb="FFFF0000"/>
        <rFont val="Arial Narrow"/>
        <family val="2"/>
      </rPr>
      <t>hormis le systéme de Sansamba.</t>
    </r>
  </si>
  <si>
    <t>Attente de la reprise du forage de  Sansamba.</t>
  </si>
  <si>
    <r>
      <rPr>
        <b/>
        <sz val="8"/>
        <color rgb="FF00B050"/>
        <rFont val="Arial Narrow"/>
        <family val="2"/>
      </rPr>
      <t>(++) Avancement global du contrat (en %): 96%</t>
    </r>
    <r>
      <rPr>
        <sz val="8"/>
        <color rgb="FF00B050"/>
        <rFont val="Arial Narrow"/>
        <family val="2"/>
      </rPr>
      <t xml:space="preserve">
***</t>
    </r>
    <r>
      <rPr>
        <sz val="8"/>
        <color rgb="FF0070C0"/>
        <rFont val="Arial Narrow"/>
        <family val="2"/>
      </rPr>
      <t xml:space="preserve">Sur les 10 systémes, 09 sont déjà mise en service (Temento , Linguéto , Faraba, Linguéto, Médine chérif , Kossanké, Kouthioundé, Saré Coly Camara et Fass Ndieguene); </t>
    </r>
    <r>
      <rPr>
        <sz val="8"/>
        <color rgb="FFFF0000"/>
        <rFont val="Arial Narrow"/>
        <family val="2"/>
      </rPr>
      <t>hormis le systéme de Awa Taba.</t>
    </r>
  </si>
  <si>
    <t>Attente de la reprise du forage de Awa Taba.</t>
  </si>
  <si>
    <t>10/2019/PUDC2/BID</t>
  </si>
  <si>
    <r>
      <rPr>
        <b/>
        <sz val="8"/>
        <color rgb="FF00B050"/>
        <rFont val="Arial Narrow"/>
        <family val="2"/>
      </rPr>
      <t>(++) Avancement global du contrat (en %): 100%</t>
    </r>
    <r>
      <rPr>
        <sz val="8"/>
        <color rgb="FF00B050"/>
        <rFont val="Arial Narrow"/>
        <family val="2"/>
      </rPr>
      <t xml:space="preserve">
*</t>
    </r>
    <r>
      <rPr>
        <b/>
        <sz val="8"/>
        <color rgb="FF0070C0"/>
        <rFont val="Arial Narrow"/>
        <family val="2"/>
      </rPr>
      <t>**Tous les 09 systèmes  ont été réceptionnés et mise en service (Lama, Badji, Sadio Bayar, Darou Salam Guéye, Thiéwal Lao ,Médina Koyli , Soulabaly , Sourouyel et Ainoumady) .</t>
    </r>
  </si>
  <si>
    <t>HYDRAULIQUE:
ZAMAKE (Zantié KAMATE)</t>
  </si>
  <si>
    <t xml:space="preserve">02/03/2020
OS 02/05/2020 </t>
  </si>
  <si>
    <t>E. 100% C. 44%</t>
  </si>
  <si>
    <r>
      <rPr>
        <b/>
        <sz val="8"/>
        <color theme="1"/>
        <rFont val="Arial Narrow"/>
        <family val="2"/>
      </rPr>
      <t>(++) Avancement global du contrat (en %):  100% pour l'étude et 44 %pour le controle</t>
    </r>
    <r>
      <rPr>
        <sz val="8"/>
        <color theme="1"/>
        <rFont val="Arial Narrow"/>
        <family val="2"/>
      </rPr>
      <t xml:space="preserve">
Rapport géophysique final déposé
Rapport réalisation de 10 forages fourni</t>
    </r>
  </si>
  <si>
    <r>
      <t>Proposition d'avenant de prolongation de délai 
***</t>
    </r>
    <r>
      <rPr>
        <sz val="8"/>
        <color rgb="FFFF0000"/>
        <rFont val="Arial Narrow"/>
        <family val="2"/>
      </rPr>
      <t xml:space="preserve"> OS de reprise des travaux de supervision envoyé depuis le 2 janvier 2023</t>
    </r>
  </si>
  <si>
    <r>
      <rPr>
        <b/>
        <sz val="8"/>
        <color theme="1"/>
        <rFont val="Arial Narrow"/>
        <family val="2"/>
      </rPr>
      <t>(++) Avancement global du contrat (en %): 100%</t>
    </r>
    <r>
      <rPr>
        <sz val="8"/>
        <color theme="1"/>
        <rFont val="Arial Narrow"/>
        <family val="2"/>
      </rPr>
      <t xml:space="preserve">
7 rapports bimestriels déposés/7 contractuels</t>
    </r>
  </si>
  <si>
    <t>Délai avenant n° 2 épuisé depuis le 02/04/2022
Avenant de prolongation de délai sans incidence financière déjà finalisé</t>
  </si>
  <si>
    <t>01/03/2023
(OS de suspension: Résilié)</t>
  </si>
  <si>
    <r>
      <rPr>
        <b/>
        <sz val="8"/>
        <rFont val="Arial Narrow"/>
        <family val="2"/>
      </rPr>
      <t>(++) Avancement global du contrat (en %): 44%</t>
    </r>
    <r>
      <rPr>
        <sz val="8"/>
        <color rgb="FF00B050"/>
        <rFont val="Arial Narrow"/>
        <family val="2"/>
      </rPr>
      <t xml:space="preserve">
Travaux en cours pour les * 25 forages MFT dont :
12 forages terminés (11 positif)
14 non encore démarrés
</t>
    </r>
    <r>
      <rPr>
        <b/>
        <sz val="8"/>
        <color rgb="FF7030A0"/>
        <rFont val="Arial Narrow"/>
        <family val="2"/>
      </rPr>
      <t>OS envoyé pour la reprise des travaux  de supervision depuis le 02 janvier 2023</t>
    </r>
  </si>
  <si>
    <t xml:space="preserve">Arrêt des travaux du à des problémes financiers (Contrat en cours de résiliation sur demande de l'entreprise) </t>
  </si>
  <si>
    <r>
      <t>041</t>
    </r>
    <r>
      <rPr>
        <b/>
        <sz val="8"/>
        <color rgb="FFFF0000"/>
        <rFont val="Arial Narrow"/>
        <family val="2"/>
      </rPr>
      <t>(45)</t>
    </r>
    <r>
      <rPr>
        <b/>
        <sz val="8"/>
        <rFont val="Arial Narrow"/>
        <family val="2"/>
      </rPr>
      <t xml:space="preserve"> /2019/pudc2/BID</t>
    </r>
  </si>
  <si>
    <r>
      <rPr>
        <b/>
        <sz val="8"/>
        <color theme="1"/>
        <rFont val="Arial Narrow"/>
        <family val="2"/>
      </rPr>
      <t>(++) Avancement global du contrat (en %): 65%</t>
    </r>
    <r>
      <rPr>
        <sz val="8"/>
        <color theme="1"/>
        <rFont val="Arial Narrow"/>
        <family val="2"/>
      </rPr>
      <t xml:space="preserve">
*43Equipements réceptionnés.
* 18 F de la phase 1 équipés travaux réceptionné.
* 10 F de la phase 2 équipés.</t>
    </r>
  </si>
  <si>
    <t>Attente de la réalisation des 25 forages MFT pour l'équipement</t>
  </si>
  <si>
    <r>
      <t>POSTES DE SANTE:
SONABI</t>
    </r>
    <r>
      <rPr>
        <b/>
        <sz val="8"/>
        <color rgb="FFFF0000"/>
        <rFont val="Arial Narrow"/>
        <family val="2"/>
      </rPr>
      <t xml:space="preserve"> (Résilié et attribué à DITEF)</t>
    </r>
  </si>
  <si>
    <t>07/06/2022
(Contrat résilié)</t>
  </si>
  <si>
    <r>
      <rPr>
        <b/>
        <sz val="8"/>
        <color theme="1"/>
        <rFont val="Arial Narrow"/>
        <family val="2"/>
      </rPr>
      <t xml:space="preserve">Avancement global du contrat: </t>
    </r>
    <r>
      <rPr>
        <b/>
        <sz val="8"/>
        <color rgb="FF00B050"/>
        <rFont val="Arial Narrow"/>
        <family val="2"/>
      </rPr>
      <t>Global (20%)  Réel (15%)</t>
    </r>
    <r>
      <rPr>
        <b/>
        <sz val="8"/>
        <color theme="1"/>
        <rFont val="Arial Narrow"/>
        <family val="2"/>
      </rPr>
      <t xml:space="preserve">
Tanghory transgambienne</t>
    </r>
    <r>
      <rPr>
        <sz val="8"/>
        <color theme="1"/>
        <rFont val="Arial Narrow"/>
        <family val="2"/>
      </rPr>
      <t>: Fondations en cours à 80% (mur de soubassement réalisé à 100%, longrine en cours)</t>
    </r>
    <r>
      <rPr>
        <b/>
        <sz val="8"/>
        <color theme="1"/>
        <rFont val="Arial Narrow"/>
        <family val="2"/>
      </rPr>
      <t xml:space="preserve">
Medina Daffé</t>
    </r>
    <r>
      <rPr>
        <sz val="8"/>
        <color theme="1"/>
        <rFont val="Arial Narrow"/>
        <family val="2"/>
      </rPr>
      <t xml:space="preserve">: Fouilles en cours à 20%
</t>
    </r>
    <r>
      <rPr>
        <b/>
        <sz val="8"/>
        <color theme="1"/>
        <rFont val="Arial Narrow"/>
        <family val="2"/>
      </rPr>
      <t>Biti-Biti</t>
    </r>
    <r>
      <rPr>
        <sz val="8"/>
        <color theme="1"/>
        <rFont val="Arial Narrow"/>
        <family val="2"/>
      </rPr>
      <t xml:space="preserve">: Approvisionnement du site
Pas de démarrage sur les deux autres sites.
</t>
    </r>
    <r>
      <rPr>
        <b/>
        <sz val="8"/>
        <color rgb="FF7030A0"/>
        <rFont val="Arial Narrow"/>
        <family val="2"/>
      </rPr>
      <t>Avancement global du contrat:  15%</t>
    </r>
    <r>
      <rPr>
        <sz val="8"/>
        <color theme="1"/>
        <rFont val="Arial Narrow"/>
        <family val="2"/>
      </rPr>
      <t xml:space="preserve">
Caution de DITEF déposée ce 30/05/2023</t>
    </r>
  </si>
  <si>
    <r>
      <t xml:space="preserve">
</t>
    </r>
    <r>
      <rPr>
        <sz val="8"/>
        <color theme="1"/>
        <rFont val="Arial Narrow"/>
        <family val="2"/>
      </rPr>
      <t xml:space="preserve">*Contrat résilié et attribué au 2ème mieux disant en cours (DITEF).
</t>
    </r>
    <r>
      <rPr>
        <b/>
        <sz val="8"/>
        <color theme="1"/>
        <rFont val="Arial Narrow"/>
        <family val="2"/>
      </rPr>
      <t xml:space="preserve">Recommandations: 
</t>
    </r>
    <r>
      <rPr>
        <sz val="8"/>
        <color rgb="FF00B050"/>
        <rFont val="Arial Narrow"/>
        <family val="2"/>
      </rPr>
      <t>*Suite à l'accord trouvé entre pudc et ditef,
* Procéder à la signature des contrats au plus vite.</t>
    </r>
  </si>
  <si>
    <t>004/2023</t>
  </si>
  <si>
    <t>En cours d'Enregistrement</t>
  </si>
  <si>
    <t>Sans objet</t>
  </si>
  <si>
    <r>
      <rPr>
        <b/>
        <sz val="8"/>
        <color theme="1"/>
        <rFont val="Arial Narrow"/>
        <family val="2"/>
      </rPr>
      <t>Avancement global du contrat:  15%</t>
    </r>
    <r>
      <rPr>
        <sz val="8"/>
        <color theme="1"/>
        <rFont val="Arial Narrow"/>
        <family val="2"/>
      </rPr>
      <t xml:space="preserve">
</t>
    </r>
    <r>
      <rPr>
        <sz val="8"/>
        <color rgb="FFFF0000"/>
        <rFont val="Arial Narrow"/>
        <family val="2"/>
      </rPr>
      <t>Caution de DITEF déposée ce 30/05/2023</t>
    </r>
  </si>
  <si>
    <r>
      <rPr>
        <b/>
        <sz val="8"/>
        <rFont val="Arial Narrow"/>
        <family val="2"/>
      </rPr>
      <t>038/2019/PUDC2/BID</t>
    </r>
    <r>
      <rPr>
        <b/>
        <sz val="8"/>
        <color rgb="FFFF0000"/>
        <rFont val="Arial Narrow"/>
        <family val="2"/>
      </rPr>
      <t xml:space="preserve"> </t>
    </r>
  </si>
  <si>
    <r>
      <t>Avancement global du contrat:  76% 
1. Sibicouroto2:</t>
    </r>
    <r>
      <rPr>
        <sz val="8"/>
        <rFont val="Arial Narrow"/>
        <family val="2"/>
      </rPr>
      <t xml:space="preserve">  
  - Gros oeuvre : Elevation  100%, Enduit 100%.
 - Second oeuvre : Electricité 50%, Menuiserie 60%, Plomberie 50%
-Mur de clôture:0%
</t>
    </r>
    <r>
      <rPr>
        <b/>
        <sz val="8"/>
        <rFont val="Arial Narrow"/>
        <family val="2"/>
      </rPr>
      <t>2. Touba:</t>
    </r>
    <r>
      <rPr>
        <sz val="8"/>
        <rFont val="Arial Narrow"/>
        <family val="2"/>
      </rPr>
      <t xml:space="preserve">
 - Gros oeuvre : Elevation  100%, Enduit  70%.
 - Second oeuvre : Electricité 50%, Menuiserie: 20%,plomberie,50%
-Mur de clôture:90%
</t>
    </r>
    <r>
      <rPr>
        <b/>
        <sz val="8"/>
        <rFont val="Arial Narrow"/>
        <family val="2"/>
      </rPr>
      <t xml:space="preserve">3. Madina Souané: </t>
    </r>
    <r>
      <rPr>
        <sz val="8"/>
        <rFont val="Arial Narrow"/>
        <family val="2"/>
      </rPr>
      <t xml:space="preserve">
 Gros oeuvre : Elevation  100%, Enduit 100%.
 - Second oeuvre : Electricité 50%, Menuiserie 40%,Plomberie50%
-Mur de clôture: 40%
</t>
    </r>
    <r>
      <rPr>
        <b/>
        <sz val="8"/>
        <rFont val="Arial Narrow"/>
        <family val="2"/>
      </rPr>
      <t xml:space="preserve">4. Sare Hamassamba 2: </t>
    </r>
    <r>
      <rPr>
        <sz val="8"/>
        <rFont val="Arial Narrow"/>
        <family val="2"/>
      </rPr>
      <t xml:space="preserve">
-RDC
-  Elevation  100%, Enduit 0%.
 - Plancher haut RDC: 100%
-Etage
- Elevation :100%
-Coffrage Plancher en cours
</t>
    </r>
    <r>
      <rPr>
        <b/>
        <sz val="8"/>
        <rFont val="Arial Narrow"/>
        <family val="2"/>
      </rPr>
      <t xml:space="preserve">5. Bayamba: </t>
    </r>
    <r>
      <rPr>
        <sz val="8"/>
        <rFont val="Arial Narrow"/>
        <family val="2"/>
      </rPr>
      <t xml:space="preserve">
-  Gros oeuvre : Elevation  100%, Enduit 100%.
- Second oeuvre : Electricité 50%, Plomberie 50%
- Mur de clôture: 0% </t>
    </r>
  </si>
  <si>
    <r>
      <t>*P</t>
    </r>
    <r>
      <rPr>
        <sz val="8"/>
        <color rgb="FFFF0000"/>
        <rFont val="Arial Narrow"/>
        <family val="2"/>
      </rPr>
      <t xml:space="preserve">roblèmes d'accessibilité des sites.
Approvisionner tout le matériel avant le début de l'hivernage.).
</t>
    </r>
    <r>
      <rPr>
        <b/>
        <sz val="8"/>
        <rFont val="Arial Narrow"/>
        <family val="2"/>
      </rPr>
      <t>Recommandations:</t>
    </r>
    <r>
      <rPr>
        <sz val="8"/>
        <color rgb="FFFF0000"/>
        <rFont val="Arial Narrow"/>
        <family val="2"/>
      </rPr>
      <t xml:space="preserve">
</t>
    </r>
    <r>
      <rPr>
        <sz val="8"/>
        <rFont val="Arial Narrow"/>
        <family val="2"/>
      </rPr>
      <t xml:space="preserve">Suite au paiement des décomptes 4 et 5
Procéder au réapprovisonnement des sites notamment en ciment et gravier, carreaux et peinture.
</t>
    </r>
    <r>
      <rPr>
        <sz val="8"/>
        <color rgb="FFFF0000"/>
        <rFont val="Arial Narrow"/>
        <family val="2"/>
      </rPr>
      <t xml:space="preserve">Statuer sur la situation des délais qui ont expiré depuis le 31 Mars 2023.
</t>
    </r>
  </si>
  <si>
    <r>
      <rPr>
        <b/>
        <sz val="8"/>
        <color theme="1"/>
        <rFont val="Arial Narrow"/>
        <family val="2"/>
      </rPr>
      <t>Avancement global du contrat</t>
    </r>
    <r>
      <rPr>
        <sz val="8"/>
        <color theme="1"/>
        <rFont val="Arial Narrow"/>
        <family val="2"/>
      </rPr>
      <t>:</t>
    </r>
    <r>
      <rPr>
        <sz val="8"/>
        <rFont val="Arial Narrow"/>
        <family val="2"/>
      </rPr>
      <t xml:space="preserve">  48% </t>
    </r>
    <r>
      <rPr>
        <sz val="8"/>
        <color theme="1"/>
        <rFont val="Arial Narrow"/>
        <family val="2"/>
      </rPr>
      <t xml:space="preserve">
</t>
    </r>
    <r>
      <rPr>
        <b/>
        <sz val="8"/>
        <rFont val="Arial Narrow"/>
        <family val="2"/>
      </rPr>
      <t>1.</t>
    </r>
    <r>
      <rPr>
        <sz val="8"/>
        <rFont val="Arial Narrow"/>
        <family val="2"/>
      </rPr>
      <t xml:space="preserve"> </t>
    </r>
    <r>
      <rPr>
        <b/>
        <u/>
        <sz val="8"/>
        <rFont val="Arial Narrow"/>
        <family val="2"/>
      </rPr>
      <t>Diakhaly:</t>
    </r>
    <r>
      <rPr>
        <b/>
        <sz val="8"/>
        <rFont val="Arial Narrow"/>
        <family val="2"/>
      </rPr>
      <t xml:space="preserve"> </t>
    </r>
    <r>
      <rPr>
        <sz val="8"/>
        <rFont val="Arial Narrow"/>
        <family val="2"/>
      </rPr>
      <t xml:space="preserve">
-Gros oeuvre :</t>
    </r>
    <r>
      <rPr>
        <b/>
        <sz val="8"/>
        <rFont val="Arial Narrow"/>
        <family val="2"/>
      </rPr>
      <t xml:space="preserve">  </t>
    </r>
    <r>
      <rPr>
        <i/>
        <sz val="8"/>
        <rFont val="Arial Narrow"/>
        <family val="2"/>
      </rPr>
      <t xml:space="preserve">-RDC </t>
    </r>
    <r>
      <rPr>
        <sz val="8"/>
        <rFont val="Arial Narrow"/>
        <family val="2"/>
      </rPr>
      <t xml:space="preserve"> Elevation  100%,  Plancher: 80%</t>
    </r>
    <r>
      <rPr>
        <b/>
        <sz val="8"/>
        <rFont val="Arial Narrow"/>
        <family val="2"/>
      </rPr>
      <t xml:space="preserve">
2. </t>
    </r>
    <r>
      <rPr>
        <b/>
        <u/>
        <sz val="8"/>
        <rFont val="Arial Narrow"/>
        <family val="2"/>
      </rPr>
      <t>Médina Touath</t>
    </r>
    <r>
      <rPr>
        <b/>
        <sz val="8"/>
        <rFont val="Arial Narrow"/>
        <family val="2"/>
      </rPr>
      <t xml:space="preserve">:  </t>
    </r>
    <r>
      <rPr>
        <sz val="8"/>
        <rFont val="Arial Narrow"/>
        <family val="2"/>
      </rPr>
      <t xml:space="preserve">- Gros oeuvre : </t>
    </r>
    <r>
      <rPr>
        <i/>
        <sz val="8"/>
        <rFont val="Arial Narrow"/>
        <family val="2"/>
      </rPr>
      <t>-RDC</t>
    </r>
    <r>
      <rPr>
        <sz val="8"/>
        <rFont val="Arial Narrow"/>
        <family val="2"/>
      </rPr>
      <t xml:space="preserve"> Elevation  100%, Enduit 0%. Plancher : 100%
-ETAGE Elevation:  100%, Enduit 10%.   Plancher: 100%
3, </t>
    </r>
    <r>
      <rPr>
        <b/>
        <sz val="8"/>
        <rFont val="Arial Narrow"/>
        <family val="2"/>
      </rPr>
      <t>Diambanouta:</t>
    </r>
    <r>
      <rPr>
        <sz val="8"/>
        <rFont val="Arial Narrow"/>
        <family val="2"/>
      </rPr>
      <t xml:space="preserve"> - Gros oeuvre :  </t>
    </r>
    <r>
      <rPr>
        <i/>
        <sz val="8"/>
        <rFont val="Arial Narrow"/>
        <family val="2"/>
      </rPr>
      <t xml:space="preserve">-RDC </t>
    </r>
    <r>
      <rPr>
        <sz val="8"/>
        <rFont val="Arial Narrow"/>
        <family val="2"/>
      </rPr>
      <t xml:space="preserve">Elevation:  100%, Enduit 0%. Plancher: 100%
</t>
    </r>
    <r>
      <rPr>
        <i/>
        <sz val="8"/>
        <rFont val="Arial Narrow"/>
        <family val="2"/>
      </rPr>
      <t xml:space="preserve">-ETAGE </t>
    </r>
    <r>
      <rPr>
        <sz val="8"/>
        <rFont val="Arial Narrow"/>
        <family val="2"/>
      </rPr>
      <t xml:space="preserve">Elevation:  98%, Enduit 0%.
4, </t>
    </r>
    <r>
      <rPr>
        <b/>
        <sz val="8"/>
        <rFont val="Arial Narrow"/>
        <family val="2"/>
      </rPr>
      <t>Maroume Maounde:  -</t>
    </r>
    <r>
      <rPr>
        <sz val="8"/>
        <rFont val="Arial Narrow"/>
        <family val="2"/>
      </rPr>
      <t xml:space="preserve">Gros oeuvre :  </t>
    </r>
    <r>
      <rPr>
        <i/>
        <sz val="8"/>
        <rFont val="Arial Narrow"/>
        <family val="2"/>
      </rPr>
      <t xml:space="preserve">-RDC </t>
    </r>
    <r>
      <rPr>
        <sz val="8"/>
        <rFont val="Arial Narrow"/>
        <family val="2"/>
      </rPr>
      <t xml:space="preserve">Elevation  100%, Enduit 0%.Plancher: 40%
5, </t>
    </r>
    <r>
      <rPr>
        <b/>
        <sz val="8"/>
        <rFont val="Arial Narrow"/>
        <family val="2"/>
      </rPr>
      <t xml:space="preserve">Saré Bilaly </t>
    </r>
    <r>
      <rPr>
        <sz val="8"/>
        <rFont val="Arial Narrow"/>
        <family val="2"/>
      </rPr>
      <t xml:space="preserve">- Gros oeuvre :  </t>
    </r>
    <r>
      <rPr>
        <i/>
        <sz val="8"/>
        <rFont val="Arial Narrow"/>
        <family val="2"/>
      </rPr>
      <t xml:space="preserve">-RDC </t>
    </r>
    <r>
      <rPr>
        <sz val="8"/>
        <rFont val="Arial Narrow"/>
        <family val="2"/>
      </rPr>
      <t xml:space="preserve"> Elevation:  100%, Enduit 50%. Plancher: 100% </t>
    </r>
    <r>
      <rPr>
        <i/>
        <sz val="8"/>
        <rFont val="Arial Narrow"/>
        <family val="2"/>
      </rPr>
      <t xml:space="preserve">-ETAGE </t>
    </r>
    <r>
      <rPr>
        <sz val="8"/>
        <rFont val="Arial Narrow"/>
        <family val="2"/>
      </rPr>
      <t>Elevation:  100%,  Plancher: 100% gros oeuvre terminé, enduit, 0%</t>
    </r>
  </si>
  <si>
    <r>
      <t xml:space="preserve">Ralentissement noté, du rythme d'éxecution des travaux  dû à un niveau  d'aprovisionnment insuffisant.
</t>
    </r>
    <r>
      <rPr>
        <b/>
        <sz val="8"/>
        <color theme="1"/>
        <rFont val="Arial Narrow"/>
        <family val="2"/>
      </rPr>
      <t xml:space="preserve">Recommandations:
</t>
    </r>
    <r>
      <rPr>
        <b/>
        <sz val="8"/>
        <color rgb="FF00B050"/>
        <rFont val="Arial Narrow"/>
        <family val="2"/>
      </rPr>
      <t>*Suite au paiement du déompte03
Procéder au réapprovisonnement des sites notamment en ciment et gravier.
 mobiliser l'ensemble du personnel sur site en 05 équipes dans les plus brefs délais.
Sous peine de l'application des pénalités de retard.</t>
    </r>
    <r>
      <rPr>
        <sz val="8"/>
        <color rgb="FF00B050"/>
        <rFont val="Arial Narrow"/>
        <family val="2"/>
      </rPr>
      <t xml:space="preserve">
</t>
    </r>
  </si>
  <si>
    <r>
      <rPr>
        <b/>
        <sz val="8"/>
        <color theme="1"/>
        <rFont val="Arial Narrow"/>
        <family val="2"/>
      </rPr>
      <t>Avancement global du contrat</t>
    </r>
    <r>
      <rPr>
        <sz val="8"/>
        <color theme="1"/>
        <rFont val="Arial Narrow"/>
        <family val="2"/>
      </rPr>
      <t xml:space="preserve">:  38%
</t>
    </r>
    <r>
      <rPr>
        <b/>
        <sz val="8"/>
        <rFont val="Arial Narrow"/>
        <family val="2"/>
      </rPr>
      <t>1</t>
    </r>
    <r>
      <rPr>
        <b/>
        <u/>
        <sz val="8"/>
        <rFont val="Arial Narrow"/>
        <family val="2"/>
      </rPr>
      <t>.</t>
    </r>
    <r>
      <rPr>
        <b/>
        <sz val="8"/>
        <rFont val="Arial Narrow"/>
        <family val="2"/>
      </rPr>
      <t xml:space="preserve">Saré Moussa Meta: </t>
    </r>
    <r>
      <rPr>
        <sz val="8"/>
        <rFont val="Arial Narrow"/>
        <family val="2"/>
      </rPr>
      <t xml:space="preserve"> - Gros oeuvre : -RDC   Elevation:  100%, Enduit 0%.
   Plancher: 80%.</t>
    </r>
    <r>
      <rPr>
        <b/>
        <sz val="8"/>
        <rFont val="Arial Narrow"/>
        <family val="2"/>
      </rPr>
      <t xml:space="preserve">
2. Tankonfara: </t>
    </r>
    <r>
      <rPr>
        <sz val="8"/>
        <rFont val="Arial Narrow"/>
        <family val="2"/>
      </rPr>
      <t>- Gros oeuvre :  -RDC  Elevation:  100%, Enduit 0%.
 Plancher: 73%.</t>
    </r>
    <r>
      <rPr>
        <b/>
        <sz val="8"/>
        <rFont val="Arial Narrow"/>
        <family val="2"/>
      </rPr>
      <t xml:space="preserve">
3. Teyel: </t>
    </r>
    <r>
      <rPr>
        <sz val="8"/>
        <rFont val="Arial Narrow"/>
        <family val="2"/>
      </rPr>
      <t>- Gros oeuvre :  -</t>
    </r>
    <r>
      <rPr>
        <b/>
        <sz val="8"/>
        <rFont val="Arial Narrow"/>
        <family val="2"/>
      </rPr>
      <t>RDC</t>
    </r>
    <r>
      <rPr>
        <sz val="8"/>
        <rFont val="Arial Narrow"/>
        <family val="2"/>
      </rPr>
      <t xml:space="preserve">   Elevation:  100%, Enduit 0%. Plancher: 100% -</t>
    </r>
    <r>
      <rPr>
        <b/>
        <sz val="8"/>
        <rFont val="Arial Narrow"/>
        <family val="2"/>
      </rPr>
      <t>ETAGE</t>
    </r>
    <r>
      <rPr>
        <sz val="8"/>
        <rFont val="Arial Narrow"/>
        <family val="2"/>
      </rPr>
      <t xml:space="preserve"> Elevation:  100%, Enduit 0%. Gros oeuvre terminé, enduit 20%</t>
    </r>
    <r>
      <rPr>
        <b/>
        <sz val="8"/>
        <rFont val="Arial Narrow"/>
        <family val="2"/>
      </rPr>
      <t xml:space="preserve">
4. Dialacoumbi:  </t>
    </r>
    <r>
      <rPr>
        <sz val="8"/>
        <rFont val="Arial Narrow"/>
        <family val="2"/>
      </rPr>
      <t>- Gros oeuvre :  -RDC Elevation:  100%, Enduit 0%.
  Plancher: 100%
-ETAGE Elevation:  100%, Enduit 0%. Gros oeuvre terminé, enduit 0%</t>
    </r>
    <r>
      <rPr>
        <b/>
        <sz val="8"/>
        <rFont val="Arial Narrow"/>
        <family val="2"/>
      </rPr>
      <t xml:space="preserve">
5. Darou Hidjiratou:  </t>
    </r>
    <r>
      <rPr>
        <sz val="8"/>
        <rFont val="Arial Narrow"/>
        <family val="2"/>
      </rPr>
      <t>-RDC - Gros oeuvre : Elevation  100%, Enduit 0%. Plancher RDC 20%</t>
    </r>
  </si>
  <si>
    <r>
      <rPr>
        <sz val="8"/>
        <color rgb="FFFF0000"/>
        <rFont val="Arial Narrow"/>
        <family val="2"/>
      </rPr>
      <t>Ralentissement noté, du rythme d'éxecution des travaux  dû à un niveau  d'aprovisionnment insuffisant, manque de personnel sur site, Démobilisation du personnel de Sare bilaly,  Lenteus dans le paiement du personnel.</t>
    </r>
    <r>
      <rPr>
        <sz val="8"/>
        <color theme="1"/>
        <rFont val="Arial Narrow"/>
        <family val="2"/>
      </rPr>
      <t xml:space="preserve">
</t>
    </r>
    <r>
      <rPr>
        <b/>
        <sz val="8"/>
        <color theme="1"/>
        <rFont val="Arial Narrow"/>
        <family val="2"/>
      </rPr>
      <t xml:space="preserve">Recommandations:
</t>
    </r>
    <r>
      <rPr>
        <sz val="8"/>
        <color theme="1"/>
        <rFont val="Arial Narrow"/>
        <family val="2"/>
      </rPr>
      <t>Procéder au réapprovisonnement des sites notamment en ciment, sable et gravier.
Procéder au paiement du personnel. Statuer sur la situation des délais qui ont expiré depuis le 31 Mars 2023.</t>
    </r>
  </si>
  <si>
    <t>53/2021/PUDC2/BID</t>
  </si>
  <si>
    <r>
      <rPr>
        <b/>
        <sz val="8"/>
        <color theme="1"/>
        <rFont val="Arial Narrow"/>
        <family val="2"/>
      </rPr>
      <t>Lot 1</t>
    </r>
    <r>
      <rPr>
        <sz val="8"/>
        <color theme="1"/>
        <rFont val="Arial Narrow"/>
        <family val="2"/>
      </rPr>
      <t>: acquisition de mobiliers de bureau pour les postes de santé</t>
    </r>
  </si>
  <si>
    <t>54/2021/PUDC2/BID</t>
  </si>
  <si>
    <r>
      <rPr>
        <b/>
        <sz val="8"/>
        <color theme="1"/>
        <rFont val="Arial Narrow"/>
        <family val="2"/>
      </rPr>
      <t>Lot 2</t>
    </r>
    <r>
      <rPr>
        <sz val="8"/>
        <color theme="1"/>
        <rFont val="Arial Narrow"/>
        <family val="2"/>
      </rPr>
      <t>: acquisition de mobiliers de bureau pour les postes de santé</t>
    </r>
  </si>
  <si>
    <t>55/2021/PUDC2/BID</t>
  </si>
  <si>
    <r>
      <rPr>
        <b/>
        <sz val="8"/>
        <color theme="1"/>
        <rFont val="Arial Narrow"/>
        <family val="2"/>
      </rPr>
      <t>Lot 3</t>
    </r>
    <r>
      <rPr>
        <sz val="8"/>
        <color theme="1"/>
        <rFont val="Arial Narrow"/>
        <family val="2"/>
      </rPr>
      <t>: acquisition de mobiliers de bureau pour les postes de santé</t>
    </r>
  </si>
  <si>
    <t>56/2021/PUDC2/BID</t>
  </si>
  <si>
    <r>
      <rPr>
        <b/>
        <sz val="8"/>
        <color theme="1"/>
        <rFont val="Arial Narrow"/>
        <family val="2"/>
      </rPr>
      <t>Lot 4</t>
    </r>
    <r>
      <rPr>
        <sz val="8"/>
        <color theme="1"/>
        <rFont val="Arial Narrow"/>
        <family val="2"/>
      </rPr>
      <t>: acquisition de mobiliers de bureau pour les postes de santé</t>
    </r>
  </si>
  <si>
    <t>59/2022/PUDC2/BID</t>
  </si>
  <si>
    <r>
      <rPr>
        <b/>
        <sz val="8"/>
        <color theme="1"/>
        <rFont val="Arial Narrow"/>
        <family val="2"/>
      </rPr>
      <t>Lot 1:</t>
    </r>
    <r>
      <rPr>
        <sz val="8"/>
        <color theme="1"/>
        <rFont val="Arial Narrow"/>
        <family val="2"/>
      </rPr>
      <t xml:space="preserve"> acquisition d'équipements hospitaliers pour les postes de santé</t>
    </r>
  </si>
  <si>
    <t>60/2022/PUDC2/BID</t>
  </si>
  <si>
    <r>
      <rPr>
        <b/>
        <sz val="8"/>
        <color theme="1"/>
        <rFont val="Arial Narrow"/>
        <family val="2"/>
      </rPr>
      <t>Lot 2:</t>
    </r>
    <r>
      <rPr>
        <sz val="8"/>
        <color theme="1"/>
        <rFont val="Arial Narrow"/>
        <family val="2"/>
      </rPr>
      <t xml:space="preserve"> acquisition d'équipements hospitaliers pour les postes de santé</t>
    </r>
  </si>
  <si>
    <t>61/2022/PUDC2/BID</t>
  </si>
  <si>
    <r>
      <rPr>
        <b/>
        <sz val="8"/>
        <color theme="1"/>
        <rFont val="Arial Narrow"/>
        <family val="2"/>
      </rPr>
      <t>Lot 3:</t>
    </r>
    <r>
      <rPr>
        <sz val="8"/>
        <color theme="1"/>
        <rFont val="Arial Narrow"/>
        <family val="2"/>
      </rPr>
      <t xml:space="preserve"> acquisition d'équipements hospitaliers pour les postes de santé</t>
    </r>
  </si>
  <si>
    <t>62/2022/PUDC2/BID</t>
  </si>
  <si>
    <r>
      <rPr>
        <b/>
        <sz val="8"/>
        <color theme="1"/>
        <rFont val="Arial Narrow"/>
        <family val="2"/>
      </rPr>
      <t>Lot 4:</t>
    </r>
    <r>
      <rPr>
        <sz val="8"/>
        <color theme="1"/>
        <rFont val="Arial Narrow"/>
        <family val="2"/>
      </rPr>
      <t xml:space="preserve"> acquisition d'équipements hospitaliers pour les postes de santé</t>
    </r>
  </si>
  <si>
    <t>N/R</t>
  </si>
  <si>
    <t>21/03/2022
à régulariser</t>
  </si>
  <si>
    <t>054/2022/PUDC2/BID</t>
  </si>
  <si>
    <t>Projet avenant encours</t>
  </si>
  <si>
    <r>
      <rPr>
        <b/>
        <sz val="8"/>
        <rFont val="Arial Narrow"/>
        <family val="2"/>
      </rPr>
      <t xml:space="preserve">Taux d'avancement gros oeuvre:51%
Avancement global du contrat:  40%
</t>
    </r>
    <r>
      <rPr>
        <b/>
        <sz val="8"/>
        <color theme="1"/>
        <rFont val="Arial Narrow"/>
        <family val="2"/>
      </rPr>
      <t xml:space="preserve">Lycée Guiro Yero Bocar (4SDC) </t>
    </r>
    <r>
      <rPr>
        <sz val="8"/>
        <color theme="1"/>
        <rFont val="Arial Narrow"/>
        <family val="2"/>
      </rPr>
      <t xml:space="preserve">Salles de classe (++) Fondation : 100% (++) Elevation : 90%
</t>
    </r>
    <r>
      <rPr>
        <b/>
        <sz val="8"/>
        <color theme="1"/>
        <rFont val="Arial Narrow"/>
        <family val="2"/>
      </rPr>
      <t xml:space="preserve">-Lycée de Salykegne </t>
    </r>
    <r>
      <rPr>
        <sz val="8"/>
        <color theme="1"/>
        <rFont val="Arial Narrow"/>
        <family val="2"/>
      </rPr>
      <t>Salles de classe (++) Fondation : 90% (++) Elevation : 55%
-</t>
    </r>
    <r>
      <rPr>
        <b/>
        <sz val="8"/>
        <color theme="1"/>
        <rFont val="Arial Narrow"/>
        <family val="2"/>
      </rPr>
      <t xml:space="preserve">Ecole Kourkour Bala (4SDC) </t>
    </r>
    <r>
      <rPr>
        <sz val="8"/>
        <color theme="1"/>
        <rFont val="Arial Narrow"/>
        <family val="2"/>
      </rPr>
      <t>(++) Fondation + Plancher: 90%. Elevation 30%
-</t>
    </r>
    <r>
      <rPr>
        <b/>
        <sz val="8"/>
        <color theme="1"/>
        <rFont val="Arial Narrow"/>
        <family val="2"/>
      </rPr>
      <t>Ecole Kourkour Saly(3SDC</t>
    </r>
    <r>
      <rPr>
        <sz val="8"/>
        <color theme="1"/>
        <rFont val="Arial Narrow"/>
        <family val="2"/>
      </rPr>
      <t>) (++) Fondation + Plancher: 50%. Elevation 25%
-</t>
    </r>
    <r>
      <rPr>
        <b/>
        <sz val="8"/>
        <color theme="1"/>
        <rFont val="Arial Narrow"/>
        <family val="2"/>
      </rPr>
      <t xml:space="preserve">CEM Coumba Diouma (2SDC) </t>
    </r>
    <r>
      <rPr>
        <i/>
        <sz val="8"/>
        <color theme="1"/>
        <rFont val="Arial Narrow"/>
        <family val="2"/>
      </rPr>
      <t xml:space="preserve">Salles de classe </t>
    </r>
    <r>
      <rPr>
        <sz val="8"/>
        <color theme="1"/>
        <rFont val="Arial Narrow"/>
        <family val="2"/>
      </rPr>
      <t xml:space="preserve">(++) Fondation : 100% (++) Elevation : 95%
</t>
    </r>
    <r>
      <rPr>
        <b/>
        <sz val="8"/>
        <color theme="1"/>
        <rFont val="Arial Narrow"/>
        <family val="2"/>
      </rPr>
      <t xml:space="preserve">-Sare Coly Tenning(3SDC) </t>
    </r>
    <r>
      <rPr>
        <sz val="8"/>
        <color theme="1"/>
        <rFont val="Arial Narrow"/>
        <family val="2"/>
      </rPr>
      <t>Salles de classe (++) Fondation : 100% (++) Elevation : 100% Bloc hygiène (++) Fondation : 20%.
-</t>
    </r>
    <r>
      <rPr>
        <b/>
        <sz val="8"/>
        <color theme="1"/>
        <rFont val="Arial Narrow"/>
        <family val="2"/>
      </rPr>
      <t xml:space="preserve">Ecole Gombatang Fodé (4SDC) </t>
    </r>
    <r>
      <rPr>
        <sz val="8"/>
        <color theme="1"/>
        <rFont val="Arial Narrow"/>
        <family val="2"/>
      </rPr>
      <t xml:space="preserve">(++) Fondation + Plancher: 95%. Elevation 15%
</t>
    </r>
    <r>
      <rPr>
        <b/>
        <sz val="8"/>
        <color theme="1"/>
        <rFont val="Arial Narrow"/>
        <family val="2"/>
      </rPr>
      <t xml:space="preserve">-CEM Dinguiraye (10SDC) </t>
    </r>
    <r>
      <rPr>
        <sz val="8"/>
        <color theme="1"/>
        <rFont val="Arial Narrow"/>
        <family val="2"/>
      </rPr>
      <t xml:space="preserve">Salles de classe (++) Fondation : 90% (++) Elevation : 100%
</t>
    </r>
  </si>
  <si>
    <r>
      <rPr>
        <sz val="8"/>
        <color rgb="FFFF0000"/>
        <rFont val="Arial Narrow"/>
        <family val="2"/>
      </rPr>
      <t xml:space="preserve">Les travaux sont à l'arrêt, Pas de personnel sur site et Délais de l'avenant 01 terminé depuis 1 semaine (23 MAI 2023).
</t>
    </r>
    <r>
      <rPr>
        <b/>
        <sz val="8"/>
        <rFont val="Arial Narrow"/>
        <family val="2"/>
      </rPr>
      <t xml:space="preserve">Reommandations:
</t>
    </r>
    <r>
      <rPr>
        <sz val="8"/>
        <rFont val="Arial Narrow"/>
        <family val="2"/>
      </rPr>
      <t xml:space="preserve">*Mobiliser un personnel suffisant sur chaquez site dans les plus brefs délais.
*Procéder à l'approvisionnement en sable, ciment, gravier, fer, et toiture dans les plus brefs délais.
*Compte tenu de l'approche de la fin des délais et ce malgrés plusieurs avertissements, préparer une lettre de mise en deumeure.
</t>
    </r>
    <r>
      <rPr>
        <b/>
        <sz val="8"/>
        <color rgb="FF7030A0"/>
        <rFont val="Arial Narrow"/>
        <family val="2"/>
      </rPr>
      <t>Préparer un avenat de délais supplémentaire.</t>
    </r>
    <r>
      <rPr>
        <sz val="8"/>
        <color rgb="FFFF0000"/>
        <rFont val="Arial Narrow"/>
        <family val="2"/>
      </rPr>
      <t xml:space="preserve">
</t>
    </r>
  </si>
  <si>
    <t>053/2022/PUDC2/BID</t>
  </si>
  <si>
    <r>
      <rPr>
        <b/>
        <sz val="8"/>
        <color theme="1"/>
        <rFont val="Arial Narrow"/>
        <family val="2"/>
      </rPr>
      <t>Avancement gros oeuvre:57%
Avancement global du contrat:  45%</t>
    </r>
    <r>
      <rPr>
        <sz val="8"/>
        <color theme="1"/>
        <rFont val="Arial Narrow"/>
        <family val="2"/>
      </rPr>
      <t xml:space="preserve">
</t>
    </r>
    <r>
      <rPr>
        <b/>
        <sz val="8"/>
        <color theme="1"/>
        <rFont val="Arial Narrow"/>
        <family val="2"/>
      </rPr>
      <t xml:space="preserve">-Nimaya: </t>
    </r>
    <r>
      <rPr>
        <i/>
        <sz val="8"/>
        <color theme="1"/>
        <rFont val="Arial Narrow"/>
        <family val="2"/>
      </rPr>
      <t xml:space="preserve">Salles de classe </t>
    </r>
    <r>
      <rPr>
        <sz val="8"/>
        <color theme="1"/>
        <rFont val="Arial Narrow"/>
        <family val="2"/>
      </rPr>
      <t xml:space="preserve">(++) Fondation : 100%. (++) Elevation : 100%  (++) Dallage sol: 100%
</t>
    </r>
    <r>
      <rPr>
        <i/>
        <sz val="8"/>
        <color theme="1"/>
        <rFont val="Arial Narrow"/>
        <family val="2"/>
      </rPr>
      <t xml:space="preserve">Mur de clôture </t>
    </r>
    <r>
      <rPr>
        <sz val="8"/>
        <color theme="1"/>
        <rFont val="Arial Narrow"/>
        <family val="2"/>
      </rPr>
      <t>(++) Fondation : 10%.
-</t>
    </r>
    <r>
      <rPr>
        <b/>
        <sz val="8"/>
        <color theme="1"/>
        <rFont val="Arial Narrow"/>
        <family val="2"/>
      </rPr>
      <t xml:space="preserve">EFA Bandoumba (4SDC) </t>
    </r>
    <r>
      <rPr>
        <i/>
        <sz val="8"/>
        <color theme="1"/>
        <rFont val="Arial Narrow"/>
        <family val="2"/>
      </rPr>
      <t xml:space="preserve">Salles de classe </t>
    </r>
    <r>
      <rPr>
        <sz val="8"/>
        <color theme="1"/>
        <rFont val="Arial Narrow"/>
        <family val="2"/>
      </rPr>
      <t xml:space="preserve"> (++) Fondation : 100%.  (++) Elevation : 73%
-</t>
    </r>
    <r>
      <rPr>
        <b/>
        <sz val="8"/>
        <color theme="1"/>
        <rFont val="Arial Narrow"/>
        <family val="2"/>
      </rPr>
      <t xml:space="preserve">Ecole Sibicouroto(5sdc) </t>
    </r>
    <r>
      <rPr>
        <i/>
        <sz val="8"/>
        <color theme="1"/>
        <rFont val="Arial Narrow"/>
        <family val="2"/>
      </rPr>
      <t xml:space="preserve">Salles de classe </t>
    </r>
    <r>
      <rPr>
        <sz val="8"/>
        <color theme="1"/>
        <rFont val="Arial Narrow"/>
        <family val="2"/>
      </rPr>
      <t>(++) Fondation : 100%. (++) Elevation : 100%. Bloc hygiène (++) Fondation : 10%.
-</t>
    </r>
    <r>
      <rPr>
        <b/>
        <sz val="8"/>
        <color theme="1"/>
        <rFont val="Arial Narrow"/>
        <family val="2"/>
      </rPr>
      <t xml:space="preserve">Cem Sédhiou 4(8SDC) </t>
    </r>
    <r>
      <rPr>
        <i/>
        <sz val="8"/>
        <color theme="1"/>
        <rFont val="Arial Narrow"/>
        <family val="2"/>
      </rPr>
      <t xml:space="preserve">Salles de classe. </t>
    </r>
    <r>
      <rPr>
        <sz val="8"/>
        <color theme="1"/>
        <rFont val="Arial Narrow"/>
        <family val="2"/>
      </rPr>
      <t xml:space="preserve">(++) Fondation : 100% (++) Elevation : 80%. </t>
    </r>
    <r>
      <rPr>
        <i/>
        <sz val="8"/>
        <color theme="1"/>
        <rFont val="Arial Narrow"/>
        <family val="2"/>
      </rPr>
      <t xml:space="preserve">Bloc hygiène. </t>
    </r>
    <r>
      <rPr>
        <sz val="8"/>
        <color theme="1"/>
        <rFont val="Arial Narrow"/>
        <family val="2"/>
      </rPr>
      <t>(++) Fondation : 10%. Mur de clôture (++) Fondation : 10%.</t>
    </r>
  </si>
  <si>
    <r>
      <rPr>
        <sz val="8"/>
        <color rgb="FFFF0000"/>
        <rFont val="Arial Narrow"/>
        <family val="2"/>
      </rPr>
      <t>Les travaux sont à l'arrêt, Pas de personnel sur site et Délais de l'avenant 01 terminé depuis 1 semaine (23 MAI 2023)</t>
    </r>
    <r>
      <rPr>
        <sz val="8"/>
        <color theme="1"/>
        <rFont val="Arial Narrow"/>
        <family val="2"/>
      </rPr>
      <t xml:space="preserve">
</t>
    </r>
    <r>
      <rPr>
        <b/>
        <sz val="8"/>
        <color theme="1"/>
        <rFont val="Arial Narrow"/>
        <family val="2"/>
      </rPr>
      <t>Recommandations:</t>
    </r>
    <r>
      <rPr>
        <sz val="8"/>
        <color theme="1"/>
        <rFont val="Arial Narrow"/>
        <family val="2"/>
      </rPr>
      <t xml:space="preserve">
*Mobiliser un personnel suffisant sur chaquez site dans les plus brefs délais.
*Procéder à l'approvisionnement en sable, ciment, gravier, fer, et toiture dans les plus brefs délais.
*Compte tenu de l'approche de la fin des délais et ce malgrés plusieurs avertissements, préparer une lettre de mise en deumeure.
</t>
    </r>
    <r>
      <rPr>
        <b/>
        <sz val="8"/>
        <color rgb="FF7030A0"/>
        <rFont val="Arial Narrow"/>
        <family val="2"/>
      </rPr>
      <t>Préparer un avenat de délais supplémentaire.</t>
    </r>
    <r>
      <rPr>
        <sz val="8"/>
        <color theme="1"/>
        <rFont val="Arial Narrow"/>
        <family val="2"/>
      </rPr>
      <t xml:space="preserve">
</t>
    </r>
  </si>
  <si>
    <t>002/2023/PUDC2/BID</t>
  </si>
  <si>
    <t>Notification attribuée
Procédure de signature de contrat en cours.</t>
  </si>
  <si>
    <t>Accèlerer le processus de signature de contrat avec SATRACONS.</t>
  </si>
  <si>
    <r>
      <rPr>
        <b/>
        <sz val="8"/>
        <rFont val="Arial Narrow"/>
        <family val="2"/>
      </rPr>
      <t>Avancement</t>
    </r>
    <r>
      <rPr>
        <sz val="8"/>
        <rFont val="Arial Narrow"/>
        <family val="2"/>
      </rPr>
      <t xml:space="preserve">:246/246 livrés et mis en service.
* 97 (Kolda) 
* 74 (ziguinchor)
* 75 équipements (pour la région de Sédhiou) </t>
    </r>
  </si>
  <si>
    <t xml:space="preserve">
24 équipements ont été livrés et mis en service sur 53 prévus.
14 équipements ont satisfait aux tests grandeur nature. Le prototype des 15 concasseurs a été  validé . PDI s'est engagé à achever la production des 14 concasseurs (validation du prototype, production et tests grandeur nature) au 30 avril 2023.)
Une mise en demeure a été servie, une visite de l'usine et une rencontre tenue avec l'entreprise pour voir les modalités de finaliser le contrat. </t>
  </si>
  <si>
    <r>
      <t xml:space="preserve">Retards notés dans la livraison des équipements
</t>
    </r>
    <r>
      <rPr>
        <b/>
        <sz val="8"/>
        <color theme="4" tint="-0.249977111117893"/>
        <rFont val="Arial Narrow"/>
        <family val="2"/>
      </rPr>
      <t>Recommandations:</t>
    </r>
    <r>
      <rPr>
        <sz val="8"/>
        <color theme="4" tint="-0.249977111117893"/>
        <rFont val="Arial Narrow"/>
        <family val="2"/>
      </rPr>
      <t xml:space="preserve">
Préparer la mission de réception en usine des 15 concasseur à partir du 19 juin 2023
</t>
    </r>
  </si>
  <si>
    <t>048/2019/PUDC2/BID</t>
  </si>
  <si>
    <t>100 Comités de Gestion (CG) ont été mis en place et les membres formés à la gestion des équipements. 
L'ensemble des abris ont été construits.</t>
  </si>
  <si>
    <t>052/2019/PUDC2/BID</t>
  </si>
  <si>
    <t>84 Comités de Gestion (CG) ont été mis en place et les membres formés à la gestion des équipements.
L'ensemble des abris ont été construits.</t>
  </si>
  <si>
    <t>051/2019/PUDC2/BID</t>
  </si>
  <si>
    <t>77 Comités de Gestion (CG) ont été mis en place.  
90% des abris ont été construit. 
Contrat résilié et formation des membres réalisée en interne</t>
  </si>
  <si>
    <t>13/2019/PUDC2/BID (Lot 1)</t>
  </si>
  <si>
    <t>Les travaux d’installation des réseaux d’irrigation des 5PAC sont finalisés dans la zone nord (Louga, Saint Louis et Matam)</t>
  </si>
  <si>
    <t>Suivre l' évolution du montage de l' avenant avec l' équipe passation de marchés</t>
  </si>
  <si>
    <t>014/2019/PUDC2/BID (Lot 2)</t>
  </si>
  <si>
    <t>Les travaux d’installation des réseaux d’irrigation des 4 PAC sont finalisés dans la zone sud-est et la réception provisoire a eu lieu</t>
  </si>
  <si>
    <t>015/2019/PUDC2/BID (Lot 3)</t>
  </si>
  <si>
    <r>
      <t xml:space="preserve">2 sites finalisés et réceptionné (Santhie médina) </t>
    </r>
    <r>
      <rPr>
        <sz val="8"/>
        <color rgb="FFFF0000"/>
        <rFont val="Arial Narrow"/>
        <family val="2"/>
      </rPr>
      <t xml:space="preserve"> et</t>
    </r>
    <r>
      <rPr>
        <sz val="8"/>
        <color theme="1"/>
        <rFont val="Arial Narrow"/>
        <family val="2"/>
      </rPr>
      <t xml:space="preserve">  (Séwékhaye)
</t>
    </r>
    <r>
      <rPr>
        <sz val="8"/>
        <color rgb="FFFF0000"/>
        <rFont val="Arial Narrow"/>
        <family val="2"/>
      </rPr>
      <t xml:space="preserve"> 1 non démarré (Boulel).</t>
    </r>
  </si>
  <si>
    <t>16/2019/PUDC2/BID (Lot 4)</t>
  </si>
  <si>
    <t>Réseau d'irrigation dans la régiopn de Sédhiou
Délai: 4 mois (Zone centre)</t>
  </si>
  <si>
    <t>Les travaux d’installation des réseaux d’irrigation sont finalisés dans les trois sites et la réception a eu lieu (Tallène, Aynoumane, et Keur Baba).</t>
  </si>
  <si>
    <t xml:space="preserve"> 017/2019/PUDC2/BID (Lot 1)</t>
  </si>
  <si>
    <t>pas encore</t>
  </si>
  <si>
    <r>
      <t xml:space="preserve">L'entreprise a choisi de procéder par bon commande,
A cet effet, la réception des fournitures  sur site a été réalisée et confirme la disponibilité du matériel facturé en qualité et en quantité.
</t>
    </r>
    <r>
      <rPr>
        <sz val="8"/>
        <color rgb="FFFF0000"/>
        <rFont val="Arial Narrow"/>
        <family val="2"/>
      </rPr>
      <t>Le bon de commande et l' OS sont en cours de signaturre</t>
    </r>
  </si>
  <si>
    <t xml:space="preserve">Diligenter l'OS et le bon de commande pour permettre à l' entreprise de démarrer les travaux.
</t>
  </si>
  <si>
    <t xml:space="preserve"> 018/2019/PUDC2/BID (Lot 2°</t>
  </si>
  <si>
    <t>Fourniture et pose de grillage dans la région de Sédhiou
Délai: 4 mois</t>
  </si>
  <si>
    <t>L'entreprise a démarré la pose au niveau de la région de Sédhiou et le premier site a déjà l'objet de réception afin de permettre à l' entreprise de corriger pour les sites suivants.</t>
  </si>
  <si>
    <t>Suivre l' exécution du marché avec l'équipe du PRI SUD</t>
  </si>
  <si>
    <t xml:space="preserve"> 019/2019/PUDC2/BID/Lot 1</t>
  </si>
  <si>
    <t>20 jrs</t>
  </si>
  <si>
    <t xml:space="preserve">Contrat résilié pour cause d'abandon de l'objet </t>
  </si>
  <si>
    <t xml:space="preserve"> 019/2019/PUDC2/BID/Lot 2</t>
  </si>
  <si>
    <t>020/2019/PUDC2/BID/Lot 3</t>
  </si>
  <si>
    <t>Semences livrées avant la campagne hivernale 2021</t>
  </si>
  <si>
    <t>020/2019/PUDC2/BID/Lot 4</t>
  </si>
  <si>
    <t>021/2019/PUDC2/BID/Lot 1</t>
  </si>
  <si>
    <t>04/0/2021</t>
  </si>
  <si>
    <t>30 jrs</t>
  </si>
  <si>
    <t>Les engrais ont été livrés dans les sites identifés pour la campagne hivernale</t>
  </si>
  <si>
    <t>021/2019/PUDC2/BID/Lot 2</t>
  </si>
  <si>
    <t>Les engrais sont en cours de livraison dans les sites identifés pour la campagne de contre saison</t>
  </si>
  <si>
    <t>021/2019/PUDC2/BID/Lot 3</t>
  </si>
  <si>
    <t>Engrais livrés avant la campagne hivernale 2021</t>
  </si>
  <si>
    <t>021/2019/PUDC2/BID/Lot 4</t>
  </si>
  <si>
    <t>001/2023</t>
  </si>
  <si>
    <r>
      <rPr>
        <sz val="8"/>
        <rFont val="Arial Narrow"/>
        <family val="2"/>
      </rPr>
      <t>Construction de 06 laiteries dans les régions de Louga et Diourbel</t>
    </r>
    <r>
      <rPr>
        <sz val="8"/>
        <color theme="4"/>
        <rFont val="Arial Narrow"/>
        <family val="2"/>
      </rPr>
      <t xml:space="preserve">
</t>
    </r>
    <r>
      <rPr>
        <sz val="8"/>
        <color rgb="FFFF0000"/>
        <rFont val="Arial Narrow"/>
        <family val="2"/>
      </rPr>
      <t>Délai: 08 mois</t>
    </r>
  </si>
  <si>
    <t>Les fondations des 06 laiteries sont achevés et les travaux de remblai sont en cours</t>
  </si>
  <si>
    <r>
      <rPr>
        <b/>
        <sz val="8"/>
        <color theme="1"/>
        <rFont val="Arial Narrow"/>
        <family val="2"/>
      </rPr>
      <t>Attente avance de démarrage</t>
    </r>
    <r>
      <rPr>
        <sz val="8"/>
        <color theme="1"/>
        <rFont val="Arial Narrow"/>
        <family val="2"/>
      </rPr>
      <t xml:space="preserve">
Accélérer le rythme d'avancement des travaux</t>
    </r>
  </si>
  <si>
    <t xml:space="preserve">SOLENE: </t>
  </si>
  <si>
    <r>
      <rPr>
        <sz val="8"/>
        <rFont val="Arial Narrow"/>
        <family val="2"/>
      </rPr>
      <t>Acquistion de Kits solaires pour 08 laiteries et 01 centre de collecte dans les régions de Louga et Diourbel</t>
    </r>
    <r>
      <rPr>
        <sz val="8"/>
        <color theme="4"/>
        <rFont val="Arial Narrow"/>
        <family val="2"/>
      </rPr>
      <t xml:space="preserve">
</t>
    </r>
    <r>
      <rPr>
        <sz val="8"/>
        <color rgb="FFFF0000"/>
        <rFont val="Arial Narrow"/>
        <family val="2"/>
      </rPr>
      <t>Délai: 04 mois</t>
    </r>
  </si>
  <si>
    <t>OS (Attente CP)</t>
  </si>
  <si>
    <t>Les contrats sont en cours d'enregistrement au niveau des entreprises</t>
  </si>
  <si>
    <t>CALYPSO</t>
  </si>
  <si>
    <t>0010/2023</t>
  </si>
  <si>
    <r>
      <t xml:space="preserve">FOURNITURE ET INSTALLATION D’ÉQUIPEMENTS DANS 7 LAITERIES ET 1 CENTRE DE COLLECTE DANS LES REGIONS DE LOUGA </t>
    </r>
    <r>
      <rPr>
        <strike/>
        <sz val="9"/>
        <color rgb="FFFF0000"/>
        <rFont val="Calibri"/>
        <family val="2"/>
        <scheme val="minor"/>
      </rPr>
      <t>ET DIOURBEL</t>
    </r>
  </si>
  <si>
    <t>O S ATTENTE CP</t>
  </si>
  <si>
    <t>Les contrats sont déjà signés.</t>
  </si>
  <si>
    <t>Convier les entreprises à une réunion d'information et de prise de contact</t>
  </si>
  <si>
    <t>GENERAL LOGISTIC</t>
  </si>
  <si>
    <t>0011/2024</t>
  </si>
  <si>
    <r>
      <t xml:space="preserve">FOURNITURE ET INSTALLATION D’ÉQUIPEMENTS DANS 7 LAITERIES ET 1 CENTRE DE COLLECTE DANS LES REGIONS DE </t>
    </r>
    <r>
      <rPr>
        <strike/>
        <sz val="9"/>
        <color rgb="FFFF0000"/>
        <rFont val="Calibri"/>
        <family val="2"/>
        <scheme val="minor"/>
      </rPr>
      <t>LOUGA ET</t>
    </r>
    <r>
      <rPr>
        <sz val="9"/>
        <color theme="1"/>
        <rFont val="Calibri"/>
        <family val="2"/>
        <scheme val="minor"/>
      </rPr>
      <t xml:space="preserve"> DIOURBEL</t>
    </r>
  </si>
  <si>
    <t>CDV-Lait/PTA</t>
  </si>
  <si>
    <t xml:space="preserve">Entreprise: </t>
  </si>
  <si>
    <r>
      <t xml:space="preserve">Acquistion de motocycles et de tricycles  pour 08 laiteries dans les régions de Louga et Diourbelet </t>
    </r>
    <r>
      <rPr>
        <strike/>
        <sz val="8"/>
        <color rgb="FFFF0000"/>
        <rFont val="Arial Narrow"/>
        <family val="2"/>
      </rPr>
      <t>03 unités de transformation dans les régions de Thiès et Fatick</t>
    </r>
  </si>
  <si>
    <t>Les DAO sont finalisés et l'avis publié au niveau des journaux.
Les évaluations sont programmées à la fin du mois de Mai.</t>
  </si>
  <si>
    <t>Demander au PNUD de diligenter le rapport d'évaluation</t>
  </si>
  <si>
    <t xml:space="preserve">Acquistion de mobiliers de bureau pour 08 laiteries  dans les régions de Louga et Diourbel </t>
  </si>
  <si>
    <t>Les spécifications technqiues sont en cours d'élaboration</t>
  </si>
  <si>
    <t>Finaliser sans délais les specations techniques et les envoyer au PNUD afin qu'ils procèdent aux acquistions</t>
  </si>
  <si>
    <t>Accompagenement des Promoteurs des Unités Laitières</t>
  </si>
  <si>
    <t>Une estimation du coût des activités de formation a déjà été effectuée et il reste de définir les modalités de mise en œuvre.</t>
  </si>
  <si>
    <t>Déterminer avec le CP BID la ligne budgétaire qui pourra couvrir ces activités et étudier avec le BPM les modalités contractuelles pour la mise en œuvre.</t>
  </si>
  <si>
    <t>ENTREPRENARIAT/PTA</t>
  </si>
  <si>
    <t>EGECOM SARL</t>
  </si>
  <si>
    <t>Travaux de Construction d'un magasin de stockage de 300 tonnes et d'une unité de transformation d'acajou dans le département de Sokone (Lot 1)</t>
  </si>
  <si>
    <r>
      <t xml:space="preserve">30/03/2023
</t>
    </r>
    <r>
      <rPr>
        <sz val="8"/>
        <color theme="1"/>
        <rFont val="Arial Narrow"/>
        <family val="2"/>
      </rPr>
      <t>OS de suspension 18
reprise 02/06/2023</t>
    </r>
  </si>
  <si>
    <r>
      <t xml:space="preserve">6
</t>
    </r>
    <r>
      <rPr>
        <sz val="8"/>
        <color theme="1"/>
        <rFont val="Arial Narrow"/>
        <family val="2"/>
      </rPr>
      <t>(4 mois à compter du 30 mai)</t>
    </r>
  </si>
  <si>
    <t>Les missions d'implantation ont déjà eu lieu et l'entreprise a déjà approvisionné le chantier. Cependant, les travaux sont à l'arrêt  sur demande du Préfet du fait des récriminations du Maire</t>
  </si>
  <si>
    <t xml:space="preserve">
 un ordre de service de suspension a été envoyé à l'entreprise EGECOM SARL
Lever la contrainte posée par le maire et poursuivre le processus d'IS</t>
  </si>
  <si>
    <t>Travaux de Construction d'une unité de transformation et d'un magasin de stockage de 100 tonnes à Séwékhaye, C. Nguondiane (Lot 3)</t>
  </si>
  <si>
    <t>L'entreprise a approvisionné le chantier en matériaux (sable,gravier,ciment) et la confection des agglos en cour</t>
  </si>
  <si>
    <t>Il a été demandé à l'entreprise EGECOM de déployer des équipes sur le chantier pour un démarrage imminent des travaux de fondation</t>
  </si>
  <si>
    <r>
      <t xml:space="preserve">ENTREPRENARIAT: </t>
    </r>
    <r>
      <rPr>
        <b/>
        <sz val="8"/>
        <color rgb="FF0070C0"/>
        <rFont val="Arial Narrow"/>
        <family val="2"/>
      </rPr>
      <t xml:space="preserve">
LEROCEL Sarl</t>
    </r>
  </si>
  <si>
    <t>Construction d'une unité de transformations dans la commune de DIOFIOR (Lot 2)</t>
  </si>
  <si>
    <t>L'entreprise a démarré les travaux de fouille et l'approvisionnement en matériaux (ciment,gravier,sable,fer) est en cour</t>
  </si>
  <si>
    <t>IL a été demandé à l'entreprise LEROCEL de mettre des équipes (maçcons et manœuvres) pour accélérer les travaux</t>
  </si>
  <si>
    <t>Fourniture et Installation d’équipements pour les unités de transformation anacarde, céréales et arachide dans les régions de FATICK et de THIES répartie en trois (03) lots</t>
  </si>
  <si>
    <t>L'entreprise TECHNIQUE INDUSTRIES attributaire des 3 lots s'est désistée
les entreprise GEO et CALYPSO (arrivées en 2ème position lors de l'évaluation du DAO) ont été consultées et ont confirmé leur offre de service. CALYPSO a consenti un rabais de 5% sur son offre global</t>
  </si>
  <si>
    <t xml:space="preserve">Finaliser la contractualisation avec les ebtreprises GEO et CALYPSO </t>
  </si>
  <si>
    <r>
      <rPr>
        <sz val="8"/>
        <color rgb="FF00B050"/>
        <rFont val="Arial Narrow"/>
        <family val="2"/>
      </rPr>
      <t>1) Audit comptable et financier des exercices 2019-2020</t>
    </r>
    <r>
      <rPr>
        <sz val="8"/>
        <color theme="1"/>
        <rFont val="Arial Narrow"/>
        <family val="2"/>
      </rPr>
      <t xml:space="preserve">
</t>
    </r>
    <r>
      <rPr>
        <sz val="8"/>
        <color rgb="FFFF0000"/>
        <rFont val="Arial Narrow"/>
        <family val="2"/>
      </rPr>
      <t xml:space="preserve">2) Audit comptable et financier du projet BID exercice 2021. </t>
    </r>
  </si>
  <si>
    <t>60 jrs</t>
  </si>
  <si>
    <r>
      <rPr>
        <b/>
        <sz val="8"/>
        <rFont val="Arial Narrow"/>
        <family val="2"/>
      </rPr>
      <t>Travaux de construction de 29,5 km de Pistes dans la région de kaolack.</t>
    </r>
    <r>
      <rPr>
        <sz val="8"/>
        <rFont val="Arial Narrow"/>
        <family val="2"/>
      </rPr>
      <t xml:space="preserve">
</t>
    </r>
    <r>
      <rPr>
        <b/>
        <sz val="8"/>
        <rFont val="Arial Narrow"/>
        <family val="2"/>
      </rPr>
      <t>Lot 1 : GEOTOP / kaolack:</t>
    </r>
    <r>
      <rPr>
        <sz val="8"/>
        <rFont val="Arial Narrow"/>
        <family val="2"/>
      </rPr>
      <t xml:space="preserve">
TR01: Guinguineo -Darou Dieme - Ngoloum- Diaké  - Gavane Djida: 29,5 km
</t>
    </r>
  </si>
  <si>
    <r>
      <rPr>
        <b/>
        <u/>
        <sz val="8"/>
        <color rgb="FF0070C0"/>
        <rFont val="Arial Narrow"/>
        <family val="2"/>
      </rPr>
      <t>Avancement global: 24,54%
Piste: Guinguineo -Darou Dieme - Ngoloum- Diaké  - Gavane Djida: 28,824 km</t>
    </r>
    <r>
      <rPr>
        <sz val="8"/>
        <color rgb="FF0070C0"/>
        <rFont val="Arial Narrow"/>
        <family val="2"/>
      </rPr>
      <t xml:space="preserve">
</t>
    </r>
    <r>
      <rPr>
        <b/>
        <sz val="8"/>
        <color rgb="FF0070C0"/>
        <rFont val="Arial Narrow"/>
        <family val="2"/>
      </rPr>
      <t>* Nettoyage : 100% * Terrassement (Déblais et Remblais) :sur 9,2 km, soit 32%</t>
    </r>
    <r>
      <rPr>
        <b/>
        <sz val="8"/>
        <color rgb="FF00B050"/>
        <rFont val="Arial Narrow"/>
        <family val="2"/>
      </rPr>
      <t xml:space="preserve">  </t>
    </r>
    <r>
      <rPr>
        <b/>
        <sz val="8"/>
        <color rgb="FF0070C0"/>
        <rFont val="Arial Narrow"/>
        <family val="2"/>
      </rPr>
      <t xml:space="preserve">* Approvisionnement couche de roulement : sur 8,325 soit 28,88% 
NB: </t>
    </r>
    <r>
      <rPr>
        <b/>
        <sz val="8"/>
        <color rgb="FFFF0000"/>
        <rFont val="Arial Narrow"/>
        <family val="2"/>
      </rPr>
      <t xml:space="preserve"> Fin délai contractuel : le 15 Décembre  2022. </t>
    </r>
  </si>
  <si>
    <t>Fin délais le 15 Décembre 2022
*Contrat en cours de résiliation ;</t>
  </si>
  <si>
    <t xml:space="preserve">Travaux de réalisation de 41,5 Km de pistes rurales dans le région de Fatick
1. Piste " Passy " : 15,575 km 
2. Piste " Keur Saloum Diané " : 24,8 km </t>
  </si>
  <si>
    <r>
      <rPr>
        <b/>
        <sz val="8"/>
        <color rgb="FF0070C0"/>
        <rFont val="Arial Narrow"/>
        <family val="2"/>
      </rPr>
      <t>Avancement global:</t>
    </r>
    <r>
      <rPr>
        <b/>
        <sz val="8"/>
        <color rgb="FFFF0000"/>
        <rFont val="Arial Narrow"/>
        <family val="2"/>
      </rPr>
      <t xml:space="preserve"> 52,34 %</t>
    </r>
    <r>
      <rPr>
        <sz val="8"/>
        <color rgb="FF0070C0"/>
        <rFont val="Arial Narrow"/>
        <family val="2"/>
      </rPr>
      <t xml:space="preserve">
</t>
    </r>
    <r>
      <rPr>
        <b/>
        <u/>
        <sz val="8"/>
        <color rgb="FF0070C0"/>
        <rFont val="Arial Narrow"/>
        <family val="2"/>
      </rPr>
      <t>1. Piste " Passy " : 15,575 km (Av des travaux: 70,27%)</t>
    </r>
    <r>
      <rPr>
        <b/>
        <sz val="8"/>
        <color rgb="FF0070C0"/>
        <rFont val="Arial Narrow"/>
        <family val="2"/>
      </rPr>
      <t xml:space="preserve">
* Appros couche de roulement  : 100 %
* Finition couche de roulement : 90%, ( il reste les zones des ouvragres et la traversée des villages prévue pour la couche de roulement en latérite ciment).
* Réalisation ouvrages : 95% (reste à réaliser un radier de 15 ml).
</t>
    </r>
    <r>
      <rPr>
        <b/>
        <u/>
        <sz val="8"/>
        <color rgb="FF0070C0"/>
        <rFont val="Arial Narrow"/>
        <family val="2"/>
      </rPr>
      <t>2. Piste " Keur Saloum Diané " : 24,8 km (Av des travaux: 38,69 %)</t>
    </r>
    <r>
      <rPr>
        <b/>
        <sz val="8"/>
        <color rgb="FF0070C0"/>
        <rFont val="Arial Narrow"/>
        <family val="2"/>
      </rPr>
      <t xml:space="preserve">
 * Terrassement (Déblais et Remblais) : 21,2 km soit  85%;
 * Appros couche de roulement : 18,7 km soit  75 %
 * Finition couche de roulement : 2,740 km soit 11%
 * OH: Façonnage des armatures des dalots en cours.</t>
    </r>
    <r>
      <rPr>
        <sz val="8"/>
        <color rgb="FF0070C0"/>
        <rFont val="Arial Narrow"/>
        <family val="2"/>
      </rPr>
      <t xml:space="preserve">
</t>
    </r>
    <r>
      <rPr>
        <b/>
        <u/>
        <sz val="8"/>
        <color rgb="FF0070C0"/>
        <rFont val="Arial Narrow"/>
        <family val="2"/>
      </rPr>
      <t>NB:</t>
    </r>
    <r>
      <rPr>
        <b/>
        <sz val="8"/>
        <color rgb="FF0070C0"/>
        <rFont val="Arial Narrow"/>
        <family val="2"/>
      </rPr>
      <t xml:space="preserve">  </t>
    </r>
    <r>
      <rPr>
        <b/>
        <sz val="8"/>
        <color rgb="FFFF0000"/>
        <rFont val="Arial Narrow"/>
        <family val="2"/>
      </rPr>
      <t>Fin délai contractuel : le 15 Juin  2023.</t>
    </r>
    <r>
      <rPr>
        <sz val="8"/>
        <color rgb="FFFF0000"/>
        <rFont val="Arial Narrow"/>
        <family val="2"/>
      </rPr>
      <t xml:space="preserve"> </t>
    </r>
  </si>
  <si>
    <t>En approbation aux finances</t>
  </si>
  <si>
    <t>En cours d'approbation</t>
  </si>
  <si>
    <t>Travaux non démarrés</t>
  </si>
  <si>
    <t>Une rencontre a eu lieu entre le PUDC et le représentant de l'entreprise ETF pour discuter sur les modalités de finalisation du contrat. L'entreprise s'est engagée à envoyer le jeudi 12/01/2023 les pièces administratives (Planning des travaux, disponibilité du matériel et du personnel, offre financière révisée)</t>
  </si>
  <si>
    <r>
      <rPr>
        <b/>
        <sz val="8"/>
        <rFont val="Arial Narrow"/>
        <family val="2"/>
      </rPr>
      <t>Travaux de construction de 44,5 km de Pistes dans la région de Diourbel.</t>
    </r>
    <r>
      <rPr>
        <sz val="8"/>
        <rFont val="Arial Narrow"/>
        <family val="2"/>
      </rPr>
      <t xml:space="preserve">
</t>
    </r>
    <r>
      <rPr>
        <b/>
        <sz val="8"/>
        <rFont val="Arial Narrow"/>
        <family val="2"/>
      </rPr>
      <t>Lot 4 : ECOTRA SA / Diourbel:</t>
    </r>
    <r>
      <rPr>
        <sz val="8"/>
        <rFont val="Arial Narrow"/>
        <family val="2"/>
      </rPr>
      <t xml:space="preserve">
TR01: Ngohé -Ndjis -Lérène - Keur Gane - Patar Sine 12,5 km;
TR02: Lagnar(cf RN3)  -Ndiabaye -Ndiagne Boumi - Daga -Ndakh -Yarouway- Wakhal Diam: 12 km;
TR03: Ndangalma -Ndérep -Réffane - Rémao - Toubatoul : 20 km ( à substituer)
</t>
    </r>
  </si>
  <si>
    <r>
      <rPr>
        <b/>
        <sz val="8"/>
        <rFont val="Arial Narrow"/>
        <family val="2"/>
      </rPr>
      <t>Avancement global:</t>
    </r>
    <r>
      <rPr>
        <b/>
        <sz val="8"/>
        <color rgb="FFFF0000"/>
        <rFont val="Arial Narrow"/>
        <family val="2"/>
      </rPr>
      <t xml:space="preserve"> 18,42 %</t>
    </r>
    <r>
      <rPr>
        <sz val="8"/>
        <rFont val="Arial Narrow"/>
        <family val="2"/>
      </rPr>
      <t xml:space="preserve">
 </t>
    </r>
    <r>
      <rPr>
        <b/>
        <sz val="8"/>
        <color rgb="FF0070C0"/>
        <rFont val="Arial Narrow"/>
        <family val="2"/>
      </rPr>
      <t>1</t>
    </r>
    <r>
      <rPr>
        <b/>
        <u/>
        <sz val="8"/>
        <color rgb="FF0070C0"/>
        <rFont val="Arial Narrow"/>
        <family val="2"/>
      </rPr>
      <t xml:space="preserve">. Pour la piste "Ngohé - Patar Sine" 11,438 Km </t>
    </r>
    <r>
      <rPr>
        <sz val="8"/>
        <color rgb="FF0070C0"/>
        <rFont val="Arial Narrow"/>
        <family val="2"/>
      </rPr>
      <t>:</t>
    </r>
    <r>
      <rPr>
        <sz val="8"/>
        <color rgb="FFFF0000"/>
        <rFont val="Arial Narrow"/>
        <family val="2"/>
      </rPr>
      <t>(Avancement des travaux: 38,60 %)</t>
    </r>
    <r>
      <rPr>
        <sz val="8"/>
        <color rgb="FF0070C0"/>
        <rFont val="Arial Narrow"/>
        <family val="2"/>
      </rPr>
      <t xml:space="preserve">
 *Nettoyage réalisé à 100% * Terrassement (délais et remblais) :sur 11,125 km soit 96% * Approvisionnement couche de roulement : 40 % * Finition couche de roulement: 0%; * Oouvrages: 0%.
2. </t>
    </r>
    <r>
      <rPr>
        <b/>
        <u/>
        <sz val="8"/>
        <color rgb="FF0070C0"/>
        <rFont val="Arial Narrow"/>
        <family val="2"/>
      </rPr>
      <t xml:space="preserve">Piste : Lagnar - wakhal Diam 12 Km </t>
    </r>
    <r>
      <rPr>
        <sz val="8"/>
        <color rgb="FF0070C0"/>
        <rFont val="Arial Narrow"/>
        <family val="2"/>
      </rPr>
      <t>: (</t>
    </r>
    <r>
      <rPr>
        <sz val="8"/>
        <color rgb="FFFF0000"/>
        <rFont val="Arial Narrow"/>
        <family val="2"/>
      </rPr>
      <t>Avancement des travaux: 2,81 %)</t>
    </r>
    <r>
      <rPr>
        <sz val="8"/>
        <color rgb="FF0070C0"/>
        <rFont val="Arial Narrow"/>
        <family val="2"/>
      </rPr>
      <t xml:space="preserve">
 *Nettoyage : 75%
</t>
    </r>
    <r>
      <rPr>
        <b/>
        <sz val="8"/>
        <color rgb="FF0070C0"/>
        <rFont val="Arial Narrow"/>
        <family val="2"/>
      </rPr>
      <t xml:space="preserve">3. </t>
    </r>
    <r>
      <rPr>
        <b/>
        <u/>
        <sz val="8"/>
        <color rgb="FF0070C0"/>
        <rFont val="Arial Narrow"/>
        <family val="2"/>
      </rPr>
      <t>RS : Piste: Bagdad – Touba: 3,1 km</t>
    </r>
    <r>
      <rPr>
        <sz val="8"/>
        <color rgb="FF0070C0"/>
        <rFont val="Arial Narrow"/>
        <family val="2"/>
      </rPr>
      <t xml:space="preserve">
-        Nettoyage de terrain : 100%
</t>
    </r>
    <r>
      <rPr>
        <b/>
        <u/>
        <sz val="8"/>
        <color rgb="FF0070C0"/>
        <rFont val="Arial Narrow"/>
        <family val="2"/>
      </rPr>
      <t xml:space="preserve">NB: </t>
    </r>
    <r>
      <rPr>
        <b/>
        <sz val="8"/>
        <color rgb="FFFF0000"/>
        <rFont val="Arial Narrow"/>
        <family val="2"/>
      </rPr>
      <t xml:space="preserve"> Fin délai contractuel : le 15 Juin  2023.</t>
    </r>
    <r>
      <rPr>
        <sz val="8"/>
        <color rgb="FF0070C0"/>
        <rFont val="Arial Narrow"/>
        <family val="2"/>
      </rPr>
      <t xml:space="preserve"> </t>
    </r>
  </si>
  <si>
    <t xml:space="preserve">Lenteurs dans la mise en œuvre </t>
  </si>
  <si>
    <r>
      <rPr>
        <b/>
        <sz val="8"/>
        <rFont val="Arial Narrow"/>
        <family val="2"/>
      </rPr>
      <t>Travaux de construction de 33 km de Pistes dans la région de Louga.</t>
    </r>
    <r>
      <rPr>
        <sz val="8"/>
        <rFont val="Arial Narrow"/>
        <family val="2"/>
      </rPr>
      <t xml:space="preserve">
</t>
    </r>
    <r>
      <rPr>
        <b/>
        <sz val="8"/>
        <rFont val="Arial Narrow"/>
        <family val="2"/>
      </rPr>
      <t xml:space="preserve">Lot 5 : ECCOTRA SARL / Louga:
</t>
    </r>
    <r>
      <rPr>
        <sz val="8"/>
        <rFont val="Arial Narrow"/>
        <family val="2"/>
      </rPr>
      <t xml:space="preserve">
*TR01: Mbacké Cadior – Mérina Sall- Thioké-Thiourague- NGar Wolof – NGar Peul- Ndiakhay- Ndiobène Dimb – Sagatta : 28 km;
*TR02:Mbacké Cadior – Nguiguiss Bamba: 2,5 km;
*TR03: Darou Mousty - Chicory : 2 km</t>
    </r>
  </si>
  <si>
    <r>
      <rPr>
        <b/>
        <u/>
        <sz val="8"/>
        <color rgb="FF0070C0"/>
        <rFont val="Arial Narrow"/>
        <family val="2"/>
      </rPr>
      <t>Avancement global:</t>
    </r>
    <r>
      <rPr>
        <b/>
        <u/>
        <sz val="8"/>
        <color rgb="FF00B050"/>
        <rFont val="Arial Narrow"/>
        <family val="2"/>
      </rPr>
      <t xml:space="preserve"> </t>
    </r>
    <r>
      <rPr>
        <b/>
        <u/>
        <sz val="8"/>
        <color rgb="FFFF0000"/>
        <rFont val="Arial Narrow"/>
        <family val="2"/>
      </rPr>
      <t>75 %</t>
    </r>
    <r>
      <rPr>
        <b/>
        <sz val="8"/>
        <color rgb="FFFF0000"/>
        <rFont val="Arial Narrow"/>
        <family val="2"/>
      </rPr>
      <t xml:space="preserve">
</t>
    </r>
    <r>
      <rPr>
        <b/>
        <u/>
        <sz val="8"/>
        <color rgb="FF0070C0"/>
        <rFont val="Arial Narrow"/>
        <family val="2"/>
      </rPr>
      <t xml:space="preserve">1. Pour la Piste: " Mbacké cadior - Sagatta  et bretelle vers Thiourang" 20,592 km: </t>
    </r>
    <r>
      <rPr>
        <sz val="8"/>
        <color rgb="FF0070C0"/>
        <rFont val="Arial Narrow"/>
        <family val="2"/>
      </rPr>
      <t xml:space="preserve">* Couche de roulement approvisionnée à 100% * Finition couche de roulement: 17,709 km déjà traités soit 86%.
* OH: en cours d'exécution.
</t>
    </r>
    <r>
      <rPr>
        <b/>
        <u/>
        <sz val="8"/>
        <color rgb="FF0070C0"/>
        <rFont val="Arial Narrow"/>
        <family val="2"/>
      </rPr>
      <t xml:space="preserve">2. Piste " Darou Mousty - Chicory: 3,140 km": 70% </t>
    </r>
    <r>
      <rPr>
        <sz val="8"/>
        <color rgb="FF0070C0"/>
        <rFont val="Arial Narrow"/>
        <family val="2"/>
      </rPr>
      <t xml:space="preserve"> * Appros Couche de roulement: 100% * Finition couche de roulement: 0% * OH: Façonnage des armatures des dalots en cours.
</t>
    </r>
    <r>
      <rPr>
        <b/>
        <u/>
        <sz val="8"/>
        <color rgb="FF0070C0"/>
        <rFont val="Arial Narrow"/>
        <family val="2"/>
      </rPr>
      <t xml:space="preserve">3. Piste "Nguiguiss Bamba" : 2,750 km (Av travaux: 70%) </t>
    </r>
    <r>
      <rPr>
        <sz val="8"/>
        <color rgb="FF0070C0"/>
        <rFont val="Arial Narrow"/>
        <family val="2"/>
      </rPr>
      <t xml:space="preserve">* Appros couche de roulement: 100%
</t>
    </r>
    <r>
      <rPr>
        <b/>
        <sz val="8"/>
        <color rgb="FF0070C0"/>
        <rFont val="Arial Narrow"/>
        <family val="2"/>
      </rPr>
      <t>**Travaux additionnels:</t>
    </r>
    <r>
      <rPr>
        <sz val="8"/>
        <color rgb="FF0070C0"/>
        <rFont val="Arial Narrow"/>
        <family val="2"/>
      </rPr>
      <t xml:space="preserve">
</t>
    </r>
    <r>
      <rPr>
        <b/>
        <u/>
        <sz val="8"/>
        <color rgb="FF0070C0"/>
        <rFont val="Arial Narrow"/>
        <family val="2"/>
      </rPr>
      <t>4. Piste "Sine Amar -Darou Diène " 2,980 Km (Av travaux: 98%)</t>
    </r>
    <r>
      <rPr>
        <sz val="8"/>
        <color rgb="FF0070C0"/>
        <rFont val="Arial Narrow"/>
        <family val="2"/>
      </rPr>
      <t xml:space="preserve">
* Finition couche de roulement : 98%
</t>
    </r>
    <r>
      <rPr>
        <b/>
        <u/>
        <sz val="8"/>
        <color rgb="FF0070C0"/>
        <rFont val="Arial Narrow"/>
        <family val="2"/>
      </rPr>
      <t>5. RS: Bretelle Sagatta - Touba Cadior: 0,6 Km: (Av travaux: 60%)</t>
    </r>
    <r>
      <rPr>
        <sz val="8"/>
        <color rgb="FF0070C0"/>
        <rFont val="Arial Narrow"/>
        <family val="2"/>
      </rPr>
      <t xml:space="preserve">
*Finition couche de roulement: 100%; *Fourniture et pose des bordures: 450 ml sur 600ml, soit 75%.
* Pose pavage: en cours d'exécution.
</t>
    </r>
    <r>
      <rPr>
        <b/>
        <u/>
        <sz val="8"/>
        <color rgb="FF0070C0"/>
        <rFont val="Arial Narrow"/>
        <family val="2"/>
      </rPr>
      <t xml:space="preserve"> 6. Bretelle vers Mbodjène: 1,615 Km . ( les études sont déjà faites).</t>
    </r>
    <r>
      <rPr>
        <b/>
        <sz val="8"/>
        <color rgb="FF0070C0"/>
        <rFont val="Arial Narrow"/>
        <family val="2"/>
      </rPr>
      <t xml:space="preserve">
NB: </t>
    </r>
    <r>
      <rPr>
        <b/>
        <sz val="8"/>
        <color rgb="FFFF0000"/>
        <rFont val="Arial Narrow"/>
        <family val="2"/>
      </rPr>
      <t xml:space="preserve"> Fin délai contractuel : le 16 Juillet  2023. </t>
    </r>
  </si>
  <si>
    <t xml:space="preserve">Travaux finalisés </t>
  </si>
  <si>
    <t>Réserves à lever (Travaux complémentaires)</t>
  </si>
  <si>
    <t>Lot 1:  supervision et contrôle des travaux de 115,5 km de pistes dans les régions de: Kaolack, Fatick et Diourbel.</t>
  </si>
  <si>
    <r>
      <rPr>
        <b/>
        <sz val="8"/>
        <rFont val="Arial Narrow"/>
        <family val="2"/>
      </rPr>
      <t>(++) Mission en cours</t>
    </r>
    <r>
      <rPr>
        <sz val="8"/>
        <rFont val="Arial Narrow"/>
        <family val="2"/>
      </rPr>
      <t xml:space="preserve">
*** Rapport Livrable 1 , 2 ,3, 4, 5,6+ les factures transmis</t>
    </r>
  </si>
  <si>
    <t>La CAT n'est pas courant des paiements des factures.
Les paiements des factures doivent être renseignés par les CP</t>
  </si>
  <si>
    <t>Lot 2:  Supervision et contrôle des travaux de 99,5 km de pistes dans les régions de: Thiès et Louga.</t>
  </si>
  <si>
    <r>
      <rPr>
        <b/>
        <sz val="8"/>
        <color rgb="FF0070C0"/>
        <rFont val="Arial Narrow"/>
        <family val="2"/>
      </rPr>
      <t>(++) Contrat signé et  OS transmis le 15/Juin /2022 (tranche ferme Louga).</t>
    </r>
    <r>
      <rPr>
        <sz val="8"/>
        <color rgb="FF0070C0"/>
        <rFont val="Arial Narrow"/>
        <family val="2"/>
      </rPr>
      <t xml:space="preserve">
**** Rapport Livrable 1, 2, 3,4  +  facture transmise</t>
    </r>
  </si>
  <si>
    <r>
      <t xml:space="preserve">En PPM: </t>
    </r>
    <r>
      <rPr>
        <sz val="11"/>
        <rFont val="Arial Narrow"/>
        <family val="2"/>
      </rPr>
      <t>Evaluationbouclée</t>
    </r>
  </si>
  <si>
    <t>Panel d'évaluation des offres effectué du 23 au 28/04/2023.</t>
  </si>
  <si>
    <r>
      <t xml:space="preserve">En PPM: </t>
    </r>
    <r>
      <rPr>
        <sz val="8"/>
        <rFont val="Arial Narrow"/>
        <family val="2"/>
      </rPr>
      <t>en cours finilisation avec le cabinet SOTERCO</t>
    </r>
  </si>
  <si>
    <t>Contrat de supervision en cours de négociation.</t>
  </si>
  <si>
    <t>Offre mieux disante largement au dessus du budget:
(++) Première négociation tenue, cependant il n’y a pas d’entente sur les prix. 
(++) Perspectives : Poursuivre les négociations et étudier aussi l’alternative de négocier avec SEMIS (second mieux disant).
Revoir le budget à la hausse et poursuivre la négociation.</t>
  </si>
  <si>
    <t>T1846_2020</t>
  </si>
  <si>
    <r>
      <t xml:space="preserve">Avanacement: 100%
</t>
    </r>
    <r>
      <rPr>
        <sz val="8"/>
        <rFont val="Arial Narrow"/>
        <family val="2"/>
      </rPr>
      <t xml:space="preserve">10/10 forages Réceptionés </t>
    </r>
  </si>
  <si>
    <r>
      <t>HYDRAULIQUE : 
CGC INT+</t>
    </r>
    <r>
      <rPr>
        <b/>
        <sz val="8"/>
        <color rgb="FF0070C0"/>
        <rFont val="Arial Narrow"/>
        <family val="2"/>
      </rPr>
      <t>Avenant SAIRA INT (Ziguinchor)</t>
    </r>
  </si>
  <si>
    <t>T1847_2020</t>
  </si>
  <si>
    <r>
      <t xml:space="preserve">Lot 2 : Réalisation de 10 forages danas les régions de Kaffrine et Louga+
</t>
    </r>
    <r>
      <rPr>
        <b/>
        <sz val="8"/>
        <color rgb="FF0070C0"/>
        <rFont val="Arial Narrow"/>
        <family val="2"/>
      </rPr>
      <t>Avenant au contrat Lot 4: 4 forages dans la région de Ziguinchor.</t>
    </r>
  </si>
  <si>
    <r>
      <t xml:space="preserve">Avancement contrat initial: 100%
</t>
    </r>
    <r>
      <rPr>
        <sz val="8"/>
        <rFont val="Arial Narrow"/>
        <family val="2"/>
      </rPr>
      <t>10/10 forages Réceptionnés</t>
    </r>
  </si>
  <si>
    <r>
      <t>HYDRAULIQUE : 
HENAN CHINE+</t>
    </r>
    <r>
      <rPr>
        <b/>
        <sz val="8"/>
        <color rgb="FF0070C0"/>
        <rFont val="Arial Narrow"/>
        <family val="2"/>
      </rPr>
      <t>Avenant SAIRA INT (Sédhiou)</t>
    </r>
  </si>
  <si>
    <t>T1848_2020</t>
  </si>
  <si>
    <r>
      <t>Lot 3 : Réalisation de 11 forages danas les régions de Kolda et Tamba+</t>
    </r>
    <r>
      <rPr>
        <b/>
        <sz val="8"/>
        <color rgb="FF0070C0"/>
        <rFont val="Arial Narrow"/>
        <family val="2"/>
      </rPr>
      <t>Avenant au contrat Lot 4: 5 forages dans la région de Sédhiou.</t>
    </r>
  </si>
  <si>
    <r>
      <t xml:space="preserve">Avancement contrat initial: 100%
</t>
    </r>
    <r>
      <rPr>
        <sz val="8"/>
        <rFont val="Arial Narrow"/>
        <family val="2"/>
      </rPr>
      <t xml:space="preserve">11/11 forages Réceptionés </t>
    </r>
  </si>
  <si>
    <t>T1828_2020</t>
  </si>
  <si>
    <r>
      <t xml:space="preserve">20/10/2020
</t>
    </r>
    <r>
      <rPr>
        <sz val="8"/>
        <color rgb="FF00B050"/>
        <rFont val="Arial Narrow"/>
        <family val="2"/>
      </rPr>
      <t>(Notification)</t>
    </r>
  </si>
  <si>
    <r>
      <rPr>
        <b/>
        <sz val="8"/>
        <rFont val="Arial Narrow"/>
        <family val="2"/>
      </rPr>
      <t xml:space="preserve">Avancement contrat initial: 95 %
Château d’eau </t>
    </r>
    <r>
      <rPr>
        <sz val="8"/>
        <rFont val="Arial Narrow"/>
        <family val="2"/>
      </rPr>
      <t xml:space="preserve">: 10 Château d’eau terminés ; </t>
    </r>
    <r>
      <rPr>
        <b/>
        <sz val="8"/>
        <rFont val="Arial Narrow"/>
        <family val="2"/>
      </rPr>
      <t xml:space="preserve">Ouvrages annexes : </t>
    </r>
    <r>
      <rPr>
        <sz val="8"/>
        <rFont val="Arial Narrow"/>
        <family val="2"/>
      </rPr>
      <t xml:space="preserve">gros œuvre terminé sur 10 sites ;
</t>
    </r>
    <r>
      <rPr>
        <b/>
        <sz val="8"/>
        <rFont val="Arial Narrow"/>
        <family val="2"/>
      </rPr>
      <t xml:space="preserve">BF et abreuvoirs : </t>
    </r>
    <r>
      <rPr>
        <sz val="8"/>
        <rFont val="Arial Narrow"/>
        <family val="2"/>
      </rPr>
      <t xml:space="preserve">10 sites terminés ;
</t>
    </r>
    <r>
      <rPr>
        <b/>
        <sz val="8"/>
        <rFont val="Arial Narrow"/>
        <family val="2"/>
      </rPr>
      <t xml:space="preserve">Réseau AEP : </t>
    </r>
    <r>
      <rPr>
        <sz val="8"/>
        <rFont val="Arial Narrow"/>
        <family val="2"/>
      </rPr>
      <t xml:space="preserve">Pose terminée sur 10 sites ;  </t>
    </r>
    <r>
      <rPr>
        <b/>
        <sz val="8"/>
        <rFont val="Arial Narrow"/>
        <family val="2"/>
      </rPr>
      <t xml:space="preserve">Attente Pré-réception sur 3 sites de Saint Louis (Dayngua Soubalo, Louguere Diaby et Aere Namari)  
</t>
    </r>
    <r>
      <rPr>
        <b/>
        <sz val="8"/>
        <color rgb="FF0070C0"/>
        <rFont val="Arial Narrow"/>
        <family val="2"/>
      </rPr>
      <t xml:space="preserve">*** Réception de 10 lots d 'équipement d'exhaure
</t>
    </r>
    <r>
      <rPr>
        <b/>
        <sz val="8"/>
        <rFont val="Arial Narrow"/>
        <family val="2"/>
      </rPr>
      <t xml:space="preserve">Mise en service de 3 systèmes à Thiès depuis le 02 février 2023 (Ngéoul Loto, Ngatègne et Ngerigne Bamba), 2 sites de Saint Louis (Belel Boucar et Mbolo Ali) et 2 sites de Matam (Yawaré Djéry et Gassé Diaby) du 12 au 15 avril 2023
</t>
    </r>
    <r>
      <rPr>
        <b/>
        <sz val="8"/>
        <color rgb="FFFF0000"/>
        <rFont val="Arial Narrow"/>
        <family val="2"/>
      </rPr>
      <t>***Pré réception des 3 sites restant (loughere Diaby, Dayngua Soubaloet Aere Namari) prévu du 15 au 17 Mai 2023</t>
    </r>
  </si>
  <si>
    <t>Délai contractuel terminé depuis Mai 2022 (avenant administratif de prolongation de délai pour 05 mois en cours)
Observations de la DCMP pris en compte et soumis à nouveau pour approbation</t>
  </si>
  <si>
    <t>T1831_2020</t>
  </si>
  <si>
    <r>
      <t xml:space="preserve"> </t>
    </r>
    <r>
      <rPr>
        <b/>
        <sz val="8"/>
        <rFont val="Arial Narrow"/>
        <family val="2"/>
      </rPr>
      <t>Avancement contrat initial: 87 %</t>
    </r>
    <r>
      <rPr>
        <sz val="8"/>
        <rFont val="Arial Narrow"/>
        <family val="2"/>
      </rPr>
      <t xml:space="preserve">
</t>
    </r>
    <r>
      <rPr>
        <b/>
        <sz val="8"/>
        <rFont val="Arial Narrow"/>
        <family val="2"/>
      </rPr>
      <t xml:space="preserve">Château d’eau : </t>
    </r>
    <r>
      <rPr>
        <sz val="8"/>
        <rFont val="Arial Narrow"/>
        <family val="2"/>
      </rPr>
      <t xml:space="preserve">10 Château d’eau terminés ;  </t>
    </r>
    <r>
      <rPr>
        <b/>
        <sz val="8"/>
        <rFont val="Arial Narrow"/>
        <family val="2"/>
      </rPr>
      <t xml:space="preserve">Ouvrages annexes :  </t>
    </r>
    <r>
      <rPr>
        <sz val="8"/>
        <rFont val="Arial Narrow"/>
        <family val="2"/>
      </rPr>
      <t xml:space="preserve">gros œuvre terminé sur 9 sites ; reste finitions pour le site de Loumbel Lana </t>
    </r>
    <r>
      <rPr>
        <b/>
        <sz val="8"/>
        <rFont val="Arial Narrow"/>
        <family val="2"/>
      </rPr>
      <t xml:space="preserve">
BF et abreuvoirs : </t>
    </r>
    <r>
      <rPr>
        <sz val="8"/>
        <rFont val="Arial Narrow"/>
        <family val="2"/>
      </rPr>
      <t xml:space="preserve">5 sites terminés ; 5 sites en cours
</t>
    </r>
    <r>
      <rPr>
        <b/>
        <sz val="8"/>
        <rFont val="Arial Narrow"/>
        <family val="2"/>
      </rPr>
      <t xml:space="preserve">Réseau AEP : </t>
    </r>
    <r>
      <rPr>
        <sz val="8"/>
        <rFont val="Arial Narrow"/>
        <family val="2"/>
      </rPr>
      <t xml:space="preserve">Pose terminée sur 8 sites ; Travaux encours sur 2 site ;
</t>
    </r>
    <r>
      <rPr>
        <b/>
        <sz val="8"/>
        <rFont val="Arial Narrow"/>
        <family val="2"/>
      </rPr>
      <t>Matériel d'exhaure</t>
    </r>
    <r>
      <rPr>
        <sz val="8"/>
        <rFont val="Arial Narrow"/>
        <family val="2"/>
      </rPr>
      <t xml:space="preserve">
*** 09 lots de matériel d'exhaure réceptionnés et posé sur 4 Forages de Kaffrine (Ngouye Diaraf Campement, Khourou Ndiobéne et Keur Illo Ndiambé) et 05 Forages de Louga (Keur Balla,Keur Maninag Oumar, Boki Thiao, Loumbol Lana, Guély Loumbol)
</t>
    </r>
    <r>
      <rPr>
        <b/>
        <sz val="8"/>
        <color rgb="FF0070C0"/>
        <rFont val="Arial Narrow"/>
        <family val="2"/>
      </rPr>
      <t xml:space="preserve">*** 05 systèmes mise en service dont 2 à  Louga (Keur Balla et Keur Maninag Oumar) et 3 à Kaffrine (Ngouye Diaraf Campement, Khourou Ndiobéne, Keur Illo Ndiambé)
</t>
    </r>
    <r>
      <rPr>
        <b/>
        <sz val="8"/>
        <color rgb="FFFF0000"/>
        <rFont val="Arial Narrow"/>
        <family val="2"/>
      </rPr>
      <t>***  05 Systémes restant (kouthia Thiambene, Haras National, Guély Loumbol, Loumbol Lana et Boki Thiao ) en cours de finition et pré réception encours.</t>
    </r>
  </si>
  <si>
    <t>T1829_2020</t>
  </si>
  <si>
    <r>
      <t>***</t>
    </r>
    <r>
      <rPr>
        <b/>
        <sz val="8"/>
        <rFont val="Arial Narrow"/>
        <family val="2"/>
      </rPr>
      <t xml:space="preserve"> Avancement contrat initial: 77 %
Château d’eau :  *9 sites terminés ; * 2 sites niveau 5e levée
Ouvrages annexes : Gros œuvre terminé sur 8 sites ; reste finitions ;
Niveau dalle sur 2 sites ;
BF et abreuvoirs : 4 sites terminés ; 1 site en cours 5 sites non démarrés
Réseau AEP : 4 sites terminés ; reste raccordements et essais de pression, 1 site non démarré, 6 sites en cours</t>
    </r>
    <r>
      <rPr>
        <sz val="8"/>
        <rFont val="Arial Narrow"/>
        <family val="2"/>
      </rPr>
      <t xml:space="preserve"> 
*** </t>
    </r>
    <r>
      <rPr>
        <b/>
        <sz val="8"/>
        <rFont val="Arial Narrow"/>
        <family val="2"/>
      </rPr>
      <t>Matériel d'exhaure :</t>
    </r>
    <r>
      <rPr>
        <sz val="8"/>
        <rFont val="Arial Narrow"/>
        <family val="2"/>
      </rPr>
      <t xml:space="preserve">
</t>
    </r>
    <r>
      <rPr>
        <b/>
        <sz val="8"/>
        <color rgb="FF0070C0"/>
        <rFont val="Arial Narrow"/>
        <family val="2"/>
      </rPr>
      <t xml:space="preserve">***07 matériels d'exhaure réceptionnés dont 3 à kolda (Linguewal, Mballocounda et Niandouba) et 4 à Tambacounda (Lewa Diawandel, Sinthiou Souna Diallo, Saré Thialal et Sinthiou Kalding). </t>
    </r>
  </si>
  <si>
    <t xml:space="preserve">Délai contractuel terminé depuis Mai 2022 (avenant administratif de prolongation de délai pour 05 mois en cours)
Observations de la DCMP prises en compte et dossier soumis à nouveau pour approbation
</t>
  </si>
  <si>
    <t>T1833_2020</t>
  </si>
  <si>
    <r>
      <t xml:space="preserve">3 sites Ziguinchor niveau cuve : à l’arrêt sur demande du PUDC
2 sites Sédhiou en cours niveau 4 ieme levé poteau
3 sites non démarré à Sédhiou à cause du problème d’accès
1 site non encore implanté dans la région de Kaffrine
Les travaux de forage et de pose de canalisation non encore débuté
</t>
    </r>
    <r>
      <rPr>
        <b/>
        <strike/>
        <sz val="8"/>
        <color rgb="FFFF0000"/>
        <rFont val="Arial Narrow"/>
        <family val="2"/>
      </rPr>
      <t>NB: Le site de kaffrine à remplacer par le site de Siganar (département Oussouy région de Ziguinchor).</t>
    </r>
  </si>
  <si>
    <t xml:space="preserve">Retards notés dans l'exécution des travaux
Sites à accés difficile avec l'hivernage
Suspendre les travaux pour reprendre après l'hivernage
** OS de reprise des travaux à remettre. </t>
  </si>
  <si>
    <t>C0740_2021-DK</t>
  </si>
  <si>
    <t>sans objet</t>
  </si>
  <si>
    <r>
      <rPr>
        <sz val="8"/>
        <color rgb="FF0070C0"/>
        <rFont val="Arial Narrow"/>
        <family val="2"/>
      </rPr>
      <t>08</t>
    </r>
    <r>
      <rPr>
        <sz val="8"/>
        <rFont val="Arial Narrow"/>
        <family val="2"/>
      </rPr>
      <t xml:space="preserve"> Rapports bimestriels déposés </t>
    </r>
  </si>
  <si>
    <t>Délai contractuel terminé
***Avenant en cours</t>
  </si>
  <si>
    <t>Lot 1: GTS</t>
  </si>
  <si>
    <t>Attente retour de la BAD sur les évaluations</t>
  </si>
  <si>
    <t>Construction de 20 postes de santé dans les régions de Fatick, kaffrine, Thiès et Kaolack</t>
  </si>
  <si>
    <t>Retour de la BAD du rapport d'évaluation pour lever les observations.
Travaux en attente de démarrage.</t>
  </si>
  <si>
    <t>Lot 2 : EGEEB SARL</t>
  </si>
  <si>
    <t>Lot 3:ESIDCO</t>
  </si>
  <si>
    <t>Lot 4 : SYLLA PRESTATIONS SERVICES</t>
  </si>
  <si>
    <t xml:space="preserve">DECO-IC*/AFRIC CONSULT </t>
  </si>
  <si>
    <t>C2386/22DK
28/10/2022</t>
  </si>
  <si>
    <t>Supervision des travaux de construction de 20 postes de santé dans les régions de Fatick, kaffrine, Thiès et Kaolack</t>
  </si>
  <si>
    <t>Attente travaux</t>
  </si>
  <si>
    <t>Attente attestation d'existence de crédit pour soumettre le contrat à l'approbation.</t>
  </si>
  <si>
    <t>Acquisition d'équipements pour 20  postes de santé dans les régions de  Thiès, Fatick, Kaolack et Kaffrine en 2 lots</t>
  </si>
  <si>
    <t>Convention de partenariat</t>
  </si>
  <si>
    <t>Convention signée et engagée: PTBA validé, attente de la demande du premier de décaissement.</t>
  </si>
  <si>
    <r>
      <t xml:space="preserve">EQUIPEMENTS POST-RECOLTE:
</t>
    </r>
    <r>
      <rPr>
        <i/>
        <sz val="8"/>
        <rFont val="Arial Narrow"/>
        <family val="2"/>
      </rPr>
      <t>SISMAR (LOT2)</t>
    </r>
  </si>
  <si>
    <t>F 0945</t>
  </si>
  <si>
    <t>Fourniture et installation 250 équipements agricoles post récolte dans les régions de Kolda, Sédhiou et Ziguinchor</t>
  </si>
  <si>
    <t>Contrat en cours d'exécution avec la validation des prototypes et la production qui est en cours. 
SISMAR a demandé à disposer des listes des sites pour lancer la construction des abris 
Répartition des équipements par  commune, département et région soumises à DN pour validation</t>
  </si>
  <si>
    <r>
      <t xml:space="preserve">EQUIPEMENTS POST-RECOLTE:
</t>
    </r>
    <r>
      <rPr>
        <i/>
        <sz val="8"/>
        <rFont val="Arial Narrow"/>
        <family val="2"/>
      </rPr>
      <t>SISMAR (LOT1)</t>
    </r>
  </si>
  <si>
    <t xml:space="preserve">F 1059
</t>
  </si>
  <si>
    <t>Fourniture et installation 198 équipements agricoles post récolte dans les régions de Diourbel, Louga, Kaolack,Fatick, Thiès, Kaffrine et Kédougou.</t>
  </si>
  <si>
    <t>Contrat en cours d'exécution avec la validation des prototypes et la production qui est en cours. 
SISMAR a demandé à disposer des listes des sites pour lancer la construction des abris                                                                                                                     Répartitition des équipements par  commune, département et région soumises à DN pour validation                                          
Les 198 équipements du Lot 1 sont actuellement en cours de validation à l'usine.</t>
  </si>
  <si>
    <t>L'évaluation de la DP a été finalisée au niveau du PUDC et a été envoyée au Ministère pour signature et envoi à la DCMP .</t>
  </si>
  <si>
    <t>C_PUDC_070</t>
  </si>
  <si>
    <t>*Contrats GRADELS: Contrat résilié
*Etudes reprise en interne : après réalisation d'EAM et de restitution-validation des études ; 10 porteurs ont été retenus pour bénéficier de l'appui du PUDC pour 7 types de PTA.</t>
  </si>
  <si>
    <t>Réalisation de 10 PTA</t>
  </si>
  <si>
    <t>Le DAO GC pour la réalisation de préfab est finalisé et sera transmis au Bureau des Passations de Marchés dès le début de la 1ère semaine du mois de Mai.
Le DAO équipements a  été préparé avec l'appui de l'ITA et a été finalisé avec la contribution des techniciens electromécaniciens. La revue en interne est prévue durant la 1ère semaine du mois de Mai avant transmission au Bureau de Passation des Marchés.
Les plans d'affaire sont en cours de finalisation avec la mobilisation du cabinet MSA</t>
  </si>
  <si>
    <r>
      <rPr>
        <b/>
        <sz val="8"/>
        <color theme="4" tint="-0.249977111117893"/>
        <rFont val="Arial Narrow"/>
        <family val="2"/>
      </rPr>
      <t>Lenteur dans la production des spec sur les équipements</t>
    </r>
    <r>
      <rPr>
        <b/>
        <sz val="8"/>
        <color rgb="FFFF0000"/>
        <rFont val="Arial Narrow"/>
        <family val="2"/>
      </rPr>
      <t xml:space="preserve"> </t>
    </r>
    <r>
      <rPr>
        <sz val="8"/>
        <color rgb="FF0070C0"/>
        <rFont val="Arial Narrow"/>
        <family val="2"/>
      </rPr>
      <t xml:space="preserve">
Lancer le DAO GC d'ici la fin du mois de Mai pour les 10 PTA et  le DAO équipement
Finaliser le recrutement d'un expert en génie industriel </t>
    </r>
  </si>
  <si>
    <t xml:space="preserve">lot 1: T0788/22 
</t>
  </si>
  <si>
    <t>Aménagement de réseau d'irrigation sur 08 PAC Lot 1</t>
  </si>
  <si>
    <t xml:space="preserve">16/11/2022
</t>
  </si>
  <si>
    <t>Pénalité avec activé sut le
 MT TTC</t>
  </si>
  <si>
    <t>Les réseaux de plomberie ont été réalisés sur les 8 sites ainsi que les bassins avec la pose des bâches. 
Les équipements de pompages, les bâches ainsi que les plaques solaires ont été réceptionnés au dépôt (et jugés conformes)
Les Travaux sont bouclés sur l' ensemble des 8 sites. 
Les réserves ont été levées par DIOUBO et la réception des sites a été faite du 21/03/2023 au 28/03/2023</t>
  </si>
  <si>
    <t>Il y'a des réserves mineures relevées au niveau de 04 sites lors de la réception.
Demander à Dioubo de lever les réserves identifiées</t>
  </si>
  <si>
    <t xml:space="preserve">
lot 2: T0952/22</t>
  </si>
  <si>
    <r>
      <t xml:space="preserve">Réalisation de 23 forages équipés de pompes solaires dans les régions de Fatick, Kaolack, Kaffrine, Diourbel, Louga, Saint Louis, Matam, Tambacounda et Thiès </t>
    </r>
    <r>
      <rPr>
        <b/>
        <sz val="8"/>
        <rFont val="Arial Narrow"/>
        <family val="2"/>
      </rPr>
      <t>(LOT 2) dans le cadre des travaux d'aménagement des périmètres à vocation agricole</t>
    </r>
  </si>
  <si>
    <t>lot 1: 16 mai 2022
lot 2: 16/08/2022</t>
  </si>
  <si>
    <t xml:space="preserve">lot 1: 06 mois
lot 2: 14 mois </t>
  </si>
  <si>
    <t>lot 1 : 16/11/2022
lot 2: 16/10/2023</t>
  </si>
  <si>
    <t>Résilié  demané par l'entreprise</t>
  </si>
  <si>
    <t>Av:20% Réel:4%</t>
  </si>
  <si>
    <r>
      <t xml:space="preserve">01 forage terminé (Dar Salam Fodé)
</t>
    </r>
    <r>
      <rPr>
        <b/>
        <sz val="8"/>
        <color rgb="FF0070C0"/>
        <rFont val="Arial Narrow"/>
        <family val="2"/>
      </rPr>
      <t>*** 02 forages en cours d'exécution (Kagnibé et Saré Bamol)</t>
    </r>
  </si>
  <si>
    <t>Contrat en cours de  Résiliation</t>
  </si>
  <si>
    <t>Les travaux d'audit de l'exercice 2021 sont terminés: Attente du rapport provisoire</t>
  </si>
  <si>
    <t>N°02/DRP/2021/BAD</t>
  </si>
  <si>
    <t>Contrat bouclé</t>
  </si>
  <si>
    <t>001/DRPCO/2021/BAD</t>
  </si>
  <si>
    <t>20jrs</t>
  </si>
  <si>
    <t xml:space="preserve">CRESTONE GROUPE </t>
  </si>
  <si>
    <t>F_PUDC_082</t>
  </si>
  <si>
    <t>Acquisition de supports et outils de communication pour le 9e forum mondial</t>
  </si>
  <si>
    <t>IS: Appui ANRAC</t>
  </si>
  <si>
    <t>OUMOU GROUPE</t>
  </si>
  <si>
    <t xml:space="preserve">Appui Institutionnel à ANRAC (ordinateur portables, GPS, logiciels, tablettes pour enquêtes) </t>
  </si>
  <si>
    <t>Prestations en cours</t>
  </si>
  <si>
    <t>Projet de convention revu et PPM révisé ont été soumis à nouveau à la BAD pour ANO</t>
  </si>
  <si>
    <t>Administration</t>
  </si>
  <si>
    <t>Groupe speedo europe affaires</t>
  </si>
  <si>
    <r>
      <rPr>
        <b/>
        <sz val="8"/>
        <color theme="1"/>
        <rFont val="Arial Narrow"/>
        <family val="2"/>
      </rPr>
      <t>Lot 1</t>
    </r>
    <r>
      <rPr>
        <sz val="8"/>
        <color theme="1"/>
        <rFont val="Arial Narrow"/>
        <family val="2"/>
      </rPr>
      <t>: F2738/21</t>
    </r>
  </si>
  <si>
    <t>Acquisition de fournitures de bureau et de consommables informatiques</t>
  </si>
  <si>
    <r>
      <rPr>
        <b/>
        <sz val="8"/>
        <color theme="1"/>
        <rFont val="Arial Narrow"/>
        <family val="2"/>
      </rPr>
      <t>Lot 2</t>
    </r>
    <r>
      <rPr>
        <sz val="8"/>
        <color theme="1"/>
        <rFont val="Arial Narrow"/>
        <family val="2"/>
      </rPr>
      <t>: F2738/21</t>
    </r>
  </si>
  <si>
    <t xml:space="preserve">SD PUB  </t>
  </si>
  <si>
    <t>003/DRPR/2021/BAD</t>
  </si>
  <si>
    <t>Demande de renseignement et de prix à compétition restreinte (DRPCR) relative à l'acquisition d'accessoire de communication</t>
  </si>
  <si>
    <r>
      <t xml:space="preserve">Lot 1 :26/05/2021 
</t>
    </r>
    <r>
      <rPr>
        <sz val="8"/>
        <color rgb="FF0070C0"/>
        <rFont val="Arial Narrow"/>
        <family val="2"/>
      </rPr>
      <t>(Notification)</t>
    </r>
  </si>
  <si>
    <t>7jrs</t>
  </si>
  <si>
    <t>IS: Com</t>
  </si>
  <si>
    <t xml:space="preserve">Lot 1 :  001/DRPCR/2022/BAD </t>
  </si>
  <si>
    <t>Demande de renseignement et de prix à compétition restreinte (DRPCR) relative Acquisition d'outils de sensibilisation et d'accompagnement de la mise en œuvre d'ingénierie sociale</t>
  </si>
  <si>
    <t xml:space="preserve">PRISMA COM </t>
  </si>
  <si>
    <t xml:space="preserve">Lot 2 : 002/DRPCR/2022/BAD </t>
  </si>
  <si>
    <t>21jrs</t>
  </si>
  <si>
    <t>Com</t>
  </si>
  <si>
    <t>VOUS &amp; NOUS</t>
  </si>
  <si>
    <t>F 24/89/22</t>
  </si>
  <si>
    <t xml:space="preserve">Acquition d'outils de communication </t>
  </si>
  <si>
    <t>(1er) 23/11/2022</t>
  </si>
  <si>
    <t>Par commande</t>
  </si>
  <si>
    <t>CABINET 2D BUSINESS CONSULTING</t>
  </si>
  <si>
    <t>001/DRPCR/2022/BAD</t>
  </si>
  <si>
    <t>10 jrs</t>
  </si>
  <si>
    <t>Retards dans la signature de la convention de partenariat.
Relancer la BAD pour l'ANO et pocéder à la signature de la convention</t>
  </si>
  <si>
    <t>Lot 2 (137,5 km) : Régions de Kaffrine et Tambacounda / durée 24 mois</t>
  </si>
  <si>
    <t xml:space="preserve">Attente de démarrage </t>
  </si>
  <si>
    <t>Attente du paiement de l'avance de démarrage</t>
  </si>
  <si>
    <t>Lot 1 (118,3 km) : Régions de Thiès, Fatick, Diourbel, Louga et St Louis / durée 24 mois</t>
  </si>
  <si>
    <t>SUPERVISION FSD</t>
  </si>
  <si>
    <t>SOLAR 23-ENGENEERING</t>
  </si>
  <si>
    <t>008/2022/PUDC2/FSD</t>
  </si>
  <si>
    <t>Procédure de passation de marché bouclée et Projet de contrat envoyé au FSD le 05/01/2023 pour ANO</t>
  </si>
  <si>
    <t>Retards imporatnts dans la réponse à la demande d'ANO</t>
  </si>
  <si>
    <t>CGC</t>
  </si>
  <si>
    <t>010/2022/PUDC/FSD</t>
  </si>
  <si>
    <t>(Lot 1) Travaux de réalisation  de six (06) forages au rotary dans la région de Kaffrine</t>
  </si>
  <si>
    <t>Procédure de passation de marché bouclée et Projet de contrat envoyé au FSD le  08/11/2022pour ANO</t>
  </si>
  <si>
    <t>(Lot 2) Travaux de réalisation de dix (10) forages au marteau fond de trou (MFT) avec investigations géophysiques dans les régions de kédougou et tambacounda</t>
  </si>
  <si>
    <t>Evaluation des offres finalisée et rapport disponible</t>
  </si>
  <si>
    <t>Envoyer le rapport d'évaluation des offres au FSD pour ANO</t>
  </si>
  <si>
    <t>009/2022/PUDC/FSD</t>
  </si>
  <si>
    <t xml:space="preserve"> (Lot 3) Travaux de construction de six (06) châteaux d’eau avec ouvrages annexes et réseau d’adduction d’eau et fourniture et pose de six (06) équipements d’exhaure pour les forages de la région de kaffrine</t>
  </si>
  <si>
    <t>Procédure de passation de marché bouclée et Projet de contrat envoyé au FSD le 14/11/2022 pour ANO</t>
  </si>
  <si>
    <t>DAO équipement solaire de 10 MFT en cours d'élaboration</t>
  </si>
  <si>
    <t xml:space="preserve">Retards important dans la finalisation du DAO </t>
  </si>
  <si>
    <t>FSD/BCI</t>
  </si>
  <si>
    <t>La procédure de passation de marché est bouclée et la contractualisation est en cours.</t>
  </si>
  <si>
    <t>Réalisation d’un système hydraulique en vue d’un transfert pour l’alimentation en eau potable (AEP) des villages de la commune de bokiladji</t>
  </si>
  <si>
    <t>001/2022/PUDC2/FSD</t>
  </si>
  <si>
    <t>Lot 1. Travaux de construction de 05 postes de santé dans les localités de la  région de Zguinchor</t>
  </si>
  <si>
    <t>Demande de paiement envoyée au niveau DODP le 23/01/23
Envoie FSD par DODP le 30/01/2023</t>
  </si>
  <si>
    <t>002/2022/PUDC2/FSD</t>
  </si>
  <si>
    <t>Lot 2. Travaux de construction de 05 postes de santé dans les localités de la  région de Sédhiou</t>
  </si>
  <si>
    <t>003/2022/PUDC2/FSD</t>
  </si>
  <si>
    <t>Lot 3. Travaux de construction de 05 postes de santé dans les localités des régions de Tambacounda et Kédougou</t>
  </si>
  <si>
    <t>004/2022/PUDC2/FSD</t>
  </si>
  <si>
    <t>Lot 4. Travaux de construction de 04 postes de santé dans les localités de la  région de Fatick</t>
  </si>
  <si>
    <t>Demande de paiement envoyée au niveau DODP le 27/10/22
Envoie FSD par DODP le 07/11/22</t>
  </si>
  <si>
    <t>Procédure de passation de marché bouclée et projet de contrat envoyé au FSD pour ANO</t>
  </si>
  <si>
    <t>Rapport d'évaluation équipement hospitalier des 20 postes de santé  (envoyé au FSD le 25/10/22) pour ANO</t>
  </si>
  <si>
    <t>Rapport d'évaluation mobilier de bureau des 20 postes de santé  (envoyé au FSD le 25/10/22)</t>
  </si>
  <si>
    <t>Entamé</t>
  </si>
  <si>
    <t>DAO Matériels informatiques  pour  Vingt (20) postes de santé dans les régions de Ziguinchor, Sédhiou, Tambacounda, Kédougou et Fatick</t>
  </si>
  <si>
    <t>Convention signée et plan d'action validé</t>
  </si>
  <si>
    <t>Lenteurs notés dans la finalisation du DAO</t>
  </si>
  <si>
    <t>DAO Construction de 15 abris pour plateformes en cours d'élaboration</t>
  </si>
  <si>
    <t>Procédures de passation bouclée et contrat signés</t>
  </si>
  <si>
    <t>9 Bouclés. 8 en Phase de finalisation et 05 en attente de démarrage</t>
  </si>
  <si>
    <r>
      <t>Electrification de 2000</t>
    </r>
    <r>
      <rPr>
        <sz val="8"/>
        <color rgb="FFFF0000"/>
        <rFont val="Arial Narrow"/>
        <family val="2"/>
      </rPr>
      <t xml:space="preserve"> (1800) </t>
    </r>
    <r>
      <rPr>
        <sz val="8"/>
        <color theme="1"/>
        <rFont val="Arial Narrow"/>
        <family val="2"/>
      </rPr>
      <t>villages (tranche ferme) + 500 villages (tranche conditionnelle)</t>
    </r>
  </si>
  <si>
    <r>
      <rPr>
        <b/>
        <sz val="8"/>
        <color theme="1"/>
        <rFont val="Arial Narrow"/>
        <family val="2"/>
      </rPr>
      <t>1/ Etat d'avancement d'électrification des villages prioritaires :</t>
    </r>
    <r>
      <rPr>
        <sz val="8"/>
        <color theme="1"/>
        <rFont val="Arial Narrow"/>
        <family val="2"/>
      </rPr>
      <t xml:space="preserve">
-1574 villages en phase prioritaire dont 973 engagés ;              
-492 villages finalisés dont 464 villages mis en service 
-286 villages en cours de travaux.
Sur un objectif de 300 villages prévus en fin 2023, 77 sont finalisés à date: soit un taux d'avancement de 26%.</t>
    </r>
  </si>
  <si>
    <t>EXELLEC a introduit une demande de révision des prix suite à une hausse du coùt des matériaux. Cette hausse est évaluée à 24% ce qui fait passer le projet de 2000 à 1800 villages.</t>
  </si>
  <si>
    <r>
      <t xml:space="preserve">Construction de 8 </t>
    </r>
    <r>
      <rPr>
        <sz val="8"/>
        <color rgb="FFFF0000"/>
        <rFont val="Arial Narrow"/>
        <family val="2"/>
      </rPr>
      <t>(05)</t>
    </r>
    <r>
      <rPr>
        <sz val="8"/>
        <color theme="1"/>
        <rFont val="Arial Narrow"/>
        <family val="2"/>
      </rPr>
      <t xml:space="preserve"> dorsales moyenne tension d’une longueur globale de 520 km </t>
    </r>
  </si>
  <si>
    <r>
      <rPr>
        <b/>
        <sz val="8"/>
        <color theme="1"/>
        <rFont val="Arial Narrow"/>
        <family val="2"/>
      </rPr>
      <t xml:space="preserve">2/ Etat d'avancement des 4 dorsales
</t>
    </r>
    <r>
      <rPr>
        <sz val="8"/>
        <color theme="1"/>
        <rFont val="Arial Narrow"/>
        <family val="2"/>
      </rPr>
      <t>*Simbandi balante – Sonako ( implantation 100% et tirage 100% partie aérienne. Genie civil des postes préfabriqués en cours).
*Fafacourou- Dabo – Cambacara (100% d’implantation et 0% tirage).
*Ndiambour-Niakhène : Mis en service(25 km ligne HTA 148).
*Ndioum – Linguère : Mis en service  (187 km ligne HTA 148).
*Bandafassi- Salamata (68 km): Ouverture des fouilles sur 5km et Début des implantations prévue cette semaine</t>
    </r>
  </si>
  <si>
    <t>Recrutement d'un cabinet pour  l'élaboration du programme intitulé  " SE DIVERTIR UTILEMENT AU FOYER  DES JEUNES DE NDANDE" "XEY U NDAW
NI"</t>
  </si>
  <si>
    <t>T1863/22</t>
  </si>
  <si>
    <t>Travaux de réalisation de douze (12) forages dans les régions de Tambacounda, Matam, Diourbel, Louga, Kaffrine T_PUDC_064.</t>
  </si>
  <si>
    <t>T0504/23</t>
  </si>
  <si>
    <t xml:space="preserve">Construction de deux postes de santé dans la commune de 
Fandène et Malicounda région de Thiès </t>
  </si>
  <si>
    <t>T0111/23</t>
  </si>
  <si>
    <t xml:space="preserve">Contruction de 12 châteaux d'eau avec réseau d'adduction et fourniture et pose d'équipement d'exhaure dans les régions de Tambacounda Matam
Diourbel, Louga et Kaffrine </t>
  </si>
  <si>
    <t>SSB</t>
  </si>
  <si>
    <t xml:space="preserve">Acquisition de consommable informatique </t>
  </si>
  <si>
    <t>CDVA</t>
  </si>
  <si>
    <t>Ibrahima SOW</t>
  </si>
  <si>
    <t>006/2023</t>
  </si>
  <si>
    <t>Recrutement d'un consultant pour l'accompagnement des  unions maraichères bénéficiaires des infrastructures de  stockage d'oignons dans la zone des Niayes</t>
  </si>
  <si>
    <t>Engagement</t>
  </si>
  <si>
    <t>Démarrage</t>
  </si>
  <si>
    <t>Activités planifiées au courant du trimestre 1</t>
  </si>
  <si>
    <t>EXECUTION AU PREMIER TRIMESTRE 2023</t>
  </si>
  <si>
    <t>Commentaires des gaps et des écarts</t>
  </si>
  <si>
    <t>EXECUTION AU DEUXIEME TRIMESTRE 2023</t>
  </si>
  <si>
    <t>Commentaires des écarts et Gaps</t>
  </si>
  <si>
    <t>Objectif (Trim2)</t>
  </si>
  <si>
    <t>Objectif (%)</t>
  </si>
  <si>
    <t>Réalisation (%)</t>
  </si>
  <si>
    <t>ACCUEL (CLIQUEZ SUR LA CIBLE DE LA FEUILLE INDIQUEE)</t>
  </si>
  <si>
    <t>MATRICE DE COORDINATION MENSUELLE</t>
  </si>
  <si>
    <t>PTBA 2023</t>
  </si>
  <si>
    <t>AVANCEMENT TECHNIQUE</t>
  </si>
  <si>
    <t>PERFORMANCE GLOBALE</t>
  </si>
  <si>
    <t>DETAILS DECAISSEMENTS</t>
  </si>
  <si>
    <t>DECAISSEMENTS GLOBAUX</t>
  </si>
  <si>
    <t>PERFORMANCE EN PPM</t>
  </si>
  <si>
    <t>GRAPHIQUE GLOBAL</t>
  </si>
  <si>
    <t>ANALYSE PAR PROJET</t>
  </si>
  <si>
    <t>GRAPHYQUE GLOBAL EXECUTION TECHNIQUE-BUDGETAIRE-PPM</t>
  </si>
  <si>
    <t>ANALYSE PAR VOLET</t>
  </si>
  <si>
    <t>SYNTHESE IS</t>
  </si>
  <si>
    <t>SYNTHESE PLANIFICATION&amp;SE</t>
  </si>
  <si>
    <t>SYNTHESE EVIRONNEMENT ET ECONOMIE VERTE</t>
  </si>
  <si>
    <t>SYNTHESE SIG</t>
  </si>
  <si>
    <t>GENRE ET ETUDE SOCIO-ECONOMIQUE</t>
  </si>
  <si>
    <t>EMPLOIS - ESTIMATION</t>
  </si>
  <si>
    <t>PERSPECTIVES TRIM 3</t>
  </si>
  <si>
    <t>Avancement</t>
  </si>
  <si>
    <t>Spécifications techniques définis et élaboration du DAO entamée</t>
  </si>
  <si>
    <t>Les travaux de construction de 04 PTA ont démarré. Les contrats pour la fourniture d’équipements de ces PTA sont signés.</t>
  </si>
  <si>
    <t>La procédure de passation de marché pour l’électrification de 24 villages par voie solaire est finalisée. Le contrat est signé et enregistré.</t>
  </si>
  <si>
    <t xml:space="preserve">Pour ce qui est de la réalisation des 06 SAEMV, les contrats sont signés et enregistrés. </t>
  </si>
  <si>
    <t xml:space="preserve"> Concernant les 10 forages MFT du projet, le rapport d’évaluation est envoyé au FSD pour avis de non objection.</t>
  </si>
  <si>
    <t xml:space="preserve">La convention entre le PUDC et le Programme national de Biogaz est signée pour la mise en place de 25 biodigesteurs. </t>
  </si>
  <si>
    <t>Sur un objectif de 300 villages prévus en fin 2023, 86 sont finalisés à date: soit un taux d'avancement de 32%</t>
  </si>
  <si>
    <t>2F</t>
  </si>
  <si>
    <t>*Simbandi balante – Sonako ( implantation 100% et tirage 100% partie aérienne. Genie civil des postes préfabriqués en cours).
*Fafacourou- Dabo – Cambacara (100% d’implantation et 0% tirage).
* Ndiambour-Niakhène : Mis en service(25 km ligne HTA 148)
*Ndioum – Linguère : Mis en service  (187 km ligne HTA 148)
*Bandafassi- Salamata-(En cours d'implantation)</t>
  </si>
  <si>
    <t>Contrat résilié et nouveau DAO pour la réalisation des 11 forages restant déjà élaboré, en attente de lancement</t>
  </si>
  <si>
    <t>Poursuite des travaux de forages pour finaliser et réceptionner 11 forages MFT restants</t>
  </si>
  <si>
    <t>Les travaux pour la construction des 20 postes de santé ont démarré. Pour
l’équipement des postes, les propositions d’attribution des marchés sont en attente d’ANO du FSD.</t>
  </si>
  <si>
    <t>Le contrat est signé pour la réalisation de 02 postes de santé.</t>
  </si>
  <si>
    <t>Finalisation des travaux et réception de 6 CE</t>
  </si>
  <si>
    <t>Réception provisoire de 6 systèmes.</t>
  </si>
  <si>
    <t xml:space="preserve"> Finalisation de la procédure de passation de marché pour 10 forages MFT et mis en service de 2 MFT</t>
  </si>
  <si>
    <t xml:space="preserve">Poursuite des travaux de construction de 20 postes de santé et mis en service de 5 poste </t>
  </si>
  <si>
    <t xml:space="preserve">Finalisation de la procédure de passation de marché et lancement des travaux de construction de 02 postes de santé </t>
  </si>
  <si>
    <t>Poursuite des travaux en cours pour finaliser et réceptionner 10 Km de pistes</t>
  </si>
  <si>
    <t>Activités planifiées au courant du trimestre 2</t>
  </si>
  <si>
    <t>Electrification de 12 villages</t>
  </si>
  <si>
    <t>Mis en service de 01 village</t>
  </si>
  <si>
    <t xml:space="preserve">Les travaux sont en cours pour Sédhiou et Kolda avec un avancement moyen respectif de 57% (Sédhiou) et 51% (Kolda). </t>
  </si>
  <si>
    <t>Implantation et approvisionnement en cours</t>
  </si>
  <si>
    <t>Déploiement et livraison de 29 équipements restants du projet</t>
  </si>
  <si>
    <t>Livraisons 29 équipements</t>
  </si>
  <si>
    <t>29 sont en cours de production dont 14 réceptionnés en usine. L’ensemble des abris ont été construits par les bénéficiaires. Les comités de gestion sont mis en
place et les membres formés.</t>
  </si>
  <si>
    <t>La production de 198 équipements est finalisée sur les 448 équipements du projet. La
fabrication des 250 équipements restants est en cours de finalisation.</t>
  </si>
  <si>
    <t>Fabrication et déploiement de 100 équipements</t>
  </si>
  <si>
    <t>Travaux en cours</t>
  </si>
  <si>
    <t>Installation de 31 Magasins de stockage</t>
  </si>
  <si>
    <t>Finalisation de la procédure de passation de marché pour l’acquisition et l’installation de 31 magasins de stockage</t>
  </si>
  <si>
    <t>Installation de 02 Magasins de stockage</t>
  </si>
  <si>
    <t>Finalisation de la procédure de passation de marché pour l’acquisition et l’installation de 02 magasins de stockage</t>
  </si>
  <si>
    <t xml:space="preserve"> Les travaux de construction de 02 magasins de stockage sont en cours.</t>
  </si>
  <si>
    <t>Les travaux de construction de 06 unités laitières sont en cours. Les contrats pour les équipements de 08 unités laitières sont signés et enregistrés</t>
  </si>
  <si>
    <t>La procédure de passation de marché pour les 15 PTA est en cours</t>
  </si>
  <si>
    <t xml:space="preserve"> La convention entre le PUDC et le Programme national de Biogaz est signée pour la mise en
place de 25 biodigesteurs</t>
  </si>
  <si>
    <t>Non démarré pour insuffisance budgétaire (éventualité de surseoir)</t>
  </si>
  <si>
    <t>Finalisation des travaux et réception de 12 Forages</t>
  </si>
  <si>
    <t>Poursuite des travaux de construction de 20 postes de santé</t>
  </si>
  <si>
    <t xml:space="preserve">Fourniture et pose de grillage pour 35 PAC
Appui à la mise en valeur des 14 PAC </t>
  </si>
  <si>
    <t>Poursuite de la pose des grillages. Sur 35 PAC
Poursuite de l’accompagnement de 14 SAR dans la mise en valeur des PAC.</t>
  </si>
  <si>
    <t>Les travaux ont démarré. 
14 SAR sont accompagnés dans la mise en valeur des PAC (système d'irrigation mis en place, technicien horticole mobilisés pour accompagner les SAR dans la mise en valeur des PAC).</t>
  </si>
  <si>
    <t>Poursuite de l’aménagement de réseaux d'irrigation sur 08 périmètres agricoles communautaires.
Poursuite des travaux de réalisation de forages équipés de pompes solaires sur 23 périmètres agricoles communautaires.</t>
  </si>
  <si>
    <t>Les réseaux de plomberie ont été réalisés sur les 8 sites et les déblais pour la réalisation des bassins en cours.  Les équipements de pompages ainsi que les bâches ont été réceptionnés au dépôt (et jugés conformes)
01 forage terminé et 02 forages en cours d'exécution</t>
  </si>
  <si>
    <t>EXECUTION DU PPM 2023 AU DEUXIEME TRIMESTRE</t>
  </si>
  <si>
    <t xml:space="preserve">marché enrigistré , caution fournie </t>
  </si>
  <si>
    <t>OS le 19 juillet 2023</t>
  </si>
  <si>
    <t>en cours d'execution</t>
  </si>
  <si>
    <t>marché enrigistré ,  caution fournie</t>
  </si>
  <si>
    <t>en cours d'execution  depuis le 19/05/2023</t>
  </si>
  <si>
    <t>rappel de délai servi au tittulaire taux execution physique 15% , 50% délai consommé</t>
  </si>
  <si>
    <t>OS DE suspension depuis le 19/05/2023</t>
  </si>
  <si>
    <t>contrats partis pour enregistrement</t>
  </si>
  <si>
    <t>contrats en cours  d'enregistrement</t>
  </si>
  <si>
    <t>contrat enregistré</t>
  </si>
  <si>
    <t>Rapport et PV attribution soumis à la DCMP</t>
  </si>
  <si>
    <t>Montage contrats</t>
  </si>
  <si>
    <t>contrat en cours d'enregistement</t>
  </si>
  <si>
    <t>DAO soumis à la DCMP</t>
  </si>
  <si>
    <t>PV Attribution soumis à la DCMP</t>
  </si>
  <si>
    <t>LOT 1 : en cours enregistrement
LOT :2 en approbation
LOT3: en appro</t>
  </si>
  <si>
    <t>Evaluation des propositions de l'AMI</t>
  </si>
  <si>
    <t>Paiement Avance de démarrage</t>
  </si>
  <si>
    <t>Demande de paiement de l'avance</t>
  </si>
  <si>
    <t>Passation termimée en cours exécution</t>
  </si>
  <si>
    <t>evaluation terminée attente comité PNUD</t>
  </si>
  <si>
    <t>DAO soumis au PNUD</t>
  </si>
  <si>
    <t xml:space="preserve">attente caution </t>
  </si>
  <si>
    <t>12 Forages</t>
  </si>
  <si>
    <t xml:space="preserve"> 12 Château d'eau</t>
  </si>
  <si>
    <t>en cours d'execution + avenants de 6 chateaux d'eau en cours</t>
  </si>
  <si>
    <t xml:space="preserve">en cours d'execution </t>
  </si>
  <si>
    <t>en procédure</t>
  </si>
  <si>
    <t xml:space="preserve">Projets </t>
  </si>
  <si>
    <t xml:space="preserve">Nombre de
marchés prévus (a) </t>
  </si>
  <si>
    <t xml:space="preserve">Entamée </t>
  </si>
  <si>
    <t xml:space="preserve">En attente d’ANO </t>
  </si>
  <si>
    <t xml:space="preserve">Attribués (b) </t>
  </si>
  <si>
    <t>Taux d’exécution (b/a)</t>
  </si>
  <si>
    <t xml:space="preserve">PA-PUDC/BID </t>
  </si>
  <si>
    <t xml:space="preserve">PA-PUDC/BAD </t>
  </si>
  <si>
    <t xml:space="preserve">PSP-PUDC/FSD </t>
  </si>
  <si>
    <t xml:space="preserve">PUDC-BCI 2023 </t>
  </si>
  <si>
    <t xml:space="preserve">Total </t>
  </si>
  <si>
    <t>Aménagement de périmetres agricoles  en deux lots</t>
  </si>
  <si>
    <t>démarré</t>
  </si>
  <si>
    <t>terminée avenant en cours execution (6 forages)</t>
  </si>
  <si>
    <t>1. Contrat approuvé et enregistré
2. Réunion de démarrage à organiser et notifier le marché</t>
  </si>
  <si>
    <t>Travaux de piste dans la région de Thies</t>
  </si>
  <si>
    <t>Marchés attribués en 4 lots
Contrats en cours de signature</t>
  </si>
  <si>
    <t>Pour les 10 PTA prévus, le DAO pour la réalisation du génie civil est lancé
DAO Equipements de 10 Plateformes : en cours de finalisation avec la collaboation de l'ITA
Projet de convention de partenariat avec l'ITA : soumis à l'avis de la BAD</t>
  </si>
  <si>
    <t>L'ANO de la BAD a été obtenu avec des observations ; projet de convention revu et envoyé à la LBA .</t>
  </si>
  <si>
    <t>HORAIRE</t>
  </si>
  <si>
    <t>ACTIVITES</t>
  </si>
  <si>
    <t>JOUR 1 : 24 JUILLET 2023. AU BUREAU : EXAMEN DU NIVEAU D’EXECUTION DU PTBA 2023 AU 30 JUIN</t>
  </si>
  <si>
    <t>9h 00–11h 00</t>
  </si>
  <si>
    <t>11h 00-11h 30</t>
  </si>
  <si>
    <t>Pause -café</t>
  </si>
  <si>
    <t>11h 30 -13h 15</t>
  </si>
  <si>
    <t xml:space="preserve">13h 15-15h 00 </t>
  </si>
  <si>
    <t xml:space="preserve">Pause déjeuner </t>
  </si>
  <si>
    <t>15h 00 - 18h00</t>
  </si>
  <si>
    <t>9H00mn – 10h30mn</t>
  </si>
  <si>
    <t>10h 30–13h 15</t>
  </si>
  <si>
    <t xml:space="preserve">13h 15 - 15h 00 </t>
  </si>
  <si>
    <t>15h 00 -18h00</t>
  </si>
  <si>
    <t xml:space="preserve">JOUR 3 : 26 JUILLET 2023. Examen du niveau d’exécution globale des projets </t>
  </si>
  <si>
    <t>09h00mn – 11h 00mn</t>
  </si>
  <si>
    <t>Pause - café</t>
  </si>
  <si>
    <t xml:space="preserve">JOUR 4 : 27 JUILLET 2023. </t>
  </si>
  <si>
    <t>10h00 mn. RETOUR A DAKAR</t>
  </si>
  <si>
    <t xml:space="preserve">EXECUTION PHYSIQUE </t>
  </si>
  <si>
    <r>
      <t>·</t>
    </r>
    <r>
      <rPr>
        <sz val="14"/>
        <color rgb="FF000000"/>
        <rFont val="Times New Roman"/>
        <family val="1"/>
      </rPr>
      <t xml:space="preserve">        </t>
    </r>
    <r>
      <rPr>
        <sz val="14"/>
        <color theme="1"/>
        <rFont val="Arial Narrow"/>
        <family val="2"/>
      </rPr>
      <t xml:space="preserve">Examen du </t>
    </r>
    <r>
      <rPr>
        <i/>
        <sz val="14"/>
        <color rgb="FF000000"/>
        <rFont val="Arial Narrow"/>
        <family val="2"/>
      </rPr>
      <t xml:space="preserve">niveau d’exécution du PTBA 2023 au 30 juin </t>
    </r>
  </si>
  <si>
    <r>
      <t>·</t>
    </r>
    <r>
      <rPr>
        <sz val="14"/>
        <color rgb="FF000000"/>
        <rFont val="Times New Roman"/>
        <family val="1"/>
      </rPr>
      <t xml:space="preserve">        </t>
    </r>
    <r>
      <rPr>
        <sz val="14"/>
        <color theme="1"/>
        <rFont val="Arial Narrow"/>
        <family val="2"/>
      </rPr>
      <t xml:space="preserve">Examen du </t>
    </r>
    <r>
      <rPr>
        <i/>
        <sz val="14"/>
        <color rgb="FF000000"/>
        <rFont val="Arial Narrow"/>
        <family val="2"/>
      </rPr>
      <t xml:space="preserve">niveau d’exécution du PTBA 2023 au 30 juin </t>
    </r>
    <r>
      <rPr>
        <sz val="14"/>
        <color rgb="FF000000"/>
        <rFont val="Arial Narrow"/>
        <family val="2"/>
      </rPr>
      <t>(Suite 1)</t>
    </r>
  </si>
  <si>
    <r>
      <t>JOUR 2 : 25 JUILLET 2023.</t>
    </r>
    <r>
      <rPr>
        <sz val="14"/>
        <color theme="1"/>
        <rFont val="Calibri"/>
        <family val="2"/>
        <scheme val="minor"/>
      </rPr>
      <t xml:space="preserve"> </t>
    </r>
    <r>
      <rPr>
        <b/>
        <sz val="14"/>
        <color rgb="FF000000"/>
        <rFont val="Arial Narrow"/>
        <family val="2"/>
      </rPr>
      <t>Examen du niveau d’exécution du PTBA 2023 au 30 juin et partage des éléments d’analyse des performances et des perspectives pour le troisième trimestre</t>
    </r>
  </si>
  <si>
    <r>
      <t>·</t>
    </r>
    <r>
      <rPr>
        <sz val="14"/>
        <color rgb="FF000000"/>
        <rFont val="Times New Roman"/>
        <family val="1"/>
      </rPr>
      <t xml:space="preserve">        </t>
    </r>
    <r>
      <rPr>
        <i/>
        <sz val="14"/>
        <color rgb="FF000000"/>
        <rFont val="Arial Narrow"/>
        <family val="2"/>
      </rPr>
      <t>DEPART, ARRIVEE ET INSTALLATION DES PARTICIPANTS A L’HÔTEL</t>
    </r>
  </si>
  <si>
    <r>
      <t>·</t>
    </r>
    <r>
      <rPr>
        <sz val="14"/>
        <color rgb="FF000000"/>
        <rFont val="Times New Roman"/>
        <family val="1"/>
      </rPr>
      <t xml:space="preserve">        </t>
    </r>
    <r>
      <rPr>
        <sz val="14"/>
        <color rgb="FF000000"/>
        <rFont val="Arial Narrow"/>
        <family val="2"/>
      </rPr>
      <t>Présentation des performances au second trimestre 2023</t>
    </r>
  </si>
  <si>
    <r>
      <t>·</t>
    </r>
    <r>
      <rPr>
        <sz val="14"/>
        <color rgb="FF000000"/>
        <rFont val="Times New Roman"/>
        <family val="1"/>
      </rPr>
      <t xml:space="preserve">        </t>
    </r>
    <r>
      <rPr>
        <i/>
        <sz val="14"/>
        <color rgb="FF000000"/>
        <rFont val="Arial Narrow"/>
        <family val="2"/>
      </rPr>
      <t>Présentation des éléments des éléments de base d’analyse de la performance au second trimestre 2023.</t>
    </r>
  </si>
  <si>
    <r>
      <t>·</t>
    </r>
    <r>
      <rPr>
        <sz val="14"/>
        <color rgb="FF000000"/>
        <rFont val="Times New Roman"/>
        <family val="1"/>
      </rPr>
      <t xml:space="preserve">        </t>
    </r>
    <r>
      <rPr>
        <sz val="14"/>
        <color rgb="FF000000"/>
        <rFont val="Arial Narrow"/>
        <family val="2"/>
      </rPr>
      <t>Revue, actualisation / révision des perspectives pour le troisième trimestre 2023</t>
    </r>
  </si>
  <si>
    <r>
      <t>·</t>
    </r>
    <r>
      <rPr>
        <sz val="14"/>
        <color rgb="FF000000"/>
        <rFont val="Times New Roman"/>
        <family val="1"/>
      </rPr>
      <t xml:space="preserve">        </t>
    </r>
    <r>
      <rPr>
        <i/>
        <sz val="14"/>
        <color rgb="FF000000"/>
        <rFont val="Arial Narrow"/>
        <family val="2"/>
      </rPr>
      <t>Examen du niveau d’exécution globale des projets au 30 juin 2023 Et perspectives d’exécution</t>
    </r>
  </si>
  <si>
    <r>
      <t>·</t>
    </r>
    <r>
      <rPr>
        <sz val="14"/>
        <color rgb="FF000000"/>
        <rFont val="Times New Roman"/>
        <family val="1"/>
      </rPr>
      <t xml:space="preserve">        </t>
    </r>
    <r>
      <rPr>
        <i/>
        <sz val="14"/>
        <color rgb="FF000000"/>
        <rFont val="Arial Narrow"/>
        <family val="2"/>
      </rPr>
      <t>Examen du niveau d’exécution globale des projets au 30 juin 2023 Et perspectives d’exécution.</t>
    </r>
  </si>
  <si>
    <r>
      <t>·</t>
    </r>
    <r>
      <rPr>
        <sz val="14"/>
        <color rgb="FF000000"/>
        <rFont val="Times New Roman"/>
        <family val="1"/>
      </rPr>
      <t xml:space="preserve">        </t>
    </r>
    <r>
      <rPr>
        <i/>
        <sz val="14"/>
        <color rgb="FF000000"/>
        <rFont val="Arial Narrow"/>
        <family val="2"/>
      </rPr>
      <t>Présentation de la synthèse et des recommandations des travaux de l’atelier Bilan à mi-parcours de l’exécution du PTBA 2023.</t>
    </r>
  </si>
  <si>
    <t>Attente de l’ANO du FSD pour lancer les travaux. Des retards importants sont notés pour les ANO</t>
  </si>
  <si>
    <t>Evaluation finalisée et procès-verbal en cours de signature.</t>
  </si>
  <si>
    <t>SOMMAIRE</t>
  </si>
  <si>
    <t>STRUCTURE PARTENAIRE</t>
  </si>
  <si>
    <t>Date notification / Entrée en vigueur de la convention</t>
  </si>
  <si>
    <t>Durée d'exécution en mois</t>
  </si>
  <si>
    <t>Date Échéance avant Avenant</t>
  </si>
  <si>
    <t>Nombre d'avenant à date</t>
  </si>
  <si>
    <t>Date Échéance dernier Avenant</t>
  </si>
  <si>
    <t>Montant total du contrat en TTC (A)</t>
  </si>
  <si>
    <t>Montant Total Avenant en FCFA en TTC (B)</t>
  </si>
  <si>
    <t>Indicateurs / Livrables ATTENDUS (Engagements contractuels)</t>
  </si>
  <si>
    <t>PROGRES ENREGISTRES / ET RESULTATS OBTENUS  DU DEBUT AU 30 JUIN 2023</t>
  </si>
  <si>
    <t>CONTRAINTES</t>
  </si>
  <si>
    <t>PERSPECTIVES D'ICI DECEMBRE 2023</t>
  </si>
  <si>
    <t>EXECUTION FINANCIERE</t>
  </si>
  <si>
    <t>14 ateliers régionaux de formation des acteurs sur les outils de gestion environnementale et sociale du PUDC</t>
  </si>
  <si>
    <t>10 ateliers réalisés</t>
  </si>
  <si>
    <t xml:space="preserve">-Démarrage tardif des activités (lenteur dans la préparation de la convention et du projet de partenariat,                                            - Absence de formation sur les modalités de justification des dépense au début du processus;                                     -Retard dans la mise en place des fonds pour le déroulement des activités;
-Instabilité du personnel environnement (Changements de points focaux);
-Retard dans le processus de justification des dépenses et de traitement des factures;
-Délai restant de la convention limite;
-Taux de décaissement faible </t>
  </si>
  <si>
    <t>tenue de 04 ateliers restants</t>
  </si>
  <si>
    <t>Décaissement (FCFA): 15 MILLIONS SUR 85 MILLIONS)
Taux de décaissement:17,5%</t>
  </si>
  <si>
    <t xml:space="preserve">14 ateliers de renforcement des capacités des membres des comités régionaux régionaux sur le suivi environnemental et social </t>
  </si>
  <si>
    <t>non encore réalisé</t>
  </si>
  <si>
    <t>organisation de 14 ateliers</t>
  </si>
  <si>
    <t>100% des sous projets soumis à un screening environnemental et social</t>
  </si>
  <si>
    <t>Poste de santé 100%
-	Centrale solaire en attente de démarrage (0%) ;
-	PTA 30%</t>
  </si>
  <si>
    <t>poursuivre le screening des sous projets avant démarrage</t>
  </si>
  <si>
    <t>100% des sous projets sont suivi</t>
  </si>
  <si>
    <t>1 mission organisé à kolda et ziguinchor</t>
  </si>
  <si>
    <t>poursuivre le suivi des sous projet et introduire une demande d'avenant</t>
  </si>
  <si>
    <t>DEFCCS</t>
  </si>
  <si>
    <t>reboisement de 300 ha</t>
  </si>
  <si>
    <t xml:space="preserve">17 640 plants produits dans 09pépinières forestières installées dans les PAC et reboisés dans les PAC </t>
  </si>
  <si>
    <r>
      <t>‾</t>
    </r>
    <r>
      <rPr>
        <sz val="14"/>
        <color rgb="FF000000"/>
        <rFont val="Arial Narrow"/>
        <family val="2"/>
      </rPr>
      <t>Démarrage tardif des activités (lenteur dans la préparation de la convention et du projet de partenariat, Absence de formation sur les modalités de justification des dépense au début du processus; Retard dans la mise en place des fonds pour le déroulement des activités;</t>
    </r>
  </si>
  <si>
    <t>-poursuivre la mise en œuvre du plan d'action adossé au protocole;                                                                                                         -corriger les non   conformité;                                                                                                                       -amélioration de l'approche pour plus d'appopriation des réalisations par les bénéficiares;                                                                                                                     -préparer un avenant de délai pour s'aligner avec la nouvelle date de cloture du projet</t>
  </si>
  <si>
    <t>Décaissement (FCFA): 42 008 070
Taux de décaissement:21,7%</t>
  </si>
  <si>
    <t>réalisation de mise en défens</t>
  </si>
  <si>
    <t>310,3 hectares de terres dégradées mises en défens et les comités de suivi sont équipés</t>
  </si>
  <si>
    <r>
      <t>‾</t>
    </r>
    <r>
      <rPr>
        <sz val="14"/>
        <color rgb="FF000000"/>
        <rFont val="Arial Narrow"/>
        <family val="2"/>
      </rPr>
      <t>Instabilité du personnel en environnement (Changements de ressources humaines);</t>
    </r>
  </si>
  <si>
    <t>installation de technologies agroforestière dans les PAC</t>
  </si>
  <si>
    <t>des haies vives et des brises vents sont installés dans les PAC</t>
  </si>
  <si>
    <r>
      <t>‾</t>
    </r>
    <r>
      <rPr>
        <sz val="14"/>
        <color rgb="FF000000"/>
        <rFont val="Arial Narrow"/>
        <family val="2"/>
      </rPr>
      <t>Absence de délibération pour certains sites de mise en défens;</t>
    </r>
  </si>
  <si>
    <t>Plantaion fruitère dans les périmètres horticoles et de forages</t>
  </si>
  <si>
    <t>les fruitiers (citrons, manguiers…) sont plantés dans les PAC avec des taux d'échec très elevé dont la principale cause est lié au manque d'eau d'arrosage</t>
  </si>
  <si>
    <r>
      <t>‾</t>
    </r>
    <r>
      <rPr>
        <sz val="14"/>
        <color rgb="FF000000"/>
        <rFont val="Arial Narrow"/>
        <family val="2"/>
      </rPr>
      <t>Insuffisance du budget prévu pour le suivi des activités;</t>
    </r>
  </si>
  <si>
    <t>Formation des populations sur la production de plan, le reboisement et le suivi</t>
  </si>
  <si>
    <t>des formations sur l'installation de pépinière, la prouction de plants forestiers et fruitiers et la suivi des reboisements sont réalisées par les agents des eaux et forets dans les zones de SARR</t>
  </si>
  <si>
    <r>
      <t>‾</t>
    </r>
    <r>
      <rPr>
        <sz val="14"/>
        <color rgb="FF000000"/>
        <rFont val="Arial Narrow"/>
        <family val="2"/>
      </rPr>
      <t>Faible taux de survie des plantations dans certains PAC par faute de : faible mobilisation des  bénéficiaires; manque d’eau pour l’arrosage, la divagation;</t>
    </r>
  </si>
  <si>
    <t>restauration des zones de mangroves dégradées</t>
  </si>
  <si>
    <t>7,10 hectares de mangroves plantés avec 100% de taux de survie</t>
  </si>
  <si>
    <r>
      <t>‾</t>
    </r>
    <r>
      <rPr>
        <sz val="14"/>
        <color rgb="FF000000"/>
        <rFont val="Arial Narrow"/>
        <family val="2"/>
      </rPr>
      <t>Retard dans le processus de justification des dépenses et de traitement des factures;</t>
    </r>
  </si>
  <si>
    <t xml:space="preserve"> absence de délibération pour certaines mise en défens</t>
  </si>
  <si>
    <t>faible niveau de suivi des réalisation</t>
  </si>
  <si>
    <t>Date de signature du contrat 	:	01/02/2022
Réception ordre de service 		:	14/03/2022
Démarrage effectif de la mission	: 	25/03/2022</t>
  </si>
  <si>
    <t xml:space="preserve">-        un plan de communication est élaboré, exécuté et les résultats font l’objet d’un suivi régulier ; </t>
  </si>
  <si>
    <t>Ø  Information sensibilisation des autorités administratives, des services techniques, des autorités municipales et des population bénéficiaires</t>
  </si>
  <si>
    <t>·       Absence de relais pour couvrir l’étendue de l’espace d’intervention notamment entre les villages d’une même commune ;</t>
  </si>
  <si>
    <t>Préparer un avenantpour la suite des activités</t>
  </si>
  <si>
    <t>Décaissement (FCFA): 137 0140120
Taux de décaissement: 49,1%</t>
  </si>
  <si>
    <t>Ø  Mise en place de comités de suivi des travaux et redynamisation des comités de gestion</t>
  </si>
  <si>
    <t>·       Disponibilité des acteurs bénéficiaires notamment le Diéri ;</t>
  </si>
  <si>
    <t>corriger les manquements</t>
  </si>
  <si>
    <t xml:space="preserve">-        un plan d’Engagement des Parties Prenantes (PEPP) est élaboré tout au long de la mission et suivi mensuellement en rapport avec le PUDC ; </t>
  </si>
  <si>
    <t>Ø  Appui à la formalisation des comités de gestion ;</t>
  </si>
  <si>
    <t>·       Lenteur dans le démarrage des travaux. Risque de démobilisation ;</t>
  </si>
  <si>
    <t xml:space="preserve">-         un plan de formation est élaboré, exécuté et les résultats sont l’objet d’un suivi régulier ; </t>
  </si>
  <si>
    <t xml:space="preserve">Ø  Accompagnement des cibles dans la gestion des plaintes et la prise en charge des doléance </t>
  </si>
  <si>
    <t xml:space="preserve">Appui-conseil de proximité limité faute de relais communautaires pour poursuivre le travail de l’animateur. </t>
  </si>
  <si>
    <t xml:space="preserve">-        Sensibilisation thématique des populations bénéficiaires </t>
  </si>
  <si>
    <t>Ø  Accompagnement dans les démarches administratives pour la formalisation et la sécurisation foncière</t>
  </si>
  <si>
    <t>-        Animation d’émissions radio</t>
  </si>
  <si>
    <t xml:space="preserve">Ø  Forte mobilisation des bénéficiaires autour des ouvrages </t>
  </si>
  <si>
    <t xml:space="preserve">-        Visites de courtoisie systématique aux autorités administratives </t>
  </si>
  <si>
    <t xml:space="preserve">Ø  Implication progressive des jeunes et des femmes dans les comités de gestion </t>
  </si>
  <si>
    <t>-        Appui à la remobilisation et la tenue des AG de renouvellement des SAR</t>
  </si>
  <si>
    <t xml:space="preserve">Ø  Diligence des autorités administratives et territoriales dans l’affectation de terre pour les postes de santé </t>
  </si>
  <si>
    <t xml:space="preserve">-        Appui à la structuration et la formalisation des SAR </t>
  </si>
  <si>
    <t xml:space="preserve">Ø  Meilleure visibilité du PUDC et prise en compte des réalisations dans les conférences territoriales </t>
  </si>
  <si>
    <t xml:space="preserve">-        Élaboration d’un rapport diagnostic des SAR (situation de référence) </t>
  </si>
  <si>
    <t xml:space="preserve">Ø  Remobilisation des membres des comités de gestion des SAR </t>
  </si>
  <si>
    <t xml:space="preserve">-        Élaboration et suivi d’un plan d’actions pour chaque SAR </t>
  </si>
  <si>
    <t>Ø  Implication et facilitation des Sous-Préfets du travail de l’équipe d’animation</t>
  </si>
  <si>
    <t xml:space="preserve">-        Suivi des relations entre les SAR et les éventuels fournisseurs de services </t>
  </si>
  <si>
    <t>Ø  Production et remise des différents livrables : PEPP, plan de formation, plan de communication, plan de gestion environnementale sensible au genre, etc.</t>
  </si>
  <si>
    <t>-        Renforcement des capacités des membres de bureau des SAR en GAF</t>
  </si>
  <si>
    <t xml:space="preserve">Ø  Finalisation des différents business plan des PTA </t>
  </si>
  <si>
    <t xml:space="preserve">-        Animation territoriale autour des SAR : </t>
  </si>
  <si>
    <t>     enjeux économiques et la dynamique communautaire</t>
  </si>
  <si>
    <t xml:space="preserve">     gouvernance et développement économique local (DEL) </t>
  </si>
  <si>
    <t xml:space="preserve">-        Appui à la finalisation des business plan des PTA </t>
  </si>
  <si>
    <t xml:space="preserve">-        Appui au screening de certaines réalisations </t>
  </si>
  <si>
    <t xml:space="preserve">-        Information/sensibilisation sur l’implantation des postes de santé </t>
  </si>
  <si>
    <t xml:space="preserve">-        Appui-conseil et suivi des procédures de délibération et d’affectation de terre pour les postes de santé </t>
  </si>
  <si>
    <t xml:space="preserve">-        Appui à la mise en place par arrêté du Maire d’un comité local de suivi des travaux </t>
  </si>
  <si>
    <t xml:space="preserve">13h 15-14h 30 </t>
  </si>
  <si>
    <t>14h 30 - 16h00</t>
  </si>
  <si>
    <t>7H00mn – 9H00 mn</t>
  </si>
  <si>
    <t>La proposition d'attribution est en cours d'approbation</t>
  </si>
  <si>
    <t>Finalisés</t>
  </si>
  <si>
    <t xml:space="preserve">14 Forages sont réceptionnés. Les travavaux de CE sont en cours
</t>
  </si>
  <si>
    <t>Réception de 11 forages restants du projet</t>
  </si>
  <si>
    <t>Suspendus</t>
  </si>
  <si>
    <t xml:space="preserve">16 ont été finalisés et mis en service </t>
  </si>
  <si>
    <t>Evaluation des offres en cours de validation</t>
  </si>
  <si>
    <t>01 forage terminé et 02 forages en cours d'exécution
Contrat résilié et DAO en cours de reprise.</t>
  </si>
  <si>
    <t>Les contrats en 4 lots sont signés avec les entreprises : 
Lot 1 : ETPA : approuvé et demande d'engagement soumise à la BAD
Lot 2 : EBTP : en cours d'approbation
Lot 3 : EBTP : approuvé et demande d'engagement soumise à la BAD
Lot 4 : Touba Taif Ballodji : en cours d'approbation</t>
  </si>
  <si>
    <t>Décaissé au TRIM 2</t>
  </si>
  <si>
    <t xml:space="preserve"> Projet E. 2000 villages ».</t>
  </si>
  <si>
    <t>OBJECTIFS</t>
  </si>
  <si>
    <t>REALISATIONS</t>
  </si>
  <si>
    <t>DECAISSEMENT REEL</t>
  </si>
  <si>
    <t>Cible Trim 2
(Cumuler RT1&amp;T2)</t>
  </si>
  <si>
    <r>
      <t>Piste « Mboro - Darou Salam : 12,5 km » : a</t>
    </r>
    <r>
      <rPr>
        <sz val="8"/>
        <color theme="1"/>
        <rFont val="Arial Narrow"/>
        <family val="2"/>
      </rPr>
      <t>vancement des travaux : 90%. Approvisionnement de la couche de roulement réalisé (98%) et traitement de la couche de roulement (65%).</t>
    </r>
  </si>
  <si>
    <r>
      <rPr>
        <b/>
        <sz val="8"/>
        <color rgb="FFFF0000"/>
        <rFont val="Arial Narrow"/>
        <family val="2"/>
      </rPr>
      <t xml:space="preserve">Avancement global : 72 % </t>
    </r>
    <r>
      <rPr>
        <sz val="8"/>
        <color theme="1"/>
        <rFont val="Arial Narrow"/>
        <family val="2"/>
      </rPr>
      <t xml:space="preserve">
</t>
    </r>
    <r>
      <rPr>
        <b/>
        <sz val="8"/>
        <color rgb="FF0070C0"/>
        <rFont val="Arial Narrow"/>
        <family val="2"/>
      </rPr>
      <t>1.  Piste: "Notto - Keur Malal: 7km ":  (Av des travaux: 92%)</t>
    </r>
    <r>
      <rPr>
        <sz val="8"/>
        <color theme="1"/>
        <rFont val="Arial Narrow"/>
        <family val="2"/>
      </rPr>
      <t xml:space="preserve">
- Couche de roulement réalisée à 100%  
 Travaux restant: 
- Fourniture et Pose de pavé : 630 ml sur 800 ml;
- Fourniture et pose des panneaux de signalisation;
- Perrés maçonnés : en cours
</t>
    </r>
    <r>
      <rPr>
        <b/>
        <sz val="8"/>
        <color rgb="FF0070C0"/>
        <rFont val="Arial Narrow"/>
        <family val="2"/>
      </rPr>
      <t>2.  Piste: Mboro : 12,5 km: (Av des travaux: 90%)</t>
    </r>
    <r>
      <rPr>
        <sz val="8"/>
        <color theme="1"/>
        <rFont val="Arial Narrow"/>
        <family val="2"/>
      </rPr>
      <t xml:space="preserve">
 - Appros couche de roulement réalisé 98 % .
 - Finition couche de roulement : 8,100 km soit 65%.
</t>
    </r>
    <r>
      <rPr>
        <b/>
        <sz val="8"/>
        <color rgb="FF0070C0"/>
        <rFont val="Arial Narrow"/>
        <family val="2"/>
      </rPr>
      <t xml:space="preserve"> 2.1:  Bretelle vers Ndioufene (2 km)   (Av des travaux: 18 %).</t>
    </r>
    <r>
      <rPr>
        <sz val="8"/>
        <color theme="1"/>
        <rFont val="Arial Narrow"/>
        <family val="2"/>
      </rPr>
      <t xml:space="preserve">
 - Nettoyage réalisé à 100 %
 - Approvisionnement couche de roulement: 350 ml
</t>
    </r>
    <r>
      <rPr>
        <b/>
        <sz val="8"/>
        <color rgb="FF0070C0"/>
        <rFont val="Arial Narrow"/>
        <family val="2"/>
      </rPr>
      <t>3. Piste: Mérina Dakhar : 5,7 km : travaux terminés à 99%</t>
    </r>
    <r>
      <rPr>
        <sz val="8"/>
        <color theme="1"/>
        <rFont val="Arial Narrow"/>
        <family val="2"/>
      </rPr>
      <t xml:space="preserve">
 - Reste la fourniture et pose des panneaux de signalisation.
 </t>
    </r>
  </si>
  <si>
    <r>
      <t>Piste « Ngadiaga (Keur Mbir) - Beureup Sow 10km » :</t>
    </r>
    <r>
      <rPr>
        <sz val="8"/>
        <color theme="1"/>
        <rFont val="Arial Narrow"/>
        <family val="2"/>
      </rPr>
      <t xml:space="preserve"> Avancement des travaux : 79%).</t>
    </r>
  </si>
  <si>
    <r>
      <rPr>
        <b/>
        <sz val="8"/>
        <color rgb="FF0070C0"/>
        <rFont val="Arial Narrow"/>
        <family val="2"/>
      </rPr>
      <t xml:space="preserve">4.  Piste: Ngadiaga (Keur Mbir) 10km :(Av des travaux: 89 %)        </t>
    </r>
    <r>
      <rPr>
        <sz val="8"/>
        <color theme="1"/>
        <rFont val="Arial Narrow"/>
        <family val="2"/>
      </rPr>
      <t xml:space="preserve">                                                                                         
  *Approvisionnement couche de roulement réalisé à 100%</t>
    </r>
  </si>
  <si>
    <r>
      <t xml:space="preserve">Piste « Ndande - Kab Gaye 12,5 km » : avancement des travaux de 92% </t>
    </r>
    <r>
      <rPr>
        <sz val="8"/>
        <color theme="1"/>
        <rFont val="Arial Narrow"/>
        <family val="2"/>
      </rPr>
      <t xml:space="preserve"> </t>
    </r>
  </si>
  <si>
    <r>
      <rPr>
        <b/>
        <sz val="8"/>
        <color rgb="FFFF0000"/>
        <rFont val="Arial Narrow"/>
        <family val="2"/>
      </rPr>
      <t xml:space="preserve">Avancement global : 42 %   </t>
    </r>
    <r>
      <rPr>
        <sz val="8"/>
        <color theme="1"/>
        <rFont val="Arial Narrow"/>
        <family val="2"/>
      </rPr>
      <t xml:space="preserve">                                                                                    
  SOCETRA:
</t>
    </r>
    <r>
      <rPr>
        <b/>
        <sz val="8"/>
        <color rgb="FF0070C0"/>
        <rFont val="Arial Narrow"/>
        <family val="2"/>
      </rPr>
      <t xml:space="preserve"> 1. Piste Ndande  12,4 km (Av des travaux: 94%)  </t>
    </r>
    <r>
      <rPr>
        <sz val="8"/>
        <color theme="1"/>
        <rFont val="Arial Narrow"/>
        <family val="2"/>
      </rPr>
      <t xml:space="preserve">                                                                                                                                                                                                                                                    
 - Livraison et la pose de pavés  : 170 m2 sur 682 m2 , soit 25% d'exécution ;
 - Finition couche de roulement: 100 % .  
 - Perrés maçonnés: en cours d'exécution
Travaux restants :
 - Reprofilage de la couche de roulement sur 3 km pour corriger la tole ondulée.                                                                                                                                                                                                                                                
 - Fourniture et pose des panneaux de signalisation
</t>
    </r>
    <r>
      <rPr>
        <b/>
        <sz val="8"/>
        <color rgb="FF0070C0"/>
        <rFont val="Arial Narrow"/>
        <family val="2"/>
      </rPr>
      <t>2. Piste " Kel Gueye: 2 km " : (Av des travaux: 5%)</t>
    </r>
    <r>
      <rPr>
        <sz val="8"/>
        <color theme="1"/>
        <rFont val="Arial Narrow"/>
        <family val="2"/>
      </rPr>
      <t xml:space="preserve">
- Appros couche de roulement: en cours ( Appros : 200ml)
 Sous traitant: Thiaytou
</t>
    </r>
    <r>
      <rPr>
        <b/>
        <sz val="8"/>
        <color rgb="FF0070C0"/>
        <rFont val="Arial Narrow"/>
        <family val="2"/>
      </rPr>
      <t>3. Piste : Dépal Mbaye 6,5 km (Av des travaux: 90%)</t>
    </r>
    <r>
      <rPr>
        <sz val="8"/>
        <color theme="1"/>
        <rFont val="Arial Narrow"/>
        <family val="2"/>
      </rPr>
      <t xml:space="preserve">
- Finition Couche de roulement : 100%
Travaux restant:
- OH dalot à réaliser au PK0+150
- Fourniture et pose des panneaux de signalisation.
</t>
    </r>
    <r>
      <rPr>
        <b/>
        <sz val="8"/>
        <color rgb="FF0070C0"/>
        <rFont val="Arial Narrow"/>
        <family val="2"/>
      </rPr>
      <t>4.Travaux additionnels "Piste : Nayobé  (6,1 km) ": (Av des travaux: 10%)</t>
    </r>
    <r>
      <rPr>
        <sz val="8"/>
        <color theme="1"/>
        <rFont val="Arial Narrow"/>
        <family val="2"/>
      </rPr>
      <t xml:space="preserve"> 
 - Nettoyage réalisé à 100%
 - Terrassement : 15%
 -  Appros couche de roulement : sur 900 ml soit 15%
</t>
    </r>
    <r>
      <rPr>
        <b/>
        <sz val="8"/>
        <color rgb="FF0070C0"/>
        <rFont val="Arial Narrow"/>
        <family val="2"/>
      </rPr>
      <t>5.  Pour la Piste " Doundodji - Gouye Diéry: 14 km: (Av des travaux: 5%)</t>
    </r>
    <r>
      <rPr>
        <sz val="8"/>
        <color theme="1"/>
        <rFont val="Arial Narrow"/>
        <family val="2"/>
      </rPr>
      <t xml:space="preserve">
 - Nettoyage réalisé à 100%</t>
    </r>
  </si>
  <si>
    <r>
      <t>Piste « Pété Ouarack- Dépal Mbaye 6,5 km » avancement des travaux de 90%. L’a</t>
    </r>
    <r>
      <rPr>
        <sz val="8"/>
        <color theme="1"/>
        <rFont val="Arial Narrow"/>
        <family val="2"/>
      </rPr>
      <t xml:space="preserve">pprovisionnement et traitement Couche de roulement est réalisé 100%. Les ouvrages hydrauliques sont en cours de réalisation. </t>
    </r>
  </si>
  <si>
    <r>
      <rPr>
        <b/>
        <sz val="8"/>
        <color rgb="FFFF0000"/>
        <rFont val="Arial Narrow"/>
        <family val="2"/>
      </rPr>
      <t>Avancement global : 25,16 %</t>
    </r>
    <r>
      <rPr>
        <sz val="8"/>
        <color theme="1"/>
        <rFont val="Arial Narrow"/>
        <family val="2"/>
      </rPr>
      <t xml:space="preserve">
Piste : Guinguineo - Ngoloum- Gavane Djida: 28,824 km
- Nettoyage : 100%
- Terrassement sur 9,3 km : 32% 
- Appros couche de roulement : 8,3 km, soit 28,7% NB: 
 </t>
    </r>
    <r>
      <rPr>
        <sz val="8"/>
        <color rgb="FFFF0000"/>
        <rFont val="Arial Narrow"/>
        <family val="2"/>
      </rPr>
      <t>NB: Fin délai contractuel : le 15 Décembre  2022. 
Arrêt des activités du chantier suite au courrier de notification de la procédure de résiliation du contrat.</t>
    </r>
  </si>
  <si>
    <r>
      <t>Piste « Darou Mousty - Chicory: 3,140 km » : c</t>
    </r>
    <r>
      <rPr>
        <sz val="8"/>
        <color theme="1"/>
        <rFont val="Arial Narrow"/>
        <family val="2"/>
      </rPr>
      <t>ouche de roulement approvisionnée à 100%</t>
    </r>
  </si>
  <si>
    <r>
      <t>Les études sont déjà réalisés pour la p</t>
    </r>
    <r>
      <rPr>
        <b/>
        <sz val="8"/>
        <color theme="1"/>
        <rFont val="Arial Narrow"/>
        <family val="2"/>
      </rPr>
      <t>rise en charge de la requête spéciale : « Bretelle Sagatta - Touba Cadior: 0,6 Km,+</t>
    </r>
    <r>
      <rPr>
        <sz val="8"/>
        <color theme="1"/>
        <rFont val="Arial Narrow"/>
        <family val="2"/>
      </rPr>
      <t xml:space="preserve"> </t>
    </r>
    <r>
      <rPr>
        <b/>
        <sz val="8"/>
        <color theme="1"/>
        <rFont val="Arial Narrow"/>
        <family val="2"/>
      </rPr>
      <t>bretelle vers Mbodjène: 1,615 Km »</t>
    </r>
    <r>
      <rPr>
        <sz val="8"/>
        <color theme="1"/>
        <rFont val="Arial Narrow"/>
        <family val="2"/>
      </rPr>
      <t xml:space="preserve"> .  </t>
    </r>
  </si>
  <si>
    <r>
      <rPr>
        <b/>
        <sz val="8"/>
        <color rgb="FFFF0000"/>
        <rFont val="Arial Narrow"/>
        <family val="2"/>
      </rPr>
      <t>Avancement global: 80 %</t>
    </r>
    <r>
      <rPr>
        <sz val="8"/>
        <color theme="1"/>
        <rFont val="Arial Narrow"/>
        <family val="2"/>
      </rPr>
      <t xml:space="preserve">
</t>
    </r>
    <r>
      <rPr>
        <b/>
        <sz val="8"/>
        <color rgb="FF0070C0"/>
        <rFont val="Arial Narrow"/>
        <family val="2"/>
      </rPr>
      <t>1. Pour la Piste: " Mbacké cadior - Sagatta  et bretelle vers Thiourang" 20,592 km:  (Avancement global: 96%).</t>
    </r>
    <r>
      <rPr>
        <sz val="8"/>
        <color theme="1"/>
        <rFont val="Arial Narrow"/>
        <family val="2"/>
      </rPr>
      <t xml:space="preserve">
 - Finition couche de roulement: 19,2 km déjà traités soit 93%.(il reste les traversées de Mbacké cadior et Sagatta prévues pour latérite ciment).
 - OH: Construction de cinq (05) dalots réalisés à 100%.
 - Pavés et bordures: 625 ml exécutés; il reste la bretelle d'accès et le parking extérieur.
</t>
    </r>
    <r>
      <rPr>
        <b/>
        <sz val="8"/>
        <color rgb="FF0070C0"/>
        <rFont val="Arial Narrow"/>
        <family val="2"/>
      </rPr>
      <t>2. Piste " Darou Mousty - Chicory: 3,140 km": (Avancement global: 83%)</t>
    </r>
    <r>
      <rPr>
        <sz val="8"/>
        <color theme="1"/>
        <rFont val="Arial Narrow"/>
        <family val="2"/>
      </rPr>
      <t xml:space="preserve">
-  Finition couche de roulement: 100%
-  OH:  (02) deux radiers réalisés à 100% et un (01) dalot en cours, soit 66%.
</t>
    </r>
    <r>
      <rPr>
        <b/>
        <sz val="8"/>
        <color rgb="FF0070C0"/>
        <rFont val="Arial Narrow"/>
        <family val="2"/>
      </rPr>
      <t>3. Piste "Nguiguiss Bamba" : 2,750 km (Av travaux: 70%)</t>
    </r>
    <r>
      <rPr>
        <sz val="8"/>
        <color theme="1"/>
        <rFont val="Arial Narrow"/>
        <family val="2"/>
      </rPr>
      <t xml:space="preserve">
-  Appros couche de roulement: 100%
-  Finition couche de roulement: 0%
-  Fourniture et pose de pavés: 0% 
</t>
    </r>
    <r>
      <rPr>
        <b/>
        <sz val="8"/>
        <color rgb="FF0070C0"/>
        <rFont val="Arial Narrow"/>
        <family val="2"/>
      </rPr>
      <t>4. Travaux additionnels:</t>
    </r>
    <r>
      <rPr>
        <sz val="8"/>
        <color theme="1"/>
        <rFont val="Arial Narrow"/>
        <family val="2"/>
      </rPr>
      <t xml:space="preserve">
</t>
    </r>
    <r>
      <rPr>
        <b/>
        <sz val="8"/>
        <color rgb="FF0070C0"/>
        <rFont val="Arial Narrow"/>
        <family val="2"/>
      </rPr>
      <t>4.1 Piste "Sine Amar -Darou Diène " 2,980 Km (Av travaux: 98%)</t>
    </r>
    <r>
      <rPr>
        <sz val="8"/>
        <color theme="1"/>
        <rFont val="Arial Narrow"/>
        <family val="2"/>
      </rPr>
      <t xml:space="preserve">
- Finition couche de roulement : 98%
</t>
    </r>
    <r>
      <rPr>
        <b/>
        <sz val="8"/>
        <color rgb="FF0070C0"/>
        <rFont val="Arial Narrow"/>
        <family val="2"/>
      </rPr>
      <t>4.2 Piste Bretelle Sagatta - Touba Cadior: 0,6 Km: (Av travaux: 60%)</t>
    </r>
    <r>
      <rPr>
        <sz val="8"/>
        <color theme="1"/>
        <rFont val="Arial Narrow"/>
        <family val="2"/>
      </rPr>
      <t xml:space="preserve">
- Chaussée en pavé: 3600 m²;
- Fourniture et pose des bordures: 1200 ml.
 </t>
    </r>
    <r>
      <rPr>
        <b/>
        <sz val="8"/>
        <color rgb="FF0070C0"/>
        <rFont val="Arial Narrow"/>
        <family val="2"/>
      </rPr>
      <t>4.3 Piste Bretelle vers Mbodjène: 1,615 Km . ( les études sont déjà faites, mais les travaux ne sont pas encore déamrrés)</t>
    </r>
    <r>
      <rPr>
        <sz val="8"/>
        <color theme="1"/>
        <rFont val="Arial Narrow"/>
        <family val="2"/>
      </rPr>
      <t xml:space="preserve">
→ </t>
    </r>
    <r>
      <rPr>
        <sz val="8"/>
        <color rgb="FFFF0000"/>
        <rFont val="Arial Narrow"/>
        <family val="2"/>
      </rPr>
      <t xml:space="preserve">Ces travaux additionnels devront faire l'objet d'avenant </t>
    </r>
  </si>
  <si>
    <r>
      <t xml:space="preserve">Piste : « Mbacké cadior – Sagatta »:  19,400 km : </t>
    </r>
    <r>
      <rPr>
        <sz val="8"/>
        <color theme="1"/>
        <rFont val="Arial Narrow"/>
        <family val="2"/>
      </rPr>
      <t>Couche de roulement approvisionnée à 100% et Traitement couche de roulement en cours avec un avancement de 67%</t>
    </r>
  </si>
  <si>
    <r>
      <t>Piste « Mbacké cadior - Nguiguiss Bamba » :</t>
    </r>
    <r>
      <rPr>
        <sz val="8"/>
        <color theme="1"/>
        <rFont val="Arial Narrow"/>
        <family val="2"/>
      </rPr>
      <t xml:space="preserve">  couche de roulement approvisionnée à 100%</t>
    </r>
  </si>
  <si>
    <r>
      <t>Piste « Sine Amar -Darou Diène  2,980 Km » : c</t>
    </r>
    <r>
      <rPr>
        <sz val="8"/>
        <color theme="1"/>
        <rFont val="Arial Narrow"/>
        <family val="2"/>
      </rPr>
      <t>ouche de roulement approvisionnée : 100% et traitement couche de roulement à 98%.</t>
    </r>
  </si>
  <si>
    <r>
      <t xml:space="preserve">Piste « Passy - Thioyenne : 15,575 km ». </t>
    </r>
    <r>
      <rPr>
        <sz val="8"/>
        <color theme="1"/>
        <rFont val="Arial Narrow"/>
        <family val="2"/>
      </rPr>
      <t xml:space="preserve">Approvisionnement de la couche de roulement réalisé à 100 %. Le traitement de la couche de roulement est exécuté à 90% et la réalisation des ouvrages hydrauliques à 95%. </t>
    </r>
  </si>
  <si>
    <r>
      <rPr>
        <b/>
        <sz val="8"/>
        <color rgb="FFFF0000"/>
        <rFont val="Arial Narrow"/>
        <family val="2"/>
      </rPr>
      <t>Avancement global: 70 %</t>
    </r>
    <r>
      <rPr>
        <sz val="8"/>
        <color theme="1"/>
        <rFont val="Arial Narrow"/>
        <family val="2"/>
      </rPr>
      <t xml:space="preserve">
</t>
    </r>
    <r>
      <rPr>
        <b/>
        <sz val="8"/>
        <color rgb="FF0070C0"/>
        <rFont val="Arial Narrow"/>
        <family val="2"/>
      </rPr>
      <t>1. Piste " Passy " : 15,575 km (Av des travaux: 84 %)</t>
    </r>
    <r>
      <rPr>
        <sz val="8"/>
        <color theme="1"/>
        <rFont val="Arial Narrow"/>
        <family val="2"/>
      </rPr>
      <t xml:space="preserve">
- Finition couche de roulement : 100 %,
- Réalisation ouvrages : 100% .
</t>
    </r>
    <r>
      <rPr>
        <b/>
        <sz val="8"/>
        <color rgb="FF0070C0"/>
        <rFont val="Arial Narrow"/>
        <family val="2"/>
      </rPr>
      <t>2. Piste " Keur Saloum Diané " : 24,8 km (Av des travaux: 55 %)</t>
    </r>
    <r>
      <rPr>
        <sz val="8"/>
        <color theme="1"/>
        <rFont val="Arial Narrow"/>
        <family val="2"/>
      </rPr>
      <t xml:space="preserve">
 -Terrassement (Déblais et Remblais) : 23,8 km soit  95%;
 - Appros couche de roulement : 23,8 km soit  95 %
 - Finition couche de roulement : 15,140 km soit 61%
 - OH: 04 radiers réalisés à 100% et  06 dalots en cours.</t>
    </r>
    <r>
      <rPr>
        <sz val="8"/>
        <color rgb="FFFF0000"/>
        <rFont val="Arial Narrow"/>
        <family val="2"/>
      </rPr>
      <t xml:space="preserve">
ANO reçu de la BAD pour un délai supplémentaire de 3 mois.</t>
    </r>
  </si>
  <si>
    <r>
      <t xml:space="preserve">Piste « Keur Saloum Diané -keur Set Coumba : 24,800 km ». </t>
    </r>
    <r>
      <rPr>
        <sz val="8"/>
        <color theme="1"/>
        <rFont val="Arial Narrow"/>
        <family val="2"/>
      </rPr>
      <t>Terrassement (Déblais et Remblais) : 80%, approvisionnement couche de roulement : 75 % et traitement couche de roulement : 11%.</t>
    </r>
  </si>
  <si>
    <r>
      <t xml:space="preserve">Piste « Ngohé - Patar Sine" 11,438 Km » :  </t>
    </r>
    <r>
      <rPr>
        <sz val="8"/>
        <color theme="1"/>
        <rFont val="Arial Narrow"/>
        <family val="2"/>
      </rPr>
      <t>Nettoyage :100%</t>
    </r>
  </si>
  <si>
    <r>
      <rPr>
        <b/>
        <sz val="8"/>
        <color rgb="FFFF0000"/>
        <rFont val="Arial Narrow"/>
        <family val="2"/>
      </rPr>
      <t>Avancement global: 25 %</t>
    </r>
    <r>
      <rPr>
        <sz val="8"/>
        <color theme="1"/>
        <rFont val="Arial Narrow"/>
        <family val="2"/>
      </rPr>
      <t xml:space="preserve">
 </t>
    </r>
    <r>
      <rPr>
        <b/>
        <sz val="8"/>
        <color rgb="FF0070C0"/>
        <rFont val="Arial Narrow"/>
        <family val="2"/>
      </rPr>
      <t>1. Piste "Ngohé " 11,438 Km :(Av des travaux: 47%)</t>
    </r>
    <r>
      <rPr>
        <sz val="8"/>
        <color theme="1"/>
        <rFont val="Arial Narrow"/>
        <family val="2"/>
      </rPr>
      <t xml:space="preserve">
- Nettoyage réalisé à 100%
- Terrassement réalisé à 100 %.
- Appros couche de roulement : 8,7 km soit 76 %.
- Ouvrages hydrauliques: 03 dalots de 2x150x100 en cours d'exécution;
</t>
    </r>
    <r>
      <rPr>
        <b/>
        <sz val="8"/>
        <color rgb="FF0070C0"/>
        <rFont val="Arial Narrow"/>
        <family val="2"/>
      </rPr>
      <t>2. Piste "Lagnar": 11,863 Km : (Av des travaux: 16 %)</t>
    </r>
    <r>
      <rPr>
        <sz val="8"/>
        <color theme="1"/>
        <rFont val="Arial Narrow"/>
        <family val="2"/>
      </rPr>
      <t xml:space="preserve">
 - Nettoyage : 100%
 - Terrassement (remblais &amp; déblais): 4 km, soit 34%;
- Appros couche de roulement: 0%
</t>
    </r>
    <r>
      <rPr>
        <b/>
        <sz val="8"/>
        <color rgb="FF0070C0"/>
        <rFont val="Arial Narrow"/>
        <family val="2"/>
      </rPr>
      <t>3. RS : Piste: Bagdad – Touba: 3,1 km</t>
    </r>
    <r>
      <rPr>
        <sz val="8"/>
        <color theme="1"/>
        <rFont val="Arial Narrow"/>
        <family val="2"/>
      </rPr>
      <t xml:space="preserve">
-Nettoyage réalisé à 100%
</t>
    </r>
    <r>
      <rPr>
        <b/>
        <sz val="8"/>
        <color rgb="FF0070C0"/>
        <rFont val="Arial Narrow"/>
        <family val="2"/>
      </rPr>
      <t>4. RS : Piste:" Ngoundiane "5 km: (Av : 0%).</t>
    </r>
    <r>
      <rPr>
        <sz val="8"/>
        <color theme="1"/>
        <rFont val="Arial Narrow"/>
        <family val="2"/>
      </rPr>
      <t xml:space="preserve">
</t>
    </r>
    <r>
      <rPr>
        <sz val="8"/>
        <color rgb="FFFF0000"/>
        <rFont val="Arial Narrow"/>
        <family val="2"/>
      </rPr>
      <t>Les travaux avancent timidement.
ANO reçu de la BAD pour un délai supplémentaire de 6 mois.</t>
    </r>
  </si>
  <si>
    <r>
      <t xml:space="preserve">Piste « Lagnar - wakhal Diam 12 Km » : </t>
    </r>
    <r>
      <rPr>
        <sz val="8"/>
        <color theme="1"/>
        <rFont val="Arial Narrow"/>
        <family val="2"/>
      </rPr>
      <t>Nettoyage : 26%</t>
    </r>
  </si>
  <si>
    <r>
      <t xml:space="preserve">Non démarré pour insuffisance budgétaire </t>
    </r>
    <r>
      <rPr>
        <sz val="8"/>
        <color rgb="FF00B050"/>
        <rFont val="Arial Narrow"/>
        <family val="2"/>
      </rPr>
      <t>(éventualité de surseoir)</t>
    </r>
  </si>
  <si>
    <r>
      <rPr>
        <b/>
        <sz val="8"/>
        <color rgb="FFFF0000"/>
        <rFont val="Arial Narrow"/>
        <family val="2"/>
      </rPr>
      <t>Travaux de Génie Civil : Avancement : 78%</t>
    </r>
    <r>
      <rPr>
        <sz val="8"/>
        <color theme="1"/>
        <rFont val="Arial Narrow"/>
        <family val="2"/>
      </rPr>
      <t xml:space="preserve">
       - Appro Matériaux : 16 sites approvisionnés à 100%; 02 à 75% et 01 à 45%
       - Plateforme : 15 finalises et 04 en cours
        - Massif PV : 15 finalises et 04 en cours
       - Mur de cloture : 13 finalises et 06 en cours
</t>
    </r>
    <r>
      <rPr>
        <b/>
        <sz val="8"/>
        <color rgb="FFFF0000"/>
        <rFont val="Arial Narrow"/>
        <family val="2"/>
      </rPr>
      <t xml:space="preserve">Shelter : </t>
    </r>
    <r>
      <rPr>
        <sz val="8"/>
        <color theme="1"/>
        <rFont val="Arial Narrow"/>
        <family val="2"/>
      </rPr>
      <t xml:space="preserve">
       - Livraison : 10 non livrés et 9 livrés
         - Montage : Parmi les 8 livrés 06 sont terminés
</t>
    </r>
    <r>
      <rPr>
        <b/>
        <sz val="8"/>
        <color rgb="FFFF0000"/>
        <rFont val="Arial Narrow"/>
        <family val="2"/>
      </rPr>
      <t xml:space="preserve">Champ PV : </t>
    </r>
    <r>
      <rPr>
        <sz val="8"/>
        <color theme="1"/>
        <rFont val="Arial Narrow"/>
        <family val="2"/>
      </rPr>
      <t xml:space="preserve">
         - Livraison : 11 non livrés et 8 livrés
         - Montage : Parmi les 8 livrés 06 sont terminés et 02 en cours
</t>
    </r>
    <r>
      <rPr>
        <b/>
        <sz val="8"/>
        <color rgb="FFFF0000"/>
        <rFont val="Arial Narrow"/>
        <family val="2"/>
      </rPr>
      <t>Installation (Onduleur-Batterie-Accesoires)</t>
    </r>
    <r>
      <rPr>
        <sz val="8"/>
        <color theme="1"/>
        <rFont val="Arial Narrow"/>
        <family val="2"/>
      </rPr>
      <t xml:space="preserve">
            - Livraison : 09 non livrés et 10 livrés
            - Installation : Parmi les 10 livrés 03 sont terminés
</t>
    </r>
    <r>
      <rPr>
        <b/>
        <sz val="8"/>
        <color rgb="FFFF0000"/>
        <rFont val="Arial Narrow"/>
        <family val="2"/>
      </rPr>
      <t xml:space="preserve">Réseau BT: </t>
    </r>
    <r>
      <rPr>
        <sz val="8"/>
        <color theme="1"/>
        <rFont val="Arial Narrow"/>
        <family val="2"/>
      </rPr>
      <t xml:space="preserve">
              -Termines : 13
              - En cours : 1
              - Non démarré : 05
</t>
    </r>
    <r>
      <rPr>
        <b/>
        <sz val="8"/>
        <color rgb="FFFF0000"/>
        <rFont val="Arial Narrow"/>
        <family val="2"/>
      </rPr>
      <t>RESUME :</t>
    </r>
    <r>
      <rPr>
        <sz val="8"/>
        <color theme="1"/>
        <rFont val="Arial Narrow"/>
        <family val="2"/>
      </rPr>
      <t xml:space="preserve">
             - Centrale finalisée:1
          - Centrales en cours : 18</t>
    </r>
  </si>
  <si>
    <r>
      <t>§</t>
    </r>
    <r>
      <rPr>
        <sz val="8"/>
        <color theme="1"/>
        <rFont val="Times New Roman"/>
        <family val="1"/>
      </rPr>
      <t xml:space="preserve">  </t>
    </r>
    <r>
      <rPr>
        <sz val="8"/>
        <color theme="1"/>
        <rFont val="Arial Narrow"/>
        <family val="2"/>
      </rPr>
      <t xml:space="preserve">Ndioum-Linguère (187 km ligne HTA 148) qui polarise 49 villages ; </t>
    </r>
  </si>
  <si>
    <r>
      <t>§</t>
    </r>
    <r>
      <rPr>
        <sz val="8"/>
        <color theme="1"/>
        <rFont val="Times New Roman"/>
        <family val="1"/>
      </rPr>
      <t xml:space="preserve">  </t>
    </r>
    <r>
      <rPr>
        <sz val="8"/>
        <color theme="1"/>
        <rFont val="Arial Narrow"/>
        <family val="2"/>
      </rPr>
      <t>Simbandi Balante- Sonako (17 km) : 98% d’implantation et 98% tirage ;</t>
    </r>
  </si>
  <si>
    <r>
      <t>§</t>
    </r>
    <r>
      <rPr>
        <sz val="8"/>
        <color theme="1"/>
        <rFont val="Times New Roman"/>
        <family val="1"/>
      </rPr>
      <t xml:space="preserve">  </t>
    </r>
    <r>
      <rPr>
        <sz val="8"/>
        <color theme="1"/>
        <rFont val="Arial Narrow"/>
        <family val="2"/>
      </rPr>
      <t>Niambour - Niakhène (25 km lignes HTA 148) qui polarise 31 villages.</t>
    </r>
  </si>
  <si>
    <r>
      <t>§</t>
    </r>
    <r>
      <rPr>
        <sz val="8"/>
        <color theme="1"/>
        <rFont val="Times New Roman"/>
        <family val="1"/>
      </rPr>
      <t xml:space="preserve">  </t>
    </r>
    <r>
      <rPr>
        <sz val="8"/>
        <color theme="1"/>
        <rFont val="Arial Narrow"/>
        <family val="2"/>
      </rPr>
      <t>Fafacourou-Dabo-Coumbacara (53 km) : 100% d’implantation et 0% tirage.</t>
    </r>
  </si>
  <si>
    <r>
      <t xml:space="preserve">Non encore démarré. </t>
    </r>
    <r>
      <rPr>
        <sz val="8"/>
        <color theme="1"/>
        <rFont val="Arial Narrow"/>
        <family val="2"/>
      </rPr>
      <t>Les travaux de forages vont être repris par suite d'un faible débit constaté. Le DAO en cours d’élaboration.</t>
    </r>
  </si>
  <si>
    <r>
      <t>Les travaux se sont poursuivis au courant de la période dans les régions de Ziguinchor, Kolda et Sédhiou, les avec des taux d’avancement respectives de 15%, 55%, 72%.</t>
    </r>
    <r>
      <rPr>
        <sz val="8"/>
        <color theme="1"/>
        <rFont val="Calibri"/>
        <family val="2"/>
        <scheme val="minor"/>
      </rPr>
      <t xml:space="preserve"> </t>
    </r>
    <r>
      <rPr>
        <sz val="8"/>
        <color theme="1"/>
        <rFont val="Arial Narrow"/>
        <family val="2"/>
      </rPr>
      <t>Soit un avancement moyen estimé à 47%.</t>
    </r>
  </si>
  <si>
    <r>
      <t>Les travaux se sont poursuivis au courant de la période dans les régions de Ziguinchor, Kolda et Sédhiou, avec des taux d’avancement respectives de 15%, 45,5%, 79%.</t>
    </r>
    <r>
      <rPr>
        <sz val="8"/>
        <color theme="1"/>
        <rFont val="Calibri"/>
        <family val="2"/>
        <scheme val="minor"/>
      </rPr>
      <t xml:space="preserve"> </t>
    </r>
    <r>
      <rPr>
        <sz val="8"/>
        <color theme="1"/>
        <rFont val="Arial Narrow"/>
        <family val="2"/>
      </rPr>
      <t>Soit un avancement moyen estimé à 47% pour le génie civil</t>
    </r>
  </si>
  <si>
    <r>
      <t xml:space="preserve">Démarrage des travaux de construction de 20 postes de santé équipés </t>
    </r>
    <r>
      <rPr>
        <b/>
        <sz val="8"/>
        <rFont val="Arial Narrow"/>
        <family val="2"/>
      </rPr>
      <t>dont au moins 10 réceptionnés</t>
    </r>
  </si>
  <si>
    <r>
      <rPr>
        <strike/>
        <sz val="8"/>
        <color theme="1"/>
        <rFont val="Arial Narrow"/>
        <family val="2"/>
      </rPr>
      <t>Recrutement</t>
    </r>
    <r>
      <rPr>
        <sz val="8"/>
        <color theme="1"/>
        <rFont val="Arial Narrow"/>
        <family val="2"/>
      </rPr>
      <t xml:space="preserve"> d’un Cabinet d’Assistance technique aux opérateurs des 15 plateformes de services et démarrage de l’accompagnement</t>
    </r>
  </si>
  <si>
    <t>Objectifs PTBA Révisé 2023</t>
  </si>
  <si>
    <t>Avancement et commentaires des Gaps et des écarts</t>
  </si>
  <si>
    <t>Objectif Décaissement TRIM 3</t>
  </si>
  <si>
    <t>DECAISSEMENT REEL TRIM 3</t>
  </si>
  <si>
    <t>Décaissement CUMULE au 30/09/2023</t>
  </si>
  <si>
    <r>
      <t xml:space="preserve">Etat d'Exécution
</t>
    </r>
    <r>
      <rPr>
        <b/>
        <sz val="8"/>
        <color rgb="FFFF0000"/>
        <rFont val="Arial Narrow"/>
        <family val="2"/>
      </rPr>
      <t>(Non démarré, Faire une description précise du niveau d'exécution)</t>
    </r>
  </si>
  <si>
    <t>EXECUTION DU PPM 2023 AU TROISIEME TRIMESTRE</t>
  </si>
  <si>
    <r>
      <t xml:space="preserve">BID </t>
    </r>
    <r>
      <rPr>
        <sz val="8"/>
        <color rgb="FFFF0000"/>
        <rFont val="Arial Narrow"/>
        <family val="2"/>
      </rPr>
      <t>(42)</t>
    </r>
  </si>
  <si>
    <r>
      <t xml:space="preserve">Equipements </t>
    </r>
    <r>
      <rPr>
        <sz val="8"/>
        <color indexed="17"/>
        <rFont val="Arial Narrow"/>
        <family val="2"/>
      </rPr>
      <t>post-récolte</t>
    </r>
    <r>
      <rPr>
        <sz val="8"/>
        <color indexed="8"/>
        <rFont val="Arial Narrow"/>
        <family val="2"/>
      </rPr>
      <t xml:space="preserve"> produits et déployés</t>
    </r>
  </si>
  <si>
    <r>
      <t xml:space="preserve">Périmètres </t>
    </r>
    <r>
      <rPr>
        <sz val="8"/>
        <color indexed="17"/>
        <rFont val="Arial Narrow"/>
        <family val="2"/>
      </rPr>
      <t>horticoles</t>
    </r>
    <r>
      <rPr>
        <sz val="8"/>
        <color indexed="8"/>
        <rFont val="Arial Narrow"/>
        <family val="2"/>
      </rPr>
      <t xml:space="preserve"> aménagés </t>
    </r>
  </si>
  <si>
    <t>Avancement 
(TRIM 2/2023)</t>
  </si>
  <si>
    <t>Commentaires des gaps et des écarts et recommandations</t>
  </si>
  <si>
    <t>Objectif (Trim3)</t>
  </si>
  <si>
    <t>TRIM 3</t>
  </si>
  <si>
    <t>PUDC-Phase 2/BAD</t>
  </si>
  <si>
    <t>PUDC-Phase 2/FSD</t>
  </si>
  <si>
    <t>Avancement 
(TRIM 3/2023)</t>
  </si>
  <si>
    <t>EXECUTION AU TROISIEME TRIMESTRE 2023</t>
  </si>
  <si>
    <t>Cible Trim 3
(Cumuler RT2&amp;T3)</t>
  </si>
  <si>
    <t>Approvisionnement et Confection des agglos en cours</t>
  </si>
  <si>
    <t>Plancher bâtiment 100 %
Charpente et couverture toilette 100%
Travaux des acrotères en cours. Un avenant est en cours de péparation pour prendre en charge les travaux complémentaires proposées en accord avec les entreprises en charge de l'installation des équipements.
Concernant les équipements, les contrats sont déjà signés et enregistrés. Les entreprises ont reçu leur ordre de service pour passer les commandes de matériels et équipements.</t>
  </si>
  <si>
    <t>Attente ANO DCMP sur le rapport d'évaluation du DAO Génie Civil
Attente ANO DCMP sur le DAO Equipements. Le DAO sera soumis à la BAD, après avis de la DCMP.</t>
  </si>
  <si>
    <t xml:space="preserve">L'ANO de la BAD  a été obtenu avec des observations qui ont été intégrées et le document a été envoyé à la LBA . Le PUDC attend le retour de la BAD pour procéder à la signature du protocole avec LBA. Un manuel sur les procédures de gestion du fonds est élaboré et est en cours de validation. </t>
  </si>
  <si>
    <r>
      <rPr>
        <i/>
        <strike/>
        <sz val="9"/>
        <color rgb="FFFF0000"/>
        <rFont val="Arial Narrow"/>
        <family val="2"/>
      </rPr>
      <t>Les travaux de mise en place d’un (1) système de transfert d’eau potable à BOKILADJI ont démarrés.</t>
    </r>
    <r>
      <rPr>
        <i/>
        <sz val="9"/>
        <rFont val="Arial Narrow"/>
        <family val="2"/>
      </rPr>
      <t xml:space="preserve"> Recrutement d'un cabinet pour l'étude du transfert d'eau de BOKILADJI</t>
    </r>
  </si>
  <si>
    <t>Sur un objectif de 300 villages prévus en fin 2023, 113 sont finalisés à date: soit un taux d'avancement de 38%</t>
  </si>
  <si>
    <t>TX DEC PTBA</t>
  </si>
  <si>
    <t>TX DEC PREV</t>
  </si>
  <si>
    <t>TRIM2</t>
  </si>
  <si>
    <t>Evaluation</t>
  </si>
  <si>
    <t xml:space="preserve">Fourniture de 175 équipements de transformation post récoltes en </t>
  </si>
  <si>
    <t>Réalisation de 20 forages dans les régions du Sénégal en deux lots: lot 1: 11 forages dans les zones centre-ouest lot 2: 9 forages dans les zones Est- Nord et Sud</t>
  </si>
  <si>
    <t> Travaux de réalisation de 34 km de pistes rurales dans la commune de Syer</t>
  </si>
  <si>
    <t xml:space="preserve">DAO en cours </t>
  </si>
  <si>
    <t>lancement</t>
  </si>
  <si>
    <t>En cours d'execution</t>
  </si>
  <si>
    <t>OS de suspension 18
reprise 14/09/2023</t>
  </si>
  <si>
    <t>Evaluation soumis à la BAD</t>
  </si>
  <si>
    <t>Acquisition d'équipements pour les Postes de sante</t>
  </si>
  <si>
    <t>Enregistrement lots 1 et 2</t>
  </si>
  <si>
    <t>DAO soumis à la DCM </t>
  </si>
  <si>
    <r>
      <rPr>
        <b/>
        <sz val="8"/>
        <color theme="1"/>
        <rFont val="Arial Narrow"/>
        <family val="2"/>
      </rPr>
      <t xml:space="preserve">Avancement global :  78 % </t>
    </r>
    <r>
      <rPr>
        <sz val="8"/>
        <color theme="1"/>
        <rFont val="Arial Narrow"/>
        <family val="2"/>
      </rPr>
      <t xml:space="preserve">
* Travaux de finition couche de roulement: 37 km , soit 71%;
* Ouvrages hydraulique: 08 dalots et 03 Radiers exécutés à 100% ,et 03  dalots en cours d'exécution (OH retenu : 13 dalots et 08 Radiers)
* Remblais techniques en cours d'exécution au niveau des 08 dalots.
NB: Accélérer les travaux de construction des ouvrages hydrauliques restant (05 dalots et 05 Radiers)
NB: Avenant N°2 de délais supplémentaire jusqu'au 31 Décembre 2023 est en cours de signature.</t>
    </r>
  </si>
  <si>
    <r>
      <rPr>
        <b/>
        <sz val="8"/>
        <color theme="1"/>
        <rFont val="Arial Narrow"/>
        <family val="2"/>
      </rPr>
      <t xml:space="preserve">Avancement global : 42 %     </t>
    </r>
    <r>
      <rPr>
        <sz val="8"/>
        <color theme="1"/>
        <rFont val="Arial Narrow"/>
        <family val="2"/>
      </rPr>
      <t xml:space="preserve">                                                                                  
  ***SOCETRA:
</t>
    </r>
    <r>
      <rPr>
        <b/>
        <sz val="8"/>
        <color theme="1"/>
        <rFont val="Arial Narrow"/>
        <family val="2"/>
      </rPr>
      <t xml:space="preserve">  1. Piste Ndande  12,4 km (Av des travaux: 96%)      </t>
    </r>
    <r>
      <rPr>
        <sz val="8"/>
        <color theme="1"/>
        <rFont val="Arial Narrow"/>
        <family val="2"/>
      </rPr>
      <t xml:space="preserve">                                                                                                                                                                                                                                                
 *Livraison et la pose de pavés  : 200 m2 sur 682 m2 , soit 29% d'exécution ;
 * Finition couche de roulement et Implantation des balises sont à 100%; 
 * Perrés maçonnés: en cours d'exécution
Travaux restants :                                                                                                                                                                                                                                          
 *Fourniture et pose des panneaux de signalisation
</t>
    </r>
    <r>
      <rPr>
        <b/>
        <sz val="8"/>
        <color theme="1"/>
        <rFont val="Arial Narrow"/>
        <family val="2"/>
      </rPr>
      <t>2. Piste " Kel Gueye: 2 km " : (Av des travaux: 5%)</t>
    </r>
    <r>
      <rPr>
        <sz val="8"/>
        <color theme="1"/>
        <rFont val="Arial Narrow"/>
        <family val="2"/>
      </rPr>
      <t xml:space="preserve">
* Appros couche de roulement: en cours ( Appros : 200ml)
*** Sous traitant: Thiaytou
</t>
    </r>
    <r>
      <rPr>
        <b/>
        <sz val="8"/>
        <color theme="1"/>
        <rFont val="Arial Narrow"/>
        <family val="2"/>
      </rPr>
      <t>3. Piste : Dépal Mbaye 6,5 km (Av des travaux: 90%)</t>
    </r>
    <r>
      <rPr>
        <sz val="8"/>
        <color theme="1"/>
        <rFont val="Arial Narrow"/>
        <family val="2"/>
      </rPr>
      <t xml:space="preserve">
* Finition Couche de roulement : 100%
Travaux restant:
* OH dalot à réaliser au PK0+150
* Fourniture et pose des panneaux de signalisation.
</t>
    </r>
    <r>
      <rPr>
        <b/>
        <sz val="8"/>
        <color theme="1"/>
        <rFont val="Arial Narrow"/>
        <family val="2"/>
      </rPr>
      <t xml:space="preserve">4.Travaux additionnels "Piste : Nayobé  (6,1 km) ": (Av des travaux: 10%) </t>
    </r>
    <r>
      <rPr>
        <sz val="8"/>
        <color theme="1"/>
        <rFont val="Arial Narrow"/>
        <family val="2"/>
      </rPr>
      <t xml:space="preserve">
 * Nettoyage réalisé à 100%
 * Terrassement : 15%
 * Appros couche de roulement : sur 900 ml soit 15%
</t>
    </r>
    <r>
      <rPr>
        <b/>
        <sz val="8"/>
        <color theme="1"/>
        <rFont val="Arial Narrow"/>
        <family val="2"/>
      </rPr>
      <t>5.  Pour la Piste " Doundodji - Gouye Diéry: 14 km: (Av des travaux: 5%)</t>
    </r>
    <r>
      <rPr>
        <sz val="8"/>
        <color theme="1"/>
        <rFont val="Arial Narrow"/>
        <family val="2"/>
      </rPr>
      <t xml:space="preserve">
 *  Nettoyage réalisé à 100%
</t>
    </r>
    <r>
      <rPr>
        <b/>
        <sz val="8"/>
        <color theme="1"/>
        <rFont val="Arial Narrow"/>
        <family val="2"/>
      </rPr>
      <t>NB: Planning de fin des travaux transmis par l'entreprise et son sous-traitant Groupe Thiaytou.</t>
    </r>
  </si>
  <si>
    <r>
      <rPr>
        <b/>
        <sz val="8"/>
        <color theme="1"/>
        <rFont val="Arial Narrow"/>
        <family val="2"/>
      </rPr>
      <t xml:space="preserve">Avancement global : 89 % </t>
    </r>
    <r>
      <rPr>
        <sz val="8"/>
        <color theme="1"/>
        <rFont val="Arial Narrow"/>
        <family val="2"/>
      </rPr>
      <t xml:space="preserve">
SOCETRA:
</t>
    </r>
    <r>
      <rPr>
        <b/>
        <sz val="8"/>
        <color theme="1"/>
        <rFont val="Arial Narrow"/>
        <family val="2"/>
      </rPr>
      <t>1.  Piste: "Notto - Keur Malal: 7km ":  (Av des travaux: 92%)</t>
    </r>
    <r>
      <rPr>
        <sz val="8"/>
        <color theme="1"/>
        <rFont val="Arial Narrow"/>
        <family val="2"/>
      </rPr>
      <t xml:space="preserve">
*Couche de roulement réalisée à 100%  
 ** Travaux restant: 
*Fourniture et Pose de pavé : 630 ml sur 800 ml (appros pavés effectués sur site);
*Fourniture et pose des panneaux de signalisation;
* Perrés maçonnés : en cours
NABIL GROUPE:
</t>
    </r>
    <r>
      <rPr>
        <b/>
        <sz val="8"/>
        <color theme="1"/>
        <rFont val="Arial Narrow"/>
        <family val="2"/>
      </rPr>
      <t>2.  Piste: Mboro : 12,5 km: (Av des travaux: 90%)</t>
    </r>
    <r>
      <rPr>
        <sz val="8"/>
        <color theme="1"/>
        <rFont val="Arial Narrow"/>
        <family val="2"/>
      </rPr>
      <t xml:space="preserve">
  *Finition couche de roulement : 8,100 km soit 65%.
 2.1:  Bretelle vers Ndioufène (2 km)   (Av des travaux: 70 %).
 *Nettoyage réalisé à 100 %
 * Approvisionnement couche de roulement: 100%.
NB: il reste la construction de 03 Ouvrages (02 dalots et 01 radier de 15m) et finition couche de roulement.
</t>
    </r>
    <r>
      <rPr>
        <b/>
        <sz val="8"/>
        <color theme="1"/>
        <rFont val="Arial Narrow"/>
        <family val="2"/>
      </rPr>
      <t>3. Piste: Mérina Dakhar : 5,7 km : travaux terminés à 99%</t>
    </r>
    <r>
      <rPr>
        <sz val="8"/>
        <color theme="1"/>
        <rFont val="Arial Narrow"/>
        <family val="2"/>
      </rPr>
      <t xml:space="preserve">
 *Reste la fourniture et pose des panneaux de signalisation.
</t>
    </r>
    <r>
      <rPr>
        <b/>
        <sz val="8"/>
        <color theme="1"/>
        <rFont val="Arial Narrow"/>
        <family val="2"/>
      </rPr>
      <t xml:space="preserve"> 4.  Piste: Ngadiaga (Keur Mbir) 10km :(Av des travaux: 92 %) </t>
    </r>
    <r>
      <rPr>
        <sz val="8"/>
        <color theme="1"/>
        <rFont val="Arial Narrow"/>
        <family val="2"/>
      </rPr>
      <t xml:space="preserve">                                                                                                
  *Approvisionnement couche de roulement réalisé à 100%, 
 *il reste les remblais techniques sur 02 dalots et les perrés et la signalisation .
</t>
    </r>
    <r>
      <rPr>
        <b/>
        <sz val="8"/>
        <color theme="1"/>
        <rFont val="Arial Narrow"/>
        <family val="2"/>
      </rPr>
      <t>**Pour les travaux additionnels à Mérina Dakhar: les études sont effectuées par Nabil Groupe sur 3,5km.
NB: Planning de fin des travaux transmis par l'entreprise et son sous-traitant Nabil groupe.</t>
    </r>
  </si>
  <si>
    <r>
      <rPr>
        <b/>
        <sz val="8"/>
        <rFont val="Times New Roman"/>
        <family val="1"/>
      </rPr>
      <t>Avancement global : 27,3 %</t>
    </r>
    <r>
      <rPr>
        <b/>
        <sz val="8"/>
        <color rgb="FF0070C0"/>
        <rFont val="Times New Roman"/>
        <family val="1"/>
      </rPr>
      <t xml:space="preserve">
Piste : Guinguineo - Ngoloum- Gavane Djida: 28,824 km
* Nettoyage : 100% ; Abattages d'arbres: 100%
* Terrassement (Déblais et remblais) sur 10 km : 35% 
* Appros couche de roulement : 8,625 km, soit 30% 
NB: 
</t>
    </r>
    <r>
      <rPr>
        <b/>
        <sz val="8"/>
        <color rgb="FFFF0000"/>
        <rFont val="Times New Roman"/>
        <family val="1"/>
      </rPr>
      <t xml:space="preserve"> Fin délai contractuel : le 15 Décembre  2022. 
*Arrêt des activités du chantier suite au courrier de notification de la procédure de résiliation du contrat.
*Situation contradictoire des travaux exécutés par l'entreprise, effectuée depuis le 08 Aout 2023.</t>
    </r>
  </si>
  <si>
    <t xml:space="preserve">Avancement global: 90 %
1. Pour la Piste: " Mbacké cadior - Sagatta  et bretelle vers Thiourang" 20,592 km:  (Avancement global: 86%).
  * Finition couche de roulement  et  latérite ciment: 100%.
    * OH: Construction de cinq (05) dalots réalisés à 100%.
 2. Piste " Darou Mousty - Chicory: 3,140 km": (Avancement global: 87%)
  * Finition couche de roulement: 100%
 * Ouvrages hydrauliques :   réalisés à 100% (01 dalots et 02 radiers) .
3. Piste "Nguiguiss Bamba" : 2,750 km (Av travaux: 93%)
 * Finition couche de roulement: 100%
* Fourniture et pose de pavés: 1205 m2, soit 100%
*Bordure: 398 ml, soit 100%
4. Travaux additionnels:
4.1 Piste "Sine Amar -Darou Diène " 2,980 Km (Av travaux: 91%)
* Finition couche de roulement : 91%
4.2 Piste Bretelle Sagatta - Touba Cadior: 0,625 Km: (Av travaux: 83%)
*Chaussée en pavés 3930 m2 et bordures : 655 mlx2, et  parking extérieur 15x7m: 100%
*Fourniture et pose des bordures: 1200 ml.
* trotoirs en cours (reste 50ml environ).
 4.3 Piste Bretelle vers Mbodjène: 1,615 Km . (Av travaux: 98%)
NB: Ces travaux additionnels ont fait l'objet d'avenant 
 ***  Fin délai contractuel : le 16 Aout  2023. </t>
  </si>
  <si>
    <t>Avancement global: 75 %
1. Piste " Passy " : 15,575 km (Av des travaux: 90 %)
* Finition couche de roulement : 100 %,
* Réalisation ouvrages : 100% .
* Perrès en cours
2. Piste " Keur Saloum Diané " : 24,8 km (Av des travaux: 59 %)
 * Terrassement (Déblais et Remblais) : 23,8 km soit  95%;
 * Appros couche de roulement : 23,8 km soit  95 %
 * Finition couche de roulement : 20,4 km soit 82%
 * OH: 04 radiers réalisés à 100% et  11 dalots en cours (dont les radiers  et  08 OH dont les voiles sont exécutés à 100%).
* Remblais techniques: 05 OH sont en cours d'exécution.
** Pas d'avancement important durant ce mois (problème d'accès des carrières).
NB:  Fin délai contractuel : le 15 Juin  2023. 
ANO reçu de la BAD pour un délai supplémentaire de 3 mois.</t>
  </si>
  <si>
    <t>Avancement global: 26 %
 1. Piste "Ngohé " 11,438 Km :(Av des travaux: 57%)
* Terrassement réalisé à 100 %.
* Appros couche de roulement :  80 %.
* Ouvrages hydrauliques: 03 dalots de 2x150x100 en cours d'exécution ( dont 01 les voiles sont coulées);
 NB: Seul la construction des ouvrages est en cours.
2. Piste "Lagnar": 11,863 Km : (Av des travaux: 20 %)
 * Terrassement (remblais &amp; déblais): 8 km, soit 67%;
 * Appros couche de roulement: sur 250 ml
NB: Pas d'avancement durant ce mois (Zone impraticable pendant l'hivernage)
3. RS : Piste: Bagdad – Touba: 3,9 km (Av : 4%)
* Nettoyage réalisé à 100%
* Terrassement (remblais &amp; déblais): 0,8 km, soit 20%;
* Appros couche de roulement: sur 200 ml
4. RS : Piste:" Ngoundiane "5 km: (Av : 0%).
NB:  Fin délai contractuel : le 15 Juin  2023. 
Les travaux avancent timidement.
ANO reçu de la BAD pour un délai supplémentaire de 6 mois.</t>
  </si>
  <si>
    <t xml:space="preserve">Lot 2 : 
* implantation des tracés et sensibilisation des populations impactées par le projet de 118,3  km /Lot 2, dans les régions de Thiès, Louga, St Louis , Diourbel, Fatick. 
Lot 1: Avance de démarrage recu , Programmer une mission d'implantation et de sensibilisation des populations impactées par le tracé des pistes.(période du 14 au 24 /09/2023) </t>
  </si>
  <si>
    <r>
      <rPr>
        <b/>
        <sz val="11"/>
        <color theme="1"/>
        <rFont val="Arial Narrow"/>
        <family val="2"/>
      </rPr>
      <t xml:space="preserve"> Avancement global des travaux : 60%</t>
    </r>
    <r>
      <rPr>
        <sz val="11"/>
        <color theme="1"/>
        <rFont val="Arial Narrow"/>
        <family val="2"/>
      </rPr>
      <t xml:space="preserve">
-6 centrales pour 8 villages mis en service (Hamdallaye Samba Mbaye,DIAKHALI,DAROU NAHIM, SARE YORO BOUYA,LEBA DAOUR, LEBA NIASSENE
-7 centrales finalisées en attente de mis en service ( Hilol,Kouba,Saloulou,Youtu , Djassina,Saré Seydi SALL et Saré Pathé DIAO)
- 6 centrales en cours de montage de la partie électrique</t>
    </r>
  </si>
  <si>
    <t>La procédure de passation de marché est en cours de reprise pour l’électrification
de 26 villages par centrale solaire car la première édition était infructueuse.</t>
  </si>
  <si>
    <t>*Simbandi balante – Sonako ( implantation 100% et tirage 100% ).
*Fafacourou- Dabo – Cambacara (100% d’implantation et 60% tirage).
* Ndiambour-Niakhène : Mis en service(25 km ligne HTA 148)
*Ndioum – Linguère : Mis en service  (187 km ligne HTA 148)
*Bandafassi- Salamata-(En cours d'implantation (68 km de ligne HTA 148) )</t>
  </si>
  <si>
    <t xml:space="preserve">15 Forages sont réceptionnés.Concernant les 12 châteaux d’eau, la réunion de démarrage et les
implantations sont déjà fait et les études d'exécution en cours.
</t>
  </si>
  <si>
    <t>Les travaux de châteaux d'eau sont déjà finalisés. Les travaux de forages vont être repris par suite d'un faible débit constaté. DAO en cours d’élaboration pour la reprise. (Pour leTRIM4)</t>
  </si>
  <si>
    <t xml:space="preserve">18 ont été finalisés et mis en service </t>
  </si>
  <si>
    <t>Pour ce qui est de la réalisation des 06 SAEMV, les contrats sont signés et enregistrés. L’implantation de 04 ouvrages est déjà faite</t>
  </si>
  <si>
    <t>Concernant les 10 forages MFT du projet, le projet de contrat est en cours de signature</t>
  </si>
  <si>
    <r>
      <rPr>
        <b/>
        <sz val="10"/>
        <rFont val="Arial Narrow"/>
        <family val="2"/>
      </rPr>
      <t>(++) Avancement global (en %):</t>
    </r>
    <r>
      <rPr>
        <sz val="10"/>
        <rFont val="Arial Narrow"/>
        <family val="2"/>
      </rPr>
      <t xml:space="preserve">
L'étude en cours de réalisation par le Cabinet SEMIS,
ROM envoyé au PUDC et validé
</t>
    </r>
    <r>
      <rPr>
        <b/>
        <sz val="10"/>
        <color rgb="FF00B050"/>
        <rFont val="Arial Narrow"/>
        <family val="2"/>
      </rPr>
      <t>Rapport Provisoire reçu et remarques faites, en attente du rapport définitif</t>
    </r>
  </si>
  <si>
    <t>Les contrats sont en cours de signature pour la construction de 20 postes de santé
et le marché pour leur équipement est lancé.</t>
  </si>
  <si>
    <t>Les travaux pour la construction des 20 postes de santé sont en cours. Pour
l’équipement des postes, les propositions d’attribution des marchés sont en attente d’ANO du FSD.</t>
  </si>
  <si>
    <t>Sur les 21 infrastructures scolaires prévues, les travaux sont en cours sur 14 sites avec un avancement moyen de 65% ; les 07 autres sont en cours de travaux.</t>
  </si>
  <si>
    <t>Les poses de clôture sont terminées sur 32 périmètres agricoles.</t>
  </si>
  <si>
    <t>Nombre de forages 23 forages dont : 
-01 forage terminé (Dar Salam Fodé)
-les 22 autres font l'objet d'un nouveau DAO suite à la résiliation du contrat de NAMAN</t>
  </si>
  <si>
    <r>
      <t>Les travaux ont démarré sur 09 sites. Le contrat pour la construction des 22 autres
magasins de stockage sont signés et les travaux sont en attente de démarrage</t>
    </r>
    <r>
      <rPr>
        <b/>
        <sz val="11"/>
        <color rgb="FF000000"/>
        <rFont val="ArialNarrow-Bold"/>
      </rPr>
      <t>.</t>
    </r>
  </si>
  <si>
    <t>Les travaux de construction de 02 magasins de stockage sont en cours.</t>
  </si>
  <si>
    <r>
      <t xml:space="preserve">Les travaux de construction de 04 PTA ont démarré. Les contrats pour la fourniture d’équipements de ces PTA sont signés.
</t>
    </r>
    <r>
      <rPr>
        <b/>
        <sz val="9"/>
        <color theme="1"/>
        <rFont val="Arial Narrow"/>
        <family val="2"/>
      </rPr>
      <t xml:space="preserve">SOKONE: 
</t>
    </r>
    <r>
      <rPr>
        <b/>
        <sz val="8"/>
        <color rgb="FF00B050"/>
        <rFont val="Arial Narrow"/>
        <family val="2"/>
      </rPr>
      <t>La délibération a été remise au PUDC et les travaux ont démarré.
Terrassement et désherbage en cours
Amenée des matériels sur site</t>
    </r>
    <r>
      <rPr>
        <sz val="8"/>
        <color theme="1"/>
        <rFont val="Arial Narrow"/>
        <family val="2"/>
      </rPr>
      <t xml:space="preserve">
</t>
    </r>
    <r>
      <rPr>
        <b/>
        <sz val="9"/>
        <color theme="1"/>
        <rFont val="Arial Narrow"/>
        <family val="2"/>
      </rPr>
      <t>DIOFFIOR :</t>
    </r>
    <r>
      <rPr>
        <sz val="9"/>
        <color theme="1"/>
        <rFont val="Arial Narrow"/>
        <family val="2"/>
      </rPr>
      <t xml:space="preserve"> 
</t>
    </r>
    <r>
      <rPr>
        <sz val="8"/>
        <color rgb="FF00B050"/>
        <rFont val="Arial Narrow"/>
        <family val="2"/>
      </rPr>
      <t>Travaux d’élévation 95%
Enduit intérieur des bâti-ments 95 %
Couche d’accrochage en-duit tyrolien 95%</t>
    </r>
    <r>
      <rPr>
        <sz val="9"/>
        <color theme="1"/>
        <rFont val="Arial Narrow"/>
        <family val="2"/>
      </rPr>
      <t xml:space="preserve">
SEWEKHAYE:
</t>
    </r>
    <r>
      <rPr>
        <sz val="8"/>
        <color rgb="FF00B050"/>
        <rFont val="Arial Narrow"/>
        <family val="2"/>
      </rPr>
      <t>• Élévation bâtiment et bloc d’hygiène 100%
• Charpente et couverture des bâtiments et magasin de stockage en cours
• Menuiserie métallique fournies sur site en cours de montage</t>
    </r>
    <r>
      <rPr>
        <sz val="9"/>
        <color theme="1"/>
        <rFont val="Arial Narrow"/>
        <family val="2"/>
      </rPr>
      <t xml:space="preserve">
</t>
    </r>
  </si>
  <si>
    <r>
      <rPr>
        <b/>
        <sz val="8"/>
        <color rgb="FFFF0000"/>
        <rFont val="Arial Narrow"/>
        <family val="2"/>
      </rPr>
      <t xml:space="preserve">Avancement global :  78 % </t>
    </r>
    <r>
      <rPr>
        <sz val="8"/>
        <color theme="1"/>
        <rFont val="Arial Narrow"/>
        <family val="2"/>
      </rPr>
      <t xml:space="preserve">
- Travaux de finition couche de roulement: 37 km , soit 71%;
- Travaux de construction d'ouvrages hydraulique: 02 dalots exécutés à 100% et 03 en cours d'exécution (OH retenu : 13 dalots et 08 Radiers)
</t>
    </r>
    <r>
      <rPr>
        <b/>
        <sz val="8"/>
        <color theme="1"/>
        <rFont val="Arial Narrow"/>
        <family val="2"/>
      </rPr>
      <t>NB</t>
    </r>
    <r>
      <rPr>
        <sz val="8"/>
        <color theme="1"/>
        <rFont val="Arial Narrow"/>
        <family val="2"/>
      </rPr>
      <t>: Avenant N°2 de délais supplémentaire jusqu'au 31 Décembre 2023 est en cours de signature.</t>
    </r>
  </si>
  <si>
    <t>La procédure de passation de marché pour l’électrification de 24 villages par voie
solaire est finalisée. Le contrat est signé et enregistré. Une réunion de démarrage est prévue au courant du mois d’octobre</t>
  </si>
  <si>
    <t>RESUME</t>
  </si>
  <si>
    <r>
      <t>Les travaux se sont poursuivis au courant de la période dans les régions de Ziguinchor, Kolda et Sédhiou, avec des taux d’avancement respectives de 15%, 46%, 85%.</t>
    </r>
    <r>
      <rPr>
        <strike/>
        <sz val="8"/>
        <color rgb="FFFF0000"/>
        <rFont val="Calibri"/>
        <family val="2"/>
        <scheme val="minor"/>
      </rPr>
      <t xml:space="preserve"> </t>
    </r>
    <r>
      <rPr>
        <strike/>
        <sz val="8"/>
        <color rgb="FFFF0000"/>
        <rFont val="Arial Narrow"/>
        <family val="2"/>
      </rPr>
      <t>Soit un avancement moyen estimé à 47% pour le génie civil</t>
    </r>
  </si>
  <si>
    <t>Gestion &amp; Coordination du projet E. 2000 villages</t>
  </si>
  <si>
    <t>Gestion et Coordination du Projet FSD</t>
  </si>
  <si>
    <t>Gestion et Coordination  du Projet BAD</t>
  </si>
  <si>
    <t>Gestion et Coordination  du PUDC</t>
  </si>
  <si>
    <t>Gestion et Coordination du Projet BID</t>
  </si>
  <si>
    <t>Gestion et Coordination  du PA-BID</t>
  </si>
  <si>
    <t>19 villages électrifiés par raccordement au réseau MT/BT</t>
  </si>
  <si>
    <t>2 systèmes AEMV resatnts sont finalisés et réceptionnés</t>
  </si>
  <si>
    <t>Coef</t>
  </si>
  <si>
    <t>SAEMV</t>
  </si>
  <si>
    <t>MFT</t>
  </si>
  <si>
    <t>Forage</t>
  </si>
  <si>
    <t>Château d'eau</t>
  </si>
  <si>
    <t>SOLAIRE</t>
  </si>
  <si>
    <t>GC</t>
  </si>
  <si>
    <t>BT</t>
  </si>
  <si>
    <t>Centrale</t>
  </si>
  <si>
    <t>Ingénierie sociale</t>
  </si>
  <si>
    <t>Genre et inclusion sociale</t>
  </si>
  <si>
    <t>Gestion et coordination PA-BAD</t>
  </si>
  <si>
    <t>Gestion et Coordination PA-FSD</t>
  </si>
  <si>
    <t>Mise en œuvre du PCGES</t>
  </si>
  <si>
    <t>Gestion et Coordination P 2000 Villages</t>
  </si>
  <si>
    <t>Dorsales</t>
  </si>
  <si>
    <t>Global</t>
  </si>
  <si>
    <t>Travaux</t>
  </si>
  <si>
    <t>IS</t>
  </si>
  <si>
    <t>Evironnement</t>
  </si>
  <si>
    <t>Gestion et coordination</t>
  </si>
  <si>
    <t xml:space="preserve">Pistes rurales </t>
  </si>
  <si>
    <t>Entreprenariat (5%)</t>
  </si>
  <si>
    <t>Chaîne de valeur laitière (5%)</t>
  </si>
  <si>
    <t>Chaîne de valeur agricole (5%)</t>
  </si>
  <si>
    <t>Equipement post-récolte (15%)</t>
  </si>
  <si>
    <t>Education (10%)</t>
  </si>
  <si>
    <t>Santé (15%)</t>
  </si>
  <si>
    <t>Gestion et Coordination  du PA-BID (1%)</t>
  </si>
  <si>
    <t>Pondération</t>
  </si>
  <si>
    <t>Total Pondération</t>
  </si>
  <si>
    <t>Moyenne d'exécution pondérée</t>
  </si>
  <si>
    <t>Projets  (T3)</t>
  </si>
  <si>
    <t>EXECUTION AU QUATRIEME TRIMESTRE 2023</t>
  </si>
  <si>
    <t>Objectif (Trim4)</t>
  </si>
  <si>
    <t>Réalisation (Trim4)</t>
  </si>
  <si>
    <t>ANO FSD reçu sur la convention avec le PNB
Mission conjointe de visite des réalisations de PNB. Le PNB a effectué une mission diagnostic au niveau des SAR. Le Rapport a été partagé avec le PUDC. Il sera suivi d'un intervention avec l'installation des biodigesteurs dans les sites retenus.</t>
  </si>
  <si>
    <t>AU 31/12/2023</t>
  </si>
  <si>
    <t>BUDGET GLOBAL (FCFA)</t>
  </si>
  <si>
    <t>PREVISION DE DECAISSEMENT TRIM 3</t>
  </si>
  <si>
    <t>DECAISSEMENT REEL AU TRIM 3</t>
  </si>
  <si>
    <t>DECAISSEMENT CUMULE AU 30/09/2023</t>
  </si>
  <si>
    <t>9 006 019 500</t>
  </si>
  <si>
    <t>CHAINE DE VALEUR AGRICOLE</t>
  </si>
  <si>
    <t>CHAINE DE VALEUR LAIT</t>
  </si>
  <si>
    <t>PLATEFORMES DE TRANSFORMATION AGROALIMENTAIRE</t>
  </si>
  <si>
    <t>MISE EN ŒUVRE DU PCGES</t>
  </si>
  <si>
    <t>INGENIERIE SOCIALE ET GESTION DES CONNAISSANCES</t>
  </si>
  <si>
    <t>GENRE ET INCLUSION SOCIALE</t>
  </si>
  <si>
    <t>COMMUNICATION</t>
  </si>
  <si>
    <t>RENFORCEMENT DE CAPACITES DES ACTEURS</t>
  </si>
  <si>
    <t>ACQUISITION DE VEHICULES</t>
  </si>
  <si>
    <t>ACQUISITION MATERIEL INFORMATIQUE ET BUREAUTIQUE</t>
  </si>
  <si>
    <t>LOYERS ET GARDIENNAGE</t>
  </si>
  <si>
    <t>CONSOMMABLES INFORMATIQUES ET BUREAUTIQUE</t>
  </si>
  <si>
    <t>REPARATIONS, ENTRETIEN VEHICULES, CARBURANT</t>
  </si>
  <si>
    <t>APPUI AUX SERVICES DECONCENTRES POUR LE SUIVI ET LA SUPERVISION DU PROJET</t>
  </si>
  <si>
    <t>SUIVI-EVALUATION</t>
  </si>
  <si>
    <t>FRAIS DE MISSION /HOTEL &amp; FRAIS DE RESTAURATION ET DIVERS</t>
  </si>
  <si>
    <t>ASSISTANCE TECHNIQUE DU PNUD</t>
  </si>
  <si>
    <t>FONCTIONNEMENT &amp; OPERATIONS</t>
  </si>
  <si>
    <t>LANCEMENT DU PROJET, COMMUNICATION, PUBLICITE, ENQUETE</t>
  </si>
  <si>
    <t>FONCTIONNEMENT DES UNITES HORS SIEGE (CRD, POINTS FOCAUX REGIONAUX)</t>
  </si>
  <si>
    <t>CONCEPTION ET SUPERVISION</t>
  </si>
  <si>
    <t>GESTION DU FSD</t>
  </si>
  <si>
    <t>SIG</t>
  </si>
  <si>
    <t>FONCTIONNEMENT DU PROJET BAD</t>
  </si>
  <si>
    <t>SUPERVISION DES TRAVAUX DU PROJET FSD</t>
  </si>
  <si>
    <t>AUDIT COMPTABLE</t>
  </si>
  <si>
    <t>1 054 299 213</t>
  </si>
  <si>
    <t>DEC REEL</t>
  </si>
  <si>
    <t>PREVISION DE DECAISSEMENT AU T4</t>
  </si>
  <si>
    <t>Extrants annuels du PTBA 2024</t>
  </si>
  <si>
    <t>PUDC-BCI 2024</t>
  </si>
  <si>
    <t>34 km de pistes rurales sont réceptionnés</t>
  </si>
  <si>
    <t>Mballing:
Fondation:100% 
Elevation RDC: 80%
Fandenne :
Fondation: 100%
Elevation RDC: 80%</t>
  </si>
  <si>
    <t xml:space="preserve"> Les contrats sont en cours de signature</t>
  </si>
  <si>
    <t xml:space="preserve"> 02 postes de santé mis en service</t>
  </si>
  <si>
    <t xml:space="preserve">175  équipements sont produit en usine </t>
  </si>
  <si>
    <t xml:space="preserve">5 ateliers de validation et de partage des outils environnementaux sont organisés 
</t>
  </si>
  <si>
    <t xml:space="preserve">Démarrage prévu au 2éme Trim avec 3 ateliers
</t>
  </si>
  <si>
    <t xml:space="preserve">215 personnes sont formées sur la gestion des risques, HSE, sécurité routière et gestes de premiers secours
</t>
  </si>
  <si>
    <t xml:space="preserve">5 groupements champions en reboisement sont  primés
</t>
  </si>
  <si>
    <t>04 rapport de suivi-environnemental et social sont produits</t>
  </si>
  <si>
    <t>06 succes stories capitalisées et les bonnes pratiques partagées</t>
  </si>
  <si>
    <t>La sélection de success stories sur les réalisations du PUDC et la production de notes de capitalisations prevues au Tim 1 n'est pas encore réalisées</t>
  </si>
  <si>
    <t>Le rapport T1 est en cours de production</t>
  </si>
  <si>
    <t>PUDC-ACADEMY</t>
  </si>
  <si>
    <t>Sélection et placement en position de stagiaires les apprenants des ISEP (14 stagiaires) sau niveau des PRI prévue au Trim 2</t>
  </si>
  <si>
    <t>30 diplômés des ISEP accomapagnés dans leurs dynamiques entreprenariales</t>
  </si>
  <si>
    <t>5 infrastructures pratiques d’apprentissages (incubateurs, fermes écoles, etc) renforcées</t>
  </si>
  <si>
    <t>Appuyer la création de fermes-écoles ou projets d'incubation au bénéfice des ISEP prevue au Trim 2</t>
  </si>
  <si>
    <t xml:space="preserve"> 02 forum de partages des connaissances produites sur le programme organisées</t>
  </si>
  <si>
    <t>Réalisation d'activités de recherches / développement sur le PUDC prevue au Trim 2</t>
  </si>
  <si>
    <t>Appui d'initiatives d'incubation et promouvoir la création de stard up des diplômés des  ISEP prevue au Trim 2</t>
  </si>
  <si>
    <t xml:space="preserve">03 rapports produis et validés dans le cadre du prototocole PUDC -RISEP </t>
  </si>
  <si>
    <t>Apporter une assistance technique et continue aux bénéficiaires appuyés  par les professeurs prevu au Trim 2</t>
  </si>
  <si>
    <t>24 reportages sur les activités et les réalisations du programme diffusés en ligne et sur les plateaux des télévisions partenaires</t>
  </si>
  <si>
    <t>01  rapports produit et validé</t>
  </si>
  <si>
    <t>Réalisation de l'audit genre prevue au Trim 2</t>
  </si>
  <si>
    <t>60 membres de groupements de femmes formés en  en entrepreneuriat</t>
  </si>
  <si>
    <t>Recrutement du prestataire et signature du contrat de prestation prevu au Trim 2</t>
  </si>
  <si>
    <t>60 élus locaux formés sur le genre, l'inclusion sociale et la budgétisation sensible au genre</t>
  </si>
  <si>
    <t>Recrutement du prestataire et signature du contrat de prestation prevu au Trim 1 n'est pas encore réalisé</t>
  </si>
  <si>
    <t>10 personnes primées sur la valorisation des réalisations et sur les stratégies locales d'appropriation des réalisations du PUDC</t>
  </si>
  <si>
    <t>L'évaluation des initiatives en matière de valorisation des réalisations et  les strategies locales d'appropriation des réalisations du PUDC n'est pas encore effective</t>
  </si>
  <si>
    <t xml:space="preserve">41,5 km de pistes rurales sont finalisés et réceptionnés à Louga </t>
  </si>
  <si>
    <t>56,12km de pistes rurales sont finalisés et réceptionnés à Kolda</t>
  </si>
  <si>
    <t>L’avancement global des travaux est estimé à est de 95%.</t>
  </si>
  <si>
    <t>35 km de pistes rurales sont finalisés et réceptionnés à Thiès.</t>
  </si>
  <si>
    <t>6,8 km de pistes rurales sont finalisés et réceptionnés à Sedhiou.</t>
  </si>
  <si>
    <t>1. Piste Marsassoum santos : travaux en cours d'exécution.
2. Piste Médina Hancounda : Travaux terminés à 100%.
3. Piste à kolibantang: 0%</t>
  </si>
  <si>
    <t>L’avancement global des travaux est estimé à est de 60%</t>
  </si>
  <si>
    <t>Les travaux de 04 centrales solaires sont finalisés et réceptionnés</t>
  </si>
  <si>
    <t>11 Forages MFT restants sont réceptionnés</t>
  </si>
  <si>
    <t>Reversé dans BAD</t>
  </si>
  <si>
    <t>04 postes de santé équipés sont finalisés et réceptionnés a Ziguinchor.</t>
  </si>
  <si>
    <t>10 postes de santé équipés sont finalisés et réceptionnés à Kolda.</t>
  </si>
  <si>
    <t>5 postes de santé équipés sont finalisés et réceptionnés Sedhiou.</t>
  </si>
  <si>
    <t>Les travaux sont en cours avec un avancement moyen respectif de 20%</t>
  </si>
  <si>
    <t>Les travaux de construction / réhabilitation de 7 infrastructures scolaires sont finalisés dans Ziguinchor</t>
  </si>
  <si>
    <t>Les travaux de construction / réhabilitation de 8 infrastructures scolaires sont finalisés dans Kolda</t>
  </si>
  <si>
    <t>Les travaux de construction / réhabilitation de 6 infrastructures scolaires sont finalisés dans Sedhiou</t>
  </si>
  <si>
    <t>Aménagement de 11 PAC  dans Sedhiou</t>
  </si>
  <si>
    <t>Aménagement de 13 PAC dans Kolda</t>
  </si>
  <si>
    <t>Une mission de pré-réception est deja réalisée les Levée des réserves sont en cours sur les travaux de second œuvre (carrelage,peinture,électricité,pose équipements de plomberie et divers) 
L'entreprise a reçu son Ordre de service. Les équipements soront livrés à Dakar durant la première semaine du mois d'avril. La réception et les tests pourront se faire après et la livraison sur site à la fin du mois d'avril si la réception provisoire des travaux GC est réalisée avec levée de toutes les réserves.</t>
  </si>
  <si>
    <t>Plateformes de transformation agro alimentaire</t>
  </si>
  <si>
    <t>Receptionner les travaux de constructions d'une plateformes agroalimentaire équipées à Sewekhaye</t>
  </si>
  <si>
    <t>Receptionner les travaux de constructions d'une plateformes agroalimentaire équipées à Dioffior</t>
  </si>
  <si>
    <t>Receptionner les travaux de constructions d'une plateformes agroalimentaire équipées à Sokone</t>
  </si>
  <si>
    <t>Travaux achevés (réception provisoire effectuées)</t>
  </si>
  <si>
    <t>Travaux de gros œuvre 100%
Travaux de second œuvre (peinture,menuiserie métallique,électricité) 95%
Clôture grillage posée</t>
  </si>
  <si>
    <t xml:space="preserve">Suivi Evaluation </t>
  </si>
  <si>
    <t>02 de rapports d'évaluations tématiques des effets des réalisation du PUDC produits</t>
  </si>
  <si>
    <t>TdR envoyés au CP.Finalisation de la procédure de passation de marché pour l'étude d'impact socio-économique prévue au Trim 2</t>
  </si>
  <si>
    <t>Finaliser de la procédure de passation et signature du marché de 29,5 Km dans la région de Kaolack</t>
  </si>
  <si>
    <t>Poursuite des travaux en cours pour finaliser et receptionner 41,5 Km dans la région de Fatick</t>
  </si>
  <si>
    <t xml:space="preserve">Démarrer les travaux de construction de 60 km de pistes rurales et en receptionner 40 km dans la région de Thiès </t>
  </si>
  <si>
    <t>Poursuite des travaux en cours pour finaliser et receptionner  44,5 Km dans la région de Diourbel</t>
  </si>
  <si>
    <t>L’avancement global des travaux est estimé à est de 32%</t>
  </si>
  <si>
    <t>20 systèmes AEMV sont finalisés et mis en service</t>
  </si>
  <si>
    <t>Sur les 20 prévus en 2024, 04 sont déjà finalisés et mis en service. Ainsi, sur les 40 système multivillages, 23 ont été finalisés et mis en service.</t>
  </si>
  <si>
    <t>03 cantines scolaires appuyées</t>
  </si>
  <si>
    <t>37650 enfants bénéficient de la Surveillance Nutritionnelle</t>
  </si>
  <si>
    <t>1129 enfants malnutris pris en charge</t>
  </si>
  <si>
    <t>Mettre en place de 10 plateformes agroalimentaires (travaux +équipements)</t>
  </si>
  <si>
    <t>50 OCB accompagnés dans la formalisation et la recherche financement</t>
  </si>
  <si>
    <t>Procédure de passation de marché finalisé et le marché est attribué</t>
  </si>
  <si>
    <t>196 gestionnnaires des PTA formés dans le cadre de la convention PUDC-ITA</t>
  </si>
  <si>
    <t>18 gestionnaires des mini-laiteries formés</t>
  </si>
  <si>
    <t>La Banque Africaine de développement a donné son avis de non objection sur la convention de partenariat entre le PUDC et l'ITA. Le doucment sera soumis à l'ITA, pour signature au courant du mois d'avril. Une réunion est programmée au courant du mois d'avril 2024 pour le demarrage de la mise en oeuvre des activités</t>
  </si>
  <si>
    <t xml:space="preserve"> convention de partenariat entre le PUDC et DIA signé</t>
  </si>
  <si>
    <t>Appui accompagnement aux unités laitières</t>
  </si>
  <si>
    <t>Appui accompagnement aux  PTA</t>
  </si>
  <si>
    <t xml:space="preserve">400 acteurs territoriaux [Agents des  CT(50) Services Déconcentrés (100)
GPF (250)] formés </t>
  </si>
  <si>
    <t xml:space="preserve">60 mutuelles de santés formés </t>
  </si>
  <si>
    <t>Proportion de sous-projets sont soumis à un screening.</t>
  </si>
  <si>
    <t>6200 plants forestiers et fruitiers reboisés</t>
  </si>
  <si>
    <t>303 comités de gestion des équipements mis en place</t>
  </si>
  <si>
    <t xml:space="preserve"> 04 rapports d'activités produits et validés</t>
  </si>
  <si>
    <t xml:space="preserve">Rapport non disponible </t>
  </si>
  <si>
    <t>1212 membre des comités de gestion formés</t>
  </si>
  <si>
    <t>Formation des membres des comités de gestion et assurer leur accompagnement prevue au Trim 2</t>
  </si>
  <si>
    <t>2000 parties prenantes sensibilisées sur les réalisations du  PUDC</t>
  </si>
  <si>
    <t>01 rapports d'évaluations tématiques des effets des réalisation du PUDC produits</t>
  </si>
  <si>
    <t>Poursuivre les travaux de pistes rurales sur 53,2 km dans Tamba</t>
  </si>
  <si>
    <t>Poursuivre les travaux de pistes rurales pour finaliser et receptionner 16,8 km dans Thies</t>
  </si>
  <si>
    <t>Demarrer les travaux de pistes rurales sur 23,5  km dans Saint Louis</t>
  </si>
  <si>
    <t>Demarrer les travaux de pistes rurales sur 31  km dans Diourbel</t>
  </si>
  <si>
    <t>Poursuivre les travaux de pistes rurales pour finaliser et receptionner 57,2 km dans Kaffrine</t>
  </si>
  <si>
    <t xml:space="preserve">2. Piste TR02: cf Rte(Thiès -Mont Roland) - Pallo Youga -Pallo Dial : 4,5 km:  (Av des travaux: 16 %)
3. Piste TR01: "Ndiaye Bopp - Kémaye - Thiaye ": 7,5 Km : (Av des travaux: 8 %)
</t>
  </si>
  <si>
    <t>Contrat signé, Démarrage des travaux prévu au Trim 3</t>
  </si>
  <si>
    <t>Contrat signé, Démarrage des travaux prévu au Trim 2</t>
  </si>
  <si>
    <t>Réaliser les travaux de 24 centrales solaires et finaliser au moins 10 villages</t>
  </si>
  <si>
    <t>Contrat signé et enregistré 
Reunion de démarrag effectuée jeudi 30/11/2023</t>
  </si>
  <si>
    <t>Poursuivre les travaux de 06 châteaux d'eau dont au moins 04 systèmes réceptionnés.</t>
  </si>
  <si>
    <t>Poursuivre les travaux de 6 forages rotary don 03 sont réceptionnés.</t>
  </si>
  <si>
    <t xml:space="preserve">Forage rotary : Implantation de 6 ouvrages déjà faite
05 forages déjà réceptionnés
Château d'eau : Implantation de 4 ouvrages déjà faite
</t>
  </si>
  <si>
    <t xml:space="preserve">Finaliser et mettre en service 10 forages MFT équipés au solaire </t>
  </si>
  <si>
    <t xml:space="preserve">contrat signé et enregistré
Etude geophysique en cours </t>
  </si>
  <si>
    <t>Démarrage des travaux de 20 postes de santé et réception au moins 05 postes de santé.</t>
  </si>
  <si>
    <t>Rapport d'évaluation du DAO en attente ANO FSD</t>
  </si>
  <si>
    <t xml:space="preserve">Démarrage des travaux de 15 plateformes de transformation agroalimentaire dont au moins 05 seront finalisés </t>
  </si>
  <si>
    <t>25 bio digesteurs sont acquis et installés.</t>
  </si>
  <si>
    <t xml:space="preserve">500 personnes sensibilisée sur les mesures d’atténuation des impacts négatifs des réalisations sur les volets hydraulique, santé, energie. </t>
  </si>
  <si>
    <t>Appui des structures prévu au Trim 3</t>
  </si>
  <si>
    <t>8800 plants forestiers et fruitiers reboisés</t>
  </si>
  <si>
    <t>Reboisement d'au moins 4400 plants forestiers et fruitiers prevu au Trim 3</t>
  </si>
  <si>
    <t>130 villages finalisés</t>
  </si>
  <si>
    <t>02 dorsales électriques du projet 2000 villages sont finalisés et réceptionnés.</t>
  </si>
  <si>
    <t xml:space="preserve">Sur un objectif de 130 villages prévus en fin 2024, 49 sont finalisés </t>
  </si>
  <si>
    <t>Les travaux de 259 autres villages sont en cours d’exécution</t>
  </si>
  <si>
    <t xml:space="preserve">	Sur les 1626 villages notifiés en phase prioritaire, les 639 villages sont finalisés parmi lesquels 614 sont mis en service.
</t>
  </si>
  <si>
    <r>
      <t>F</t>
    </r>
    <r>
      <rPr>
        <sz val="9"/>
        <color theme="1"/>
        <rFont val="Times New Roman"/>
        <family val="1"/>
      </rPr>
      <t xml:space="preserve">  </t>
    </r>
    <r>
      <rPr>
        <b/>
        <sz val="9"/>
        <color theme="1"/>
        <rFont val="Arial Narrow"/>
        <family val="2"/>
      </rPr>
      <t>Simbandi balante – Sonako ( implantation 100% et tirage 100% ).</t>
    </r>
  </si>
  <si>
    <r>
      <t>F</t>
    </r>
    <r>
      <rPr>
        <sz val="9"/>
        <color theme="1"/>
        <rFont val="Times New Roman"/>
        <family val="1"/>
      </rPr>
      <t xml:space="preserve">  </t>
    </r>
    <r>
      <rPr>
        <b/>
        <sz val="9"/>
        <color theme="1"/>
        <rFont val="Arial Narrow"/>
        <family val="2"/>
      </rPr>
      <t>Fafacourou- Dabo – Cambacara (100% d’implantation et 100% tirage).</t>
    </r>
  </si>
  <si>
    <t>Dorsales finalisées et mis en service :</t>
  </si>
  <si>
    <t>TdR envoyés au CP/Procédure de passation de marché non réalisées</t>
  </si>
  <si>
    <t>04 systèmes hydrauliques multivillages ont mis en service</t>
  </si>
  <si>
    <t>04 systèmes hyrauliques à vocation agricole sont mis en service</t>
  </si>
  <si>
    <t xml:space="preserve">Forages terminés et chateaux d'eau en cours
</t>
  </si>
  <si>
    <t>Démarrer les travaux d'aménagement de 12 périmètres agricoles</t>
  </si>
  <si>
    <t>Chaine de valeur agricole</t>
  </si>
  <si>
    <t>Sedhiou : L' implanatation des sites est faite. L' entreprise attend que les bénéficiaires procédent au nettoyage des sites pour entamer la pose des réseau structurants.</t>
  </si>
  <si>
    <t>Implantation déjà effectué.
Kelimane a recu son os le 15/04/2024
Parar va recevoir son os le 22/04/2024</t>
  </si>
  <si>
    <t>15 agents du Programme formées sur l'utilisation des outils SIG et Powerbi</t>
  </si>
  <si>
    <t>Recrutement du consultant en charge de la formation des agents prevu au Trim 2</t>
  </si>
  <si>
    <t xml:space="preserve">Niveau de mise à jour et de maintenance du portail Web du PUDC </t>
  </si>
  <si>
    <t>Demarrage de l'evaluation des réalisations prévue au Trim 1</t>
  </si>
  <si>
    <r>
      <t xml:space="preserve">l'appel d'offres pour la construction et l'équipement de 16 PTA est lancé au courant du mois de février 2024. les évaluations sont offres sont prévues au mlois de mars.
</t>
    </r>
    <r>
      <rPr>
        <sz val="9"/>
        <color theme="9"/>
        <rFont val="Arial Narrow"/>
        <family val="2"/>
      </rPr>
      <t>NB : Demarrage prevu au Trim 1</t>
    </r>
  </si>
  <si>
    <t>Contrat signé, travaux non démarré
NB : Demarrage prevu au Trim 1</t>
  </si>
  <si>
    <t xml:space="preserve">Travaux en cours sur le troncon Missirah Wadène -Port Ndramé-Arafat- Maka Yopp &amp; une bretelle de Arafat - Ainoumani ndramé : 23,2 km ;
NB : C'est le seul troncon qui a démarré </t>
  </si>
  <si>
    <t xml:space="preserve">Forages terminés et chateaux d'eau en cours
NB: Mis en service d'un système était prevue au Trim 1
</t>
  </si>
  <si>
    <t>Recrutement des consultants et Signature avec la convention avec la croix rouge prevue au Trim 1 n'est pas encore effectif. Il est prevu la formation de 180 personnes au Trim 2</t>
  </si>
  <si>
    <t>Mis à jour du portail web ?</t>
  </si>
  <si>
    <t xml:space="preserve">Les travaux des centrales solaires sont finalisés, il reste les travaux sur le réseau BT à finaliser
</t>
  </si>
  <si>
    <t>La procedure de passation devait etre finalisée</t>
  </si>
  <si>
    <t>Les travaux sont en cours avec un avancement moyen respectif de 52%: entreprise défaillante, contrat résilié</t>
  </si>
  <si>
    <t xml:space="preserve">Les travaux de génie civil sont finalisés. Il reste la l'intallation des groupes électrogènes. </t>
  </si>
  <si>
    <t>Les travaux sont en cours avec un avancement moyen respectif de 70%. Entreprise défaillante, contrat résilié</t>
  </si>
  <si>
    <t>Les travaux sont en cours avec un avancement moyen respectif de 78%. Entreprise défaillante, contrat résilié</t>
  </si>
  <si>
    <t xml:space="preserve">Koda : L' entreprise a déjà terminé l' installation des réseaux structurants pour l' ensemble des sites. Les raccordements aux point d' eau sont en cours
</t>
  </si>
  <si>
    <t>L'élaboration du DAO a démarré</t>
  </si>
  <si>
    <t xml:space="preserve">Travaux finalisés et en attente de réception </t>
  </si>
  <si>
    <t>L’avancement global des travaux est estimé à 20%</t>
  </si>
  <si>
    <t>Contrat signé et à soumettre en examen juridique</t>
  </si>
  <si>
    <t>Contrat signés à soumettre en examen juridique</t>
  </si>
  <si>
    <t xml:space="preserve">Travaux en cours dans les sites de Thies et Fatick
Pour les sites de Kaolack et Kaffrine les contrat sont approuvés et engagés
</t>
  </si>
  <si>
    <t xml:space="preserve">Pour les 198 équipements : Prototypes validés, Production des 198 équipements certifiée en usine ainsi que les tests grandeur nature
Pour les 250  équipements :Prototypes validés, Production des 250 équipements certifiée en usine ainsi que les tests grandeur nature </t>
  </si>
  <si>
    <t>Lot 1 : Contrat signé, approuvé et engagé ; Prestations non encore démarrés
Lot 2 : Contrat signé, approuvé et engagé ; Prestations non encore démarrés mais réunion  prédémarrage prévue semaine du 22/04/2024</t>
  </si>
  <si>
    <t xml:space="preserve"> 
Le processus de passation des marchés est finalisé. Les contrats sont en cours de signature. </t>
  </si>
  <si>
    <r>
      <rPr>
        <b/>
        <sz val="9"/>
        <rFont val="Arial Narrow"/>
        <family val="2"/>
      </rPr>
      <t>ETPA EGECOM :</t>
    </r>
    <r>
      <rPr>
        <sz val="9"/>
        <rFont val="Arial Narrow"/>
        <family val="2"/>
      </rPr>
      <t xml:space="preserve"> Contrats en cours d'approbation par le Ministère de tutelle. 
L'appel d'offres des équipements des PTA a été lancé et les offres sont attendues le 30 avril 2024. Les documents des études économiques et financières ont été communiqués aux Gie porteurs et des échanges en ligne ont été organisés. Les dossiers d'études seront actualisés en tenant compte des observations des Gie porteurs. Le Document de Base sera également actualisé.
</t>
    </r>
    <r>
      <rPr>
        <b/>
        <sz val="9"/>
        <rFont val="Arial Narrow"/>
        <family val="2"/>
      </rPr>
      <t>EBTP PAPALO :</t>
    </r>
    <r>
      <rPr>
        <sz val="9"/>
        <rFont val="Arial Narrow"/>
        <family val="2"/>
      </rPr>
      <t xml:space="preserve"> Contrat signé, approuvé, enregistré et soumis en engagement. Attente des garanties (Bonne exécution, caution d'avance de démarrage).
L'appel d'offres des équipements des PTA a été lancé et les offres sont attendues le 30 avril 2024. Les documents des études économiques et financières ont été communiqués aux Gie porteurs et des échanges en ligne ont été organisés. Les dossiers d'études seront actualisés en tenant compte des observations des Gie porteurs. Le Document de Base sera également actualisé.</t>
    </r>
  </si>
  <si>
    <t>La convention approuvée par la BAD est signée par les parties et soumise en engagement
Le comité d'agrément a rencontré les PRI sur le partage des outils et la démarche de préparation des projets. 
Les réunions PUDC/Porteurs PTA tenues sur le partage des premiers résultats des études</t>
  </si>
  <si>
    <t xml:space="preserve">Les TDR pour chaque thématique de formation sont élaborés. NB: le marché a été infructueux deux fois </t>
  </si>
  <si>
    <t>Les TDR pour chaque thématique de formation sont élaborés</t>
  </si>
  <si>
    <t xml:space="preserve"> Les activités planifiées en 2024 sont validées par les deux structures et tous les projets en cours de réalisation ont fait l'objet de screenning </t>
  </si>
  <si>
    <t>PTBA de la convention PUDC-DEFCCS validé (Planifié au Trim1)</t>
  </si>
  <si>
    <t>En plus valoriser les rapports avec Djibril</t>
  </si>
  <si>
    <t>1.1. PISTES RURALES</t>
  </si>
  <si>
    <t>1.2. ENERGIE</t>
  </si>
  <si>
    <t>1.3. HYDRAULIQUE</t>
  </si>
  <si>
    <t>1.4. SANTE</t>
  </si>
  <si>
    <t>1.5. EDUCATION</t>
  </si>
  <si>
    <t>2.2. PLATEFORMES DE TRANSFORMATION AGRO-ALIMENTAIRE</t>
  </si>
  <si>
    <t>2.3. PERIMETRES AGRICOLES COMMUNAUTAIRE</t>
  </si>
  <si>
    <t xml:space="preserve">3.1. MISE EN ŒUVRE DU PCGES </t>
  </si>
  <si>
    <t>3.2. ECONOMIE VERTE</t>
  </si>
  <si>
    <t>3.3. INGENIERIE SOCIALE</t>
  </si>
  <si>
    <t xml:space="preserve">3.5. GENRE </t>
  </si>
  <si>
    <t>3.6. COMMUNICATION</t>
  </si>
  <si>
    <t>Sous-total composante 3</t>
  </si>
  <si>
    <t>4.2. SIG</t>
  </si>
  <si>
    <t>4.3. Gestion du PUDC</t>
  </si>
  <si>
    <t>Sous-total composante 4</t>
  </si>
  <si>
    <t>TOTAL</t>
  </si>
  <si>
    <t>Biodigesteurs</t>
  </si>
  <si>
    <t>60 acteurs territoriaux formés</t>
  </si>
  <si>
    <t>Budget FCFA</t>
  </si>
  <si>
    <t>TOTAL PSP-PUDC /FSD</t>
  </si>
  <si>
    <t>Objectif TRIM 1 (%)</t>
  </si>
  <si>
    <t>Réalisation TRIM 1 (%)</t>
  </si>
  <si>
    <t>PA-PUDC-BID</t>
  </si>
  <si>
    <t>PA-PUDC-BAD </t>
  </si>
  <si>
    <t>PSP-PUDC-FSD </t>
  </si>
  <si>
    <t xml:space="preserve">89 aprenants/Etudiants sont accueillis en stage </t>
  </si>
  <si>
    <t>Réalisation (Trim2)</t>
  </si>
  <si>
    <t>* Protocole de partenariat avec le Génie Militaire signé
* L'Implantation du tracé et la remise du site déjà effectuée
* Démarrage des études d'exécutions en cours</t>
  </si>
  <si>
    <t>Suivi Evaluation et Etudes socio-économiques</t>
  </si>
  <si>
    <t>PUDC-Academy</t>
  </si>
  <si>
    <t>Objectif T1 (%)</t>
  </si>
  <si>
    <t>Réalisation T1 (%)</t>
  </si>
  <si>
    <t>Depuis le début du programme au T2 2025</t>
  </si>
  <si>
    <t>Objectif T2 (%)</t>
  </si>
  <si>
    <t>Réalisation T2 (%)</t>
  </si>
  <si>
    <t>Objectif T3 (%)</t>
  </si>
  <si>
    <t>Réalisation T3 (%)</t>
  </si>
  <si>
    <t>Objectif T4 (%)</t>
  </si>
  <si>
    <t>Réalisation T4 (%)</t>
  </si>
  <si>
    <t>Périmetre agricole communautaire</t>
  </si>
  <si>
    <t>Taux d’exécution
T1</t>
  </si>
  <si>
    <t>Taux d’exécution
T2</t>
  </si>
  <si>
    <t>Taux d’exécution
T3</t>
  </si>
  <si>
    <t>Taux d’exécution
T4</t>
  </si>
  <si>
    <t>NA</t>
  </si>
  <si>
    <t>Objectif TRIM 2 (%)</t>
  </si>
  <si>
    <t>Réalisation TRIM 2 (%)</t>
  </si>
  <si>
    <t>Objectif TRIM 3 (%)</t>
  </si>
  <si>
    <t>Réalisation TRIM 3 (%)</t>
  </si>
  <si>
    <t>Objectif TRIM 4 (%)</t>
  </si>
  <si>
    <t>Réalisation TRIM 4 (%)</t>
  </si>
  <si>
    <t>Source de financement</t>
  </si>
  <si>
    <t>Budget (FCFA)</t>
  </si>
  <si>
    <t>Total (FCFA)</t>
  </si>
  <si>
    <t>Composante 1 : Développement des Infrastructures de Base</t>
  </si>
  <si>
    <t>PUDC Budget Etat du Sénégal 2025</t>
  </si>
  <si>
    <t>244 000 000</t>
  </si>
  <si>
    <t>5 576 139 624</t>
  </si>
  <si>
    <r>
      <t>PUDC Phase 2/BID</t>
    </r>
    <r>
      <rPr>
        <sz val="10"/>
        <color rgb="FF000000"/>
        <rFont val="Arial Narrow"/>
        <family val="2"/>
      </rPr>
      <t xml:space="preserve"> </t>
    </r>
  </si>
  <si>
    <t>942 163 119</t>
  </si>
  <si>
    <r>
      <t>PUDC Phase 2/</t>
    </r>
    <r>
      <rPr>
        <sz val="10"/>
        <color rgb="FF000000"/>
        <rFont val="Arial Narrow"/>
        <family val="2"/>
      </rPr>
      <t>BAD</t>
    </r>
  </si>
  <si>
    <t>1 913 813 647</t>
  </si>
  <si>
    <t>PUDC Phase 2/FSD</t>
  </si>
  <si>
    <t>2 476 162 858</t>
  </si>
  <si>
    <t>11 372 537 981</t>
  </si>
  <si>
    <t>1 169 839 423</t>
  </si>
  <si>
    <r>
      <t>PUDC Phase 2/</t>
    </r>
    <r>
      <rPr>
        <sz val="10"/>
        <color rgb="FF000000"/>
        <rFont val="Arial Narrow"/>
        <family val="2"/>
      </rPr>
      <t>FSD</t>
    </r>
  </si>
  <si>
    <t>1 002 698 558</t>
  </si>
  <si>
    <t>Projet Electrification de 2000 Villages</t>
  </si>
  <si>
    <t>4 696 855 277</t>
  </si>
  <si>
    <r>
      <t>PUDC Phase 2/</t>
    </r>
    <r>
      <rPr>
        <sz val="10"/>
        <color rgb="FF000000"/>
        <rFont val="Arial Narrow"/>
        <family val="2"/>
      </rPr>
      <t>BID</t>
    </r>
  </si>
  <si>
    <t>660 242 200</t>
  </si>
  <si>
    <t>936 722 470</t>
  </si>
  <si>
    <t>4 186 264 378</t>
  </si>
  <si>
    <t>1 312 933 414</t>
  </si>
  <si>
    <t>1 917 365 059</t>
  </si>
  <si>
    <t>731 696 386</t>
  </si>
  <si>
    <t>1 483 263 032</t>
  </si>
  <si>
    <t xml:space="preserve">Sous-total composante 1 </t>
  </si>
  <si>
    <t>27 315 060 292</t>
  </si>
  <si>
    <t>Composante 2 : Amélioration de la Productivité rurale, de la Production agricole et de l’élevage</t>
  </si>
  <si>
    <t>2.1. EQUIPEMENTS POST-RECOLTE</t>
  </si>
  <si>
    <t>1 305 997 073</t>
  </si>
  <si>
    <t>478 784 208</t>
  </si>
  <si>
    <t>1 283 780 176</t>
  </si>
  <si>
    <t>PUDC Phase 2/BID</t>
  </si>
  <si>
    <t>955 693 113</t>
  </si>
  <si>
    <t>2.4. MAGASINS DE STOCKAGE DE PRODUITS AGRICOLES</t>
  </si>
  <si>
    <t>261 675 599</t>
  </si>
  <si>
    <t>2.5. CHAINE DE VALEUR LAIT</t>
  </si>
  <si>
    <t>2.6. RENFORCEMENT DE CAPACITES DES ACTEURS</t>
  </si>
  <si>
    <t>87 802 395</t>
  </si>
  <si>
    <t>49 321 835</t>
  </si>
  <si>
    <t xml:space="preserve">Sous-total composante 2 </t>
  </si>
  <si>
    <t>4 017 898 785</t>
  </si>
  <si>
    <t>Composante 3 : Environnement, Ingénierie Sociale, Communication et Genre</t>
  </si>
  <si>
    <t>55 296 979</t>
  </si>
  <si>
    <t>45 296 979</t>
  </si>
  <si>
    <t>15 851 551</t>
  </si>
  <si>
    <t>315 553 163</t>
  </si>
  <si>
    <t>3.4. PUDC-ACADEMY</t>
  </si>
  <si>
    <t>54 148 449</t>
  </si>
  <si>
    <t>522 927 981</t>
  </si>
  <si>
    <t>4.1. Suivi-Evaluation et Gestion des contrats</t>
  </si>
  <si>
    <t>72 000 000</t>
  </si>
  <si>
    <t>55 000 000</t>
  </si>
  <si>
    <t>PUDC-Budget Etat du Sénégal 2025</t>
  </si>
  <si>
    <t>34 010 673 942</t>
  </si>
  <si>
    <t>Total Budget PTBA 2024</t>
  </si>
  <si>
    <t>Répartition du Budget du PTBA 2025 par composante, par volet et par source de financement</t>
  </si>
  <si>
    <t>Objectifs annuels du PTBA 2025</t>
  </si>
  <si>
    <t xml:space="preserve">Réalisation </t>
  </si>
  <si>
    <t>PUDC-Phase2/ Budget 2025 Etat du Sénégal</t>
  </si>
  <si>
    <t>Finaliser la signature de la convention avec le génie militaire</t>
  </si>
  <si>
    <t>Protocole de partenariat avec le Génie Militaire signé. Tracé validé et screening environnemental réalisé avec le comité régional. Etudes d'exécution des travaux sont finalisés et les travaux démarrés.</t>
  </si>
  <si>
    <t>Finaliser les travaux de 13 forages</t>
  </si>
  <si>
    <t>Finaliser les travaux de 02 systèmes multi-villages</t>
  </si>
  <si>
    <t>Forages terminés et château d'eau en cours avec un avancement de 65%.</t>
  </si>
  <si>
    <t>Finaliser les travaux de 11 systèmes à vocation agricole.</t>
  </si>
  <si>
    <t>Finaliser les travaux de construction de 02 postes de santé.</t>
  </si>
  <si>
    <t>Livrer et mettre en service 175 équipements de transformation post-récolte.</t>
  </si>
  <si>
    <t xml:space="preserve">Lot 2 : Fabrication des 50 moulins électriques finalisée. </t>
  </si>
  <si>
    <t>Finaliser les travaux d'aménagement de 12 périmètres agricoles communautaires</t>
  </si>
  <si>
    <r>
      <t>Forages</t>
    </r>
    <r>
      <rPr>
        <sz val="10"/>
        <rFont val="Arial Narrow"/>
        <family val="2"/>
      </rPr>
      <t xml:space="preserve"> :  12 réalisés et réceptionnés dont 02 non productifs.</t>
    </r>
  </si>
  <si>
    <r>
      <t>Clôture et Installation réseau d’irrigation</t>
    </r>
    <r>
      <rPr>
        <sz val="10"/>
        <rFont val="Arial Narrow"/>
        <family val="2"/>
      </rPr>
      <t xml:space="preserve"> : Travaux finalisés sur 11 sites  </t>
    </r>
  </si>
  <si>
    <t>Former au moins 18 gestionnaires de mini-laiterie en partenariat avec la DIA</t>
  </si>
  <si>
    <t>La formation des 18 gestionnaires est bouclée.</t>
  </si>
  <si>
    <t>Environnement et économie verte</t>
  </si>
  <si>
    <t>Organiser 06 ateliers de partage sur le suivi environnemental et social des travaux du PUDC</t>
  </si>
  <si>
    <t>TDR finalisés et attente du budget pour la réalisation des ateliers</t>
  </si>
  <si>
    <t>Primer au moins 04 groupements champions en reboisement</t>
  </si>
  <si>
    <t>Attente de la tenue de l’édition 2024 du « Trophée du PUDC aux GPF pionniers en reboisement » du fait des retards dans la mise à disposition des crédits 2025.</t>
  </si>
  <si>
    <t>Organiser l’atelier de partage de la stratégie Genre et du Plan d'Institutionnalisation Genre du PUDC</t>
  </si>
  <si>
    <t>TDR élaborés et attente de la mise à disposition des crédits 2025.</t>
  </si>
  <si>
    <t>Produire et diffuser au moins 24 reportages sur les réalisations du PUDC</t>
  </si>
  <si>
    <t>Activités réalisées : Couverture et diffusion des activités du PUDC sur les plateformes digitales du programme et sur les chaines de télévisions et presse écrite partenaires (RTS, APS, TFM)</t>
  </si>
  <si>
    <t>Suivi-évaluation, études socio-économique et Système d’Information Géographique</t>
  </si>
  <si>
    <t>Acquérir un logiciel de suivi des marchés et de gestion des contrats du PUDC</t>
  </si>
  <si>
    <t>Logiciel acquis</t>
  </si>
  <si>
    <t>Assurer la mise à jour et la maintenance du portail web du PUDC et du SIG</t>
  </si>
  <si>
    <t>En cours. Budget planifié pour la collecte des données géoréférencées insuffisant.</t>
  </si>
  <si>
    <t>Assurer la mise à jour du portail web du PUDC</t>
  </si>
  <si>
    <t>Le portail web du PUDC a été mis à jour au courant du trimestre.</t>
  </si>
  <si>
    <t>Acquérir un espace de stockage de données géoréférencées</t>
  </si>
  <si>
    <t xml:space="preserve">Démarrage de la passation de marché pour l’acquisition d’un espace de stockage des données géoréférencées </t>
  </si>
  <si>
    <t>Finaliser les travaux de 22,5 km de pistes rurales dans la région de Thiès</t>
  </si>
  <si>
    <t>Avancement global :  95 %</t>
  </si>
  <si>
    <t>Poursuivre les travaux pour finaliser 20,1 km de pistes rurales dans la région de Louga</t>
  </si>
  <si>
    <t>Avancement global : 65%</t>
  </si>
  <si>
    <t>Finaliser les travaux d’un forage équipé et raccordé au château d’eau dans la région de Louga (Dolly).</t>
  </si>
  <si>
    <t>Procédure de passation de marchés en cours</t>
  </si>
  <si>
    <t>Poursuivre les travaux en cours pour finaliser et réceptionner 04 postes de santé à Ziguinchor.</t>
  </si>
  <si>
    <t>Poursuivre les travaux en cours pour finaliser et réceptionner 10 postes de santé à Kolda.</t>
  </si>
  <si>
    <t>Finaliser la construction de 05 infrastructures scolaires dans la région de Ziguinchor</t>
  </si>
  <si>
    <t>Finaliser la construction de 08 infrastructures scolaires dans la région de Kolda</t>
  </si>
  <si>
    <t>Finaliser la construction de 04 infrastructures scolaires dans la région de Sédhiou</t>
  </si>
  <si>
    <t>Finaliser les travaux d'aménagement de 20 périmètres agricoles communautaires dans la région de Kolda.</t>
  </si>
  <si>
    <r>
      <t>Avancement des travaux (69%).</t>
    </r>
    <r>
      <rPr>
        <sz val="11"/>
        <rFont val="Arial Narrow"/>
        <family val="2"/>
      </rPr>
      <t xml:space="preserve"> La réalisation du réseau structurant et l’installation des panneaux solaires, des bassins et des robinets sont finalisées sur les 20 sites. </t>
    </r>
    <r>
      <rPr>
        <sz val="11"/>
        <color rgb="FFFFFFFF"/>
        <rFont val="Arial Narrow"/>
        <family val="2"/>
      </rPr>
      <t xml:space="preserve"> </t>
    </r>
  </si>
  <si>
    <t>Finaliser les travaux d'aménagement de 04 périmètres agricoles communautaires dans la région de Sédhiou.</t>
  </si>
  <si>
    <r>
      <t>Avancement global de 30% </t>
    </r>
    <r>
      <rPr>
        <sz val="11"/>
        <rFont val="Arial Narrow"/>
        <family val="2"/>
      </rPr>
      <t>: Fouilles pour les réseaux et début d’installation des bassins.</t>
    </r>
  </si>
  <si>
    <t>Réceptionner les travaux de construction d'une plateforme de transformation agro-alimentaire équipés de Sokone</t>
  </si>
  <si>
    <t>Implantation réalisée et travaux en phase de démarrage.</t>
  </si>
  <si>
    <t>Elaborer un rapport d'évaluation thématique des effets des réalisations du projets</t>
  </si>
  <si>
    <t>PUDC-Phase 2 /BAD </t>
  </si>
  <si>
    <t>Poursuivre les travaux de construction de 42,1 km de pistes rurales dans la région de Thiès</t>
  </si>
  <si>
    <t>Finaliser de la procédure de passation et pour la reprise des travaux de réalisation de 29,5 Km dans la région de Kaolack</t>
  </si>
  <si>
    <t>Le contrat est signé et enregistré. les travaux sont en attente de démarrage.</t>
  </si>
  <si>
    <t>Réaliser les travaux d'installation de 26 centrales solaires dont au moins 10 seront finalisés et mis en service</t>
  </si>
  <si>
    <t>Réceptionner les travaux de systèmes hydrauliques multi villages sur 9 sites dans les régions de Sédhiou et Ziguinchor</t>
  </si>
  <si>
    <t>Finaliser et réceptionner les travaux de construction 20 postes de santé équipés</t>
  </si>
  <si>
    <r>
      <t>Avancement des travaux</t>
    </r>
    <r>
      <rPr>
        <sz val="11"/>
        <rFont val="Arial Narrow"/>
        <family val="2"/>
      </rPr>
      <t xml:space="preserve"> :66%</t>
    </r>
  </si>
  <si>
    <t>Acquérir les équipements et les mobiliers de bureau pour 20 postes de santé</t>
  </si>
  <si>
    <t>Livrer et mettre en service 361 équipements de transformation post-récolte.</t>
  </si>
  <si>
    <t>La production des 361 équipements est finalisée. 245 équipements ont été livrés parmi lesquels 225 sont mis en service.</t>
  </si>
  <si>
    <t>Le contrat est signé, approuvé et enregistré. Attente de l'OS et la réunion de démarrage des prestations.</t>
  </si>
  <si>
    <t>Réceptionner les travaux de 23 mini-forages équipés de pompe solaire</t>
  </si>
  <si>
    <r>
      <t>§</t>
    </r>
    <r>
      <rPr>
        <sz val="7"/>
        <color theme="1"/>
        <rFont val="Times New Roman"/>
        <family val="1"/>
      </rPr>
      <t xml:space="preserve">  </t>
    </r>
    <r>
      <rPr>
        <sz val="11"/>
        <color theme="1"/>
        <rFont val="Arial Narrow"/>
        <family val="2"/>
      </rPr>
      <t>Travaux de 06 mini-forages finalisés en attente de pose d'équipements d’exhaure et 05 en cours de travaux ;</t>
    </r>
  </si>
  <si>
    <r>
      <t>§</t>
    </r>
    <r>
      <rPr>
        <sz val="7"/>
        <color theme="1"/>
        <rFont val="Times New Roman"/>
        <family val="1"/>
      </rPr>
      <t xml:space="preserve">  </t>
    </r>
    <r>
      <rPr>
        <sz val="11"/>
        <color theme="1"/>
        <rFont val="Arial Narrow"/>
        <family val="2"/>
      </rPr>
      <t>12 équipements d'exhaure réceptionnés au dépôt.</t>
    </r>
  </si>
  <si>
    <r>
      <t>§</t>
    </r>
    <r>
      <rPr>
        <sz val="7"/>
        <color theme="1"/>
        <rFont val="Times New Roman"/>
        <family val="1"/>
      </rPr>
      <t xml:space="preserve">  </t>
    </r>
    <r>
      <rPr>
        <sz val="11"/>
        <color theme="1"/>
        <rFont val="Arial Narrow"/>
        <family val="2"/>
      </rPr>
      <t>Travaux en attente de démarrage sur 12 sites.</t>
    </r>
  </si>
  <si>
    <t>Réceptionner les travaux de10 magasins de stockage de produits agricoles</t>
  </si>
  <si>
    <t>Finaliser les travaux de construction de 07 plateformes de transformation agro-alimentaires</t>
  </si>
  <si>
    <t xml:space="preserve">Travaux en cours sur 07 sites avec un niveau d’avancement de 32%. </t>
  </si>
  <si>
    <t>Former au moins 283 gestionnaires de PTA en partenariat avec l’ITA</t>
  </si>
  <si>
    <t>La procédure de recrutement du consultant est en cours</t>
  </si>
  <si>
    <t>Former au moins 18 gestionnaires de mini-laiteries en partenariat avec la DIA</t>
  </si>
  <si>
    <t>Assurer la satisfaction des clauses environnementales et sociale contenues dans le PGES des sous-projets</t>
  </si>
  <si>
    <t>Reboiser au moins 1500 plants forestiers et fruitiers</t>
  </si>
  <si>
    <t>Non démarré du fait des retards dans la mise à disposition des crédits 2025.</t>
  </si>
  <si>
    <t>Réaliser l’audit de conformité environnemental 2021-2022</t>
  </si>
  <si>
    <t>Rapport de démarrage validé</t>
  </si>
  <si>
    <t>Mettre en place 150 comité de gestion des équipements</t>
  </si>
  <si>
    <t>Assurer la mise en œuvre de la convention PUDC-ANRAC</t>
  </si>
  <si>
    <t>Sensibiliser les bénéficiaires pour l’appropriation des réalisations du PUDC (Convention PUDC-MSA)</t>
  </si>
  <si>
    <r>
      <t>§</t>
    </r>
    <r>
      <rPr>
        <sz val="7"/>
        <color theme="1"/>
        <rFont val="Times New Roman"/>
        <family val="1"/>
      </rPr>
      <t xml:space="preserve">  </t>
    </r>
    <r>
      <rPr>
        <sz val="11"/>
        <color theme="1"/>
        <rFont val="Arial Narrow"/>
        <family val="2"/>
      </rPr>
      <t>284 personnes dont 170 hommes et 114 femmes ont été sensibilisées lors des réunions de suivi des postes de santé pour les régions de Thiès (5), Fatick (5) et Kaolack (5) ;</t>
    </r>
  </si>
  <si>
    <r>
      <t>§</t>
    </r>
    <r>
      <rPr>
        <sz val="7"/>
        <color theme="1"/>
        <rFont val="Times New Roman"/>
        <family val="1"/>
      </rPr>
      <t xml:space="preserve">  </t>
    </r>
    <r>
      <rPr>
        <sz val="11"/>
        <color theme="1"/>
        <rFont val="Arial Narrow"/>
        <family val="2"/>
      </rPr>
      <t>1387 personnes ont été sensibilisées sur l'appropriation des postes des PAC, des postes de santé et des équipements post-récoltes.</t>
    </r>
  </si>
  <si>
    <t>Poursuivre les travaux de construction de 53,2 km de pistes rurales dans la région de Tambacounda et en réceptionner 19,5 km.</t>
  </si>
  <si>
    <t>Avancement global : 89 %</t>
  </si>
  <si>
    <r>
      <t>§</t>
    </r>
    <r>
      <rPr>
        <sz val="7"/>
        <color theme="1"/>
        <rFont val="Times New Roman"/>
        <family val="1"/>
      </rPr>
      <t xml:space="preserve">  </t>
    </r>
    <r>
      <rPr>
        <sz val="11"/>
        <color theme="1"/>
        <rFont val="Arial Narrow"/>
        <family val="2"/>
      </rPr>
      <t>Piste : RN2-Namandiry :6,8 km : (Non démarré)</t>
    </r>
  </si>
  <si>
    <t>Poursuivre les travaux de construction de pistes rurales en cours pour finaliser et réceptionner 27 km dans la région de Kaffrine</t>
  </si>
  <si>
    <t>Avancement global : 54 %</t>
  </si>
  <si>
    <r>
      <t>§</t>
    </r>
    <r>
      <rPr>
        <sz val="7"/>
        <color theme="1"/>
        <rFont val="Times New Roman"/>
        <family val="1"/>
      </rPr>
      <t xml:space="preserve">  </t>
    </r>
    <r>
      <rPr>
        <sz val="11"/>
        <color theme="1"/>
        <rFont val="Arial Narrow"/>
        <family val="2"/>
      </rPr>
      <t>Piste : Ndioum Ngainth - T1,538 kmouba Diouf (19,544 km) km &amp; la bretelle vers Médina Ndioum (1,538 km): soit 21,08 km (Avancement des trvx : 43 %) ;</t>
    </r>
  </si>
  <si>
    <r>
      <t>§</t>
    </r>
    <r>
      <rPr>
        <sz val="7"/>
        <color theme="1"/>
        <rFont val="Times New Roman"/>
        <family val="1"/>
      </rPr>
      <t xml:space="preserve">  </t>
    </r>
    <r>
      <rPr>
        <sz val="11"/>
        <color theme="1"/>
        <rFont val="Arial Narrow"/>
        <family val="2"/>
      </rPr>
      <t>Piste : Ségré gatta-Ndimbéré : 7 km (Non démarré) ;</t>
    </r>
  </si>
  <si>
    <r>
      <t>§</t>
    </r>
    <r>
      <rPr>
        <sz val="7"/>
        <color theme="1"/>
        <rFont val="Times New Roman"/>
        <family val="1"/>
      </rPr>
      <t xml:space="preserve">  </t>
    </r>
    <r>
      <rPr>
        <sz val="11"/>
        <color theme="1"/>
        <rFont val="Arial Narrow"/>
        <family val="2"/>
      </rPr>
      <t>Piste : Axe 1 : Missirah – Arafat –Médina Ndawène: (15,580 km); Axe 2: Arafat- Maka yopp :(8,790 km) et les bretelles: Arafat:(0,3225 km) et Sinthiou Ada: (0,261 km): soit  24,953 km (Avancement des travaux: 88 %) ; Couche de roulement: et OH : réalisés à 100%. il reste les perrés et la signalisation.</t>
    </r>
  </si>
  <si>
    <t>Poursuivre les travaux de construction de pistes rurales sur 23,5 km dans Saint Louis</t>
  </si>
  <si>
    <t>Avancement des travaux : 49 %</t>
  </si>
  <si>
    <r>
      <t xml:space="preserve">Piste TR08 </t>
    </r>
    <r>
      <rPr>
        <sz val="11"/>
        <rFont val="Arial Narrow"/>
        <family val="2"/>
      </rPr>
      <t>: Mboundoum –Pont téglé – Canal CK2 – Kheune: 20,994km et bretelle vers Fourarate:2,160km ( soit 23,154 km) : Approvisionnement couche de roulement réalisé sur 13,254 km, soit 57%. Les travaux sont actuellement à l'arrêt</t>
    </r>
  </si>
  <si>
    <t>Poursuivre les travaux de construction de pistes rurales en cours pour finaliser et réceptionner 8,3 km dans la région de Thiès</t>
  </si>
  <si>
    <r>
      <t>§</t>
    </r>
    <r>
      <rPr>
        <sz val="7"/>
        <color theme="1"/>
        <rFont val="Times New Roman"/>
        <family val="1"/>
      </rPr>
      <t xml:space="preserve">  </t>
    </r>
    <r>
      <rPr>
        <b/>
        <sz val="11"/>
        <color theme="1"/>
        <rFont val="Arial Narrow"/>
        <family val="2"/>
      </rPr>
      <t>Piste TR02</t>
    </r>
    <r>
      <rPr>
        <sz val="11"/>
        <color theme="1"/>
        <rFont val="Arial Narrow"/>
        <family val="2"/>
      </rPr>
      <t xml:space="preserve"> : cf Rte (Thiès -Mont Roland) - Pallo Youga -Pallo Dial : 5,140 km : (Av des travaux : 78 %) - Finition couche de roulement réalisé sur 4,94 km, soit à 96% (reste les ouvrages, perrés et signalisation).</t>
    </r>
  </si>
  <si>
    <r>
      <t>§</t>
    </r>
    <r>
      <rPr>
        <sz val="7"/>
        <color theme="1"/>
        <rFont val="Times New Roman"/>
        <family val="1"/>
      </rPr>
      <t xml:space="preserve">  </t>
    </r>
    <r>
      <rPr>
        <b/>
        <sz val="11"/>
        <color theme="1"/>
        <rFont val="Arial Narrow"/>
        <family val="2"/>
      </rPr>
      <t>Piste TR01</t>
    </r>
    <r>
      <rPr>
        <sz val="11"/>
        <color theme="1"/>
        <rFont val="Arial Narrow"/>
        <family val="2"/>
      </rPr>
      <t xml:space="preserve"> : "Ndiaye Bopp - Kémaye - Thiaye « : 7,426 Km : (Av des travaux : 70 %) : * Finition couche de roulement : réalisé sur 7,3 km, soit 98%. (il reste reste les ouvrages, perrés et signalisation) **Bretelle de Ngokh : 1,446 KM * Finition couche de roulement : réalisé sur 1,446 km soit 100%.</t>
    </r>
  </si>
  <si>
    <r>
      <t>§</t>
    </r>
    <r>
      <rPr>
        <sz val="7"/>
        <color theme="1"/>
        <rFont val="Times New Roman"/>
        <family val="1"/>
      </rPr>
      <t xml:space="preserve">  </t>
    </r>
    <r>
      <rPr>
        <b/>
        <sz val="11"/>
        <color theme="1"/>
        <rFont val="Arial Narrow"/>
        <family val="2"/>
      </rPr>
      <t>Piste TR03</t>
    </r>
    <r>
      <rPr>
        <sz val="11"/>
        <color theme="1"/>
        <rFont val="Arial Narrow"/>
        <family val="2"/>
      </rPr>
      <t xml:space="preserve"> : Route des Niayes - Keur Pathé Ndiaye -keur Dialal et bretelle vers le centre « PROJET VITAGRO " : 4 km : travaux non démarrés.</t>
    </r>
  </si>
  <si>
    <t>Poursuivre et finaliser les travaux de construction de 10 km de pistes rurales dans la région de Fatick</t>
  </si>
  <si>
    <t>Avancement des travaux : 31 %</t>
  </si>
  <si>
    <r>
      <t>Piste TR04</t>
    </r>
    <r>
      <rPr>
        <sz val="11"/>
        <rFont val="Arial Narrow"/>
        <family val="2"/>
      </rPr>
      <t xml:space="preserve"> : Toucar-Ndock-Ngoning-Bari-Ngangarlam : 10,656 km : Approvisionnement couche de roulement : 3,3 km, soit 31% Les travaux sont à l’arrêt.</t>
    </r>
  </si>
  <si>
    <t>Poursuivre les travaux de construction de pistes rurales de 31 km dans la région de Diourbel et en réceptionner 19 km</t>
  </si>
  <si>
    <t>Avancement des travaux : 20%</t>
  </si>
  <si>
    <r>
      <t xml:space="preserve">Piste TR05 :  </t>
    </r>
    <r>
      <rPr>
        <sz val="11"/>
        <rFont val="Arial Narrow"/>
        <family val="2"/>
      </rPr>
      <t>Rond-Point Touba -Touba Fall - Gueeb Fall: 13,670 km &amp; les bretelles: Touba Fall - Mérina Touré - Kawsara (2,092 km); Touba Ndiawldu (1,094 km)  et la Bretelle Marabou (0,850 km) : soit 17,706 km (Av des travaux : 0 %)  Passation de marché bouclée. Travaux non encore démarrés par l’entreprise.</t>
    </r>
  </si>
  <si>
    <t>Finaliser les travaux de génie civil de 24 centrales solaires</t>
  </si>
  <si>
    <t>Sur les 19 centrales en cours de travaux, le génie civil est finalisé pour 13 sites.</t>
  </si>
  <si>
    <t xml:space="preserve">01 système terminé et mis en service </t>
  </si>
  <si>
    <t>05 systèmes en cours de travaux avec un avancement de 90%.</t>
  </si>
  <si>
    <t>Equipement d'exhaure réceptionnés et en attente paiement décomptes pour procéder à la pose des équipements.</t>
  </si>
  <si>
    <t>Finaliser les travaux de 02 forages MFT et assurer la mise en service de 02 systèmes mono-village</t>
  </si>
  <si>
    <t>Travaux de forages finalisés et réceptionnés.</t>
  </si>
  <si>
    <t>Poursuivre les travaux de construction de 20 postes de santé équipés dont au moins 04 seront finalisés</t>
  </si>
  <si>
    <t>Finaliser les procédures de passation de marché et démarrer les travaux de construction des postes de santé dans les régions de Ziguinchor (05), Sédhiou (05), Tambacounda (03) et Kédougou (03.</t>
  </si>
  <si>
    <r>
      <t>§</t>
    </r>
    <r>
      <rPr>
        <sz val="7"/>
        <color theme="1"/>
        <rFont val="Times New Roman"/>
        <family val="1"/>
      </rPr>
      <t xml:space="preserve">  </t>
    </r>
    <r>
      <rPr>
        <sz val="11"/>
        <color theme="1"/>
        <rFont val="Arial Narrow"/>
        <family val="2"/>
      </rPr>
      <t>Pour les lots 1 (Ziguinchor :05) et 2 (Sédhiou :05) : les DAO sont relancés après résiliation des contrats initiaux. Les nouvelles propositions d'attribution sont envoyées au FSD pour ANO.</t>
    </r>
  </si>
  <si>
    <r>
      <t>§</t>
    </r>
    <r>
      <rPr>
        <sz val="7"/>
        <color theme="1"/>
        <rFont val="Times New Roman"/>
        <family val="1"/>
      </rPr>
      <t xml:space="preserve">  </t>
    </r>
    <r>
      <rPr>
        <sz val="11"/>
        <color theme="1"/>
        <rFont val="Arial Narrow"/>
        <family val="2"/>
      </rPr>
      <t>Pour le lot 3 (Tambacounda :03) et (Kédougou :03) : Le projet de contrat pour le second moins-disant a été envoyé au FSD pour ANO après résiliation du contrat initial.</t>
    </r>
  </si>
  <si>
    <t>Les contrats signés et enregistrés et bon de commande émis pour le lot 4 de Fatick</t>
  </si>
  <si>
    <t>Démarrer les travaux de construction des abris pour abriter 15 plateformes pour finaliser au moins 05 plateformes.</t>
  </si>
  <si>
    <t>La procédure de passation de marché est bouclée. Le Projet de contrat pour les travaux, la fourniture et l’installation des équipements est envoyé au FSD pour ANO.</t>
  </si>
  <si>
    <t>Finaliser les procédures de passation de marché pour l'assistance technique aux opérateurs et gestionnaires des plateformes</t>
  </si>
  <si>
    <t>Rapport d'évaluation en cours de finalisation</t>
  </si>
  <si>
    <t>Mettre en place 25 bio digesteurs équipés</t>
  </si>
  <si>
    <r>
      <t xml:space="preserve">Avancement des travaux </t>
    </r>
    <r>
      <rPr>
        <sz val="11"/>
        <rFont val="Arial Narrow"/>
        <family val="2"/>
      </rPr>
      <t>:</t>
    </r>
  </si>
  <si>
    <t>Projet d’Electrification de 2000 villages</t>
  </si>
  <si>
    <t>Poursuivre les travaux d'électrification de villages et en finaliser au moins 110</t>
  </si>
  <si>
    <t>Sur un objectif de 22 villages prévus au premier trimestre, 58 ont été finalisés</t>
  </si>
  <si>
    <t>Ainsi, sur 1 660 villages prévus en phase prioritaire, 1 348 ont été engagés. Sur ce lot de villages engagés, les 844 ont été finalisés parmi lesquels 724 sont mis en service. 186 autres villages sont en cours de travaux.</t>
  </si>
  <si>
    <t>Dorsales électriques</t>
  </si>
  <si>
    <t>Poursuivre les travaux en cours pour finaliser et réceptionner la dorsale électrique   dorsale électrique « Bandafassi – Salémata (56 km de ligne MT principale) ».</t>
  </si>
  <si>
    <r>
      <t>Les travaux de la dorsale éléctrique « Fafacourou- Dabo – Coumbacara (53 km) » sont finalisés et sont en attente de réception.</t>
    </r>
    <r>
      <rPr>
        <sz val="11"/>
        <color rgb="FFFFFFFF"/>
        <rFont val="Calibri"/>
        <family val="2"/>
        <scheme val="minor"/>
      </rPr>
      <t xml:space="preserve"> </t>
    </r>
  </si>
  <si>
    <t>Les travaux de la dorsale électrique « Bandafassi – Salémata (56 km de ligne MT principale) » sont en cours avec un avancement de 54%.</t>
  </si>
  <si>
    <t>04 forages sont finalisés et réceptionnés
02  forages finalisés en attente de reception 
03  non démarré et 02 en cours de  travaux</t>
  </si>
  <si>
    <t>04 Systèmes finalisés et les équipements d’exhaure réceptionnés en attente pose.</t>
  </si>
  <si>
    <t>Travaux en cours avec un avancement de 100 % pour les gros œuvres.
OS de suspension depuis janvier pour defaut de paiement délais restant 3 mois.
Retard noté dans le paiement des décomptes (07mois)</t>
  </si>
  <si>
    <t>Lot 1 :  fabrication des 125 moulins à céréales équipés de moteurs diésel en cours. Un ordre de service de suspension a été servi à l'entreprise, le temps que les moteurs soient réceptionnés pour la poursuite de la fabrication des moulins.</t>
  </si>
  <si>
    <r>
      <t>Chateau d'eau</t>
    </r>
    <r>
      <rPr>
        <sz val="10"/>
        <rFont val="Arial Narrow"/>
        <family val="2"/>
      </rPr>
      <t xml:space="preserve"> : 4 finalisés </t>
    </r>
  </si>
  <si>
    <t>Nombre d’emplois créés dans le domaine de l’économie verte</t>
  </si>
  <si>
    <t xml:space="preserve">20 emplois crées </t>
  </si>
  <si>
    <t xml:space="preserve">Nombre d’hectares reboisés  </t>
  </si>
  <si>
    <t>428,6 ha de terres dégradées sous restauration dont 310, 10 ha de mise en défens pour la restauration de terres communautaires réalisés et sécurisés par des arrêtés préfectoraux pour certains sites ; 118,5 ha de forêts dégradées enrichies, 07,6 ha de mangrove reboisés.</t>
  </si>
  <si>
    <t>Piste : Mboro (12,5 km) :  95%</t>
  </si>
  <si>
    <r>
      <t xml:space="preserve">Travaux additionnels : 
Piste (Tassette) : </t>
    </r>
    <r>
      <rPr>
        <sz val="9"/>
        <rFont val="Arial Narrow"/>
        <family val="2"/>
      </rPr>
      <t>Pout Dagné - Keur Birame - Mbousnakh :  et bretelles vers la ferme avicole et à la cité religieux de Tassette : 10,8 km. Approvisionnement de la couche de roulement :  réalisé sur 8 km, soit 74%.</t>
    </r>
  </si>
  <si>
    <r>
      <t>Travaux additionnels "Piste : Nayobé-Pété Ouarack (6,1 km) : Travaux finalisés,</t>
    </r>
    <r>
      <rPr>
        <sz val="9"/>
        <rFont val="Arial Narrow"/>
        <family val="2"/>
      </rPr>
      <t xml:space="preserve"> Travaux restants: Ralentisseurs et signalisation.</t>
    </r>
    <r>
      <rPr>
        <b/>
        <sz val="9"/>
        <rFont val="Arial Narrow"/>
        <family val="2"/>
      </rPr>
      <t xml:space="preserve">
Pour la Piste " Doundodji - Gouye Diéry, 14 km : Travaux non démarrés.</t>
    </r>
  </si>
  <si>
    <t xml:space="preserve">Les travaux sont en cours avec un avancement moyen de 45%.
Suspension des travaux depuis fevrier a cause du retrad noté dans le paiement </t>
  </si>
  <si>
    <r>
      <t xml:space="preserve">Avancement moyen des travaux : 55%.
</t>
    </r>
    <r>
      <rPr>
        <sz val="11"/>
        <rFont val="Arial Narrow"/>
        <family val="2"/>
      </rPr>
      <t>L’entreprise en charge des travaux est défaillante et le contrat a été résilié. 
Le nouveau contrat est signé et attribué au deuxième moins disant en attente de demarrage</t>
    </r>
  </si>
  <si>
    <t>Acquérir les équipements hospitaliers/mobiliers de bureau des 19 postes de santé du projet</t>
  </si>
  <si>
    <r>
      <rPr>
        <b/>
        <sz val="11"/>
        <rFont val="Arial Narrow"/>
        <family val="2"/>
      </rPr>
      <t>Equipements hospitaliers :</t>
    </r>
    <r>
      <rPr>
        <sz val="11"/>
        <rFont val="Arial Narrow"/>
        <family val="2"/>
      </rPr>
      <t xml:space="preserve"> Marché signé et enregistré et équipement en cours de livraison
</t>
    </r>
    <r>
      <rPr>
        <b/>
        <sz val="11"/>
        <rFont val="Arial Narrow"/>
        <family val="2"/>
      </rPr>
      <t xml:space="preserve">Mobiliers de bureau </t>
    </r>
    <r>
      <rPr>
        <sz val="11"/>
        <rFont val="Arial Narrow"/>
        <family val="2"/>
      </rPr>
      <t xml:space="preserve">:   Réception provisoire effectuée.
</t>
    </r>
  </si>
  <si>
    <t>Les travaux sont en cours avec un avancement 25% pour les gros œuvres. 
Travaux à l'arrêt suite à la remise d’un OS de suspension du fait des retards importants noté dans le paiement des décomptes.</t>
  </si>
  <si>
    <r>
      <rPr>
        <b/>
        <sz val="11"/>
        <rFont val="Arial Narrow"/>
        <family val="2"/>
      </rPr>
      <t xml:space="preserve">Avancement des travaux : 70%. </t>
    </r>
    <r>
      <rPr>
        <sz val="11"/>
        <rFont val="Arial Narrow"/>
        <family val="2"/>
      </rPr>
      <t xml:space="preserve">
Entreprise défaillante et contrat résilié et attribué au deuxième moins disant  et travaux </t>
    </r>
  </si>
  <si>
    <r>
      <t>Avancement des travaux</t>
    </r>
    <r>
      <rPr>
        <sz val="11"/>
        <rFont val="Arial Narrow"/>
        <family val="2"/>
      </rPr>
      <t xml:space="preserve"> : 78%. </t>
    </r>
    <r>
      <rPr>
        <b/>
        <sz val="11"/>
        <rFont val="Arial Narrow"/>
        <family val="2"/>
      </rPr>
      <t xml:space="preserve">
</t>
    </r>
    <r>
      <rPr>
        <sz val="11"/>
        <rFont val="Arial Narrow"/>
        <family val="2"/>
      </rPr>
      <t>Entreprise défaillante et contrat résilié et attribué au deuxième moins disant.</t>
    </r>
  </si>
  <si>
    <t>ROM Validé et enquêtes en cours</t>
  </si>
  <si>
    <r>
      <t xml:space="preserve">Niveau d’exécution des travaux évalué à 30% [très faible par rapport au délai consommé de 17 mois (soit 94%)]. </t>
    </r>
    <r>
      <rPr>
        <sz val="11"/>
        <color rgb="FFFF0000"/>
        <rFont val="Arial Narrow"/>
        <family val="2"/>
      </rPr>
      <t>Travaux à l'arrêt depuis le 09 janvier 2025.</t>
    </r>
  </si>
  <si>
    <t>La procédure de passation de marché est bouclée et le contrat en cours de signature. Les études d’exécution sont en phase de démarrage.
Le démarrage des travaux est assujetti à la validation de la demande de prolongation de la date de clôture du projet, du fait que les délais d’exécution vont au-delà de la date prévue pour la clôture du projet.</t>
  </si>
  <si>
    <r>
      <t>Forages</t>
    </r>
    <r>
      <rPr>
        <sz val="11"/>
        <rFont val="Arial Narrow"/>
        <family val="2"/>
      </rPr>
      <t xml:space="preserve"> : Travaux en cours avec 02 forages réceptionnés. </t>
    </r>
    <r>
      <rPr>
        <b/>
        <sz val="11"/>
        <rFont val="Arial Narrow"/>
        <family val="2"/>
      </rPr>
      <t xml:space="preserve">
Chateau d'eau : Travaux suspendus en attente de l'attestation de non engagement délivré par la banque de l'entreprise.</t>
    </r>
  </si>
  <si>
    <r>
      <t>§</t>
    </r>
    <r>
      <rPr>
        <sz val="7"/>
        <color theme="1"/>
        <rFont val="Times New Roman"/>
        <family val="1"/>
      </rPr>
      <t xml:space="preserve">  </t>
    </r>
    <r>
      <rPr>
        <sz val="11"/>
        <color theme="1"/>
        <rFont val="Arial Narrow"/>
        <family val="2"/>
      </rPr>
      <t xml:space="preserve">Thiès : 92 % </t>
    </r>
  </si>
  <si>
    <r>
      <t>§</t>
    </r>
    <r>
      <rPr>
        <sz val="7"/>
        <color theme="1"/>
        <rFont val="Times New Roman"/>
        <family val="1"/>
      </rPr>
      <t xml:space="preserve">  </t>
    </r>
    <r>
      <rPr>
        <sz val="11"/>
        <color theme="1"/>
        <rFont val="Arial Narrow"/>
        <family val="2"/>
      </rPr>
      <t>Fatick : 90 %</t>
    </r>
  </si>
  <si>
    <r>
      <t>§</t>
    </r>
    <r>
      <rPr>
        <sz val="7"/>
        <color theme="1"/>
        <rFont val="Times New Roman"/>
        <family val="1"/>
      </rPr>
      <t xml:space="preserve">  </t>
    </r>
    <r>
      <rPr>
        <sz val="11"/>
        <color theme="1"/>
        <rFont val="Arial Narrow"/>
        <family val="2"/>
      </rPr>
      <t>Kaffrine : 49 %</t>
    </r>
  </si>
  <si>
    <r>
      <t>§</t>
    </r>
    <r>
      <rPr>
        <sz val="7"/>
        <color theme="1"/>
        <rFont val="Times New Roman"/>
        <family val="1"/>
      </rPr>
      <t xml:space="preserve">  </t>
    </r>
    <r>
      <rPr>
        <sz val="11"/>
        <color theme="1"/>
        <rFont val="Arial Narrow"/>
        <family val="2"/>
      </rPr>
      <t>Kaolack : 36 %</t>
    </r>
  </si>
  <si>
    <t>La procédure de passation de marché pour l’acquisition des équipements des postes de santé est bouclée. Les contrats sont signés et engagés.Bon de commande delivré depuis XXX</t>
  </si>
  <si>
    <t>Avancement global : 45%
Travaux de gros œuvre finalisés.</t>
  </si>
  <si>
    <t>Pour ce qui est du recrutement des prestataires pour l'équipement des 10 PTA, le DAO est lancé et l’ouverture des plis est prévue au 20 mai.</t>
  </si>
  <si>
    <t>L’ensemble des sous-projets sont soumis à un screening environnemental réalisé en collaboration avec les DIREC</t>
  </si>
  <si>
    <t>Pour les zones Nord, Centre et Sud-Est, les consultations ont démarrés et suspendu du fait que la liste des bénéficiaires n’est encore stabilisée en interne.
La poursuite des activités est assujettie à la stabilisation de la liste finale des bénéficiaires.</t>
  </si>
  <si>
    <t> PTBA approuvé entre les deux structures.
La première demande de décaissement de l’ANRAC n’est pas encore engagée par la BAD.</t>
  </si>
  <si>
    <r>
      <t>§</t>
    </r>
    <r>
      <rPr>
        <sz val="7"/>
        <color rgb="FF00B050"/>
        <rFont val="Times New Roman"/>
        <family val="1"/>
      </rPr>
      <t xml:space="preserve">  </t>
    </r>
    <r>
      <rPr>
        <sz val="11"/>
        <color rgb="FF00B050"/>
        <rFont val="Arial Narrow"/>
        <family val="2"/>
      </rPr>
      <t>Piste : Syll -Boustane -Darou Salam :(18,808 km) (Avancement des travaux : 89 %) ; Couche de roulement et OH : réalisés à 100%. il reste les perrés et la signalisation.</t>
    </r>
  </si>
  <si>
    <r>
      <t>§</t>
    </r>
    <r>
      <rPr>
        <sz val="7"/>
        <color theme="1"/>
        <rFont val="Times New Roman"/>
        <family val="1"/>
      </rPr>
      <t xml:space="preserve">  </t>
    </r>
    <r>
      <rPr>
        <sz val="11"/>
        <color theme="1"/>
        <rFont val="Arial Narrow"/>
        <family val="2"/>
      </rPr>
      <t>Piste : Méréto -Sillamé-Pétèle Body : 27 km (Avancement des travaux : 20%) ;</t>
    </r>
  </si>
  <si>
    <r>
      <t>§</t>
    </r>
    <r>
      <rPr>
        <sz val="7"/>
        <color rgb="FF00B050"/>
        <rFont val="Times New Roman"/>
        <family val="1"/>
      </rPr>
      <t xml:space="preserve">  </t>
    </r>
    <r>
      <rPr>
        <sz val="11"/>
        <color rgb="FF00B050"/>
        <rFont val="Arial Narrow"/>
        <family val="2"/>
      </rPr>
      <t>Piste : Maka Bélél –Paffa : 27 km : (Avancement des trvx : 54 %) ; Couche de roulement : réalisé à 80%</t>
    </r>
  </si>
  <si>
    <r>
      <t>§</t>
    </r>
    <r>
      <rPr>
        <sz val="7"/>
        <color theme="1"/>
        <rFont val="Times New Roman"/>
        <family val="1"/>
      </rPr>
      <t xml:space="preserve">  </t>
    </r>
    <r>
      <rPr>
        <sz val="11"/>
        <color theme="1"/>
        <rFont val="Arial Narrow"/>
        <family val="2"/>
      </rPr>
      <t>Piste : Ndioum Ngainth –khour Ndoubé : 9 km (Avancement des travaux : 20 %) ;</t>
    </r>
  </si>
  <si>
    <t>Avancement des travaux : 70 %</t>
  </si>
  <si>
    <t>Finaliser les travaux de 06 systèmes multi villages et assurer leur mise en service</t>
  </si>
  <si>
    <t>Attente pose des équipements d’exhaure pour procéder à la mise en service.</t>
  </si>
  <si>
    <t>Les travaux sont en cours sur les 04 postes de santé prévus dans la région de Fatick avec un avancement moyen de 95% pour le génie civil.</t>
  </si>
  <si>
    <r>
      <t>§</t>
    </r>
    <r>
      <rPr>
        <sz val="7"/>
        <color rgb="FFFF0000"/>
        <rFont val="Times New Roman"/>
        <family val="1"/>
      </rPr>
      <t xml:space="preserve">  </t>
    </r>
    <r>
      <rPr>
        <sz val="11"/>
        <color rgb="FFFF0000"/>
        <rFont val="Arial Narrow"/>
        <family val="2"/>
      </rPr>
      <t>08 avec un niveau d'avancement de 75% et 17 (20%).</t>
    </r>
  </si>
  <si>
    <r>
      <t>§</t>
    </r>
    <r>
      <rPr>
        <sz val="7"/>
        <color rgb="FFFF0000"/>
        <rFont val="Times New Roman"/>
        <family val="1"/>
      </rPr>
      <t xml:space="preserve">  </t>
    </r>
    <r>
      <rPr>
        <sz val="11"/>
        <color rgb="FFFF0000"/>
        <rFont val="Arial Narrow"/>
        <family val="2"/>
      </rPr>
      <t>Travaux à l'arrêt sur tous les sites</t>
    </r>
  </si>
  <si>
    <t>Région</t>
  </si>
  <si>
    <t>Observations/Avanvcement travaux en cours sur les régions concernées</t>
  </si>
  <si>
    <t>Thiès (28.5km)
Sédhiou (60.8 km)
Kolda (56.12 km)
Louga (21 km)</t>
  </si>
  <si>
    <r>
      <t xml:space="preserve">Thiès (22.5 km) (95%)
 Louga (6,1km) (99%). 
</t>
    </r>
    <r>
      <rPr>
        <sz val="10"/>
        <color rgb="FFFF0000"/>
        <rFont val="Arial Narrow"/>
        <family val="2"/>
      </rPr>
      <t>En attente de démarrage:</t>
    </r>
    <r>
      <rPr>
        <sz val="10"/>
        <color theme="1"/>
        <rFont val="Arial Narrow"/>
        <family val="2"/>
      </rPr>
      <t xml:space="preserve">
</t>
    </r>
    <r>
      <rPr>
        <sz val="10"/>
        <color rgb="FF0070C0"/>
        <rFont val="Arial Narrow"/>
        <family val="2"/>
      </rPr>
      <t>Louga:</t>
    </r>
    <r>
      <rPr>
        <sz val="10"/>
        <color theme="1"/>
        <rFont val="Arial Narrow"/>
        <family val="2"/>
      </rPr>
      <t xml:space="preserve">
Piste " Doundodji - NGouye Diéry: 14 km: ( travaux non démarré): ( Av  des travaux : 0%)</t>
    </r>
  </si>
  <si>
    <t>Fatick (41,5 km)
Louga (33 km)
Kaffrine (85 km)</t>
  </si>
  <si>
    <t>Thiès (66,5km) (30%).
Diourbel (30.2 Km) (32%)
Kaolack (29.5 km) (27%)</t>
  </si>
  <si>
    <t xml:space="preserve">   </t>
  </si>
  <si>
    <r>
      <rPr>
        <b/>
        <sz val="10"/>
        <color theme="1"/>
        <rFont val="Arial Narrow"/>
        <family val="2"/>
      </rPr>
      <t>189 km sont en cours d’exécution dont :</t>
    </r>
    <r>
      <rPr>
        <sz val="10"/>
        <color theme="1"/>
        <rFont val="Arial Narrow"/>
        <family val="2"/>
      </rPr>
      <t xml:space="preserve">
Kaffrine (77.2km) (51%)
Tambacounda (46.5km) (54%)
Thiès (12.8 km) (74%)
Fatick (10 km) (31%)
Saint-Louis (23.5 km) (49%)
</t>
    </r>
    <r>
      <rPr>
        <sz val="10"/>
        <color rgb="FFFF0000"/>
        <rFont val="Arial Narrow"/>
        <family val="2"/>
      </rPr>
      <t>67 km non démarré dont :</t>
    </r>
    <r>
      <rPr>
        <sz val="10"/>
        <color theme="1"/>
        <rFont val="Arial Narrow"/>
        <family val="2"/>
      </rPr>
      <t xml:space="preserve">
Kaffrine (7km)
Tamba (6.8km)
Thiès (4Km)
Diourbel (31km)
Louga (37km) </t>
    </r>
  </si>
  <si>
    <r>
      <rPr>
        <sz val="10"/>
        <rFont val="Arial Narrow"/>
        <family val="2"/>
      </rPr>
      <t xml:space="preserve">Louga (34km) : </t>
    </r>
    <r>
      <rPr>
        <sz val="10"/>
        <color theme="1"/>
        <rFont val="Arial Narrow"/>
        <family val="2"/>
      </rPr>
      <t xml:space="preserve">
Etudes d'exécution des travaux sont finalisés et les travaux démarrés.</t>
    </r>
  </si>
  <si>
    <t xml:space="preserve">BID </t>
  </si>
  <si>
    <t xml:space="preserve">Kolda (22)
Sédhiou (05)
Ziguinchor (15) </t>
  </si>
  <si>
    <t>Travaux finalisés</t>
  </si>
  <si>
    <r>
      <rPr>
        <sz val="10"/>
        <color rgb="FFFF0000"/>
        <rFont val="Arial Narrow"/>
        <family val="2"/>
      </rPr>
      <t>Le contrat approuvé et travaux en attente de démarrage dans les régions</t>
    </r>
    <r>
      <rPr>
        <sz val="10"/>
        <color theme="1"/>
        <rFont val="Arial Narrow"/>
        <family val="2"/>
      </rPr>
      <t xml:space="preserve">
Fatick (02) 
Kédougou (10) 
 Kolda (04)
Matam (02)
Sédhiou (01) 
Tambacounda (05)
Ziguinchor (02)</t>
    </r>
  </si>
  <si>
    <r>
      <rPr>
        <b/>
        <sz val="10"/>
        <color theme="1"/>
        <rFont val="Arial Narrow"/>
        <family val="2"/>
      </rPr>
      <t>Travaux en cours d'exécution:</t>
    </r>
    <r>
      <rPr>
        <sz val="10"/>
        <color theme="1"/>
        <rFont val="Arial Narrow"/>
        <family val="2"/>
      </rPr>
      <t xml:space="preserve">
Matam (4)
Saint-Louis (3) 
Tambacounda (13)
 Ziguinchor (4)</t>
    </r>
  </si>
  <si>
    <t>844 villages finalisés dont 724 villages mis en service 
209 villages en cours de travaux.</t>
  </si>
  <si>
    <r>
      <rPr>
        <b/>
        <sz val="10"/>
        <color theme="1"/>
        <rFont val="Arial Narrow"/>
        <family val="2"/>
      </rPr>
      <t>Dorasales finalisés : 
Simbandi balante – Sonako:Mis en service  17km
Fafacourou- Dabo – Cambacara 53km
Ndiambour-Niakhène : 25 km
Ndioum – Linguère : 187km</t>
    </r>
    <r>
      <rPr>
        <sz val="10"/>
        <color theme="1"/>
        <rFont val="Arial Narrow"/>
        <family val="2"/>
      </rPr>
      <t xml:space="preserve">
Bandafassi –Salamata (56 km de ligne MT principale » et qui polarise 32 villages à électrifier (70%)</t>
    </r>
  </si>
  <si>
    <t xml:space="preserve">Tamba (06)
Kédougou (14). </t>
  </si>
  <si>
    <t>En attente de démarrage
Kédougou (05) 
Il reste la pose des équipements d'exhaure sur 06 sites</t>
  </si>
  <si>
    <t>Kédougou (05)
Tamba (05)</t>
  </si>
  <si>
    <t>Il reste la pose des équipements d'exhaure</t>
  </si>
  <si>
    <t>Diourbel (04)
Fatick (01)
Kolda (15)
Sédhiou (10) 
Louga (01)</t>
  </si>
  <si>
    <t xml:space="preserve">Kaffrine (04)
Kolda (05)
Louga (06)
Matam (02)
Saint Louis (05)
Tamba (06)
Thiès (03) </t>
  </si>
  <si>
    <t>Travaux en cours pour les forages avec 02 déjà receptionnés</t>
  </si>
  <si>
    <t xml:space="preserve">Kaffrine (06)
Matam (02)
Kaffrine (01
Louga (01)
Kaolack (01)
</t>
  </si>
  <si>
    <t xml:space="preserve">Louga (10)
Saint Louis (02)
Diourbel (02)
Matam (02)
Kaffrine (02)
Tamba (01)
Thies (06)
</t>
  </si>
  <si>
    <t xml:space="preserve">Travaux en cours sur le reste </t>
  </si>
  <si>
    <t>Diourbel (03)
Kolda (15)
Sédhiou (10) 
Louga (01)</t>
  </si>
  <si>
    <t xml:space="preserve">
Chateau d'eau : Travaux suspendus en attente de l'attestation de non engagement délivré par la banque de l'entreprise.</t>
  </si>
  <si>
    <t xml:space="preserve">Kaffrine (06)
</t>
  </si>
  <si>
    <t xml:space="preserve">Kaffrine (06)
Les travaux de réalisation des châteaux d’eau sont en cours d’exécution sur les 05 sites avec un avancement moyen de 90%
</t>
  </si>
  <si>
    <t>Kaffrine (02)
Louga (01)
Tamba (01)</t>
  </si>
  <si>
    <r>
      <t xml:space="preserve">Louga (05)
Matam (02)
Thiès (01)
Saint Louis (02)
Diourbel (01)
</t>
    </r>
    <r>
      <rPr>
        <sz val="10"/>
        <color rgb="FF0070C0"/>
        <rFont val="Arial Narrow"/>
        <family val="2"/>
      </rPr>
      <t>4 sites réceptionnés et le reste en cours de travaux</t>
    </r>
  </si>
  <si>
    <t>Diourbel (03)
Kolda (14)
Sédhiou (09) 
Louga (01)</t>
  </si>
  <si>
    <t>Pour ce qui est des 02 systèmes restants, les travaux de châteaux d'eau sont finalisés et la reprise des forages sera réalisée dans le cadre du financement BAD</t>
  </si>
  <si>
    <t>Sédhiou (04)
Ziguinchor (05)
Sur les 40 systèmes multi-villages du projet, les travaux sont finalisés pour 31 systèmes qui sont mis en service. Concernant les travaux de réalisation des 09 forages, le contrat est enregistré et les travaux sont en phase de démarrage</t>
  </si>
  <si>
    <t xml:space="preserve">Kaffrine (06)
Les travaux  des forages sont finalisés et réceptionnés. 
Les travaux de réalisation des châteaux d’eau sont en cours d’exécution sur les 05 sites avec un avancement moyen de 90%
</t>
  </si>
  <si>
    <t>Matam (01)
Diourbel (01)
Saint Luois (01)</t>
  </si>
  <si>
    <r>
      <t xml:space="preserve">Louga (06)
Saint Louis (01)
Matam (01)
Kaffrine (02)
Tamba (01)
Thiès (01)
</t>
    </r>
    <r>
      <rPr>
        <b/>
        <sz val="10"/>
        <color theme="1"/>
        <rFont val="Arial Narrow"/>
        <family val="2"/>
      </rPr>
      <t>Systèmes AEMV :</t>
    </r>
    <r>
      <rPr>
        <sz val="10"/>
        <color theme="1"/>
        <rFont val="Arial Narrow"/>
        <family val="2"/>
      </rPr>
      <t xml:space="preserve"> Forages terminés et châteaux d'eau en cours (03 système mis en service)
</t>
    </r>
    <r>
      <rPr>
        <b/>
        <sz val="10"/>
        <color theme="1"/>
        <rFont val="Arial Narrow"/>
        <family val="2"/>
      </rPr>
      <t>Systèmes à vocation agricoles :</t>
    </r>
    <r>
      <rPr>
        <sz val="10"/>
        <color theme="1"/>
        <rFont val="Arial Narrow"/>
        <family val="2"/>
      </rPr>
      <t xml:space="preserve"> Concernant les systèmes à vocation agricole, sur l’ensemble des 06 sites, les forages sont déjà réalisés et réceptionnés. Les travaux de génie civil sont terminés et réceptionnés dans 04 sites</t>
    </r>
  </si>
  <si>
    <t>Taux d'avancement moyen: 56%
Ziguinchor (05): 20%
Kolda (08) :70%
Séhiou (04) : 78%
L’entreprise en charge des travaux des établissement scolaires dans les régions de Kolda et Sédhiou est défaillante et le contrat résilié et attribué au deuxième moins disant.
Pour Ziguinchor les travaux sont en cours avec un avancement 25% pour les gros œuvres. 
Travaux à l'arrêt suite à la remise d’un OS de suspension du fait des retards importants noté dans le paiement des décomptes.</t>
  </si>
  <si>
    <r>
      <rPr>
        <b/>
        <sz val="10"/>
        <color rgb="FFFF0000"/>
        <rFont val="Arial Narrow"/>
        <family val="2"/>
      </rPr>
      <t>Non démarré.</t>
    </r>
    <r>
      <rPr>
        <sz val="10"/>
        <color theme="1"/>
        <rFont val="Arial Narrow"/>
        <family val="2"/>
      </rPr>
      <t xml:space="preserve">
Attente de la validation de la liste complète par la Direction des Construction Scolaire </t>
    </r>
  </si>
  <si>
    <t>Sédhiou (05)</t>
  </si>
  <si>
    <t>Kolda (10) : : Contrat résilié
Ziguinchor (04) : 45% Suspension des travaux depuis fevrier a cause du retrad noté dans le paiement
L’entreprise en charge des travaux de Kolda (10 postes de santé) L’entreprise en charge des travaux est défaillante et le contrat a été résilié. 
Le nouveau contrat est signé et attribué au deuxième moins disant en attente de demarrage</t>
  </si>
  <si>
    <t>Travaux en cours sur les 20 postes de santé avec un avancement moyen 66% pour le génie civil
Fatick (05) :90%
Thiès (05) : 92%
Kaolack (05): 36%
Kaffrine (05) 49%</t>
  </si>
  <si>
    <t>Thiés (02) : 75%</t>
  </si>
  <si>
    <t xml:space="preserve">Ziguinchor (5) : Contrat résilié
Sedhiou (5) : Contrat résilié
Kédougou (03) Tamba (03) : Contrat résilié
Fatick (4) : 95%
 Pour les lots 1 (Ziguinchor :05) et 2 (Sédhiou :05) : les DAO sont relancés après résiliation des contrats initiaux. Les nouvelles propositions d'attribution sont envoyées au FSD pour ANO.  Pour le lot 3 (Tambacounda :03) et (Kédougou :03) : Le projet de contrat pour le second moins-disant a été envoyé au FSD pour ANO après résiliation du contrat initial.
 Par ailleurs, les équipements hospitaliers et mobiliers pour le lot de Fatick sont en cours de production. </t>
  </si>
  <si>
    <r>
      <t xml:space="preserve">Equipements </t>
    </r>
    <r>
      <rPr>
        <sz val="10"/>
        <color indexed="17"/>
        <rFont val="Arial Narrow"/>
        <family val="2"/>
      </rPr>
      <t>post-récolte</t>
    </r>
    <r>
      <rPr>
        <sz val="10"/>
        <color indexed="8"/>
        <rFont val="Arial Narrow"/>
        <family val="2"/>
      </rPr>
      <t xml:space="preserve"> produits et déployés</t>
    </r>
  </si>
  <si>
    <t>Kolda (109), Sédhiou (82) et Ziguinchor (93)</t>
  </si>
  <si>
    <t>L’ensemble des abris ont été construits par les bénéficiaires. Les comités de gestion sont mis en place et les membres formés aux premières opérations de maintenance.</t>
  </si>
  <si>
    <t>Kolda (70), Sédhiou (96) et Ziguinchor (84)</t>
  </si>
  <si>
    <r>
      <t xml:space="preserve">
Le déploiement des équipements restants est assujetti à la construction des abris de ces équipements, à la mise en place des comités de gestion des équipements, à la formation des membres de ces comités à la gestion des équipements. Ces activités sont en cours de réalisation. La formation sur l’utilisation et la maintenance seront exécutées pendant la livraison et la mise en service des équipements
</t>
    </r>
    <r>
      <rPr>
        <b/>
        <sz val="10"/>
        <color theme="1"/>
        <rFont val="Arial Narrow"/>
        <family val="2"/>
      </rPr>
      <t>237 comités de gestion mise en place dans la zone sud. Pour les autres régions, la mise en place est en cours</t>
    </r>
    <r>
      <rPr>
        <sz val="10"/>
        <color theme="1"/>
        <rFont val="Arial Narrow"/>
        <family val="2"/>
      </rPr>
      <t>.</t>
    </r>
  </si>
  <si>
    <t xml:space="preserve">concernant la production des 175 équipements dans les régions de Kaffrine, Tambacounda, Kédougou et Matam, la fabrication des 50 moulins à céréales équipés de moteurs électriques est terminée. Concernant les 125 moulins à céréales équipés de moteurs diésel, la production est en cours. </t>
  </si>
  <si>
    <t>Fatick (02)
Thiès (01)</t>
  </si>
  <si>
    <t>Il s’agit du magasin de stockage de 300 tonnes et l'unité de transformation d'acajou à Sokone, de l’unité de transformation et du magasin de stockage de 100 tonnes à Séwékhaye et de la plateforme de transformation agro-alimentaire (PTA) de Dioffior. 
Pour les PTA de Dioffior et Séwékhaye, les équipements sont déployés sur site et les tests grandeur nature sont effectués. L’entreprise procédera à leur installation et mise en service au courant de l’année 2025. Pour la PTA de Sokone, le déploiement et l’installation des équipements sont prévus à partir de février 2025.</t>
  </si>
  <si>
    <t>Kaffrine (01)
Kédougou (01)
Louga (01)
Kolda (01)
Tambacounda (01)
Kaolack (01)
Fatick (01)
Louga (01)
Ziguinchor (02)
Les travaux ont démarré avec un niveau d’avancement moyen de 32%. le DAO est lancé et l’ouverture des plis est prévue au 20 mai.</t>
  </si>
  <si>
    <r>
      <rPr>
        <b/>
        <sz val="10"/>
        <color theme="1"/>
        <rFont val="Arial Narrow"/>
        <family val="2"/>
      </rPr>
      <t>Sites: Matam, saint louis, Louga, Kaolack, Diourbel, Fatick, Thiès, Sédhiou et Ziguinchor</t>
    </r>
    <r>
      <rPr>
        <sz val="10"/>
        <color theme="1"/>
        <rFont val="Arial Narrow"/>
        <family val="2"/>
      </rPr>
      <t xml:space="preserve">
La procédure de passation de marché pour la construction d’abris et l’appui en équipements complémentaires de 15 PTA est bouclée. Le projet de contrat pour les travaux, la fourniture et l’installation des équipements est envoyé au FSD pour ANO. Par ailleurs, pour le recrutement d’un cabinet d’assistance technique et l’accompagnement des opérateurs et gestionnaires des 15 plateformes le Rapport d'évaluation en cours de finalisation</t>
    </r>
  </si>
  <si>
    <r>
      <t xml:space="preserve">Périmètres </t>
    </r>
    <r>
      <rPr>
        <sz val="10"/>
        <color indexed="17"/>
        <rFont val="Arial Narrow"/>
        <family val="2"/>
      </rPr>
      <t>horticoles</t>
    </r>
    <r>
      <rPr>
        <sz val="10"/>
        <color indexed="8"/>
        <rFont val="Arial Narrow"/>
        <family val="2"/>
      </rPr>
      <t xml:space="preserve"> aménagés </t>
    </r>
  </si>
  <si>
    <t>Diourbel (01)
Fatick (01)
Kaffrine (01)
Kaolack (02)
Louga (03)
Matam (01)
Tamba (04)
Saint Louis (01)
Thiès (01)
Kolda (19)
Sedhiou (16)</t>
  </si>
  <si>
    <r>
      <t xml:space="preserve">
</t>
    </r>
    <r>
      <rPr>
        <b/>
        <sz val="10"/>
        <color theme="1"/>
        <rFont val="Arial Narrow"/>
        <family val="2"/>
      </rPr>
      <t>Kolda : 69%</t>
    </r>
    <r>
      <rPr>
        <sz val="10"/>
        <color theme="1"/>
        <rFont val="Arial Narrow"/>
        <family val="2"/>
      </rPr>
      <t xml:space="preserve">
Le réseau structurant, les bassins, les robinets et les panneaux solaires sont installés sur les 20 sites
La réalisation du réseau structurant et l’installation des panneaux solaires, des bassins et des robinets sont finalisées sur les 20 sites.  
</t>
    </r>
    <r>
      <rPr>
        <b/>
        <sz val="10"/>
        <color theme="1"/>
        <rFont val="Arial Narrow"/>
        <family val="2"/>
      </rPr>
      <t xml:space="preserve">Sédhiou :  30%  </t>
    </r>
    <r>
      <rPr>
        <sz val="10"/>
        <color theme="1"/>
        <rFont val="Arial Narrow"/>
        <family val="2"/>
      </rPr>
      <t xml:space="preserve">
Fouilles pour les réseaux et début d’installation des bassins.</t>
    </r>
  </si>
  <si>
    <t>Tamba (07), Louga (06), Kaolack (02), Thiès (01), Fatick (01), Diourbel (02), Matam (01), Saint-Louis (01)
Kaffrine (02).
Travaux de 06 mini-forages finalisés en attente de pose d'équipements d’exhaure et 05 en cours de travaux ;
12 équipements d'exhaure réceptionnés au dépôt.
 Travaux en attente de démarrage sur 12 sites.</t>
  </si>
  <si>
    <r>
      <t xml:space="preserve">Thiès (05)
Louga (03)
Kaffrine (02)
Tamba(01)
Matam (01)
</t>
    </r>
    <r>
      <rPr>
        <b/>
        <sz val="10"/>
        <color theme="1"/>
        <rFont val="Arial Narrow"/>
        <family val="2"/>
      </rPr>
      <t xml:space="preserve">Forages : </t>
    </r>
    <r>
      <rPr>
        <sz val="10"/>
        <color theme="1"/>
        <rFont val="Arial Narrow"/>
        <family val="2"/>
      </rPr>
      <t xml:space="preserve"> réalisés et réceptionnés
</t>
    </r>
    <r>
      <rPr>
        <b/>
        <sz val="10"/>
        <color theme="1"/>
        <rFont val="Arial Narrow"/>
        <family val="2"/>
      </rPr>
      <t xml:space="preserve">Génie civil </t>
    </r>
    <r>
      <rPr>
        <sz val="10"/>
        <color theme="1"/>
        <rFont val="Arial Narrow"/>
        <family val="2"/>
      </rPr>
      <t xml:space="preserve">: terminés et réceptionnés dans 04 sites
Clôture et Installation réseau d’irrigation : Travaux finalisés sur 11 sites  </t>
    </r>
  </si>
  <si>
    <t>Fatick (01)
Kaffrine (02)
Kaolack (02)
Tambacounda (07)
Diourbel (02).
Thiès (06)</t>
  </si>
  <si>
    <r>
      <t xml:space="preserve">Louga (09)
Matam (01)
Saint Louis (03)
Thiès (04)
</t>
    </r>
    <r>
      <rPr>
        <sz val="10"/>
        <color rgb="FF000000"/>
        <rFont val="Arial Narrow"/>
        <family val="2"/>
      </rPr>
      <t>Pour les sites restants, les fondations sont entièrement terminées, et les travaux d’élévation sont en cours.</t>
    </r>
  </si>
  <si>
    <t>Volet chaine de Lait</t>
  </si>
  <si>
    <t>Louga (07)
Diourbel (01)</t>
  </si>
  <si>
    <t>Environnement et Economie verte</t>
  </si>
  <si>
    <t xml:space="preserve">Saint-Louis (12)
Louga (05)
Matam (08)
</t>
  </si>
  <si>
    <t>Matam (08)
Saint Louis (12)
Louga (05)
Convention signée avec le PNB pour l'installation des biodigesteurs et l'accompagnement des bénéficiaires en cours d'exécution : 40%</t>
  </si>
  <si>
    <t xml:space="preserve">Pourcentage des sous-projets sont soumis à un screening environnemental et social </t>
  </si>
  <si>
    <t>Tous les projets de la phase 2 finalisés ou en cours sont soumis à un screening environnemental et social</t>
  </si>
  <si>
    <t>Taux de respect de la conformité environnementale au niveau de tous les sites de réalisation de sous-projets</t>
  </si>
  <si>
    <t>Pourcentage de sous-projets ayant satisfait aux clauses environnementales contenues dans le PGES réceptionné</t>
  </si>
  <si>
    <t xml:space="preserve">Ha reboisés </t>
  </si>
  <si>
    <r>
      <t>428,6 ha de terres dégradées sous restauration dont 310, 10 ha de mise en défens pour la restauration de terres communautaires réalisés et sécurisés par des arrêtés préfectoraux pour certains sites
118,5 ha de forêts dégradées enrichies
07,6 ha de mangrove reboisés
-</t>
    </r>
    <r>
      <rPr>
        <b/>
        <sz val="10"/>
        <color theme="1"/>
        <rFont val="Arial Narrow"/>
        <family val="2"/>
      </rPr>
      <t xml:space="preserve">Reboisement : 835 plants reboisés dont 588 vivants, soit un taux de survie de 70%. </t>
    </r>
    <r>
      <rPr>
        <sz val="10"/>
        <color theme="1"/>
        <rFont val="Arial Narrow"/>
        <family val="2"/>
      </rPr>
      <t>11 Groupements de femmes de 755 femmes bénéficiaires sont mobilisés au niveau de 11 villages touchées dans 04 communes. Le premier groupement lauréat a bénéficiera d'un abri de stockage pour leurs équipements post-récolte, tandis que le deuxième a rerecevra un moulin à mil</t>
    </r>
  </si>
  <si>
    <t xml:space="preserve">Objectif </t>
  </si>
  <si>
    <t>(31/12/2025)</t>
  </si>
  <si>
    <t>Depuis le début du programme au T1 2025</t>
  </si>
  <si>
    <t>Depuis le début du programme au T4 2025</t>
  </si>
  <si>
    <t>Cible globale initiale</t>
  </si>
  <si>
    <t>Cible globale révisée</t>
  </si>
  <si>
    <t>Realisation globale au 31/12/2025</t>
  </si>
  <si>
    <t>Cible annuelle PTBA 2025</t>
  </si>
  <si>
    <t>Réalisation annuelle PTBA 2025</t>
  </si>
  <si>
    <t>Taux de Réalisation globale</t>
  </si>
  <si>
    <t xml:space="preserve">Thies (28,5)
Louga (21)
Kolda (56,12)
</t>
  </si>
  <si>
    <t xml:space="preserve">Fatick (41,5 km)
Louga (33 km)
</t>
  </si>
  <si>
    <t>Kaolack (01)
Diourbel (01)</t>
  </si>
  <si>
    <t xml:space="preserve">Fatick (05)
</t>
  </si>
  <si>
    <t>Kolda (22)
Sédhiou (05)
Ziguinchor (15) 
Fatick (10)
Kaolack (52)
Thies (40)
Diourbel (10)
Matam (52)
Saint Louis (4)
Kaffrine (01)
Louga (05)</t>
  </si>
  <si>
    <t>Matam (06)</t>
  </si>
  <si>
    <t>Saint Louis (02)</t>
  </si>
  <si>
    <t>Matam (06)
Saint Louis (04)</t>
  </si>
  <si>
    <t>Kaffrine (01)</t>
  </si>
  <si>
    <t>Kolda (60), Sédhiou (96) et Ziguinchor (84)</t>
  </si>
  <si>
    <t>Fatick (10) 
Ziguinchor (10)
Matam (10)</t>
  </si>
  <si>
    <t>Région 2025</t>
  </si>
  <si>
    <t>Plan de Passation des Marchés</t>
  </si>
  <si>
    <t>PUDC-Budget Etat 2025</t>
  </si>
  <si>
    <t>PUDC-BCI 2025</t>
  </si>
  <si>
    <t>TAUX EXECUTION TECHNIQUE , TAUX EXECUTION BUDGETAIRE, PPM</t>
  </si>
  <si>
    <t>Budget PTBA 2025 en FCFA</t>
  </si>
  <si>
    <t>Taux Ex. Budgétaires</t>
  </si>
  <si>
    <t xml:space="preserve">PUDC-Phase2/ Budget 2025 Etat </t>
  </si>
  <si>
    <t>PUDC-Phase 2 /P.2000 VILLAGES</t>
  </si>
  <si>
    <t>Montant réel décaissé T1</t>
  </si>
  <si>
    <t>Montant réel décaissé T2</t>
  </si>
  <si>
    <t>Montant réel décaissé T3</t>
  </si>
  <si>
    <t>Montant réel décaissé T4</t>
  </si>
  <si>
    <t>Execution technique annuelle PTBA 2025</t>
  </si>
  <si>
    <t xml:space="preserve">Exécution des objectifs annuels du PTBA 2025 par source de financement  et par trimestre </t>
  </si>
  <si>
    <t>Execution budgetaire de la plannification annuelle 2025 par Trimestre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</si>
</sst>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1" formatCode="_-* #,##0\ _C_F_A_-;\-* #,##0\ _C_F_A_-;_-* &quot;-&quot;\ _C_F_A_-;_-@_-"/>
    <numFmt numFmtId="43" formatCode="_-* #,##0.00\ _C_F_A_-;\-* #,##0.00\ _C_F_A_-;_-* &quot;-&quot;??\ _C_F_A_-;_-@_-"/>
    <numFmt numFmtId="164" formatCode="0.0%"/>
    <numFmt numFmtId="165" formatCode="_-* #,##0.00_-;\-* #,##0.00_-;_-* &quot;-&quot;??_-;_-@_-"/>
    <numFmt numFmtId="166" formatCode="_-* #,##0\ _€_-;\-* #,##0\ _€_-;_-* &quot;-&quot;??\ _€_-;_-@_-"/>
    <numFmt numFmtId="167" formatCode="_-* #,##0\ _€_-;\-* #,##0\ _€_-;_-* &quot;-&quot;\ _€_-;_-@_-"/>
    <numFmt numFmtId="168" formatCode="_-* #,##0_-;\-* #,##0_-;_-* &quot;-&quot;_-;_-@_-"/>
    <numFmt numFmtId="170" formatCode="0.000%"/>
  </numFmts>
  <fonts count="184">
    <font>
      <sz val="11"/>
      <color theme="1"/>
      <name val="Calibri"/>
      <family val="2"/>
      <scheme val="minor"/>
    </font>
    <font>
      <sz val="11"/>
      <color theme="1"/>
      <name val="Calibri"/>
      <family val="2"/>
      <scheme val="minor"/>
    </font>
    <font>
      <b/>
      <sz val="11"/>
      <color indexed="8"/>
      <name val="Arial Narrow"/>
      <family val="2"/>
    </font>
    <font>
      <sz val="11"/>
      <color indexed="8"/>
      <name val="Arial Narrow"/>
      <family val="2"/>
    </font>
    <font>
      <b/>
      <sz val="12"/>
      <color indexed="8"/>
      <name val="Arial Narrow"/>
      <family val="2"/>
    </font>
    <font>
      <sz val="12"/>
      <color theme="1"/>
      <name val="Arial Narrow"/>
      <family val="2"/>
    </font>
    <font>
      <sz val="12"/>
      <color indexed="8"/>
      <name val="Arial Narrow"/>
      <family val="2"/>
    </font>
    <font>
      <b/>
      <sz val="12"/>
      <color theme="1"/>
      <name val="Arial Narrow"/>
      <family val="2"/>
    </font>
    <font>
      <sz val="8"/>
      <color theme="1"/>
      <name val="Arial Narrow"/>
      <family val="2"/>
    </font>
    <font>
      <sz val="11"/>
      <color rgb="FF000000"/>
      <name val="Arial Narrow"/>
      <family val="2"/>
    </font>
    <font>
      <sz val="11"/>
      <name val="Arial Narrow"/>
      <family val="2"/>
    </font>
    <font>
      <sz val="11"/>
      <color rgb="FFFF0000"/>
      <name val="Calibri"/>
      <family val="2"/>
      <scheme val="minor"/>
    </font>
    <font>
      <b/>
      <sz val="11"/>
      <color theme="1"/>
      <name val="Calibri"/>
      <family val="2"/>
      <scheme val="minor"/>
    </font>
    <font>
      <b/>
      <sz val="9"/>
      <name val="Arial Narrow"/>
      <family val="2"/>
    </font>
    <font>
      <sz val="9"/>
      <name val="Arial Narrow"/>
      <family val="2"/>
    </font>
    <font>
      <i/>
      <sz val="9"/>
      <name val="Arial Narrow"/>
      <family val="2"/>
    </font>
    <font>
      <sz val="9"/>
      <color rgb="FF000000"/>
      <name val="Arial Narrow"/>
      <family val="2"/>
    </font>
    <font>
      <sz val="9"/>
      <color theme="1"/>
      <name val="Segoe UI"/>
      <family val="2"/>
    </font>
    <font>
      <sz val="9"/>
      <color theme="1"/>
      <name val="Wingdings"/>
      <charset val="2"/>
    </font>
    <font>
      <b/>
      <sz val="9"/>
      <color theme="1"/>
      <name val="Arial Narrow"/>
      <family val="2"/>
    </font>
    <font>
      <sz val="9"/>
      <color theme="1"/>
      <name val="Arial Narrow"/>
      <family val="2"/>
    </font>
    <font>
      <b/>
      <sz val="10"/>
      <name val="Arial Narrow"/>
      <family val="2"/>
    </font>
    <font>
      <sz val="10"/>
      <name val="Arial Narrow"/>
      <family val="2"/>
    </font>
    <font>
      <b/>
      <sz val="14"/>
      <color theme="1"/>
      <name val="Arial Narrow"/>
      <family val="2"/>
    </font>
    <font>
      <b/>
      <sz val="11"/>
      <color theme="1"/>
      <name val="Arial Narrow"/>
      <family val="2"/>
    </font>
    <font>
      <b/>
      <sz val="11"/>
      <name val="Arial Narrow"/>
      <family val="2"/>
    </font>
    <font>
      <b/>
      <i/>
      <sz val="9"/>
      <name val="Arial Narrow"/>
      <family val="2"/>
    </font>
    <font>
      <b/>
      <sz val="9"/>
      <color rgb="FF000000"/>
      <name val="Arial Narrow"/>
      <family val="2"/>
    </font>
    <font>
      <sz val="10"/>
      <color theme="1"/>
      <name val="Arial Narrow"/>
      <family val="2"/>
    </font>
    <font>
      <sz val="10"/>
      <color rgb="FF000000"/>
      <name val="Arial Narrow"/>
      <family val="2"/>
    </font>
    <font>
      <sz val="11"/>
      <color theme="1"/>
      <name val="Arial Narrow"/>
      <family val="2"/>
    </font>
    <font>
      <b/>
      <sz val="10"/>
      <color theme="1"/>
      <name val="Arial Narrow"/>
      <family val="2"/>
    </font>
    <font>
      <sz val="9"/>
      <color theme="1"/>
      <name val="Calibri"/>
      <family val="2"/>
      <scheme val="minor"/>
    </font>
    <font>
      <sz val="16"/>
      <color theme="1"/>
      <name val="Calibri"/>
      <family val="2"/>
      <scheme val="minor"/>
    </font>
    <font>
      <b/>
      <sz val="16"/>
      <color rgb="FFFF0000"/>
      <name val="Calibri"/>
      <family val="2"/>
      <scheme val="minor"/>
    </font>
    <font>
      <sz val="16"/>
      <color theme="1"/>
      <name val="Arial"/>
      <family val="2"/>
    </font>
    <font>
      <b/>
      <sz val="16"/>
      <color theme="1"/>
      <name val="Arial"/>
      <family val="2"/>
    </font>
    <font>
      <b/>
      <sz val="16"/>
      <name val="Arial"/>
      <family val="2"/>
    </font>
    <font>
      <b/>
      <sz val="16"/>
      <color theme="1"/>
      <name val="Calibri"/>
      <family val="2"/>
      <scheme val="minor"/>
    </font>
    <font>
      <b/>
      <sz val="16"/>
      <color rgb="FFFF0000"/>
      <name val="Arial"/>
      <family val="2"/>
    </font>
    <font>
      <b/>
      <sz val="16"/>
      <color theme="8" tint="-0.249977111117893"/>
      <name val="Arial"/>
      <family val="2"/>
    </font>
    <font>
      <b/>
      <sz val="16"/>
      <color theme="5"/>
      <name val="Arial"/>
      <family val="2"/>
    </font>
    <font>
      <b/>
      <sz val="16"/>
      <color theme="4"/>
      <name val="Arial"/>
      <family val="2"/>
    </font>
    <font>
      <b/>
      <sz val="16"/>
      <color theme="5" tint="-0.249977111117893"/>
      <name val="Arial"/>
      <family val="2"/>
    </font>
    <font>
      <b/>
      <sz val="16"/>
      <color rgb="FF00B050"/>
      <name val="Calibri"/>
      <family val="2"/>
      <scheme val="minor"/>
    </font>
    <font>
      <b/>
      <sz val="16"/>
      <color theme="1"/>
      <name val="Calibri"/>
      <family val="2"/>
    </font>
    <font>
      <sz val="16"/>
      <color theme="1"/>
      <name val="Calibri"/>
      <family val="2"/>
    </font>
    <font>
      <b/>
      <sz val="16"/>
      <color rgb="FF0070C0"/>
      <name val="Calibri"/>
      <family val="2"/>
    </font>
    <font>
      <b/>
      <sz val="16"/>
      <color rgb="FFFF0000"/>
      <name val="Calibri"/>
      <family val="2"/>
    </font>
    <font>
      <b/>
      <sz val="16"/>
      <name val="Calibri"/>
      <family val="2"/>
    </font>
    <font>
      <b/>
      <sz val="16"/>
      <color theme="4"/>
      <name val="Calibri"/>
      <family val="2"/>
    </font>
    <font>
      <b/>
      <sz val="16"/>
      <color rgb="FF0070C0"/>
      <name val="Arial"/>
      <family val="2"/>
    </font>
    <font>
      <b/>
      <sz val="9"/>
      <color rgb="FFFF0000"/>
      <name val="Arial Narrow"/>
      <family val="2"/>
    </font>
    <font>
      <b/>
      <sz val="9"/>
      <color indexed="81"/>
      <name val="Tahoma"/>
      <family val="2"/>
    </font>
    <font>
      <sz val="9"/>
      <color indexed="81"/>
      <name val="Tahoma"/>
      <family val="2"/>
    </font>
    <font>
      <b/>
      <sz val="8"/>
      <color rgb="FFFF0000"/>
      <name val="Arial Narrow"/>
      <family val="2"/>
    </font>
    <font>
      <sz val="11"/>
      <color theme="1"/>
      <name val="Times New Roman"/>
      <family val="1"/>
    </font>
    <font>
      <sz val="9"/>
      <color rgb="FFFF0000"/>
      <name val="Arial Narrow"/>
      <family val="2"/>
    </font>
    <font>
      <b/>
      <sz val="10"/>
      <color rgb="FF000000"/>
      <name val="Arial Narrow"/>
      <family val="2"/>
    </font>
    <font>
      <b/>
      <sz val="10"/>
      <color indexed="8"/>
      <name val="Segoe Print"/>
    </font>
    <font>
      <b/>
      <sz val="9"/>
      <color indexed="8"/>
      <name val="Segoe Print"/>
    </font>
    <font>
      <sz val="10"/>
      <color indexed="8"/>
      <name val="Segoe Print"/>
    </font>
    <font>
      <sz val="8"/>
      <color indexed="8"/>
      <name val="Segoe Print"/>
    </font>
    <font>
      <sz val="9"/>
      <color indexed="8"/>
      <name val="Segoe Print"/>
    </font>
    <font>
      <sz val="11"/>
      <color indexed="8"/>
      <name val="Segoe Print"/>
    </font>
    <font>
      <b/>
      <sz val="10"/>
      <name val="Segoe Print"/>
    </font>
    <font>
      <b/>
      <sz val="8"/>
      <color indexed="8"/>
      <name val="Segoe Print"/>
    </font>
    <font>
      <i/>
      <sz val="8"/>
      <color indexed="30"/>
      <name val="Segoe Print"/>
    </font>
    <font>
      <sz val="10"/>
      <name val="Segoe Print"/>
    </font>
    <font>
      <sz val="8"/>
      <color indexed="17"/>
      <name val="Segoe Print"/>
    </font>
    <font>
      <sz val="10"/>
      <color indexed="17"/>
      <name val="Segoe Print"/>
    </font>
    <font>
      <sz val="11"/>
      <color indexed="8"/>
      <name val="Calibri"/>
      <family val="2"/>
    </font>
    <font>
      <b/>
      <sz val="11"/>
      <color rgb="FFFF0000"/>
      <name val="Arial Narrow"/>
      <family val="2"/>
    </font>
    <font>
      <sz val="11"/>
      <color rgb="FFFF0000"/>
      <name val="Arial Narrow"/>
      <family val="2"/>
    </font>
    <font>
      <b/>
      <sz val="9"/>
      <color indexed="8"/>
      <name val="Calibri"/>
      <family val="2"/>
    </font>
    <font>
      <sz val="9"/>
      <color indexed="8"/>
      <name val="Calibri"/>
      <family val="2"/>
    </font>
    <font>
      <sz val="10"/>
      <color indexed="10"/>
      <name val="Segoe Print"/>
    </font>
    <font>
      <sz val="11"/>
      <color indexed="10"/>
      <name val="Segoe Print"/>
    </font>
    <font>
      <i/>
      <sz val="9"/>
      <color indexed="8"/>
      <name val="Segoe Print"/>
    </font>
    <font>
      <i/>
      <sz val="10"/>
      <color indexed="40"/>
      <name val="Segoe Print"/>
    </font>
    <font>
      <b/>
      <sz val="10"/>
      <color indexed="17"/>
      <name val="Segoe Print"/>
    </font>
    <font>
      <b/>
      <sz val="8"/>
      <color indexed="81"/>
      <name val="Tahoma"/>
      <family val="2"/>
    </font>
    <font>
      <sz val="8"/>
      <color indexed="81"/>
      <name val="Tahoma"/>
      <family val="2"/>
    </font>
    <font>
      <b/>
      <i/>
      <sz val="8"/>
      <color indexed="81"/>
      <name val="Tahoma"/>
      <family val="2"/>
    </font>
    <font>
      <sz val="11"/>
      <color rgb="FF00B050"/>
      <name val="Calibri"/>
      <family val="2"/>
      <scheme val="minor"/>
    </font>
    <font>
      <sz val="9"/>
      <color rgb="FF00B050"/>
      <name val="Arial Narrow"/>
      <family val="2"/>
    </font>
    <font>
      <i/>
      <strike/>
      <sz val="9"/>
      <color rgb="FFFF0000"/>
      <name val="Arial Narrow"/>
      <family val="2"/>
    </font>
    <font>
      <sz val="9"/>
      <color theme="1"/>
      <name val="Times New Roman"/>
      <family val="1"/>
    </font>
    <font>
      <sz val="10"/>
      <color rgb="FF000000"/>
      <name val="Calibri"/>
      <family val="2"/>
      <scheme val="minor"/>
    </font>
    <font>
      <sz val="11"/>
      <name val="Times New Roman"/>
      <family val="1"/>
    </font>
    <font>
      <vertAlign val="superscript"/>
      <sz val="10"/>
      <color rgb="FF000000"/>
      <name val="Calibri"/>
      <family val="2"/>
      <scheme val="minor"/>
    </font>
    <font>
      <strike/>
      <sz val="10"/>
      <color rgb="FF000000"/>
      <name val="Calibri"/>
      <family val="2"/>
      <scheme val="minor"/>
    </font>
    <font>
      <sz val="10"/>
      <color rgb="FFFF0000"/>
      <name val="Calibri"/>
      <family val="2"/>
      <scheme val="minor"/>
    </font>
    <font>
      <sz val="11"/>
      <color rgb="FFFF0000"/>
      <name val="Times New Roman"/>
      <family val="1"/>
    </font>
    <font>
      <b/>
      <sz val="8"/>
      <name val="Arial Narrow"/>
      <family val="2"/>
    </font>
    <font>
      <sz val="8"/>
      <name val="Arial Narrow"/>
      <family val="2"/>
    </font>
    <font>
      <sz val="8"/>
      <color theme="1"/>
      <name val="Calibri"/>
      <family val="2"/>
      <scheme val="minor"/>
    </font>
    <font>
      <u/>
      <sz val="11"/>
      <color theme="10"/>
      <name val="Calibri"/>
      <family val="2"/>
      <scheme val="minor"/>
    </font>
    <font>
      <b/>
      <sz val="8"/>
      <color rgb="FF0070C0"/>
      <name val="Arial Narrow"/>
      <family val="2"/>
    </font>
    <font>
      <b/>
      <sz val="8"/>
      <color rgb="FF00B050"/>
      <name val="Arial Narrow"/>
      <family val="2"/>
    </font>
    <font>
      <b/>
      <sz val="8"/>
      <color theme="0"/>
      <name val="Arial Narrow"/>
      <family val="2"/>
    </font>
    <font>
      <sz val="8"/>
      <color rgb="FF0070C0"/>
      <name val="Arial Narrow"/>
      <family val="2"/>
    </font>
    <font>
      <b/>
      <sz val="8"/>
      <color rgb="FF7030A0"/>
      <name val="Arial Narrow"/>
      <family val="2"/>
    </font>
    <font>
      <sz val="8"/>
      <color rgb="FF00B050"/>
      <name val="Arial Narrow"/>
      <family val="2"/>
    </font>
    <font>
      <sz val="8"/>
      <color rgb="FFFF0000"/>
      <name val="Arial Narrow"/>
      <family val="2"/>
    </font>
    <font>
      <b/>
      <i/>
      <sz val="8"/>
      <color theme="1"/>
      <name val="Arial Narrow"/>
      <family val="2"/>
    </font>
    <font>
      <i/>
      <sz val="8"/>
      <color theme="4"/>
      <name val="Arial Narrow"/>
      <family val="2"/>
    </font>
    <font>
      <b/>
      <sz val="8"/>
      <color theme="1"/>
      <name val="Arial Narrow"/>
      <family val="2"/>
    </font>
    <font>
      <sz val="8"/>
      <color rgb="FF002060"/>
      <name val="Arial Narrow"/>
      <family val="2"/>
    </font>
    <font>
      <sz val="8"/>
      <color rgb="FF00B0F0"/>
      <name val="Arial Narrow"/>
      <family val="2"/>
    </font>
    <font>
      <sz val="8"/>
      <color theme="8"/>
      <name val="Arial Narrow"/>
      <family val="2"/>
    </font>
    <font>
      <sz val="8"/>
      <color rgb="FF7030A0"/>
      <name val="Arial Narrow"/>
      <family val="2"/>
    </font>
    <font>
      <b/>
      <u/>
      <sz val="8"/>
      <name val="Arial Narrow"/>
      <family val="2"/>
    </font>
    <font>
      <i/>
      <sz val="8"/>
      <name val="Arial Narrow"/>
      <family val="2"/>
    </font>
    <font>
      <i/>
      <sz val="8"/>
      <color theme="1"/>
      <name val="Arial Narrow"/>
      <family val="2"/>
    </font>
    <font>
      <sz val="8"/>
      <color theme="4" tint="-0.249977111117893"/>
      <name val="Arial Narrow"/>
      <family val="2"/>
    </font>
    <font>
      <b/>
      <sz val="8"/>
      <color theme="4" tint="-0.249977111117893"/>
      <name val="Arial Narrow"/>
      <family val="2"/>
    </font>
    <font>
      <sz val="8"/>
      <color rgb="FF0070C0"/>
      <name val="Calibri"/>
      <family val="2"/>
      <scheme val="minor"/>
    </font>
    <font>
      <sz val="8"/>
      <color theme="4"/>
      <name val="Arial Narrow"/>
      <family val="2"/>
    </font>
    <font>
      <strike/>
      <sz val="9"/>
      <color rgb="FFFF0000"/>
      <name val="Calibri"/>
      <family val="2"/>
      <scheme val="minor"/>
    </font>
    <font>
      <strike/>
      <sz val="8"/>
      <color rgb="FFFF0000"/>
      <name val="Arial Narrow"/>
      <family val="2"/>
    </font>
    <font>
      <b/>
      <u/>
      <sz val="8"/>
      <color rgb="FF0070C0"/>
      <name val="Arial Narrow"/>
      <family val="2"/>
    </font>
    <font>
      <b/>
      <u/>
      <sz val="8"/>
      <color rgb="FF00B050"/>
      <name val="Arial Narrow"/>
      <family val="2"/>
    </font>
    <font>
      <b/>
      <u/>
      <sz val="8"/>
      <color rgb="FFFF0000"/>
      <name val="Arial Narrow"/>
      <family val="2"/>
    </font>
    <font>
      <b/>
      <strike/>
      <sz val="8"/>
      <color rgb="FFFF0000"/>
      <name val="Arial Narrow"/>
      <family val="2"/>
    </font>
    <font>
      <sz val="8"/>
      <name val="Calibri"/>
      <family val="2"/>
      <scheme val="minor"/>
    </font>
    <font>
      <b/>
      <sz val="8"/>
      <color rgb="FF000000"/>
      <name val="Arial Narrow"/>
      <family val="2"/>
    </font>
    <font>
      <sz val="8"/>
      <color rgb="FF000000"/>
      <name val="Arial Narrow"/>
      <family val="2"/>
    </font>
    <font>
      <sz val="8"/>
      <color indexed="81"/>
      <name val="Arial Narrow"/>
      <family val="2"/>
    </font>
    <font>
      <sz val="14"/>
      <color theme="1"/>
      <name val="Arial Narrow"/>
      <family val="2"/>
    </font>
    <font>
      <b/>
      <sz val="12"/>
      <color rgb="FF7030A0"/>
      <name val="Arial Narrow"/>
      <family val="2"/>
    </font>
    <font>
      <b/>
      <sz val="12"/>
      <color rgb="FF00B050"/>
      <name val="Arial Narrow"/>
      <family val="2"/>
    </font>
    <font>
      <b/>
      <sz val="14"/>
      <name val="Arial Narrow"/>
      <family val="2"/>
    </font>
    <font>
      <b/>
      <sz val="11"/>
      <color rgb="FF000000"/>
      <name val="Arial Narrow"/>
      <family val="2"/>
    </font>
    <font>
      <sz val="11"/>
      <name val="Calibri"/>
      <family val="2"/>
      <scheme val="minor"/>
    </font>
    <font>
      <b/>
      <sz val="14"/>
      <color rgb="FF000000"/>
      <name val="Arial Narrow"/>
      <family val="2"/>
    </font>
    <font>
      <sz val="14"/>
      <color rgb="FF000000"/>
      <name val="Symbol"/>
      <family val="1"/>
      <charset val="2"/>
    </font>
    <font>
      <sz val="14"/>
      <color rgb="FF000000"/>
      <name val="Times New Roman"/>
      <family val="1"/>
    </font>
    <font>
      <i/>
      <sz val="14"/>
      <color rgb="FF000000"/>
      <name val="Arial Narrow"/>
      <family val="2"/>
    </font>
    <font>
      <sz val="14"/>
      <color rgb="FF000000"/>
      <name val="Arial Narrow"/>
      <family val="2"/>
    </font>
    <font>
      <sz val="14"/>
      <color theme="1"/>
      <name val="Calibri"/>
      <family val="2"/>
      <scheme val="minor"/>
    </font>
    <font>
      <sz val="11"/>
      <color rgb="FF00B050"/>
      <name val="Arial Narrow"/>
      <family val="2"/>
    </font>
    <font>
      <b/>
      <sz val="8"/>
      <color theme="1"/>
      <name val="Calibri"/>
      <family val="2"/>
      <scheme val="minor"/>
    </font>
    <font>
      <sz val="8"/>
      <color theme="1"/>
      <name val="Wingdings"/>
      <charset val="2"/>
    </font>
    <font>
      <sz val="8"/>
      <color theme="1"/>
      <name val="Times New Roman"/>
      <family val="1"/>
    </font>
    <font>
      <sz val="8"/>
      <color theme="9" tint="-0.249977111117893"/>
      <name val="Arial Narrow"/>
      <family val="2"/>
    </font>
    <font>
      <strike/>
      <sz val="8"/>
      <color theme="1"/>
      <name val="Arial Narrow"/>
      <family val="2"/>
    </font>
    <font>
      <b/>
      <sz val="8"/>
      <color indexed="8"/>
      <name val="Arial Narrow"/>
      <family val="2"/>
    </font>
    <font>
      <sz val="8"/>
      <color indexed="8"/>
      <name val="Arial Narrow"/>
      <family val="2"/>
    </font>
    <font>
      <i/>
      <sz val="8"/>
      <color indexed="30"/>
      <name val="Arial Narrow"/>
      <family val="2"/>
    </font>
    <font>
      <sz val="8"/>
      <color indexed="17"/>
      <name val="Arial Narrow"/>
      <family val="2"/>
    </font>
    <font>
      <sz val="11"/>
      <color rgb="FF000000"/>
      <name val="ArialNarrow"/>
    </font>
    <font>
      <b/>
      <sz val="8"/>
      <color rgb="FF0070C0"/>
      <name val="Times New Roman"/>
      <family val="1"/>
    </font>
    <font>
      <b/>
      <sz val="8"/>
      <name val="Times New Roman"/>
      <family val="1"/>
    </font>
    <font>
      <b/>
      <sz val="8"/>
      <color rgb="FFFF0000"/>
      <name val="Times New Roman"/>
      <family val="1"/>
    </font>
    <font>
      <sz val="8"/>
      <name val="Times New Roman"/>
      <family val="1"/>
    </font>
    <font>
      <b/>
      <sz val="10"/>
      <color rgb="FF00B050"/>
      <name val="Arial Narrow"/>
      <family val="2"/>
    </font>
    <font>
      <sz val="12"/>
      <color theme="1"/>
      <name val="Times New Roman"/>
      <family val="1"/>
    </font>
    <font>
      <b/>
      <sz val="11"/>
      <color rgb="FF000000"/>
      <name val="ArialNarrow-Bold"/>
    </font>
    <font>
      <strike/>
      <sz val="8"/>
      <color rgb="FFFF0000"/>
      <name val="Calibri"/>
      <family val="2"/>
      <scheme val="minor"/>
    </font>
    <font>
      <sz val="9"/>
      <color rgb="FF00B050"/>
      <name val="Wingdings"/>
      <charset val="2"/>
    </font>
    <font>
      <b/>
      <sz val="11"/>
      <color rgb="FF7030A0"/>
      <name val="Calibri"/>
      <family val="2"/>
      <scheme val="minor"/>
    </font>
    <font>
      <sz val="12"/>
      <name val="Arial Narrow"/>
      <family val="2"/>
    </font>
    <font>
      <sz val="9"/>
      <color rgb="FF000000"/>
      <name val="Segoe UI"/>
      <family val="2"/>
    </font>
    <font>
      <sz val="9"/>
      <color theme="9"/>
      <name val="Arial Narrow"/>
      <family val="2"/>
    </font>
    <font>
      <b/>
      <sz val="10"/>
      <color indexed="8"/>
      <name val="Arial Narrow"/>
      <family val="2"/>
    </font>
    <font>
      <sz val="9"/>
      <name val="Segoe UI"/>
      <family val="2"/>
    </font>
    <font>
      <i/>
      <sz val="12"/>
      <color theme="1"/>
      <name val="Arial Narrow"/>
      <family val="2"/>
    </font>
    <font>
      <sz val="10.5"/>
      <color theme="1"/>
      <name val="Calibri"/>
      <family val="2"/>
      <scheme val="minor"/>
    </font>
    <font>
      <sz val="11"/>
      <color theme="1"/>
      <name val="Wingdings"/>
      <charset val="2"/>
    </font>
    <font>
      <sz val="7"/>
      <color theme="1"/>
      <name val="Times New Roman"/>
      <family val="1"/>
    </font>
    <font>
      <sz val="11"/>
      <color rgb="FFFFFFFF"/>
      <name val="Arial Narrow"/>
      <family val="2"/>
    </font>
    <font>
      <i/>
      <sz val="11"/>
      <name val="Arial Narrow"/>
      <family val="2"/>
    </font>
    <font>
      <sz val="11"/>
      <color rgb="FFFFFFFF"/>
      <name val="Calibri"/>
      <family val="2"/>
      <scheme val="minor"/>
    </font>
    <font>
      <sz val="11"/>
      <color rgb="FF00B050"/>
      <name val="Wingdings"/>
      <charset val="2"/>
    </font>
    <font>
      <sz val="7"/>
      <color rgb="FF00B050"/>
      <name val="Times New Roman"/>
      <family val="1"/>
    </font>
    <font>
      <sz val="11"/>
      <color rgb="FFFF0000"/>
      <name val="Wingdings"/>
      <charset val="2"/>
    </font>
    <font>
      <sz val="7"/>
      <color rgb="FFFF0000"/>
      <name val="Times New Roman"/>
      <family val="1"/>
    </font>
    <font>
      <sz val="10"/>
      <color indexed="8"/>
      <name val="Arial Narrow"/>
      <family val="2"/>
    </font>
    <font>
      <sz val="10"/>
      <color rgb="FFFF0000"/>
      <name val="Arial Narrow"/>
      <family val="2"/>
    </font>
    <font>
      <sz val="10"/>
      <color rgb="FF0070C0"/>
      <name val="Arial Narrow"/>
      <family val="2"/>
    </font>
    <font>
      <i/>
      <sz val="10"/>
      <color indexed="30"/>
      <name val="Arial Narrow"/>
      <family val="2"/>
    </font>
    <font>
      <b/>
      <sz val="10"/>
      <color rgb="FFFF0000"/>
      <name val="Arial Narrow"/>
      <family val="2"/>
    </font>
    <font>
      <sz val="10"/>
      <color indexed="17"/>
      <name val="Arial Narrow"/>
      <family val="2"/>
    </font>
  </fonts>
  <fills count="67">
    <fill>
      <patternFill patternType="none"/>
    </fill>
    <fill>
      <patternFill patternType="gray125"/>
    </fill>
    <fill>
      <patternFill patternType="solid">
        <fgColor indexed="52"/>
        <bgColor indexed="64"/>
      </patternFill>
    </fill>
    <fill>
      <patternFill patternType="solid">
        <fgColor theme="2" tint="-9.9978637043366805E-2"/>
        <bgColor indexed="64"/>
      </patternFill>
    </fill>
    <fill>
      <patternFill patternType="solid">
        <fgColor rgb="FFFFFF00"/>
        <bgColor indexed="64"/>
      </patternFill>
    </fill>
    <fill>
      <patternFill patternType="solid">
        <fgColor indexed="9"/>
        <bgColor indexed="64"/>
      </patternFill>
    </fill>
    <fill>
      <patternFill patternType="solid">
        <fgColor indexed="11"/>
        <bgColor indexed="64"/>
      </patternFill>
    </fill>
    <fill>
      <patternFill patternType="solid">
        <fgColor theme="3" tint="0.79998168889431442"/>
        <bgColor indexed="64"/>
      </patternFill>
    </fill>
    <fill>
      <patternFill patternType="solid">
        <fgColor theme="0" tint="-0.249977111117893"/>
        <bgColor indexed="64"/>
      </patternFill>
    </fill>
    <fill>
      <patternFill patternType="solid">
        <fgColor rgb="FFDBEFF9"/>
        <bgColor indexed="64"/>
      </patternFill>
    </fill>
    <fill>
      <patternFill patternType="solid">
        <fgColor theme="0"/>
        <bgColor indexed="64"/>
      </patternFill>
    </fill>
    <fill>
      <patternFill patternType="solid">
        <fgColor rgb="FFFFFFFF"/>
        <bgColor indexed="64"/>
      </patternFill>
    </fill>
    <fill>
      <patternFill patternType="solid">
        <fgColor rgb="FFFF0000"/>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00B0F0"/>
        <bgColor indexed="64"/>
      </patternFill>
    </fill>
    <fill>
      <patternFill patternType="darkDown"/>
    </fill>
    <fill>
      <patternFill patternType="darkDown">
        <bgColor theme="7" tint="0.79998168889431442"/>
      </patternFill>
    </fill>
    <fill>
      <patternFill patternType="darkDown">
        <bgColor rgb="FFFFFF00"/>
      </patternFill>
    </fill>
    <fill>
      <patternFill patternType="solid">
        <fgColor theme="7" tint="-0.249977111117893"/>
        <bgColor indexed="64"/>
      </patternFill>
    </fill>
    <fill>
      <patternFill patternType="solid">
        <fgColor rgb="FFD9E2F3"/>
        <bgColor indexed="64"/>
      </patternFill>
    </fill>
    <fill>
      <patternFill patternType="solid">
        <fgColor rgb="FFD0CECE"/>
        <bgColor indexed="64"/>
      </patternFill>
    </fill>
    <fill>
      <patternFill patternType="solid">
        <fgColor rgb="FFFFC000"/>
        <bgColor indexed="64"/>
      </patternFill>
    </fill>
    <fill>
      <patternFill patternType="solid">
        <fgColor rgb="FF92D050"/>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E2EFDA"/>
        <bgColor indexed="64"/>
      </patternFill>
    </fill>
    <fill>
      <patternFill patternType="solid">
        <fgColor theme="9" tint="0.59999389629810485"/>
        <bgColor indexed="64"/>
      </patternFill>
    </fill>
    <fill>
      <patternFill patternType="solid">
        <fgColor theme="5"/>
        <bgColor indexed="64"/>
      </patternFill>
    </fill>
    <fill>
      <patternFill patternType="solid">
        <fgColor rgb="FFFFCCFF"/>
        <bgColor indexed="64"/>
      </patternFill>
    </fill>
    <fill>
      <patternFill patternType="solid">
        <fgColor theme="5" tint="0.59999389629810485"/>
        <bgColor indexed="64"/>
      </patternFill>
    </fill>
    <fill>
      <patternFill patternType="solid">
        <fgColor rgb="FFC9FBED"/>
        <bgColor indexed="64"/>
      </patternFill>
    </fill>
    <fill>
      <patternFill patternType="solid">
        <fgColor indexed="49"/>
        <bgColor indexed="64"/>
      </patternFill>
    </fill>
    <fill>
      <patternFill patternType="solid">
        <fgColor indexed="40"/>
        <bgColor indexed="64"/>
      </patternFill>
    </fill>
    <fill>
      <patternFill patternType="solid">
        <fgColor indexed="42"/>
        <bgColor indexed="64"/>
      </patternFill>
    </fill>
    <fill>
      <patternFill patternType="solid">
        <fgColor indexed="50"/>
        <bgColor indexed="64"/>
      </patternFill>
    </fill>
    <fill>
      <patternFill patternType="darkUp"/>
    </fill>
    <fill>
      <patternFill patternType="solid">
        <fgColor indexed="53"/>
        <bgColor indexed="64"/>
      </patternFill>
    </fill>
    <fill>
      <patternFill patternType="solid">
        <fgColor indexed="46"/>
        <bgColor indexed="64"/>
      </patternFill>
    </fill>
    <fill>
      <patternFill patternType="solid">
        <fgColor indexed="51"/>
        <bgColor indexed="64"/>
      </patternFill>
    </fill>
    <fill>
      <patternFill patternType="solid">
        <fgColor indexed="17"/>
        <bgColor indexed="64"/>
      </patternFill>
    </fill>
    <fill>
      <patternFill patternType="solid">
        <fgColor rgb="FF00B050"/>
        <bgColor indexed="64"/>
      </patternFill>
    </fill>
    <fill>
      <patternFill patternType="solid">
        <fgColor indexed="45"/>
        <bgColor indexed="64"/>
      </patternFill>
    </fill>
    <fill>
      <patternFill patternType="solid">
        <fgColor rgb="FF7030A0"/>
        <bgColor indexed="64"/>
      </patternFill>
    </fill>
    <fill>
      <patternFill patternType="solid">
        <fgColor theme="0" tint="-0.34998626667073579"/>
        <bgColor indexed="64"/>
      </patternFill>
    </fill>
    <fill>
      <patternFill patternType="solid">
        <fgColor theme="1" tint="0.499984740745262"/>
        <bgColor indexed="64"/>
      </patternFill>
    </fill>
    <fill>
      <patternFill patternType="solid">
        <fgColor rgb="FFFFF2CC"/>
        <bgColor indexed="64"/>
      </patternFill>
    </fill>
    <fill>
      <patternFill patternType="solid">
        <fgColor rgb="FFD9D9D9"/>
        <bgColor indexed="64"/>
      </patternFill>
    </fill>
    <fill>
      <patternFill patternType="solid">
        <fgColor rgb="FF8EAADB"/>
        <bgColor indexed="64"/>
      </patternFill>
    </fill>
    <fill>
      <patternFill patternType="solid">
        <fgColor theme="2"/>
        <bgColor indexed="64"/>
      </patternFill>
    </fill>
    <fill>
      <patternFill patternType="solid">
        <fgColor theme="8" tint="0.39997558519241921"/>
        <bgColor indexed="64"/>
      </patternFill>
    </fill>
    <fill>
      <patternFill patternType="solid">
        <fgColor theme="2" tint="-0.249977111117893"/>
        <bgColor indexed="64"/>
      </patternFill>
    </fill>
    <fill>
      <patternFill patternType="solid">
        <fgColor rgb="FFF2F2F2"/>
        <bgColor indexed="64"/>
      </patternFill>
    </fill>
    <fill>
      <patternFill patternType="solid">
        <fgColor rgb="FFDDEBF7"/>
        <bgColor indexed="64"/>
      </patternFill>
    </fill>
    <fill>
      <patternFill patternType="solid">
        <fgColor rgb="FFD9E1F2"/>
        <bgColor indexed="64"/>
      </patternFill>
    </fill>
    <fill>
      <patternFill patternType="solid">
        <fgColor theme="0" tint="-0.499984740745262"/>
        <bgColor indexed="64"/>
      </patternFill>
    </fill>
    <fill>
      <patternFill patternType="solid">
        <fgColor rgb="FFC0D7F1"/>
        <bgColor indexed="64"/>
      </patternFill>
    </fill>
    <fill>
      <patternFill patternType="solid">
        <fgColor theme="9" tint="-0.249977111117893"/>
        <bgColor indexed="64"/>
      </patternFill>
    </fill>
    <fill>
      <patternFill patternType="solid">
        <fgColor rgb="FFFBE4D5"/>
        <bgColor indexed="64"/>
      </patternFill>
    </fill>
    <fill>
      <patternFill patternType="solid">
        <fgColor rgb="FFBFBFBF"/>
        <bgColor indexed="64"/>
      </patternFill>
    </fill>
    <fill>
      <patternFill patternType="solid">
        <fgColor rgb="FFDEEAF6"/>
        <bgColor indexed="64"/>
      </patternFill>
    </fill>
    <fill>
      <patternFill patternType="solid">
        <fgColor theme="9" tint="0.39997558519241921"/>
        <bgColor indexed="64"/>
      </patternFill>
    </fill>
    <fill>
      <patternFill patternType="gray0625">
        <bgColor theme="9" tint="0.39997558519241921"/>
      </patternFill>
    </fill>
    <fill>
      <patternFill patternType="gray0625">
        <bgColor theme="0"/>
      </patternFill>
    </fill>
    <fill>
      <patternFill patternType="gray125">
        <bgColor theme="9" tint="0.39997558519241921"/>
      </patternFill>
    </fill>
    <fill>
      <patternFill patternType="solid">
        <fgColor rgb="FFE7E6E6"/>
        <bgColor indexed="64"/>
      </patternFill>
    </fill>
  </fills>
  <borders count="68">
    <border>
      <left/>
      <right/>
      <top/>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style="medium">
        <color indexed="64"/>
      </bottom>
      <diagonal/>
    </border>
    <border>
      <left/>
      <right style="medium">
        <color indexed="64"/>
      </right>
      <top style="medium">
        <color indexed="64"/>
      </top>
      <bottom/>
      <diagonal/>
    </border>
    <border>
      <left/>
      <right/>
      <top/>
      <bottom style="medium">
        <color indexed="64"/>
      </bottom>
      <diagonal/>
    </border>
    <border>
      <left/>
      <right/>
      <top style="thin">
        <color indexed="64"/>
      </top>
      <bottom style="thin">
        <color indexed="64"/>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double">
        <color rgb="FF000000"/>
      </left>
      <right style="medium">
        <color rgb="FF000000"/>
      </right>
      <top style="double">
        <color rgb="FF000000"/>
      </top>
      <bottom/>
      <diagonal/>
    </border>
    <border>
      <left/>
      <right style="medium">
        <color rgb="FF000000"/>
      </right>
      <top style="double">
        <color rgb="FF000000"/>
      </top>
      <bottom/>
      <diagonal/>
    </border>
    <border>
      <left/>
      <right/>
      <top style="double">
        <color rgb="FF000000"/>
      </top>
      <bottom/>
      <diagonal/>
    </border>
    <border>
      <left style="double">
        <color indexed="64"/>
      </left>
      <right style="thin">
        <color indexed="64"/>
      </right>
      <top style="thin">
        <color indexed="64"/>
      </top>
      <bottom/>
      <diagonal/>
    </border>
    <border>
      <left style="double">
        <color indexed="64"/>
      </left>
      <right style="thin">
        <color indexed="64"/>
      </right>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medium">
        <color indexed="64"/>
      </top>
      <bottom/>
      <diagonal/>
    </border>
    <border>
      <left style="thin">
        <color auto="1"/>
      </left>
      <right style="thin">
        <color auto="1"/>
      </right>
      <top style="thin">
        <color theme="4"/>
      </top>
      <bottom style="thin">
        <color auto="1"/>
      </bottom>
      <diagonal/>
    </border>
    <border>
      <left style="thin">
        <color auto="1"/>
      </left>
      <right style="thin">
        <color auto="1"/>
      </right>
      <top style="thin">
        <color auto="1"/>
      </top>
      <bottom style="thin">
        <color theme="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medium">
        <color rgb="FF000000"/>
      </left>
      <right style="medium">
        <color rgb="FF000000"/>
      </right>
      <top style="medium">
        <color indexed="64"/>
      </top>
      <bottom style="medium">
        <color rgb="FF000000"/>
      </bottom>
      <diagonal/>
    </border>
    <border>
      <left/>
      <right style="medium">
        <color rgb="FF000000"/>
      </right>
      <top style="medium">
        <color indexed="64"/>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right style="medium">
        <color rgb="FF000000"/>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s>
  <cellStyleXfs count="10">
    <xf numFmtId="0" fontId="0" fillId="0" borderId="0"/>
    <xf numFmtId="41"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168" fontId="71" fillId="0" borderId="0" applyFont="0" applyFill="0" applyBorder="0" applyAlignment="0" applyProtection="0"/>
    <xf numFmtId="43" fontId="1" fillId="0" borderId="0" applyFont="0" applyFill="0" applyBorder="0" applyAlignment="0" applyProtection="0"/>
    <xf numFmtId="0" fontId="97" fillId="0" borderId="0" applyNumberFormat="0" applyFill="0" applyBorder="0" applyAlignment="0" applyProtection="0"/>
    <xf numFmtId="0" fontId="1" fillId="0" borderId="0"/>
    <xf numFmtId="9" fontId="1" fillId="0" borderId="0" applyFont="0" applyFill="0" applyBorder="0" applyAlignment="0" applyProtection="0"/>
    <xf numFmtId="41" fontId="1" fillId="0" borderId="0" applyFont="0" applyFill="0" applyBorder="0" applyAlignment="0" applyProtection="0"/>
  </cellStyleXfs>
  <cellXfs count="1625">
    <xf numFmtId="0" fontId="0" fillId="0" borderId="0" xfId="0"/>
    <xf numFmtId="0" fontId="0" fillId="5" borderId="0" xfId="0" applyFill="1"/>
    <xf numFmtId="0" fontId="3" fillId="5" borderId="15" xfId="0" applyFont="1" applyFill="1" applyBorder="1" applyAlignment="1">
      <alignment vertical="center"/>
    </xf>
    <xf numFmtId="0" fontId="3" fillId="5" borderId="17" xfId="0" applyFont="1" applyFill="1" applyBorder="1" applyAlignment="1">
      <alignment vertical="center"/>
    </xf>
    <xf numFmtId="0" fontId="3" fillId="5" borderId="18" xfId="0" applyFont="1" applyFill="1" applyBorder="1" applyAlignment="1">
      <alignment vertical="center"/>
    </xf>
    <xf numFmtId="41" fontId="5" fillId="7" borderId="4" xfId="1" applyFont="1" applyFill="1" applyBorder="1" applyAlignment="1">
      <alignment horizontal="center" vertical="center"/>
    </xf>
    <xf numFmtId="41" fontId="5" fillId="7" borderId="17" xfId="1" applyFont="1" applyFill="1" applyBorder="1" applyAlignment="1">
      <alignment horizontal="center" vertical="center"/>
    </xf>
    <xf numFmtId="41" fontId="4" fillId="5" borderId="7" xfId="1" applyFont="1" applyFill="1" applyBorder="1" applyAlignment="1">
      <alignment horizontal="center" vertical="center"/>
    </xf>
    <xf numFmtId="41" fontId="5" fillId="7" borderId="9" xfId="1" applyFont="1" applyFill="1" applyBorder="1" applyAlignment="1">
      <alignment horizontal="center" vertical="center"/>
    </xf>
    <xf numFmtId="41" fontId="0" fillId="5" borderId="0" xfId="1" applyFont="1" applyFill="1"/>
    <xf numFmtId="41" fontId="5" fillId="7" borderId="15" xfId="1" applyFont="1" applyFill="1" applyBorder="1" applyAlignment="1">
      <alignment horizontal="center" vertical="center"/>
    </xf>
    <xf numFmtId="41" fontId="0" fillId="5" borderId="0" xfId="0" applyNumberFormat="1" applyFill="1"/>
    <xf numFmtId="0" fontId="0" fillId="10" borderId="0" xfId="0" applyFill="1"/>
    <xf numFmtId="0" fontId="0" fillId="5" borderId="0" xfId="0" applyFill="1" applyAlignment="1">
      <alignment horizontal="left"/>
    </xf>
    <xf numFmtId="0" fontId="13" fillId="0" borderId="4" xfId="0" applyFont="1" applyBorder="1" applyAlignment="1">
      <alignment horizontal="left" vertical="center" wrapText="1"/>
    </xf>
    <xf numFmtId="0" fontId="0" fillId="10" borderId="0" xfId="0" applyFill="1" applyAlignment="1">
      <alignment horizontal="left"/>
    </xf>
    <xf numFmtId="0" fontId="13" fillId="10" borderId="4" xfId="0" applyFont="1" applyFill="1" applyBorder="1" applyAlignment="1">
      <alignment vertical="center" wrapText="1"/>
    </xf>
    <xf numFmtId="0" fontId="13" fillId="10" borderId="4" xfId="0" applyFont="1" applyFill="1" applyBorder="1" applyAlignment="1">
      <alignment horizontal="justify" vertical="center" wrapText="1"/>
    </xf>
    <xf numFmtId="0" fontId="13" fillId="10" borderId="4" xfId="0" applyFont="1" applyFill="1" applyBorder="1" applyAlignment="1">
      <alignment horizontal="left" vertical="center" wrapText="1"/>
    </xf>
    <xf numFmtId="0" fontId="13" fillId="14" borderId="4" xfId="0" applyFont="1" applyFill="1" applyBorder="1" applyAlignment="1">
      <alignment horizontal="center" vertical="center" wrapText="1"/>
    </xf>
    <xf numFmtId="0" fontId="0" fillId="0" borderId="0" xfId="0" applyAlignment="1">
      <alignment horizontal="center"/>
    </xf>
    <xf numFmtId="0" fontId="0" fillId="10" borderId="4" xfId="0" applyFill="1" applyBorder="1"/>
    <xf numFmtId="9" fontId="0" fillId="10" borderId="0" xfId="2" applyFont="1" applyFill="1"/>
    <xf numFmtId="0" fontId="12" fillId="14" borderId="4" xfId="0" applyFont="1" applyFill="1" applyBorder="1" applyAlignment="1">
      <alignment vertical="center"/>
    </xf>
    <xf numFmtId="0" fontId="21" fillId="9" borderId="9" xfId="0" applyFont="1" applyFill="1" applyBorder="1" applyAlignment="1">
      <alignment horizontal="left" vertical="center"/>
    </xf>
    <xf numFmtId="0" fontId="21" fillId="9" borderId="26" xfId="0" applyFont="1" applyFill="1" applyBorder="1" applyAlignment="1">
      <alignment horizontal="center" vertical="center" wrapText="1"/>
    </xf>
    <xf numFmtId="0" fontId="25" fillId="9" borderId="2"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9" fillId="0" borderId="4" xfId="0" applyFont="1" applyBorder="1" applyAlignment="1">
      <alignment horizontal="center" vertical="center"/>
    </xf>
    <xf numFmtId="0" fontId="13" fillId="7" borderId="4" xfId="0" applyFont="1" applyFill="1" applyBorder="1" applyAlignment="1">
      <alignment horizontal="center" vertical="center"/>
    </xf>
    <xf numFmtId="0" fontId="13" fillId="15" borderId="4" xfId="0" applyFont="1" applyFill="1" applyBorder="1" applyAlignment="1">
      <alignment horizontal="left" vertical="center"/>
    </xf>
    <xf numFmtId="0" fontId="13" fillId="15" borderId="4" xfId="0" applyFont="1" applyFill="1" applyBorder="1" applyAlignment="1">
      <alignment vertical="center"/>
    </xf>
    <xf numFmtId="41" fontId="13" fillId="15" borderId="4" xfId="1" applyFont="1" applyFill="1" applyBorder="1" applyAlignment="1">
      <alignment horizontal="center" vertical="center"/>
    </xf>
    <xf numFmtId="0" fontId="13" fillId="15" borderId="4" xfId="0" applyFont="1" applyFill="1" applyBorder="1" applyAlignment="1">
      <alignment horizontal="left" vertical="center" wrapText="1"/>
    </xf>
    <xf numFmtId="0" fontId="13" fillId="4" borderId="4" xfId="0" applyFont="1" applyFill="1" applyBorder="1" applyAlignment="1">
      <alignment horizontal="left" vertical="center"/>
    </xf>
    <xf numFmtId="0" fontId="13" fillId="4" borderId="4" xfId="0" applyFont="1" applyFill="1" applyBorder="1" applyAlignment="1">
      <alignment horizontal="center" vertical="center"/>
    </xf>
    <xf numFmtId="41" fontId="13" fillId="4" borderId="4" xfId="1" applyFont="1" applyFill="1" applyBorder="1" applyAlignment="1">
      <alignment horizontal="center" vertical="center"/>
    </xf>
    <xf numFmtId="0" fontId="13" fillId="4" borderId="4" xfId="0" applyFont="1" applyFill="1" applyBorder="1" applyAlignment="1">
      <alignment vertical="center"/>
    </xf>
    <xf numFmtId="0" fontId="13" fillId="4" borderId="4" xfId="0" applyFont="1" applyFill="1" applyBorder="1" applyAlignment="1">
      <alignment horizontal="left" vertical="center" wrapText="1"/>
    </xf>
    <xf numFmtId="0" fontId="14" fillId="11" borderId="4" xfId="0" applyFont="1" applyFill="1" applyBorder="1" applyAlignment="1">
      <alignment horizontal="left" vertical="center" wrapText="1"/>
    </xf>
    <xf numFmtId="0" fontId="14" fillId="16" borderId="4" xfId="0" applyFont="1" applyFill="1" applyBorder="1" applyAlignment="1">
      <alignment horizontal="center" vertical="center"/>
    </xf>
    <xf numFmtId="0" fontId="26" fillId="17" borderId="4" xfId="0" applyFont="1" applyFill="1" applyBorder="1" applyAlignment="1">
      <alignment horizontal="center" vertical="center" wrapText="1"/>
    </xf>
    <xf numFmtId="0" fontId="14" fillId="16" borderId="4" xfId="0" applyFont="1" applyFill="1" applyBorder="1" applyAlignment="1">
      <alignment vertical="center"/>
    </xf>
    <xf numFmtId="0" fontId="14" fillId="16" borderId="4" xfId="0" applyFont="1" applyFill="1" applyBorder="1" applyAlignment="1">
      <alignment vertical="center" wrapText="1"/>
    </xf>
    <xf numFmtId="0" fontId="13" fillId="11" borderId="4" xfId="0" applyFont="1" applyFill="1" applyBorder="1" applyAlignment="1">
      <alignment horizontal="left" vertical="center" wrapText="1"/>
    </xf>
    <xf numFmtId="41" fontId="13" fillId="11" borderId="4" xfId="1" applyFont="1" applyFill="1" applyBorder="1" applyAlignment="1">
      <alignment horizontal="center" vertical="center" wrapText="1"/>
    </xf>
    <xf numFmtId="0" fontId="14" fillId="11" borderId="4" xfId="0" applyFont="1" applyFill="1" applyBorder="1" applyAlignment="1">
      <alignment horizontal="center" vertical="center" wrapText="1"/>
    </xf>
    <xf numFmtId="41" fontId="13" fillId="15" borderId="4" xfId="1" applyFont="1" applyFill="1" applyBorder="1" applyAlignment="1">
      <alignment horizontal="center" vertical="center" wrapText="1"/>
    </xf>
    <xf numFmtId="0" fontId="13" fillId="11" borderId="4" xfId="0" applyFont="1" applyFill="1" applyBorder="1" applyAlignment="1">
      <alignment horizontal="center" vertical="center"/>
    </xf>
    <xf numFmtId="41" fontId="13" fillId="11" borderId="4" xfId="1" applyFont="1" applyFill="1" applyBorder="1" applyAlignment="1">
      <alignment horizontal="center" vertical="center"/>
    </xf>
    <xf numFmtId="0" fontId="20" fillId="0" borderId="4" xfId="0" applyFont="1" applyBorder="1" applyAlignment="1">
      <alignment horizontal="center"/>
    </xf>
    <xf numFmtId="41" fontId="20" fillId="11" borderId="4" xfId="1" applyFont="1" applyFill="1" applyBorder="1" applyAlignment="1">
      <alignment horizontal="center"/>
    </xf>
    <xf numFmtId="0" fontId="14" fillId="15" borderId="4" xfId="0" applyFont="1" applyFill="1" applyBorder="1" applyAlignment="1">
      <alignment horizontal="center" vertical="center"/>
    </xf>
    <xf numFmtId="0" fontId="14" fillId="15" borderId="4" xfId="0" applyFont="1" applyFill="1" applyBorder="1" applyAlignment="1">
      <alignment horizontal="left" vertical="center" wrapText="1"/>
    </xf>
    <xf numFmtId="41" fontId="20" fillId="4" borderId="4" xfId="1" applyFont="1" applyFill="1" applyBorder="1" applyAlignment="1">
      <alignment horizontal="center"/>
    </xf>
    <xf numFmtId="0" fontId="14" fillId="4" borderId="4" xfId="0" applyFont="1" applyFill="1" applyBorder="1" applyAlignment="1">
      <alignment vertical="center"/>
    </xf>
    <xf numFmtId="0" fontId="14" fillId="4" borderId="4" xfId="0" applyFont="1" applyFill="1" applyBorder="1" applyAlignment="1">
      <alignment horizontal="left" vertical="center" wrapText="1"/>
    </xf>
    <xf numFmtId="41" fontId="20" fillId="11" borderId="4" xfId="1" applyFont="1" applyFill="1" applyBorder="1" applyAlignment="1">
      <alignment horizontal="center" vertical="center"/>
    </xf>
    <xf numFmtId="41" fontId="13" fillId="0" borderId="4" xfId="1" applyFont="1" applyBorder="1" applyAlignment="1">
      <alignment horizontal="center" vertical="center" wrapText="1"/>
    </xf>
    <xf numFmtId="0" fontId="13" fillId="0" borderId="4" xfId="0" applyFont="1" applyBorder="1" applyAlignment="1">
      <alignment horizontal="center" vertical="center"/>
    </xf>
    <xf numFmtId="0" fontId="20" fillId="11" borderId="4" xfId="0" applyFont="1" applyFill="1" applyBorder="1" applyAlignment="1">
      <alignment horizontal="left" wrapText="1"/>
    </xf>
    <xf numFmtId="0" fontId="14" fillId="11" borderId="4" xfId="0" applyFont="1" applyFill="1" applyBorder="1" applyAlignment="1">
      <alignment horizontal="center" vertical="center"/>
    </xf>
    <xf numFmtId="0" fontId="26" fillId="18" borderId="4" xfId="0" applyFont="1" applyFill="1" applyBorder="1" applyAlignment="1">
      <alignment horizontal="center" vertical="center" wrapText="1"/>
    </xf>
    <xf numFmtId="0" fontId="26" fillId="19" borderId="4" xfId="0" applyFont="1" applyFill="1" applyBorder="1" applyAlignment="1">
      <alignment horizontal="center" vertical="center" wrapText="1"/>
    </xf>
    <xf numFmtId="41" fontId="20" fillId="0" borderId="4" xfId="1" applyFont="1" applyBorder="1" applyAlignment="1">
      <alignment horizontal="center"/>
    </xf>
    <xf numFmtId="41" fontId="20" fillId="0" borderId="4" xfId="1" applyFont="1" applyBorder="1" applyAlignment="1">
      <alignment horizontal="center" vertical="center" wrapText="1"/>
    </xf>
    <xf numFmtId="0" fontId="13" fillId="11" borderId="4" xfId="0" applyFont="1" applyFill="1" applyBorder="1" applyAlignment="1">
      <alignment horizontal="center" vertical="center" wrapText="1"/>
    </xf>
    <xf numFmtId="0" fontId="14" fillId="16" borderId="4" xfId="0" applyFont="1" applyFill="1" applyBorder="1" applyAlignment="1">
      <alignment horizontal="center" vertical="center" wrapText="1"/>
    </xf>
    <xf numFmtId="41" fontId="20" fillId="11" borderId="4" xfId="1" applyFont="1" applyFill="1" applyBorder="1" applyAlignment="1">
      <alignment horizontal="center" vertical="center" wrapText="1"/>
    </xf>
    <xf numFmtId="0" fontId="14" fillId="15" borderId="4" xfId="0" applyFont="1" applyFill="1" applyBorder="1" applyAlignment="1">
      <alignment horizontal="center" vertical="center" wrapText="1"/>
    </xf>
    <xf numFmtId="0" fontId="14" fillId="11" borderId="4" xfId="0" applyFont="1" applyFill="1" applyBorder="1" applyAlignment="1">
      <alignment vertical="center"/>
    </xf>
    <xf numFmtId="0" fontId="20" fillId="0" borderId="4" xfId="0" applyFont="1" applyBorder="1" applyAlignment="1">
      <alignment horizontal="left" wrapText="1"/>
    </xf>
    <xf numFmtId="0" fontId="14" fillId="11" borderId="4" xfId="0" applyFont="1" applyFill="1" applyBorder="1" applyAlignment="1">
      <alignment vertical="center" wrapText="1"/>
    </xf>
    <xf numFmtId="41" fontId="13" fillId="20" borderId="4" xfId="1" applyFont="1" applyFill="1" applyBorder="1" applyAlignment="1">
      <alignment horizontal="center" vertical="center" wrapText="1"/>
    </xf>
    <xf numFmtId="0" fontId="13" fillId="20" borderId="4" xfId="0" applyFont="1" applyFill="1" applyBorder="1" applyAlignment="1">
      <alignment vertical="center"/>
    </xf>
    <xf numFmtId="0" fontId="14" fillId="20" borderId="4" xfId="0" applyFont="1" applyFill="1" applyBorder="1" applyAlignment="1">
      <alignment horizontal="left" vertical="center" wrapText="1"/>
    </xf>
    <xf numFmtId="0" fontId="13" fillId="0" borderId="0" xfId="0" applyFont="1" applyAlignment="1">
      <alignment horizontal="left" vertical="center"/>
    </xf>
    <xf numFmtId="0" fontId="20" fillId="0" borderId="0" xfId="0" applyFont="1" applyAlignment="1">
      <alignment horizontal="center"/>
    </xf>
    <xf numFmtId="0" fontId="20" fillId="0" borderId="0" xfId="0" applyFont="1" applyAlignment="1">
      <alignment horizontal="left"/>
    </xf>
    <xf numFmtId="41" fontId="20" fillId="0" borderId="0" xfId="1" applyFont="1" applyAlignment="1">
      <alignment horizontal="center"/>
    </xf>
    <xf numFmtId="0" fontId="20" fillId="0" borderId="0" xfId="0" applyFont="1"/>
    <xf numFmtId="0" fontId="20" fillId="0" borderId="0" xfId="0" applyFont="1" applyAlignment="1">
      <alignment horizontal="left" wrapText="1"/>
    </xf>
    <xf numFmtId="0" fontId="14" fillId="0" borderId="0" xfId="0" applyFont="1" applyAlignment="1">
      <alignment horizontal="left" vertical="center"/>
    </xf>
    <xf numFmtId="0" fontId="27" fillId="0" borderId="0" xfId="0" applyFont="1" applyAlignment="1">
      <alignment horizontal="left" vertical="center"/>
    </xf>
    <xf numFmtId="0" fontId="16" fillId="0" borderId="0" xfId="0" applyFont="1" applyAlignment="1">
      <alignment horizontal="left" vertical="center"/>
    </xf>
    <xf numFmtId="0" fontId="14" fillId="12" borderId="4" xfId="0" applyFont="1" applyFill="1" applyBorder="1" applyAlignment="1">
      <alignment horizontal="left" vertical="center" wrapText="1"/>
    </xf>
    <xf numFmtId="0" fontId="33" fillId="0" borderId="0" xfId="0" applyFont="1" applyFill="1"/>
    <xf numFmtId="0" fontId="33" fillId="0" borderId="0" xfId="0" applyFont="1" applyFill="1" applyAlignment="1">
      <alignment vertical="center"/>
    </xf>
    <xf numFmtId="0" fontId="34" fillId="0" borderId="0" xfId="0" applyFont="1" applyFill="1"/>
    <xf numFmtId="0" fontId="35" fillId="0" borderId="0" xfId="0" applyFont="1" applyFill="1"/>
    <xf numFmtId="0" fontId="33" fillId="15" borderId="0" xfId="0" applyFont="1" applyFill="1"/>
    <xf numFmtId="0" fontId="33" fillId="0" borderId="0" xfId="0" applyFont="1" applyFill="1" applyBorder="1"/>
    <xf numFmtId="0" fontId="37" fillId="0" borderId="29" xfId="0" applyFont="1" applyFill="1" applyBorder="1" applyAlignment="1">
      <alignment horizontal="center" vertical="center" wrapText="1"/>
    </xf>
    <xf numFmtId="0" fontId="33" fillId="0" borderId="0" xfId="0" applyFont="1"/>
    <xf numFmtId="0" fontId="37" fillId="0" borderId="0" xfId="0" applyFont="1" applyFill="1" applyBorder="1" applyAlignment="1">
      <alignment horizontal="center" vertical="center" wrapText="1"/>
    </xf>
    <xf numFmtId="0" fontId="36" fillId="0" borderId="0" xfId="0" applyFont="1" applyFill="1"/>
    <xf numFmtId="166" fontId="36" fillId="0" borderId="28" xfId="3" applyNumberFormat="1" applyFont="1" applyFill="1" applyBorder="1" applyAlignment="1">
      <alignment horizontal="center" vertical="center" wrapText="1"/>
    </xf>
    <xf numFmtId="166" fontId="36" fillId="15" borderId="5" xfId="3" applyNumberFormat="1" applyFont="1" applyFill="1" applyBorder="1" applyAlignment="1">
      <alignment horizontal="center" vertical="center" wrapText="1"/>
    </xf>
    <xf numFmtId="166" fontId="36" fillId="25" borderId="4" xfId="3" applyNumberFormat="1" applyFont="1" applyFill="1" applyBorder="1" applyAlignment="1">
      <alignment horizontal="center" vertical="center" wrapText="1"/>
    </xf>
    <xf numFmtId="0" fontId="36" fillId="0" borderId="0" xfId="0" applyFont="1" applyFill="1" applyBorder="1"/>
    <xf numFmtId="0" fontId="38" fillId="27" borderId="33" xfId="0" applyFont="1" applyFill="1" applyBorder="1" applyAlignment="1">
      <alignment vertical="center" wrapText="1"/>
    </xf>
    <xf numFmtId="0" fontId="38" fillId="27" borderId="34" xfId="0" applyFont="1" applyFill="1" applyBorder="1" applyAlignment="1">
      <alignment vertical="center" wrapText="1"/>
    </xf>
    <xf numFmtId="0" fontId="38" fillId="27" borderId="35" xfId="0" applyFont="1" applyFill="1" applyBorder="1" applyAlignment="1">
      <alignment vertical="center" wrapText="1"/>
    </xf>
    <xf numFmtId="0" fontId="38" fillId="27" borderId="4" xfId="0" applyFont="1" applyFill="1" applyBorder="1" applyAlignment="1">
      <alignment vertical="center" wrapText="1"/>
    </xf>
    <xf numFmtId="0" fontId="38" fillId="0" borderId="0" xfId="0" applyFont="1" applyFill="1" applyBorder="1" applyAlignment="1">
      <alignment vertical="center" wrapText="1"/>
    </xf>
    <xf numFmtId="0" fontId="36" fillId="0" borderId="0" xfId="0" applyFont="1"/>
    <xf numFmtId="0" fontId="43" fillId="0" borderId="16" xfId="0" applyFont="1" applyFill="1" applyBorder="1" applyAlignment="1">
      <alignment horizontal="center" vertical="center" wrapText="1"/>
    </xf>
    <xf numFmtId="166" fontId="36" fillId="0" borderId="5" xfId="3" applyNumberFormat="1" applyFont="1" applyFill="1" applyBorder="1" applyAlignment="1">
      <alignment horizontal="center" vertical="center" wrapText="1"/>
    </xf>
    <xf numFmtId="166" fontId="36" fillId="26" borderId="5" xfId="3" applyNumberFormat="1" applyFont="1" applyFill="1" applyBorder="1" applyAlignment="1">
      <alignment horizontal="center" vertical="center" wrapText="1"/>
    </xf>
    <xf numFmtId="166" fontId="36" fillId="25" borderId="5" xfId="3" applyNumberFormat="1" applyFont="1" applyFill="1" applyBorder="1" applyAlignment="1">
      <alignment horizontal="center" vertical="center" wrapText="1"/>
    </xf>
    <xf numFmtId="0" fontId="38" fillId="0" borderId="4" xfId="0" applyFont="1" applyBorder="1" applyAlignment="1">
      <alignment vertical="center" wrapText="1"/>
    </xf>
    <xf numFmtId="3" fontId="38" fillId="0" borderId="4" xfId="0" applyNumberFormat="1" applyFont="1" applyBorder="1" applyAlignment="1">
      <alignment horizontal="center" vertical="center" wrapText="1"/>
    </xf>
    <xf numFmtId="3" fontId="38" fillId="0" borderId="30" xfId="0" applyNumberFormat="1" applyFont="1" applyFill="1" applyBorder="1" applyAlignment="1">
      <alignment horizontal="center" vertical="center" wrapText="1"/>
    </xf>
    <xf numFmtId="0" fontId="38" fillId="0" borderId="0" xfId="0" applyFont="1" applyFill="1"/>
    <xf numFmtId="41" fontId="45" fillId="10" borderId="4" xfId="1" applyFont="1" applyFill="1" applyBorder="1" applyAlignment="1">
      <alignment vertical="center" wrapText="1"/>
    </xf>
    <xf numFmtId="41" fontId="47" fillId="10" borderId="4" xfId="1" applyFont="1" applyFill="1" applyBorder="1" applyAlignment="1">
      <alignment horizontal="center" vertical="center" wrapText="1"/>
    </xf>
    <xf numFmtId="0" fontId="45" fillId="10" borderId="5" xfId="0" applyFont="1" applyFill="1" applyBorder="1" applyAlignment="1">
      <alignment horizontal="center" vertical="center" wrapText="1"/>
    </xf>
    <xf numFmtId="0" fontId="47" fillId="10" borderId="5" xfId="0" applyFont="1" applyFill="1" applyBorder="1" applyAlignment="1">
      <alignment horizontal="center" vertical="center" wrapText="1"/>
    </xf>
    <xf numFmtId="14" fontId="47" fillId="10" borderId="5" xfId="0" applyNumberFormat="1" applyFont="1" applyFill="1" applyBorder="1" applyAlignment="1">
      <alignment horizontal="center" vertical="center" wrapText="1"/>
    </xf>
    <xf numFmtId="0" fontId="48" fillId="0" borderId="5" xfId="0" applyFont="1" applyFill="1" applyBorder="1" applyAlignment="1">
      <alignment horizontal="center" vertical="center" wrapText="1"/>
    </xf>
    <xf numFmtId="41" fontId="47" fillId="0" borderId="4" xfId="1" applyFont="1" applyFill="1" applyBorder="1" applyAlignment="1">
      <alignment horizontal="center" vertical="center" wrapText="1"/>
    </xf>
    <xf numFmtId="41" fontId="49" fillId="0" borderId="4" xfId="1" applyFont="1" applyFill="1" applyBorder="1" applyAlignment="1">
      <alignment horizontal="center" vertical="center" wrapText="1"/>
    </xf>
    <xf numFmtId="166" fontId="46" fillId="0" borderId="5" xfId="3" applyNumberFormat="1" applyFont="1" applyFill="1" applyBorder="1" applyAlignment="1">
      <alignment vertical="center" wrapText="1"/>
    </xf>
    <xf numFmtId="166" fontId="45" fillId="0" borderId="5" xfId="3" applyNumberFormat="1" applyFont="1" applyFill="1" applyBorder="1" applyAlignment="1">
      <alignment horizontal="center" vertical="center" wrapText="1"/>
    </xf>
    <xf numFmtId="41" fontId="45" fillId="0" borderId="5" xfId="1" applyFont="1" applyFill="1" applyBorder="1" applyAlignment="1">
      <alignment vertical="center" wrapText="1"/>
    </xf>
    <xf numFmtId="166" fontId="45" fillId="15" borderId="5" xfId="3" applyNumberFormat="1" applyFont="1" applyFill="1" applyBorder="1" applyAlignment="1">
      <alignment horizontal="center" vertical="center" wrapText="1"/>
    </xf>
    <xf numFmtId="166" fontId="45" fillId="25" borderId="5" xfId="3" applyNumberFormat="1" applyFont="1" applyFill="1" applyBorder="1" applyAlignment="1">
      <alignment horizontal="center" vertical="center" wrapText="1"/>
    </xf>
    <xf numFmtId="0" fontId="38" fillId="0" borderId="0" xfId="0" applyFont="1" applyFill="1" applyBorder="1"/>
    <xf numFmtId="0" fontId="38" fillId="0" borderId="30" xfId="0" applyFont="1" applyFill="1" applyBorder="1" applyAlignment="1">
      <alignment horizontal="center" vertical="center" wrapText="1"/>
    </xf>
    <xf numFmtId="0" fontId="38" fillId="0" borderId="0" xfId="0" applyFont="1"/>
    <xf numFmtId="3" fontId="38" fillId="0" borderId="4" xfId="0" applyNumberFormat="1" applyFont="1" applyBorder="1" applyAlignment="1">
      <alignment vertical="center" wrapText="1"/>
    </xf>
    <xf numFmtId="0" fontId="38" fillId="0" borderId="15" xfId="0" applyFont="1" applyFill="1" applyBorder="1" applyAlignment="1">
      <alignment horizontal="center" vertical="center" wrapText="1"/>
    </xf>
    <xf numFmtId="41" fontId="38" fillId="0" borderId="4" xfId="1" applyFont="1" applyFill="1" applyBorder="1" applyAlignment="1">
      <alignment horizontal="center" vertical="center"/>
    </xf>
    <xf numFmtId="41" fontId="45" fillId="10" borderId="4" xfId="1" applyFont="1" applyFill="1" applyBorder="1" applyAlignment="1">
      <alignment horizontal="center" vertical="center" wrapText="1"/>
    </xf>
    <xf numFmtId="41" fontId="49" fillId="10" borderId="4" xfId="1" applyFont="1" applyFill="1" applyBorder="1" applyAlignment="1">
      <alignment horizontal="center" vertical="center" wrapText="1"/>
    </xf>
    <xf numFmtId="41" fontId="38" fillId="10" borderId="4" xfId="1" applyFont="1" applyFill="1" applyBorder="1" applyAlignment="1">
      <alignment vertical="center"/>
    </xf>
    <xf numFmtId="41" fontId="38" fillId="10" borderId="4" xfId="1" applyFont="1" applyFill="1" applyBorder="1" applyAlignment="1">
      <alignment horizontal="center" vertical="center"/>
    </xf>
    <xf numFmtId="41" fontId="38" fillId="0" borderId="4" xfId="1" applyFont="1" applyFill="1" applyBorder="1" applyAlignment="1">
      <alignment vertical="center"/>
    </xf>
    <xf numFmtId="41" fontId="38" fillId="15" borderId="4" xfId="1" applyFont="1" applyFill="1" applyBorder="1" applyAlignment="1">
      <alignment horizontal="center" vertical="center"/>
    </xf>
    <xf numFmtId="41" fontId="38" fillId="25" borderId="4" xfId="1" applyFont="1" applyFill="1" applyBorder="1" applyAlignment="1">
      <alignment horizontal="center" vertical="center" wrapText="1"/>
    </xf>
    <xf numFmtId="41" fontId="38" fillId="0" borderId="0" xfId="1" applyFont="1" applyFill="1" applyBorder="1" applyAlignment="1">
      <alignment horizontal="center" vertical="center"/>
    </xf>
    <xf numFmtId="41" fontId="38" fillId="28" borderId="4" xfId="1" applyFont="1" applyFill="1" applyBorder="1" applyAlignment="1">
      <alignment horizontal="center" vertical="center"/>
    </xf>
    <xf numFmtId="41" fontId="38" fillId="0" borderId="16" xfId="1" applyFont="1" applyFill="1" applyBorder="1" applyAlignment="1">
      <alignment horizontal="center" vertical="center"/>
    </xf>
    <xf numFmtId="41" fontId="45" fillId="10" borderId="5" xfId="1" applyFont="1" applyFill="1" applyBorder="1" applyAlignment="1">
      <alignment vertical="center" wrapText="1"/>
    </xf>
    <xf numFmtId="41" fontId="46" fillId="10" borderId="16" xfId="1" applyFont="1" applyFill="1" applyBorder="1" applyAlignment="1">
      <alignment horizontal="center" vertical="center" wrapText="1"/>
    </xf>
    <xf numFmtId="41" fontId="45" fillId="10" borderId="5" xfId="1" applyFont="1" applyFill="1" applyBorder="1" applyAlignment="1">
      <alignment horizontal="center" vertical="center" wrapText="1"/>
    </xf>
    <xf numFmtId="41" fontId="49" fillId="10" borderId="5" xfId="1" applyFont="1" applyFill="1" applyBorder="1" applyAlignment="1">
      <alignment horizontal="center" vertical="center" wrapText="1"/>
    </xf>
    <xf numFmtId="41" fontId="50" fillId="0" borderId="5" xfId="1" applyFont="1" applyFill="1" applyBorder="1" applyAlignment="1">
      <alignment horizontal="center" vertical="center" wrapText="1"/>
    </xf>
    <xf numFmtId="41" fontId="49" fillId="0" borderId="5" xfId="1" applyFont="1" applyFill="1" applyBorder="1" applyAlignment="1">
      <alignment horizontal="center" vertical="center" wrapText="1"/>
    </xf>
    <xf numFmtId="166" fontId="45" fillId="0" borderId="5" xfId="3" applyNumberFormat="1" applyFont="1" applyFill="1" applyBorder="1" applyAlignment="1">
      <alignment vertical="center" wrapText="1"/>
    </xf>
    <xf numFmtId="41" fontId="38" fillId="10" borderId="5" xfId="1" applyFont="1" applyFill="1" applyBorder="1" applyAlignment="1">
      <alignment horizontal="center" vertical="center"/>
    </xf>
    <xf numFmtId="41" fontId="38" fillId="0" borderId="5" xfId="1" applyFont="1" applyFill="1" applyBorder="1" applyAlignment="1">
      <alignment vertical="center"/>
    </xf>
    <xf numFmtId="41" fontId="38" fillId="15" borderId="5" xfId="1" applyFont="1" applyFill="1" applyBorder="1" applyAlignment="1">
      <alignment horizontal="center" vertical="center"/>
    </xf>
    <xf numFmtId="41" fontId="38" fillId="28" borderId="5" xfId="1" applyFont="1" applyFill="1" applyBorder="1" applyAlignment="1">
      <alignment horizontal="center" vertical="center"/>
    </xf>
    <xf numFmtId="41" fontId="36" fillId="0" borderId="4" xfId="1" applyFont="1" applyFill="1" applyBorder="1" applyAlignment="1">
      <alignment horizontal="center" vertical="center"/>
    </xf>
    <xf numFmtId="41" fontId="36" fillId="10" borderId="4" xfId="1" applyFont="1" applyFill="1" applyBorder="1" applyAlignment="1">
      <alignment horizontal="left" vertical="center" wrapText="1"/>
    </xf>
    <xf numFmtId="41" fontId="35" fillId="10" borderId="4" xfId="1" applyFont="1" applyFill="1" applyBorder="1" applyAlignment="1">
      <alignment horizontal="center" vertical="center" wrapText="1"/>
    </xf>
    <xf numFmtId="41" fontId="36" fillId="10" borderId="4" xfId="1" applyFont="1" applyFill="1" applyBorder="1" applyAlignment="1">
      <alignment horizontal="center" vertical="center" wrapText="1"/>
    </xf>
    <xf numFmtId="0" fontId="51" fillId="10" borderId="4" xfId="0" applyFont="1" applyFill="1" applyBorder="1" applyAlignment="1">
      <alignment horizontal="center" vertical="center" wrapText="1"/>
    </xf>
    <xf numFmtId="14" fontId="51" fillId="10" borderId="4" xfId="0" applyNumberFormat="1" applyFont="1" applyFill="1" applyBorder="1" applyAlignment="1">
      <alignment horizontal="center" vertical="center" wrapText="1"/>
    </xf>
    <xf numFmtId="41" fontId="37" fillId="10" borderId="4" xfId="1" applyFont="1" applyFill="1" applyBorder="1" applyAlignment="1">
      <alignment horizontal="center" vertical="center" wrapText="1"/>
    </xf>
    <xf numFmtId="0" fontId="48" fillId="0" borderId="4" xfId="0" applyFont="1" applyFill="1" applyBorder="1" applyAlignment="1">
      <alignment horizontal="center" vertical="center" wrapText="1"/>
    </xf>
    <xf numFmtId="41" fontId="50" fillId="0" borderId="4" xfId="1" applyFont="1" applyFill="1" applyBorder="1" applyAlignment="1">
      <alignment horizontal="center" vertical="center" wrapText="1"/>
    </xf>
    <xf numFmtId="41" fontId="37" fillId="0" borderId="4" xfId="1" applyFont="1" applyFill="1" applyBorder="1" applyAlignment="1">
      <alignment horizontal="center" vertical="center" wrapText="1"/>
    </xf>
    <xf numFmtId="41" fontId="36" fillId="10" borderId="4" xfId="1" applyFont="1" applyFill="1" applyBorder="1" applyAlignment="1">
      <alignment vertical="center"/>
    </xf>
    <xf numFmtId="41" fontId="36" fillId="28" borderId="4" xfId="1" applyFont="1" applyFill="1" applyBorder="1" applyAlignment="1">
      <alignment horizontal="center" vertical="center"/>
    </xf>
    <xf numFmtId="0" fontId="33" fillId="0" borderId="0" xfId="0" applyFont="1" applyAlignment="1">
      <alignment vertical="center"/>
    </xf>
    <xf numFmtId="0" fontId="33" fillId="26" borderId="0" xfId="0" applyFont="1" applyFill="1"/>
    <xf numFmtId="0" fontId="35" fillId="26" borderId="0" xfId="0" applyFont="1" applyFill="1"/>
    <xf numFmtId="0" fontId="33" fillId="10" borderId="0" xfId="0" applyFont="1" applyFill="1" applyBorder="1"/>
    <xf numFmtId="0" fontId="33" fillId="10" borderId="0" xfId="0" applyFont="1" applyFill="1"/>
    <xf numFmtId="0" fontId="36" fillId="10" borderId="0" xfId="0" applyFont="1" applyFill="1" applyBorder="1"/>
    <xf numFmtId="0" fontId="36" fillId="10" borderId="0" xfId="0" applyFont="1" applyFill="1"/>
    <xf numFmtId="0" fontId="38" fillId="10" borderId="0" xfId="0" applyFont="1" applyFill="1" applyBorder="1"/>
    <xf numFmtId="0" fontId="38" fillId="10" borderId="0" xfId="0" applyFont="1" applyFill="1"/>
    <xf numFmtId="41" fontId="38" fillId="10" borderId="0" xfId="1" applyFont="1" applyFill="1" applyBorder="1" applyAlignment="1">
      <alignment horizontal="center" vertical="center"/>
    </xf>
    <xf numFmtId="41" fontId="38" fillId="10" borderId="13" xfId="1" applyFont="1" applyFill="1" applyBorder="1" applyAlignment="1">
      <alignment horizontal="center" vertical="center"/>
    </xf>
    <xf numFmtId="41" fontId="38" fillId="10" borderId="28" xfId="1" applyFont="1" applyFill="1" applyBorder="1" applyAlignment="1">
      <alignment horizontal="center" vertical="center"/>
    </xf>
    <xf numFmtId="41" fontId="36" fillId="10" borderId="4" xfId="1" applyFont="1" applyFill="1" applyBorder="1" applyAlignment="1">
      <alignment horizontal="center" vertical="center"/>
    </xf>
    <xf numFmtId="0" fontId="0" fillId="10" borderId="2" xfId="0" applyFill="1" applyBorder="1"/>
    <xf numFmtId="0" fontId="0" fillId="10" borderId="8" xfId="0" applyFill="1" applyBorder="1"/>
    <xf numFmtId="0" fontId="0" fillId="10" borderId="7" xfId="0" applyFill="1" applyBorder="1"/>
    <xf numFmtId="0" fontId="20" fillId="10" borderId="4" xfId="0" applyFont="1" applyFill="1" applyBorder="1" applyAlignment="1">
      <alignment horizontal="left" vertical="center" wrapText="1"/>
    </xf>
    <xf numFmtId="0" fontId="16" fillId="0" borderId="4" xfId="0" applyFont="1" applyBorder="1" applyAlignment="1">
      <alignment horizontal="center" vertical="center"/>
    </xf>
    <xf numFmtId="0" fontId="20" fillId="10" borderId="4" xfId="0" applyFont="1" applyFill="1" applyBorder="1"/>
    <xf numFmtId="0" fontId="16" fillId="0" borderId="4" xfId="0" applyFont="1" applyBorder="1" applyAlignment="1">
      <alignment horizontal="left" vertical="center" wrapText="1"/>
    </xf>
    <xf numFmtId="0" fontId="19" fillId="24" borderId="0" xfId="0" applyFont="1" applyFill="1"/>
    <xf numFmtId="0" fontId="20" fillId="10" borderId="0" xfId="0" applyFont="1" applyFill="1"/>
    <xf numFmtId="0" fontId="16" fillId="0" borderId="4" xfId="0" applyFont="1" applyBorder="1" applyAlignment="1">
      <alignment horizontal="center" vertical="center" wrapText="1"/>
    </xf>
    <xf numFmtId="0" fontId="20" fillId="10" borderId="4" xfId="0" applyFont="1" applyFill="1" applyBorder="1" applyAlignment="1">
      <alignment wrapText="1"/>
    </xf>
    <xf numFmtId="0" fontId="0" fillId="0" borderId="4" xfId="0" applyBorder="1" applyAlignment="1">
      <alignment horizontal="center" vertical="center"/>
    </xf>
    <xf numFmtId="0" fontId="0" fillId="10" borderId="4" xfId="0" applyFill="1" applyBorder="1" applyAlignment="1">
      <alignment vertical="center"/>
    </xf>
    <xf numFmtId="0" fontId="0" fillId="10" borderId="4" xfId="0" applyFill="1" applyBorder="1" applyAlignment="1">
      <alignment horizontal="center"/>
    </xf>
    <xf numFmtId="0" fontId="11" fillId="10" borderId="4" xfId="0" applyFont="1" applyFill="1" applyBorder="1"/>
    <xf numFmtId="0" fontId="11" fillId="10" borderId="4" xfId="0" applyFont="1" applyFill="1" applyBorder="1" applyAlignment="1">
      <alignment vertical="center"/>
    </xf>
    <xf numFmtId="9" fontId="0" fillId="10" borderId="4" xfId="0" applyNumberFormat="1" applyFill="1" applyBorder="1" applyAlignment="1">
      <alignment horizontal="center"/>
    </xf>
    <xf numFmtId="0" fontId="21" fillId="9" borderId="20" xfId="0" applyFont="1" applyFill="1" applyBorder="1" applyAlignment="1">
      <alignment horizontal="center" vertical="center" wrapText="1"/>
    </xf>
    <xf numFmtId="3" fontId="29" fillId="0" borderId="26" xfId="0" applyNumberFormat="1" applyFont="1" applyBorder="1" applyAlignment="1">
      <alignment horizontal="center" vertical="center"/>
    </xf>
    <xf numFmtId="0" fontId="59" fillId="37" borderId="4" xfId="0" applyFont="1" applyFill="1" applyBorder="1" applyAlignment="1">
      <alignment horizontal="center" vertical="center" wrapText="1"/>
    </xf>
    <xf numFmtId="0" fontId="62" fillId="5" borderId="4" xfId="0" applyFont="1" applyFill="1" applyBorder="1" applyAlignment="1">
      <alignment vertical="center"/>
    </xf>
    <xf numFmtId="0" fontId="64" fillId="5" borderId="4" xfId="0" applyFont="1" applyFill="1" applyBorder="1" applyAlignment="1">
      <alignment horizontal="center" vertical="center"/>
    </xf>
    <xf numFmtId="0" fontId="62" fillId="5" borderId="4" xfId="0" applyFont="1" applyFill="1" applyBorder="1"/>
    <xf numFmtId="0" fontId="30" fillId="10" borderId="0" xfId="0" applyFont="1" applyFill="1"/>
    <xf numFmtId="0" fontId="10" fillId="10" borderId="4" xfId="0" applyFont="1" applyFill="1" applyBorder="1" applyAlignment="1">
      <alignment horizontal="left" vertical="center" wrapText="1"/>
    </xf>
    <xf numFmtId="0" fontId="30" fillId="10" borderId="4" xfId="0" applyFont="1" applyFill="1" applyBorder="1" applyAlignment="1">
      <alignment horizontal="center" vertical="center"/>
    </xf>
    <xf numFmtId="0" fontId="30" fillId="10" borderId="4" xfId="0" applyFont="1" applyFill="1" applyBorder="1"/>
    <xf numFmtId="0" fontId="73" fillId="10" borderId="4" xfId="0" applyFont="1" applyFill="1" applyBorder="1" applyAlignment="1">
      <alignment horizontal="center" vertical="center"/>
    </xf>
    <xf numFmtId="0" fontId="30" fillId="10" borderId="4" xfId="0" applyFont="1" applyFill="1" applyBorder="1" applyAlignment="1">
      <alignment horizontal="left" vertical="center"/>
    </xf>
    <xf numFmtId="0" fontId="30" fillId="10" borderId="4" xfId="0" applyFont="1" applyFill="1" applyBorder="1" applyAlignment="1">
      <alignment horizontal="center" vertical="center" wrapText="1"/>
    </xf>
    <xf numFmtId="14" fontId="10" fillId="10" borderId="4" xfId="0" applyNumberFormat="1" applyFont="1" applyFill="1" applyBorder="1" applyAlignment="1">
      <alignment horizontal="center" vertical="center"/>
    </xf>
    <xf numFmtId="0" fontId="64" fillId="5" borderId="0" xfId="0" applyFont="1" applyFill="1" applyAlignment="1">
      <alignment horizontal="left"/>
    </xf>
    <xf numFmtId="0" fontId="64" fillId="5" borderId="0" xfId="0" applyFont="1" applyFill="1" applyAlignment="1">
      <alignment vertical="center" wrapText="1"/>
    </xf>
    <xf numFmtId="0" fontId="64" fillId="5" borderId="0" xfId="0" applyFont="1" applyFill="1" applyAlignment="1">
      <alignment horizontal="center" vertical="center"/>
    </xf>
    <xf numFmtId="0" fontId="64" fillId="5" borderId="0" xfId="0" applyFont="1" applyFill="1"/>
    <xf numFmtId="0" fontId="75" fillId="5" borderId="0" xfId="0" applyFont="1" applyFill="1"/>
    <xf numFmtId="0" fontId="60" fillId="35" borderId="24" xfId="0" applyFont="1" applyFill="1" applyBorder="1" applyAlignment="1">
      <alignment horizontal="center" vertical="center" wrapText="1"/>
    </xf>
    <xf numFmtId="0" fontId="59" fillId="37" borderId="17" xfId="0" applyFont="1" applyFill="1" applyBorder="1" applyAlignment="1">
      <alignment horizontal="center" vertical="center" wrapText="1"/>
    </xf>
    <xf numFmtId="0" fontId="63" fillId="5" borderId="17" xfId="0" applyFont="1" applyFill="1" applyBorder="1" applyAlignment="1">
      <alignment horizontal="center" vertical="center"/>
    </xf>
    <xf numFmtId="0" fontId="64" fillId="5" borderId="17" xfId="0" applyFont="1" applyFill="1" applyBorder="1" applyAlignment="1">
      <alignment horizontal="center" vertical="center"/>
    </xf>
    <xf numFmtId="0" fontId="62" fillId="5" borderId="47" xfId="0" applyFont="1" applyFill="1" applyBorder="1"/>
    <xf numFmtId="0" fontId="64" fillId="5" borderId="13" xfId="0" applyFont="1" applyFill="1" applyBorder="1" applyAlignment="1">
      <alignment horizontal="center" vertical="center"/>
    </xf>
    <xf numFmtId="0" fontId="0" fillId="5" borderId="0" xfId="0" applyFill="1" applyAlignment="1">
      <alignment vertical="center"/>
    </xf>
    <xf numFmtId="0" fontId="62" fillId="5" borderId="43" xfId="0" applyFont="1" applyFill="1" applyBorder="1"/>
    <xf numFmtId="0" fontId="59" fillId="5" borderId="4" xfId="0" applyFont="1" applyFill="1" applyBorder="1" applyAlignment="1">
      <alignment horizontal="center" vertical="center" wrapText="1"/>
    </xf>
    <xf numFmtId="0" fontId="62" fillId="5" borderId="48" xfId="0" applyFont="1" applyFill="1" applyBorder="1"/>
    <xf numFmtId="0" fontId="0" fillId="5" borderId="0" xfId="0" applyFill="1" applyBorder="1" applyAlignment="1">
      <alignment horizontal="center" vertical="center" wrapText="1"/>
    </xf>
    <xf numFmtId="0" fontId="77" fillId="5" borderId="4" xfId="0" applyFont="1" applyFill="1" applyBorder="1" applyAlignment="1">
      <alignment horizontal="center" vertical="center"/>
    </xf>
    <xf numFmtId="0" fontId="0" fillId="5" borderId="0" xfId="0" applyFill="1" applyAlignment="1"/>
    <xf numFmtId="9" fontId="64" fillId="5" borderId="4" xfId="0" applyNumberFormat="1" applyFont="1" applyFill="1" applyBorder="1" applyAlignment="1">
      <alignment horizontal="center" vertical="center"/>
    </xf>
    <xf numFmtId="9" fontId="63" fillId="5" borderId="4" xfId="0" applyNumberFormat="1" applyFont="1" applyFill="1" applyBorder="1" applyAlignment="1">
      <alignment horizontal="center" vertical="center"/>
    </xf>
    <xf numFmtId="41" fontId="62" fillId="5" borderId="4" xfId="1" applyFont="1" applyFill="1" applyBorder="1" applyAlignment="1">
      <alignment horizontal="center" vertical="center"/>
    </xf>
    <xf numFmtId="0" fontId="60" fillId="41" borderId="9" xfId="0" applyFont="1" applyFill="1" applyBorder="1" applyAlignment="1">
      <alignment vertical="center" wrapText="1"/>
    </xf>
    <xf numFmtId="0" fontId="23" fillId="10" borderId="0" xfId="0" applyFont="1" applyFill="1"/>
    <xf numFmtId="0" fontId="23" fillId="15" borderId="24" xfId="0" applyFont="1" applyFill="1" applyBorder="1"/>
    <xf numFmtId="0" fontId="23" fillId="10" borderId="25" xfId="0" applyFont="1" applyFill="1" applyBorder="1"/>
    <xf numFmtId="0" fontId="23" fillId="10" borderId="26" xfId="0" applyFont="1" applyFill="1" applyBorder="1"/>
    <xf numFmtId="0" fontId="84" fillId="10" borderId="4" xfId="0" applyFont="1" applyFill="1" applyBorder="1" applyAlignment="1">
      <alignment vertical="center"/>
    </xf>
    <xf numFmtId="14" fontId="0" fillId="10" borderId="4" xfId="0" applyNumberFormat="1" applyFill="1" applyBorder="1" applyAlignment="1">
      <alignment vertical="center"/>
    </xf>
    <xf numFmtId="0" fontId="88" fillId="10" borderId="4" xfId="0" applyFont="1" applyFill="1" applyBorder="1" applyAlignment="1">
      <alignment vertical="center" wrapText="1"/>
    </xf>
    <xf numFmtId="0" fontId="92" fillId="10" borderId="4" xfId="0" applyFont="1" applyFill="1" applyBorder="1" applyAlignment="1">
      <alignment vertical="center" wrapText="1"/>
    </xf>
    <xf numFmtId="0" fontId="0" fillId="24" borderId="4" xfId="0" applyFill="1" applyBorder="1" applyAlignment="1">
      <alignment vertical="center"/>
    </xf>
    <xf numFmtId="0" fontId="0" fillId="42" borderId="4" xfId="0" applyFill="1" applyBorder="1" applyAlignment="1">
      <alignment vertical="center"/>
    </xf>
    <xf numFmtId="0" fontId="0" fillId="24" borderId="4" xfId="0" applyFill="1" applyBorder="1" applyAlignment="1">
      <alignment vertical="center" wrapText="1"/>
    </xf>
    <xf numFmtId="0" fontId="95" fillId="0" borderId="4" xfId="0" applyFont="1" applyBorder="1" applyAlignment="1">
      <alignment horizontal="center" vertical="center" wrapText="1"/>
    </xf>
    <xf numFmtId="0" fontId="30" fillId="10" borderId="4" xfId="0" applyFont="1" applyFill="1" applyBorder="1" applyAlignment="1">
      <alignment horizontal="left"/>
    </xf>
    <xf numFmtId="0" fontId="30" fillId="10" borderId="4" xfId="0" applyFont="1" applyFill="1" applyBorder="1" applyAlignment="1">
      <alignment horizontal="left" wrapText="1"/>
    </xf>
    <xf numFmtId="0" fontId="3" fillId="5" borderId="4" xfId="0" applyFont="1" applyFill="1" applyBorder="1" applyAlignment="1">
      <alignment vertical="center"/>
    </xf>
    <xf numFmtId="0" fontId="3" fillId="10" borderId="15" xfId="0" applyFont="1" applyFill="1" applyBorder="1" applyAlignment="1">
      <alignment vertical="center"/>
    </xf>
    <xf numFmtId="0" fontId="3" fillId="10" borderId="17" xfId="0" applyFont="1" applyFill="1" applyBorder="1" applyAlignment="1">
      <alignment vertical="center"/>
    </xf>
    <xf numFmtId="41" fontId="5" fillId="8" borderId="4" xfId="1" applyFont="1" applyFill="1" applyBorder="1" applyAlignment="1">
      <alignment horizontal="center" vertical="center"/>
    </xf>
    <xf numFmtId="0" fontId="3" fillId="5" borderId="4" xfId="0" applyFont="1" applyFill="1" applyBorder="1" applyAlignment="1">
      <alignment horizontal="left" vertical="center" wrapText="1"/>
    </xf>
    <xf numFmtId="0" fontId="3" fillId="5" borderId="5" xfId="0" applyFont="1" applyFill="1" applyBorder="1" applyAlignment="1">
      <alignment horizontal="left" vertical="center" wrapText="1"/>
    </xf>
    <xf numFmtId="0" fontId="3" fillId="5" borderId="9" xfId="0" applyFont="1" applyFill="1" applyBorder="1" applyAlignment="1">
      <alignment horizontal="left" vertical="center" wrapText="1"/>
    </xf>
    <xf numFmtId="0" fontId="3" fillId="5" borderId="16" xfId="0" applyFont="1" applyFill="1" applyBorder="1" applyAlignment="1">
      <alignment horizontal="left" vertical="center" wrapText="1"/>
    </xf>
    <xf numFmtId="0" fontId="0" fillId="10" borderId="0" xfId="0" applyFill="1" applyAlignment="1">
      <alignment horizontal="center"/>
    </xf>
    <xf numFmtId="0" fontId="13" fillId="10" borderId="4" xfId="0" applyFont="1" applyFill="1" applyBorder="1" applyAlignment="1">
      <alignment horizontal="center" vertical="center" wrapText="1"/>
    </xf>
    <xf numFmtId="0" fontId="3" fillId="5" borderId="4" xfId="0" applyFont="1" applyFill="1" applyBorder="1" applyAlignment="1">
      <alignment horizontal="left" vertical="center"/>
    </xf>
    <xf numFmtId="0" fontId="25" fillId="10" borderId="4" xfId="0" applyFont="1" applyFill="1" applyBorder="1" applyAlignment="1">
      <alignment horizontal="center" vertical="center" wrapText="1"/>
    </xf>
    <xf numFmtId="0" fontId="16" fillId="12" borderId="4" xfId="0" applyFont="1" applyFill="1" applyBorder="1" applyAlignment="1">
      <alignment horizontal="center" vertical="center"/>
    </xf>
    <xf numFmtId="0" fontId="20" fillId="10" borderId="4" xfId="0" applyFont="1" applyFill="1" applyBorder="1" applyAlignment="1">
      <alignment vertical="center"/>
    </xf>
    <xf numFmtId="0" fontId="30" fillId="10" borderId="0" xfId="0" applyFont="1" applyFill="1" applyBorder="1" applyAlignment="1">
      <alignment horizontal="left" wrapText="1"/>
    </xf>
    <xf numFmtId="0" fontId="73" fillId="0" borderId="4" xfId="0" applyFont="1" applyBorder="1" applyAlignment="1">
      <alignment horizontal="center" vertical="center"/>
    </xf>
    <xf numFmtId="0" fontId="20" fillId="0" borderId="4" xfId="0" applyFont="1" applyBorder="1" applyAlignment="1">
      <alignment vertical="center" wrapText="1"/>
    </xf>
    <xf numFmtId="0" fontId="20" fillId="0" borderId="4" xfId="0" applyFont="1" applyBorder="1" applyAlignment="1">
      <alignment wrapText="1"/>
    </xf>
    <xf numFmtId="0" fontId="20" fillId="0" borderId="4" xfId="0" applyFont="1" applyBorder="1" applyAlignment="1">
      <alignment horizontal="justify" vertical="center"/>
    </xf>
    <xf numFmtId="0" fontId="3" fillId="6" borderId="4" xfId="0" applyFont="1" applyFill="1" applyBorder="1" applyAlignment="1">
      <alignment horizontal="left"/>
    </xf>
    <xf numFmtId="0" fontId="3" fillId="6" borderId="4" xfId="0" applyFont="1" applyFill="1" applyBorder="1" applyAlignment="1"/>
    <xf numFmtId="41" fontId="3" fillId="8" borderId="4" xfId="1" applyFont="1" applyFill="1" applyBorder="1" applyAlignment="1"/>
    <xf numFmtId="41" fontId="3" fillId="14" borderId="11" xfId="1" applyFont="1" applyFill="1" applyBorder="1" applyAlignment="1"/>
    <xf numFmtId="0" fontId="3" fillId="42" borderId="4" xfId="0" applyFont="1" applyFill="1" applyBorder="1" applyAlignment="1"/>
    <xf numFmtId="41" fontId="30" fillId="25" borderId="4" xfId="1" applyFont="1" applyFill="1" applyBorder="1" applyAlignment="1">
      <alignment horizontal="center"/>
    </xf>
    <xf numFmtId="41" fontId="5" fillId="14" borderId="31" xfId="1" applyFont="1" applyFill="1" applyBorder="1" applyAlignment="1">
      <alignment horizontal="center" vertical="center"/>
    </xf>
    <xf numFmtId="41" fontId="5" fillId="42" borderId="9" xfId="1" applyFont="1" applyFill="1" applyBorder="1" applyAlignment="1">
      <alignment horizontal="center" vertical="center"/>
    </xf>
    <xf numFmtId="41" fontId="30" fillId="25" borderId="9" xfId="1" applyFont="1" applyFill="1" applyBorder="1" applyAlignment="1">
      <alignment horizontal="center"/>
    </xf>
    <xf numFmtId="41" fontId="5" fillId="14" borderId="22" xfId="1" applyFont="1" applyFill="1" applyBorder="1" applyAlignment="1">
      <alignment horizontal="center" vertical="center"/>
    </xf>
    <xf numFmtId="3" fontId="5" fillId="42" borderId="4" xfId="0" applyNumberFormat="1" applyFont="1" applyFill="1" applyBorder="1" applyAlignment="1">
      <alignment horizontal="center" vertical="center"/>
    </xf>
    <xf numFmtId="41" fontId="5" fillId="42" borderId="4" xfId="1" applyFont="1" applyFill="1" applyBorder="1" applyAlignment="1">
      <alignment horizontal="center" vertical="center"/>
    </xf>
    <xf numFmtId="0" fontId="5" fillId="42" borderId="4" xfId="0" applyFont="1" applyFill="1" applyBorder="1" applyAlignment="1">
      <alignment horizontal="center" vertical="center" wrapText="1"/>
    </xf>
    <xf numFmtId="0" fontId="5" fillId="42" borderId="4" xfId="0" applyFont="1" applyFill="1" applyBorder="1" applyAlignment="1">
      <alignment horizontal="center" vertical="center"/>
    </xf>
    <xf numFmtId="41" fontId="6" fillId="8" borderId="4" xfId="1" applyFont="1" applyFill="1" applyBorder="1" applyAlignment="1">
      <alignment horizontal="center" vertical="center"/>
    </xf>
    <xf numFmtId="41" fontId="5" fillId="14" borderId="13" xfId="1" applyFont="1" applyFill="1" applyBorder="1" applyAlignment="1">
      <alignment horizontal="center" vertical="center"/>
    </xf>
    <xf numFmtId="41" fontId="7" fillId="8" borderId="4" xfId="1" applyFont="1" applyFill="1" applyBorder="1" applyAlignment="1">
      <alignment horizontal="center" vertical="center"/>
    </xf>
    <xf numFmtId="41" fontId="7" fillId="14" borderId="4" xfId="1" applyFont="1" applyFill="1" applyBorder="1" applyAlignment="1">
      <alignment horizontal="center" vertical="center"/>
    </xf>
    <xf numFmtId="41" fontId="7" fillId="42" borderId="4" xfId="1" applyFont="1" applyFill="1" applyBorder="1" applyAlignment="1">
      <alignment horizontal="center" vertical="center"/>
    </xf>
    <xf numFmtId="41" fontId="7" fillId="7" borderId="4" xfId="1" applyFont="1" applyFill="1" applyBorder="1" applyAlignment="1">
      <alignment horizontal="center" vertical="center"/>
    </xf>
    <xf numFmtId="0" fontId="3" fillId="6" borderId="4" xfId="0" applyFont="1" applyFill="1" applyBorder="1" applyAlignment="1">
      <alignment horizontal="left" vertical="center"/>
    </xf>
    <xf numFmtId="0" fontId="3" fillId="6" borderId="4" xfId="0" applyFont="1" applyFill="1" applyBorder="1" applyAlignment="1">
      <alignment vertical="center"/>
    </xf>
    <xf numFmtId="41" fontId="6" fillId="14" borderId="0" xfId="1" applyFont="1" applyFill="1" applyBorder="1" applyAlignment="1">
      <alignment horizontal="center" vertical="center"/>
    </xf>
    <xf numFmtId="41" fontId="6" fillId="8" borderId="9" xfId="1" applyFont="1" applyFill="1" applyBorder="1" applyAlignment="1">
      <alignment horizontal="center" vertical="center"/>
    </xf>
    <xf numFmtId="41" fontId="5" fillId="8" borderId="5" xfId="1" applyFont="1" applyFill="1" applyBorder="1" applyAlignment="1">
      <alignment horizontal="center" vertical="center"/>
    </xf>
    <xf numFmtId="41" fontId="5" fillId="14" borderId="29" xfId="1" applyFont="1" applyFill="1" applyBorder="1" applyAlignment="1">
      <alignment horizontal="center" vertical="center"/>
    </xf>
    <xf numFmtId="41" fontId="5" fillId="42" borderId="5" xfId="1" applyFont="1" applyFill="1" applyBorder="1" applyAlignment="1">
      <alignment horizontal="center" vertical="center"/>
    </xf>
    <xf numFmtId="41" fontId="30" fillId="25" borderId="5" xfId="1" applyFont="1" applyFill="1" applyBorder="1" applyAlignment="1">
      <alignment horizontal="center"/>
    </xf>
    <xf numFmtId="0" fontId="3" fillId="6" borderId="9" xfId="0" applyFont="1" applyFill="1" applyBorder="1" applyAlignment="1">
      <alignment horizontal="left" vertical="center"/>
    </xf>
    <xf numFmtId="0" fontId="3" fillId="6" borderId="9" xfId="0" applyFont="1" applyFill="1" applyBorder="1" applyAlignment="1">
      <alignment vertical="center"/>
    </xf>
    <xf numFmtId="0" fontId="3" fillId="10" borderId="4" xfId="0" applyFont="1" applyFill="1" applyBorder="1" applyAlignment="1">
      <alignment vertical="center"/>
    </xf>
    <xf numFmtId="41" fontId="30" fillId="5" borderId="0" xfId="1" applyFont="1" applyFill="1"/>
    <xf numFmtId="0" fontId="4" fillId="5" borderId="39" xfId="0" applyFont="1" applyFill="1" applyBorder="1" applyAlignment="1">
      <alignment horizontal="left"/>
    </xf>
    <xf numFmtId="0" fontId="4" fillId="5" borderId="46" xfId="0" applyFont="1" applyFill="1" applyBorder="1" applyAlignment="1">
      <alignment horizontal="left"/>
    </xf>
    <xf numFmtId="0" fontId="8" fillId="10" borderId="0" xfId="0" applyFont="1" applyFill="1" applyAlignment="1">
      <alignment horizontal="center" vertical="center"/>
    </xf>
    <xf numFmtId="0" fontId="94" fillId="30" borderId="20" xfId="0" applyFont="1" applyFill="1" applyBorder="1" applyAlignment="1">
      <alignment horizontal="center" vertical="center" wrapText="1"/>
    </xf>
    <xf numFmtId="0" fontId="94" fillId="30" borderId="2" xfId="0" applyFont="1" applyFill="1" applyBorder="1" applyAlignment="1">
      <alignment horizontal="center" vertical="center"/>
    </xf>
    <xf numFmtId="0" fontId="94" fillId="43" borderId="2" xfId="0" applyFont="1" applyFill="1" applyBorder="1" applyAlignment="1">
      <alignment horizontal="center" vertical="center" wrapText="1"/>
    </xf>
    <xf numFmtId="0" fontId="94" fillId="30" borderId="2" xfId="0" applyFont="1" applyFill="1" applyBorder="1" applyAlignment="1">
      <alignment horizontal="center" vertical="center" wrapText="1"/>
    </xf>
    <xf numFmtId="167" fontId="94" fillId="30" borderId="2" xfId="1" applyNumberFormat="1" applyFont="1" applyFill="1" applyBorder="1" applyAlignment="1">
      <alignment horizontal="center" vertical="center" wrapText="1"/>
    </xf>
    <xf numFmtId="167" fontId="94" fillId="30" borderId="1" xfId="1" applyNumberFormat="1" applyFont="1" applyFill="1" applyBorder="1" applyAlignment="1">
      <alignment horizontal="center" vertical="center" wrapText="1"/>
    </xf>
    <xf numFmtId="167" fontId="94" fillId="30" borderId="0" xfId="1" applyNumberFormat="1" applyFont="1" applyFill="1" applyBorder="1" applyAlignment="1">
      <alignment horizontal="center" vertical="center" wrapText="1"/>
    </xf>
    <xf numFmtId="167" fontId="94" fillId="30" borderId="4" xfId="1" applyNumberFormat="1" applyFont="1" applyFill="1" applyBorder="1" applyAlignment="1">
      <alignment horizontal="center" vertical="center" wrapText="1"/>
    </xf>
    <xf numFmtId="1" fontId="94" fillId="4" borderId="2" xfId="1" applyNumberFormat="1" applyFont="1" applyFill="1" applyBorder="1" applyAlignment="1">
      <alignment horizontal="center" vertical="center" wrapText="1"/>
    </xf>
    <xf numFmtId="167" fontId="94" fillId="4" borderId="2" xfId="1" applyNumberFormat="1" applyFont="1" applyFill="1" applyBorder="1" applyAlignment="1">
      <alignment horizontal="center" vertical="center" wrapText="1"/>
    </xf>
    <xf numFmtId="9" fontId="94" fillId="30" borderId="0" xfId="2" applyFont="1" applyFill="1" applyBorder="1" applyAlignment="1">
      <alignment horizontal="center" vertical="center" wrapText="1"/>
    </xf>
    <xf numFmtId="167" fontId="94" fillId="30" borderId="4" xfId="1" applyNumberFormat="1" applyFont="1" applyFill="1" applyBorder="1" applyAlignment="1">
      <alignment horizontal="left" vertical="center" wrapText="1"/>
    </xf>
    <xf numFmtId="167" fontId="94" fillId="16" borderId="4" xfId="1" applyNumberFormat="1" applyFont="1" applyFill="1" applyBorder="1" applyAlignment="1">
      <alignment horizontal="center" vertical="center" wrapText="1"/>
    </xf>
    <xf numFmtId="167" fontId="94" fillId="16" borderId="0" xfId="1" applyNumberFormat="1" applyFont="1" applyFill="1" applyBorder="1" applyAlignment="1">
      <alignment horizontal="center" vertical="center" wrapText="1"/>
    </xf>
    <xf numFmtId="9" fontId="94" fillId="16" borderId="2" xfId="2" applyNumberFormat="1" applyFont="1" applyFill="1" applyBorder="1" applyAlignment="1">
      <alignment horizontal="center" vertical="center" wrapText="1"/>
    </xf>
    <xf numFmtId="1" fontId="100" fillId="44" borderId="0" xfId="1" applyNumberFormat="1" applyFont="1" applyFill="1" applyBorder="1" applyAlignment="1">
      <alignment horizontal="center" vertical="center" wrapText="1"/>
    </xf>
    <xf numFmtId="1" fontId="100" fillId="44" borderId="4" xfId="1" applyNumberFormat="1" applyFont="1" applyFill="1" applyBorder="1" applyAlignment="1">
      <alignment horizontal="center" vertical="center" wrapText="1"/>
    </xf>
    <xf numFmtId="0" fontId="8" fillId="10" borderId="0" xfId="0" applyFont="1" applyFill="1" applyAlignment="1">
      <alignment vertical="center"/>
    </xf>
    <xf numFmtId="0" fontId="94" fillId="42" borderId="4" xfId="0" applyFont="1" applyFill="1" applyBorder="1" applyAlignment="1">
      <alignment horizontal="center" vertical="center"/>
    </xf>
    <xf numFmtId="0" fontId="94" fillId="10" borderId="4" xfId="0" applyFont="1" applyFill="1" applyBorder="1" applyAlignment="1">
      <alignment horizontal="left" vertical="center" wrapText="1"/>
    </xf>
    <xf numFmtId="0" fontId="94" fillId="10" borderId="4" xfId="0" applyFont="1" applyFill="1" applyBorder="1" applyAlignment="1">
      <alignment horizontal="center" vertical="center" wrapText="1"/>
    </xf>
    <xf numFmtId="0" fontId="94" fillId="0" borderId="4" xfId="0" applyFont="1" applyFill="1" applyBorder="1" applyAlignment="1">
      <alignment vertical="center" wrapText="1"/>
    </xf>
    <xf numFmtId="0" fontId="95" fillId="10" borderId="4" xfId="0" applyFont="1" applyFill="1" applyBorder="1" applyAlignment="1">
      <alignment horizontal="left" vertical="center" wrapText="1"/>
    </xf>
    <xf numFmtId="9" fontId="95" fillId="24" borderId="4" xfId="0" applyNumberFormat="1" applyFont="1" applyFill="1" applyBorder="1" applyAlignment="1">
      <alignment horizontal="center" vertical="center" wrapText="1"/>
    </xf>
    <xf numFmtId="41" fontId="8" fillId="10" borderId="4" xfId="4" applyNumberFormat="1" applyFont="1" applyFill="1" applyBorder="1" applyAlignment="1">
      <alignment vertical="center"/>
    </xf>
    <xf numFmtId="168" fontId="103" fillId="10" borderId="17" xfId="4" applyFont="1" applyFill="1" applyBorder="1" applyAlignment="1">
      <alignment horizontal="left" vertical="center"/>
    </xf>
    <xf numFmtId="168" fontId="104" fillId="10" borderId="17" xfId="4" applyFont="1" applyFill="1" applyBorder="1" applyAlignment="1">
      <alignment horizontal="left" vertical="center"/>
    </xf>
    <xf numFmtId="14" fontId="10" fillId="10" borderId="4" xfId="4" applyNumberFormat="1" applyFont="1" applyFill="1" applyBorder="1" applyAlignment="1">
      <alignment horizontal="center" vertical="center" wrapText="1"/>
    </xf>
    <xf numFmtId="15" fontId="22" fillId="10" borderId="4" xfId="0" applyNumberFormat="1" applyFont="1" applyFill="1" applyBorder="1" applyAlignment="1">
      <alignment horizontal="center" vertical="center"/>
    </xf>
    <xf numFmtId="14" fontId="20" fillId="10" borderId="4" xfId="0" applyNumberFormat="1" applyFont="1" applyFill="1" applyBorder="1" applyAlignment="1">
      <alignment horizontal="center" vertical="center"/>
    </xf>
    <xf numFmtId="9" fontId="103" fillId="10" borderId="17" xfId="2" applyFont="1" applyFill="1" applyBorder="1" applyAlignment="1">
      <alignment horizontal="center" vertical="center"/>
    </xf>
    <xf numFmtId="0" fontId="8" fillId="10" borderId="4" xfId="0" applyFont="1" applyFill="1" applyBorder="1" applyAlignment="1">
      <alignment horizontal="left" vertical="center" wrapText="1"/>
    </xf>
    <xf numFmtId="41" fontId="8" fillId="10" borderId="4" xfId="1" applyFont="1" applyFill="1" applyBorder="1" applyAlignment="1">
      <alignment horizontal="left" vertical="center" wrapText="1"/>
    </xf>
    <xf numFmtId="167" fontId="103" fillId="10" borderId="4" xfId="4" applyNumberFormat="1" applyFont="1" applyFill="1" applyBorder="1" applyAlignment="1">
      <alignment horizontal="center" vertical="center"/>
    </xf>
    <xf numFmtId="9" fontId="103" fillId="10" borderId="4" xfId="2" applyFont="1" applyFill="1" applyBorder="1" applyAlignment="1">
      <alignment horizontal="center" vertical="center"/>
    </xf>
    <xf numFmtId="167" fontId="95" fillId="10" borderId="4" xfId="2" applyNumberFormat="1" applyFont="1" applyFill="1" applyBorder="1" applyAlignment="1">
      <alignment horizontal="center" vertical="center" wrapText="1"/>
    </xf>
    <xf numFmtId="0" fontId="8" fillId="10" borderId="4" xfId="0" applyFont="1" applyFill="1" applyBorder="1" applyAlignment="1">
      <alignment vertical="center" wrapText="1"/>
    </xf>
    <xf numFmtId="0" fontId="94" fillId="25" borderId="4" xfId="0" applyFont="1" applyFill="1" applyBorder="1" applyAlignment="1">
      <alignment horizontal="center" vertical="center"/>
    </xf>
    <xf numFmtId="41" fontId="8" fillId="10" borderId="4" xfId="1" applyFont="1" applyFill="1" applyBorder="1" applyAlignment="1">
      <alignment vertical="center" wrapText="1"/>
    </xf>
    <xf numFmtId="41" fontId="103" fillId="10" borderId="17" xfId="4" applyNumberFormat="1" applyFont="1" applyFill="1" applyBorder="1" applyAlignment="1">
      <alignment vertical="center"/>
    </xf>
    <xf numFmtId="0" fontId="94" fillId="16" borderId="4" xfId="0" applyFont="1" applyFill="1" applyBorder="1" applyAlignment="1">
      <alignment horizontal="center" vertical="center"/>
    </xf>
    <xf numFmtId="14" fontId="28" fillId="10" borderId="4" xfId="0" applyNumberFormat="1" applyFont="1" applyFill="1" applyBorder="1" applyAlignment="1">
      <alignment horizontal="center" vertical="center"/>
    </xf>
    <xf numFmtId="14" fontId="10" fillId="10" borderId="4" xfId="0" applyNumberFormat="1" applyFont="1" applyFill="1" applyBorder="1" applyAlignment="1">
      <alignment vertical="center"/>
    </xf>
    <xf numFmtId="41" fontId="8" fillId="10" borderId="4" xfId="1" applyFont="1" applyFill="1" applyBorder="1" applyAlignment="1">
      <alignment vertical="center"/>
    </xf>
    <xf numFmtId="0" fontId="8" fillId="10" borderId="4" xfId="0" applyFont="1" applyFill="1" applyBorder="1" applyAlignment="1">
      <alignment vertical="center"/>
    </xf>
    <xf numFmtId="14" fontId="28" fillId="12" borderId="4" xfId="0" applyNumberFormat="1" applyFont="1" applyFill="1" applyBorder="1" applyAlignment="1">
      <alignment horizontal="center" vertical="center"/>
    </xf>
    <xf numFmtId="0" fontId="104" fillId="10" borderId="4" xfId="0" applyFont="1" applyFill="1" applyBorder="1" applyAlignment="1">
      <alignment horizontal="left" vertical="center" wrapText="1"/>
    </xf>
    <xf numFmtId="0" fontId="104" fillId="10" borderId="4" xfId="0" applyFont="1" applyFill="1" applyBorder="1" applyAlignment="1">
      <alignment vertical="center" wrapText="1"/>
    </xf>
    <xf numFmtId="0" fontId="107" fillId="25" borderId="4" xfId="0" applyFont="1" applyFill="1" applyBorder="1" applyAlignment="1">
      <alignment horizontal="center" vertical="center"/>
    </xf>
    <xf numFmtId="0" fontId="107" fillId="10" borderId="4" xfId="0" applyFont="1" applyFill="1" applyBorder="1" applyAlignment="1">
      <alignment horizontal="left" vertical="center" wrapText="1"/>
    </xf>
    <xf numFmtId="0" fontId="107" fillId="10" borderId="4" xfId="0" applyFont="1" applyFill="1" applyBorder="1" applyAlignment="1">
      <alignment horizontal="center" vertical="center" wrapText="1"/>
    </xf>
    <xf numFmtId="0" fontId="107" fillId="0" borderId="4" xfId="0" applyFont="1" applyFill="1" applyBorder="1" applyAlignment="1">
      <alignment horizontal="left" vertical="center" wrapText="1"/>
    </xf>
    <xf numFmtId="14" fontId="56" fillId="10" borderId="4" xfId="0" applyNumberFormat="1" applyFont="1" applyFill="1" applyBorder="1" applyAlignment="1">
      <alignment horizontal="center" vertical="center"/>
    </xf>
    <xf numFmtId="0" fontId="56" fillId="10" borderId="4" xfId="0" applyFont="1" applyFill="1" applyBorder="1" applyAlignment="1">
      <alignment horizontal="center" vertical="center"/>
    </xf>
    <xf numFmtId="14" fontId="0" fillId="0" borderId="4" xfId="0" applyNumberFormat="1" applyBorder="1" applyAlignment="1">
      <alignment horizontal="center" vertical="center"/>
    </xf>
    <xf numFmtId="168" fontId="103" fillId="10" borderId="4" xfId="4" applyFont="1" applyFill="1" applyBorder="1" applyAlignment="1">
      <alignment horizontal="center" vertical="center"/>
    </xf>
    <xf numFmtId="168" fontId="103" fillId="10" borderId="4" xfId="4" applyFont="1" applyFill="1" applyBorder="1" applyAlignment="1">
      <alignment horizontal="left" vertical="center"/>
    </xf>
    <xf numFmtId="14" fontId="89" fillId="10" borderId="4" xfId="0" applyNumberFormat="1" applyFont="1" applyFill="1" applyBorder="1" applyAlignment="1">
      <alignment vertical="center"/>
    </xf>
    <xf numFmtId="14" fontId="93" fillId="10" borderId="4" xfId="0" applyNumberFormat="1" applyFont="1" applyFill="1" applyBorder="1" applyAlignment="1">
      <alignment horizontal="center" vertical="center"/>
    </xf>
    <xf numFmtId="0" fontId="8" fillId="10" borderId="4" xfId="0" quotePrefix="1" applyFont="1" applyFill="1" applyBorder="1" applyAlignment="1">
      <alignment vertical="center" wrapText="1"/>
    </xf>
    <xf numFmtId="41" fontId="8" fillId="10" borderId="4" xfId="1" quotePrefix="1" applyFont="1" applyFill="1" applyBorder="1" applyAlignment="1">
      <alignment vertical="center" wrapText="1"/>
    </xf>
    <xf numFmtId="0" fontId="107" fillId="12" borderId="4" xfId="0" applyFont="1" applyFill="1" applyBorder="1" applyAlignment="1">
      <alignment horizontal="center" vertical="center"/>
    </xf>
    <xf numFmtId="0" fontId="107" fillId="10" borderId="4" xfId="0" applyFont="1" applyFill="1" applyBorder="1" applyAlignment="1">
      <alignment horizontal="center" vertical="center"/>
    </xf>
    <xf numFmtId="41" fontId="103" fillId="10" borderId="17" xfId="4" applyNumberFormat="1" applyFont="1" applyFill="1" applyBorder="1" applyAlignment="1">
      <alignment horizontal="center" vertical="center"/>
    </xf>
    <xf numFmtId="168" fontId="103" fillId="10" borderId="17" xfId="4" applyFont="1" applyFill="1" applyBorder="1" applyAlignment="1">
      <alignment horizontal="center" vertical="center" wrapText="1"/>
    </xf>
    <xf numFmtId="0" fontId="94" fillId="24" borderId="4" xfId="0" applyFont="1" applyFill="1" applyBorder="1" applyAlignment="1">
      <alignment horizontal="center" vertical="center"/>
    </xf>
    <xf numFmtId="0" fontId="94" fillId="0" borderId="4" xfId="0" applyFont="1" applyFill="1" applyBorder="1" applyAlignment="1">
      <alignment horizontal="left" vertical="center" wrapText="1"/>
    </xf>
    <xf numFmtId="14" fontId="30" fillId="10" borderId="4" xfId="0" applyNumberFormat="1" applyFont="1" applyFill="1" applyBorder="1" applyAlignment="1">
      <alignment horizontal="center" vertical="center"/>
    </xf>
    <xf numFmtId="9" fontId="8" fillId="10" borderId="4" xfId="0" applyNumberFormat="1" applyFont="1" applyFill="1" applyBorder="1" applyAlignment="1">
      <alignment horizontal="left" vertical="center" wrapText="1"/>
    </xf>
    <xf numFmtId="41" fontId="8" fillId="10" borderId="4" xfId="1" applyFont="1" applyFill="1" applyBorder="1" applyAlignment="1">
      <alignment horizontal="center" vertical="center" wrapText="1"/>
    </xf>
    <xf numFmtId="41" fontId="8" fillId="10" borderId="4" xfId="1" applyFont="1" applyFill="1" applyBorder="1" applyAlignment="1">
      <alignment horizontal="right" vertical="center"/>
    </xf>
    <xf numFmtId="0" fontId="8" fillId="10" borderId="44" xfId="0" applyFont="1" applyFill="1" applyBorder="1" applyAlignment="1">
      <alignment vertical="center" wrapText="1"/>
    </xf>
    <xf numFmtId="0" fontId="8" fillId="10" borderId="41" xfId="0" applyFont="1" applyFill="1" applyBorder="1" applyAlignment="1">
      <alignment vertical="center" wrapText="1"/>
    </xf>
    <xf numFmtId="41" fontId="95" fillId="10" borderId="4" xfId="1" applyFont="1" applyFill="1" applyBorder="1" applyAlignment="1">
      <alignment horizontal="center" vertical="center" wrapText="1"/>
    </xf>
    <xf numFmtId="0" fontId="103" fillId="10" borderId="4" xfId="0" applyFont="1" applyFill="1" applyBorder="1" applyAlignment="1">
      <alignment horizontal="left" vertical="center" wrapText="1"/>
    </xf>
    <xf numFmtId="41" fontId="103" fillId="10" borderId="4" xfId="1" applyFont="1" applyFill="1" applyBorder="1" applyAlignment="1">
      <alignment horizontal="center" vertical="center" wrapText="1"/>
    </xf>
    <xf numFmtId="14" fontId="10" fillId="12" borderId="4" xfId="0" applyNumberFormat="1" applyFont="1" applyFill="1" applyBorder="1" applyAlignment="1">
      <alignment horizontal="center" vertical="center"/>
    </xf>
    <xf numFmtId="0" fontId="55" fillId="10" borderId="4" xfId="0" applyFont="1" applyFill="1" applyBorder="1" applyAlignment="1">
      <alignment horizontal="center" vertical="center" wrapText="1"/>
    </xf>
    <xf numFmtId="14" fontId="30" fillId="10" borderId="4" xfId="0" applyNumberFormat="1" applyFont="1" applyFill="1" applyBorder="1" applyAlignment="1">
      <alignment horizontal="center" vertical="center" wrapText="1"/>
    </xf>
    <xf numFmtId="0" fontId="95" fillId="10" borderId="44" xfId="0" applyFont="1" applyFill="1" applyBorder="1" applyAlignment="1">
      <alignment vertical="center" wrapText="1"/>
    </xf>
    <xf numFmtId="14" fontId="10" fillId="12" borderId="4" xfId="0" applyNumberFormat="1" applyFont="1" applyFill="1" applyBorder="1" applyAlignment="1">
      <alignment horizontal="center" vertical="center" wrapText="1"/>
    </xf>
    <xf numFmtId="41" fontId="103" fillId="10" borderId="4" xfId="1" applyFont="1" applyFill="1" applyBorder="1" applyAlignment="1">
      <alignment horizontal="left" vertical="center" wrapText="1"/>
    </xf>
    <xf numFmtId="0" fontId="55" fillId="0" borderId="4" xfId="0" applyFont="1" applyFill="1" applyBorder="1" applyAlignment="1">
      <alignment horizontal="left" vertical="center" wrapText="1"/>
    </xf>
    <xf numFmtId="9" fontId="104" fillId="24" borderId="4" xfId="0" applyNumberFormat="1" applyFont="1" applyFill="1" applyBorder="1" applyAlignment="1">
      <alignment horizontal="center" vertical="center" wrapText="1"/>
    </xf>
    <xf numFmtId="49" fontId="107" fillId="10" borderId="4" xfId="0" applyNumberFormat="1" applyFont="1" applyFill="1" applyBorder="1" applyAlignment="1">
      <alignment horizontal="left" vertical="center" wrapText="1"/>
    </xf>
    <xf numFmtId="0" fontId="55" fillId="0" borderId="4" xfId="0" applyFont="1" applyFill="1" applyBorder="1" applyAlignment="1">
      <alignment horizontal="center" vertical="center" wrapText="1"/>
    </xf>
    <xf numFmtId="14" fontId="30" fillId="12" borderId="4" xfId="0" applyNumberFormat="1" applyFont="1" applyFill="1" applyBorder="1" applyAlignment="1">
      <alignment horizontal="center" vertical="center"/>
    </xf>
    <xf numFmtId="49" fontId="94" fillId="0" borderId="4" xfId="0" applyNumberFormat="1" applyFont="1" applyBorder="1" applyAlignment="1">
      <alignment horizontal="left" vertical="center" wrapText="1"/>
    </xf>
    <xf numFmtId="41" fontId="8" fillId="0" borderId="4" xfId="1" applyFont="1" applyBorder="1" applyAlignment="1">
      <alignment horizontal="center" vertical="center" wrapText="1"/>
    </xf>
    <xf numFmtId="49" fontId="8" fillId="0" borderId="4" xfId="0" applyNumberFormat="1" applyFont="1" applyBorder="1" applyAlignment="1">
      <alignment horizontal="left" vertical="center" wrapText="1"/>
    </xf>
    <xf numFmtId="41" fontId="8" fillId="0" borderId="4" xfId="1" applyFont="1" applyBorder="1" applyAlignment="1">
      <alignment horizontal="left" vertical="center" wrapText="1"/>
    </xf>
    <xf numFmtId="0" fontId="8" fillId="0" borderId="4" xfId="0" applyFont="1" applyBorder="1" applyAlignment="1">
      <alignment horizontal="left" vertical="center" wrapText="1"/>
    </xf>
    <xf numFmtId="0" fontId="30" fillId="0" borderId="4" xfId="0" applyFont="1" applyBorder="1" applyAlignment="1">
      <alignment horizontal="center" vertical="center" wrapText="1"/>
    </xf>
    <xf numFmtId="41" fontId="8" fillId="10" borderId="4" xfId="1" applyFont="1" applyFill="1" applyBorder="1" applyAlignment="1">
      <alignment horizontal="center" vertical="center"/>
    </xf>
    <xf numFmtId="166" fontId="8" fillId="10" borderId="4" xfId="3" applyNumberFormat="1" applyFont="1" applyFill="1" applyBorder="1" applyAlignment="1">
      <alignment vertical="center"/>
    </xf>
    <xf numFmtId="0" fontId="111" fillId="10" borderId="4" xfId="0" applyFont="1" applyFill="1" applyBorder="1" applyAlignment="1">
      <alignment vertical="center" wrapText="1"/>
    </xf>
    <xf numFmtId="168" fontId="8" fillId="10" borderId="4" xfId="4" applyFont="1" applyFill="1" applyBorder="1" applyAlignment="1">
      <alignment horizontal="center" vertical="center"/>
    </xf>
    <xf numFmtId="167" fontId="95" fillId="10" borderId="17" xfId="4" applyNumberFormat="1" applyFont="1" applyFill="1" applyBorder="1" applyAlignment="1">
      <alignment horizontal="center" vertical="center"/>
    </xf>
    <xf numFmtId="0" fontId="94" fillId="0" borderId="4" xfId="0" applyFont="1" applyFill="1" applyBorder="1" applyAlignment="1">
      <alignment horizontal="center" vertical="center" wrapText="1"/>
    </xf>
    <xf numFmtId="0" fontId="111" fillId="0" borderId="4" xfId="0" applyFont="1" applyFill="1" applyBorder="1" applyAlignment="1">
      <alignment vertical="center" wrapText="1"/>
    </xf>
    <xf numFmtId="0" fontId="94" fillId="12" borderId="4" xfId="0" applyFont="1" applyFill="1" applyBorder="1" applyAlignment="1">
      <alignment horizontal="center" vertical="center"/>
    </xf>
    <xf numFmtId="0" fontId="13" fillId="0" borderId="4" xfId="0" applyFont="1" applyFill="1" applyBorder="1" applyAlignment="1">
      <alignment horizontal="center" vertical="center" wrapText="1"/>
    </xf>
    <xf numFmtId="41" fontId="95" fillId="10" borderId="4" xfId="1" applyFont="1" applyFill="1" applyBorder="1" applyAlignment="1">
      <alignment horizontal="left" vertical="center" wrapText="1"/>
    </xf>
    <xf numFmtId="167" fontId="14" fillId="10" borderId="4" xfId="4" applyNumberFormat="1" applyFont="1" applyFill="1" applyBorder="1" applyAlignment="1">
      <alignment horizontal="center" vertical="center" wrapText="1"/>
    </xf>
    <xf numFmtId="0" fontId="115" fillId="0" borderId="45" xfId="0" applyFont="1" applyBorder="1" applyAlignment="1">
      <alignment horizontal="left" vertical="center" wrapText="1"/>
    </xf>
    <xf numFmtId="167" fontId="103" fillId="10" borderId="17" xfId="4" applyNumberFormat="1" applyFont="1" applyFill="1" applyBorder="1" applyAlignment="1">
      <alignment horizontal="right" vertical="center" wrapText="1"/>
    </xf>
    <xf numFmtId="41" fontId="8" fillId="10" borderId="4" xfId="4" applyNumberFormat="1" applyFont="1" applyFill="1" applyBorder="1" applyAlignment="1">
      <alignment horizontal="left" vertical="center"/>
    </xf>
    <xf numFmtId="41" fontId="117" fillId="0" borderId="4" xfId="1" applyFont="1" applyFill="1" applyBorder="1" applyAlignment="1">
      <alignment vertical="center"/>
    </xf>
    <xf numFmtId="14" fontId="30" fillId="16" borderId="4" xfId="0" applyNumberFormat="1" applyFont="1" applyFill="1" applyBorder="1" applyAlignment="1">
      <alignment horizontal="center" vertical="center"/>
    </xf>
    <xf numFmtId="168" fontId="95" fillId="10" borderId="17" xfId="4" applyFont="1" applyFill="1" applyBorder="1" applyAlignment="1">
      <alignment horizontal="center" vertical="center"/>
    </xf>
    <xf numFmtId="0" fontId="101" fillId="10" borderId="4" xfId="0" applyFont="1" applyFill="1" applyBorder="1" applyAlignment="1">
      <alignment horizontal="left" vertical="center" wrapText="1"/>
    </xf>
    <xf numFmtId="166" fontId="103" fillId="10" borderId="17" xfId="5" applyNumberFormat="1" applyFont="1" applyFill="1" applyBorder="1" applyAlignment="1">
      <alignment horizontal="left" vertical="center"/>
    </xf>
    <xf numFmtId="0" fontId="10" fillId="10" borderId="4" xfId="0" applyFont="1" applyFill="1" applyBorder="1" applyAlignment="1">
      <alignment vertical="center"/>
    </xf>
    <xf numFmtId="0" fontId="10" fillId="0" borderId="4" xfId="0" applyFont="1" applyBorder="1" applyAlignment="1">
      <alignment horizontal="center" vertical="center" wrapText="1"/>
    </xf>
    <xf numFmtId="41" fontId="101" fillId="10" borderId="4" xfId="1" applyFont="1" applyFill="1" applyBorder="1" applyAlignment="1">
      <alignment horizontal="left" vertical="center" wrapText="1"/>
    </xf>
    <xf numFmtId="17" fontId="95" fillId="0" borderId="4" xfId="0" applyNumberFormat="1" applyFont="1" applyFill="1" applyBorder="1" applyAlignment="1">
      <alignment horizontal="center" vertical="center" wrapText="1"/>
    </xf>
    <xf numFmtId="0" fontId="107" fillId="23" borderId="4" xfId="0" applyFont="1" applyFill="1" applyBorder="1" applyAlignment="1">
      <alignment horizontal="center" vertical="center"/>
    </xf>
    <xf numFmtId="0" fontId="20" fillId="10" borderId="46" xfId="0" applyFont="1" applyFill="1" applyBorder="1" applyAlignment="1">
      <alignment horizontal="center" vertical="center"/>
    </xf>
    <xf numFmtId="0" fontId="118" fillId="0" borderId="51" xfId="0" applyFont="1" applyBorder="1" applyAlignment="1">
      <alignment horizontal="left" vertical="center" wrapText="1"/>
    </xf>
    <xf numFmtId="168" fontId="8" fillId="10" borderId="4" xfId="0" applyNumberFormat="1" applyFont="1" applyFill="1" applyBorder="1" applyAlignment="1">
      <alignment vertical="center"/>
    </xf>
    <xf numFmtId="0" fontId="8" fillId="10" borderId="17" xfId="0" applyFont="1" applyFill="1" applyBorder="1" applyAlignment="1">
      <alignment vertical="center"/>
    </xf>
    <xf numFmtId="0" fontId="118" fillId="0" borderId="4" xfId="0" applyFont="1" applyBorder="1" applyAlignment="1">
      <alignment horizontal="left" vertical="center" wrapText="1"/>
    </xf>
    <xf numFmtId="41" fontId="8" fillId="10" borderId="17" xfId="1" applyFont="1" applyFill="1" applyBorder="1" applyAlignment="1">
      <alignment vertical="center"/>
    </xf>
    <xf numFmtId="0" fontId="10" fillId="10" borderId="4" xfId="0" applyFont="1" applyFill="1" applyBorder="1" applyAlignment="1">
      <alignment horizontal="center" vertical="center"/>
    </xf>
    <xf numFmtId="0" fontId="32" fillId="0" borderId="4" xfId="0" applyFont="1" applyBorder="1" applyAlignment="1">
      <alignment vertical="center" wrapText="1"/>
    </xf>
    <xf numFmtId="0" fontId="30" fillId="10" borderId="17" xfId="0" applyFont="1" applyFill="1" applyBorder="1" applyAlignment="1">
      <alignment horizontal="center" vertical="center"/>
    </xf>
    <xf numFmtId="0" fontId="10" fillId="10" borderId="17" xfId="0" applyFont="1" applyFill="1" applyBorder="1" applyAlignment="1">
      <alignment horizontal="center" vertical="center"/>
    </xf>
    <xf numFmtId="0" fontId="30" fillId="0" borderId="17" xfId="0" applyFont="1" applyBorder="1" applyAlignment="1">
      <alignment horizontal="center" vertical="center" wrapText="1"/>
    </xf>
    <xf numFmtId="0" fontId="107" fillId="10" borderId="4" xfId="0" applyFont="1" applyFill="1" applyBorder="1" applyAlignment="1">
      <alignment horizontal="left" vertical="center"/>
    </xf>
    <xf numFmtId="168" fontId="95" fillId="10" borderId="17" xfId="4" applyFont="1" applyFill="1" applyBorder="1" applyAlignment="1">
      <alignment horizontal="left" vertical="center"/>
    </xf>
    <xf numFmtId="0" fontId="115" fillId="10" borderId="4" xfId="0" applyFont="1" applyFill="1" applyBorder="1" applyAlignment="1">
      <alignment horizontal="left" vertical="center" wrapText="1"/>
    </xf>
    <xf numFmtId="0" fontId="107" fillId="10" borderId="5" xfId="0" applyFont="1" applyFill="1" applyBorder="1" applyAlignment="1">
      <alignment horizontal="left" vertical="center"/>
    </xf>
    <xf numFmtId="0" fontId="118" fillId="0" borderId="52" xfId="0" applyFont="1" applyBorder="1" applyAlignment="1">
      <alignment horizontal="left" vertical="center" wrapText="1"/>
    </xf>
    <xf numFmtId="41" fontId="8" fillId="0" borderId="4" xfId="1" applyFont="1" applyFill="1" applyBorder="1" applyAlignment="1">
      <alignment horizontal="left" vertical="center" wrapText="1"/>
    </xf>
    <xf numFmtId="14" fontId="115" fillId="0" borderId="4" xfId="0" applyNumberFormat="1" applyFont="1" applyBorder="1" applyAlignment="1">
      <alignment horizontal="left" vertical="center" wrapText="1"/>
    </xf>
    <xf numFmtId="0" fontId="115" fillId="0" borderId="4" xfId="0" applyFont="1" applyBorder="1" applyAlignment="1">
      <alignment horizontal="left" vertical="center" wrapText="1"/>
    </xf>
    <xf numFmtId="0" fontId="107" fillId="23" borderId="4" xfId="0" applyFont="1" applyFill="1" applyBorder="1" applyAlignment="1">
      <alignment horizontal="center" vertical="center" wrapText="1"/>
    </xf>
    <xf numFmtId="41" fontId="8" fillId="0" borderId="46" xfId="4" applyNumberFormat="1" applyFont="1" applyFill="1" applyBorder="1" applyAlignment="1">
      <alignment vertical="center"/>
    </xf>
    <xf numFmtId="41" fontId="104" fillId="10" borderId="4" xfId="1" applyFont="1" applyFill="1" applyBorder="1" applyAlignment="1">
      <alignment horizontal="left" vertical="center" wrapText="1"/>
    </xf>
    <xf numFmtId="14" fontId="8" fillId="10" borderId="4" xfId="0" applyNumberFormat="1" applyFont="1" applyFill="1" applyBorder="1" applyAlignment="1">
      <alignment horizontal="left" vertical="center" wrapText="1"/>
    </xf>
    <xf numFmtId="41" fontId="8" fillId="0" borderId="4" xfId="4" applyNumberFormat="1" applyFont="1" applyFill="1" applyBorder="1" applyAlignment="1">
      <alignment vertical="center"/>
    </xf>
    <xf numFmtId="41" fontId="8" fillId="10" borderId="17" xfId="0" applyNumberFormat="1" applyFont="1" applyFill="1" applyBorder="1" applyAlignment="1">
      <alignment vertical="center"/>
    </xf>
    <xf numFmtId="168" fontId="8" fillId="10" borderId="4" xfId="4" applyFont="1" applyFill="1" applyBorder="1" applyAlignment="1">
      <alignment horizontal="center" vertical="center" wrapText="1"/>
    </xf>
    <xf numFmtId="168" fontId="103" fillId="10" borderId="17" xfId="4" applyFont="1" applyFill="1" applyBorder="1" applyAlignment="1">
      <alignment horizontal="center" vertical="center"/>
    </xf>
    <xf numFmtId="0" fontId="96" fillId="10" borderId="0" xfId="0" applyFont="1" applyFill="1"/>
    <xf numFmtId="0" fontId="24" fillId="10" borderId="4" xfId="0" applyFont="1" applyFill="1" applyBorder="1" applyAlignment="1">
      <alignment horizontal="center" vertical="center" wrapText="1"/>
    </xf>
    <xf numFmtId="166" fontId="103" fillId="10" borderId="17" xfId="5" applyNumberFormat="1" applyFont="1" applyFill="1" applyBorder="1" applyAlignment="1">
      <alignment horizontal="left" vertical="center" wrapText="1"/>
    </xf>
    <xf numFmtId="14" fontId="103" fillId="10" borderId="17" xfId="4" applyNumberFormat="1" applyFont="1" applyFill="1" applyBorder="1" applyAlignment="1">
      <alignment horizontal="center" vertical="center"/>
    </xf>
    <xf numFmtId="14" fontId="95" fillId="10" borderId="17" xfId="4" applyNumberFormat="1" applyFont="1" applyFill="1" applyBorder="1" applyAlignment="1">
      <alignment horizontal="center" vertical="center"/>
    </xf>
    <xf numFmtId="41" fontId="96" fillId="10" borderId="4" xfId="1" applyFont="1" applyFill="1" applyBorder="1" applyAlignment="1">
      <alignment vertical="center"/>
    </xf>
    <xf numFmtId="0" fontId="96" fillId="10" borderId="4" xfId="0" applyFont="1" applyFill="1" applyBorder="1"/>
    <xf numFmtId="14" fontId="94" fillId="5" borderId="4" xfId="1" applyNumberFormat="1" applyFont="1" applyFill="1" applyBorder="1" applyAlignment="1">
      <alignment horizontal="center" vertical="center" wrapText="1"/>
    </xf>
    <xf numFmtId="41" fontId="101" fillId="10" borderId="4" xfId="1" applyFont="1" applyFill="1" applyBorder="1" applyAlignment="1">
      <alignment horizontal="center" vertical="center" wrapText="1"/>
    </xf>
    <xf numFmtId="0" fontId="52" fillId="10" borderId="4" xfId="0" applyFont="1" applyFill="1" applyBorder="1" applyAlignment="1">
      <alignment horizontal="center" vertical="center" wrapText="1"/>
    </xf>
    <xf numFmtId="41" fontId="28" fillId="0" borderId="4" xfId="1" applyFont="1" applyBorder="1" applyAlignment="1">
      <alignment horizontal="center" vertical="center"/>
    </xf>
    <xf numFmtId="41" fontId="96" fillId="10" borderId="0" xfId="0" applyNumberFormat="1" applyFont="1" applyFill="1" applyAlignment="1">
      <alignment vertical="center"/>
    </xf>
    <xf numFmtId="0" fontId="55" fillId="10" borderId="4" xfId="0" applyFont="1" applyFill="1" applyBorder="1" applyAlignment="1">
      <alignment horizontal="left" vertical="center" wrapText="1"/>
    </xf>
    <xf numFmtId="0" fontId="55" fillId="42" borderId="4" xfId="0" applyFont="1" applyFill="1" applyBorder="1" applyAlignment="1">
      <alignment horizontal="center" vertical="center"/>
    </xf>
    <xf numFmtId="0" fontId="72" fillId="10" borderId="4" xfId="0" applyFont="1" applyFill="1" applyBorder="1" applyAlignment="1">
      <alignment horizontal="center" vertical="center" wrapText="1"/>
    </xf>
    <xf numFmtId="168" fontId="95" fillId="10" borderId="4" xfId="4" applyFont="1" applyFill="1" applyBorder="1" applyAlignment="1">
      <alignment horizontal="center" vertical="center" wrapText="1"/>
    </xf>
    <xf numFmtId="0" fontId="8" fillId="10" borderId="4" xfId="0" applyFont="1" applyFill="1" applyBorder="1" applyAlignment="1">
      <alignment horizontal="left" vertical="center"/>
    </xf>
    <xf numFmtId="0" fontId="96" fillId="10" borderId="4" xfId="0" applyFont="1" applyFill="1" applyBorder="1" applyAlignment="1">
      <alignment vertical="center"/>
    </xf>
    <xf numFmtId="0" fontId="95" fillId="10" borderId="4" xfId="0" applyFont="1" applyFill="1" applyBorder="1" applyAlignment="1">
      <alignment horizontal="center" vertical="center" wrapText="1"/>
    </xf>
    <xf numFmtId="0" fontId="104" fillId="10" borderId="4" xfId="0" applyFont="1" applyFill="1" applyBorder="1" applyAlignment="1">
      <alignment horizontal="center" vertical="center" wrapText="1"/>
    </xf>
    <xf numFmtId="0" fontId="95" fillId="26" borderId="4" xfId="0" applyFont="1" applyFill="1" applyBorder="1" applyAlignment="1">
      <alignment horizontal="center" vertical="center" wrapText="1"/>
    </xf>
    <xf numFmtId="9" fontId="95" fillId="26" borderId="4" xfId="0" applyNumberFormat="1" applyFont="1" applyFill="1" applyBorder="1" applyAlignment="1">
      <alignment horizontal="center" vertical="center" wrapText="1"/>
    </xf>
    <xf numFmtId="0" fontId="14" fillId="10" borderId="4" xfId="0" applyFont="1" applyFill="1" applyBorder="1" applyAlignment="1">
      <alignment horizontal="left" vertical="center" wrapText="1"/>
    </xf>
    <xf numFmtId="0" fontId="95" fillId="10" borderId="4" xfId="0" applyFont="1" applyFill="1" applyBorder="1" applyAlignment="1">
      <alignment vertical="center" wrapText="1"/>
    </xf>
    <xf numFmtId="0" fontId="13" fillId="10" borderId="4" xfId="0" applyFont="1" applyFill="1" applyBorder="1" applyAlignment="1">
      <alignment horizontal="center" wrapText="1"/>
    </xf>
    <xf numFmtId="167" fontId="103" fillId="10" borderId="17" xfId="4" applyNumberFormat="1" applyFont="1" applyFill="1" applyBorder="1" applyAlignment="1">
      <alignment horizontal="center" vertical="center"/>
    </xf>
    <xf numFmtId="41" fontId="94" fillId="10" borderId="4" xfId="1" applyFont="1" applyFill="1" applyBorder="1" applyAlignment="1">
      <alignment horizontal="left" vertical="center" wrapText="1"/>
    </xf>
    <xf numFmtId="41" fontId="96" fillId="10" borderId="4" xfId="1" applyFont="1" applyFill="1" applyBorder="1"/>
    <xf numFmtId="14" fontId="8" fillId="0" borderId="4" xfId="3" applyNumberFormat="1" applyFont="1" applyFill="1" applyBorder="1" applyAlignment="1">
      <alignment horizontal="center" vertical="center" wrapText="1"/>
    </xf>
    <xf numFmtId="14" fontId="95" fillId="0" borderId="4" xfId="3" applyNumberFormat="1" applyFont="1" applyFill="1" applyBorder="1" applyAlignment="1">
      <alignment horizontal="center" vertical="center" wrapText="1"/>
    </xf>
    <xf numFmtId="14" fontId="8" fillId="0" borderId="4" xfId="0" applyNumberFormat="1" applyFont="1" applyBorder="1" applyAlignment="1">
      <alignment horizontal="center" vertical="center" wrapText="1"/>
    </xf>
    <xf numFmtId="1" fontId="103" fillId="10" borderId="17" xfId="4" applyNumberFormat="1" applyFont="1" applyFill="1" applyBorder="1" applyAlignment="1">
      <alignment horizontal="right" vertical="center"/>
    </xf>
    <xf numFmtId="14" fontId="95" fillId="0" borderId="4" xfId="0" applyNumberFormat="1" applyFont="1" applyBorder="1" applyAlignment="1">
      <alignment horizontal="center" vertical="center"/>
    </xf>
    <xf numFmtId="14" fontId="8" fillId="0" borderId="4" xfId="0" applyNumberFormat="1" applyFont="1" applyBorder="1" applyAlignment="1">
      <alignment horizontal="center" vertical="center"/>
    </xf>
    <xf numFmtId="14" fontId="20" fillId="0" borderId="4" xfId="3" applyNumberFormat="1" applyFont="1" applyFill="1" applyBorder="1" applyAlignment="1">
      <alignment horizontal="center" vertical="center" wrapText="1"/>
    </xf>
    <xf numFmtId="14" fontId="14" fillId="0" borderId="4" xfId="3" applyNumberFormat="1" applyFont="1" applyFill="1" applyBorder="1" applyAlignment="1">
      <alignment horizontal="center" vertical="center" wrapText="1"/>
    </xf>
    <xf numFmtId="14" fontId="95" fillId="5" borderId="4" xfId="1" applyNumberFormat="1" applyFont="1" applyFill="1" applyBorder="1" applyAlignment="1">
      <alignment horizontal="center" vertical="center" wrapText="1"/>
    </xf>
    <xf numFmtId="41" fontId="103" fillId="10" borderId="17" xfId="1" applyFont="1" applyFill="1" applyBorder="1" applyAlignment="1">
      <alignment horizontal="center" vertical="center"/>
    </xf>
    <xf numFmtId="9" fontId="22" fillId="0" borderId="4" xfId="0" applyNumberFormat="1" applyFont="1" applyBorder="1" applyAlignment="1">
      <alignment horizontal="left" vertical="center" wrapText="1"/>
    </xf>
    <xf numFmtId="17" fontId="107" fillId="10" borderId="4" xfId="0" applyNumberFormat="1" applyFont="1" applyFill="1" applyBorder="1" applyAlignment="1">
      <alignment horizontal="center" vertical="center" wrapText="1"/>
    </xf>
    <xf numFmtId="0" fontId="95" fillId="25" borderId="4" xfId="0" applyFont="1" applyFill="1" applyBorder="1" applyAlignment="1">
      <alignment horizontal="center" vertical="center" wrapText="1"/>
    </xf>
    <xf numFmtId="9" fontId="95" fillId="25" borderId="4" xfId="0" applyNumberFormat="1" applyFont="1" applyFill="1" applyBorder="1" applyAlignment="1">
      <alignment horizontal="center" vertical="center" wrapText="1"/>
    </xf>
    <xf numFmtId="41" fontId="95" fillId="10" borderId="17" xfId="1" applyFont="1" applyFill="1" applyBorder="1" applyAlignment="1">
      <alignment horizontal="center" vertical="center" wrapText="1"/>
    </xf>
    <xf numFmtId="0" fontId="95" fillId="12" borderId="4" xfId="0" applyFont="1" applyFill="1" applyBorder="1" applyAlignment="1">
      <alignment horizontal="center" vertical="center" wrapText="1"/>
    </xf>
    <xf numFmtId="9" fontId="95" fillId="12" borderId="4" xfId="0" applyNumberFormat="1" applyFont="1" applyFill="1" applyBorder="1" applyAlignment="1">
      <alignment horizontal="center" vertical="center" wrapText="1"/>
    </xf>
    <xf numFmtId="0" fontId="8" fillId="10" borderId="4" xfId="0" applyFont="1" applyFill="1" applyBorder="1" applyAlignment="1">
      <alignment horizontal="center"/>
    </xf>
    <xf numFmtId="167" fontId="95" fillId="10" borderId="17" xfId="4" applyNumberFormat="1" applyFont="1" applyFill="1" applyBorder="1" applyAlignment="1">
      <alignment horizontal="center" vertical="center" wrapText="1"/>
    </xf>
    <xf numFmtId="41" fontId="30" fillId="10" borderId="4" xfId="1" applyFont="1" applyFill="1" applyBorder="1" applyAlignment="1">
      <alignment horizontal="center" vertical="center"/>
    </xf>
    <xf numFmtId="41" fontId="30" fillId="10" borderId="4" xfId="1" applyFont="1" applyFill="1" applyBorder="1" applyAlignment="1">
      <alignment horizontal="center" vertical="center" wrapText="1"/>
    </xf>
    <xf numFmtId="168" fontId="104" fillId="10" borderId="4" xfId="4" applyFont="1" applyFill="1" applyBorder="1" applyAlignment="1">
      <alignment horizontal="center" vertical="center" wrapText="1"/>
    </xf>
    <xf numFmtId="168" fontId="103" fillId="10" borderId="17" xfId="4" applyFont="1" applyFill="1" applyBorder="1" applyAlignment="1">
      <alignment horizontal="right" vertical="center"/>
    </xf>
    <xf numFmtId="0" fontId="101" fillId="10" borderId="4" xfId="0" applyFont="1" applyFill="1" applyBorder="1" applyAlignment="1">
      <alignment vertical="center" wrapText="1"/>
    </xf>
    <xf numFmtId="0" fontId="96" fillId="10" borderId="0" xfId="0" applyFont="1" applyFill="1" applyAlignment="1">
      <alignment vertical="center"/>
    </xf>
    <xf numFmtId="0" fontId="95" fillId="24" borderId="4" xfId="0" applyFont="1" applyFill="1" applyBorder="1" applyAlignment="1">
      <alignment horizontal="center" vertical="center" wrapText="1"/>
    </xf>
    <xf numFmtId="0" fontId="104" fillId="10" borderId="0" xfId="0" applyFont="1" applyFill="1" applyAlignment="1">
      <alignment vertical="center" wrapText="1"/>
    </xf>
    <xf numFmtId="0" fontId="115" fillId="0" borderId="4" xfId="0" applyFont="1" applyBorder="1" applyAlignment="1">
      <alignment vertical="center" wrapText="1"/>
    </xf>
    <xf numFmtId="168" fontId="103" fillId="10" borderId="17" xfId="4" applyFont="1" applyFill="1" applyBorder="1" applyAlignment="1">
      <alignment horizontal="left" vertical="center" wrapText="1"/>
    </xf>
    <xf numFmtId="168" fontId="95" fillId="10" borderId="17" xfId="4" applyFont="1" applyFill="1" applyBorder="1" applyAlignment="1">
      <alignment horizontal="left" vertical="center" wrapText="1"/>
    </xf>
    <xf numFmtId="0" fontId="104" fillId="10" borderId="4" xfId="0" applyFont="1" applyFill="1" applyBorder="1" applyAlignment="1">
      <alignment vertical="center"/>
    </xf>
    <xf numFmtId="168" fontId="95" fillId="10" borderId="4" xfId="4" applyFont="1" applyFill="1" applyBorder="1" applyAlignment="1">
      <alignment horizontal="left" vertical="center" wrapText="1"/>
    </xf>
    <xf numFmtId="167" fontId="14" fillId="10" borderId="4" xfId="1" applyNumberFormat="1" applyFont="1" applyFill="1" applyBorder="1" applyAlignment="1">
      <alignment horizontal="left" vertical="center" wrapText="1"/>
    </xf>
    <xf numFmtId="168" fontId="125" fillId="10" borderId="4" xfId="4" applyFont="1" applyFill="1" applyBorder="1" applyAlignment="1">
      <alignment horizontal="left" vertical="center" wrapText="1"/>
    </xf>
    <xf numFmtId="14" fontId="20" fillId="0" borderId="4" xfId="0" applyNumberFormat="1" applyFont="1" applyBorder="1" applyAlignment="1">
      <alignment horizontal="center" vertical="center"/>
    </xf>
    <xf numFmtId="9" fontId="8" fillId="10" borderId="4" xfId="2" applyFont="1" applyFill="1" applyBorder="1" applyAlignment="1">
      <alignment horizontal="left" vertical="center"/>
    </xf>
    <xf numFmtId="41" fontId="8" fillId="10" borderId="4" xfId="1" applyFont="1" applyFill="1" applyBorder="1" applyAlignment="1">
      <alignment horizontal="left" vertical="center"/>
    </xf>
    <xf numFmtId="0" fontId="104" fillId="10" borderId="4" xfId="0" applyFont="1" applyFill="1" applyBorder="1" applyAlignment="1">
      <alignment horizontal="center" vertical="center"/>
    </xf>
    <xf numFmtId="166" fontId="8" fillId="10" borderId="17" xfId="5" applyNumberFormat="1" applyFont="1" applyFill="1" applyBorder="1" applyAlignment="1">
      <alignment horizontal="left" vertical="center"/>
    </xf>
    <xf numFmtId="9" fontId="8" fillId="10" borderId="4" xfId="2" applyFont="1" applyFill="1" applyBorder="1" applyAlignment="1">
      <alignment horizontal="left" vertical="center" wrapText="1"/>
    </xf>
    <xf numFmtId="0" fontId="8" fillId="10" borderId="17" xfId="0" applyFont="1" applyFill="1" applyBorder="1" applyAlignment="1">
      <alignment horizontal="left" vertical="center"/>
    </xf>
    <xf numFmtId="41" fontId="96" fillId="10" borderId="4" xfId="1" applyFont="1" applyFill="1" applyBorder="1" applyAlignment="1">
      <alignment horizontal="center" vertical="center"/>
    </xf>
    <xf numFmtId="168" fontId="8" fillId="10" borderId="4" xfId="4" applyFont="1" applyFill="1" applyBorder="1" applyAlignment="1">
      <alignment horizontal="left" vertical="center"/>
    </xf>
    <xf numFmtId="167" fontId="8" fillId="10" borderId="17" xfId="0" applyNumberFormat="1" applyFont="1" applyFill="1" applyBorder="1" applyAlignment="1">
      <alignment horizontal="left" vertical="center"/>
    </xf>
    <xf numFmtId="168" fontId="96" fillId="10" borderId="4" xfId="4" applyFont="1" applyFill="1" applyBorder="1"/>
    <xf numFmtId="0" fontId="8" fillId="12" borderId="4" xfId="0" applyFont="1" applyFill="1" applyBorder="1" applyAlignment="1">
      <alignment horizontal="center" vertical="center" wrapText="1"/>
    </xf>
    <xf numFmtId="9" fontId="8" fillId="26" borderId="4" xfId="0" applyNumberFormat="1" applyFont="1" applyFill="1" applyBorder="1" applyAlignment="1">
      <alignment horizontal="center" vertical="center" wrapText="1"/>
    </xf>
    <xf numFmtId="0" fontId="96" fillId="10" borderId="17" xfId="0" applyFont="1" applyFill="1" applyBorder="1"/>
    <xf numFmtId="0" fontId="8" fillId="26" borderId="4" xfId="0" applyFont="1" applyFill="1" applyBorder="1" applyAlignment="1">
      <alignment horizontal="center" vertical="center" wrapText="1"/>
    </xf>
    <xf numFmtId="0" fontId="8" fillId="10" borderId="4" xfId="0" applyFont="1" applyFill="1" applyBorder="1" applyAlignment="1">
      <alignment horizontal="center" vertical="center" wrapText="1"/>
    </xf>
    <xf numFmtId="14" fontId="8" fillId="12" borderId="4" xfId="0" applyNumberFormat="1" applyFont="1" applyFill="1" applyBorder="1" applyAlignment="1">
      <alignment horizontal="center" vertical="center"/>
    </xf>
    <xf numFmtId="14" fontId="95" fillId="12" borderId="4" xfId="0" applyNumberFormat="1" applyFont="1" applyFill="1" applyBorder="1" applyAlignment="1">
      <alignment horizontal="center" vertical="center"/>
    </xf>
    <xf numFmtId="14" fontId="8" fillId="10" borderId="17" xfId="0" applyNumberFormat="1" applyFont="1" applyFill="1" applyBorder="1" applyAlignment="1">
      <alignment horizontal="center" vertical="center" wrapText="1"/>
    </xf>
    <xf numFmtId="14" fontId="95" fillId="0" borderId="17" xfId="0" applyNumberFormat="1" applyFont="1" applyBorder="1" applyAlignment="1">
      <alignment horizontal="center" vertical="center"/>
    </xf>
    <xf numFmtId="14" fontId="8" fillId="0" borderId="17" xfId="0" applyNumberFormat="1" applyFont="1" applyBorder="1" applyAlignment="1">
      <alignment horizontal="center" vertical="center"/>
    </xf>
    <xf numFmtId="41" fontId="8" fillId="10" borderId="17" xfId="0" applyNumberFormat="1" applyFont="1" applyFill="1" applyBorder="1" applyAlignment="1">
      <alignment horizontal="center" vertical="center"/>
    </xf>
    <xf numFmtId="0" fontId="8" fillId="10" borderId="17" xfId="0" applyFont="1" applyFill="1" applyBorder="1" applyAlignment="1">
      <alignment horizontal="center" vertical="center"/>
    </xf>
    <xf numFmtId="14" fontId="98" fillId="10" borderId="5" xfId="0" applyNumberFormat="1" applyFont="1" applyFill="1" applyBorder="1" applyAlignment="1">
      <alignment horizontal="center" vertical="center" wrapText="1"/>
    </xf>
    <xf numFmtId="0" fontId="8" fillId="10" borderId="0" xfId="0" applyFont="1" applyFill="1"/>
    <xf numFmtId="0" fontId="8" fillId="10" borderId="4" xfId="0" applyFont="1" applyFill="1" applyBorder="1"/>
    <xf numFmtId="14" fontId="95" fillId="10" borderId="17" xfId="0" applyNumberFormat="1" applyFont="1" applyFill="1" applyBorder="1" applyAlignment="1">
      <alignment horizontal="center" vertical="center"/>
    </xf>
    <xf numFmtId="0" fontId="8" fillId="10" borderId="4" xfId="0" applyFont="1" applyFill="1" applyBorder="1" applyAlignment="1">
      <alignment wrapText="1"/>
    </xf>
    <xf numFmtId="0" fontId="8" fillId="10" borderId="4" xfId="0" applyFont="1" applyFill="1" applyBorder="1" applyAlignment="1">
      <alignment horizontal="center" vertical="center"/>
    </xf>
    <xf numFmtId="0" fontId="8" fillId="31" borderId="4" xfId="0" applyFont="1" applyFill="1" applyBorder="1" applyAlignment="1">
      <alignment horizontal="center" vertical="center" wrapText="1"/>
    </xf>
    <xf numFmtId="9" fontId="8" fillId="31" borderId="4" xfId="0" applyNumberFormat="1" applyFont="1" applyFill="1" applyBorder="1" applyAlignment="1">
      <alignment horizontal="center" vertical="center" wrapText="1"/>
    </xf>
    <xf numFmtId="0" fontId="8" fillId="10" borderId="17" xfId="0" applyFont="1" applyFill="1" applyBorder="1" applyAlignment="1">
      <alignment horizontal="center"/>
    </xf>
    <xf numFmtId="168" fontId="103" fillId="10" borderId="18" xfId="4" applyFont="1" applyFill="1" applyBorder="1" applyAlignment="1">
      <alignment horizontal="left" vertical="center"/>
    </xf>
    <xf numFmtId="0" fontId="8" fillId="10" borderId="5" xfId="0" applyFont="1" applyFill="1" applyBorder="1"/>
    <xf numFmtId="168" fontId="95" fillId="10" borderId="4" xfId="4" applyFont="1" applyFill="1" applyBorder="1" applyAlignment="1">
      <alignment horizontal="center" vertical="center"/>
    </xf>
    <xf numFmtId="9" fontId="95" fillId="10" borderId="4" xfId="2" applyFont="1" applyFill="1" applyBorder="1" applyAlignment="1">
      <alignment horizontal="left" vertical="center" wrapText="1"/>
    </xf>
    <xf numFmtId="0" fontId="107" fillId="25" borderId="4" xfId="0" applyFont="1" applyFill="1" applyBorder="1" applyAlignment="1">
      <alignment horizontal="center" vertical="center" wrapText="1"/>
    </xf>
    <xf numFmtId="41" fontId="8" fillId="10" borderId="4" xfId="4" applyNumberFormat="1" applyFont="1" applyFill="1" applyBorder="1" applyAlignment="1">
      <alignment horizontal="center" vertical="center"/>
    </xf>
    <xf numFmtId="3" fontId="8" fillId="0" borderId="4" xfId="0" applyNumberFormat="1" applyFont="1" applyBorder="1" applyAlignment="1">
      <alignment horizontal="center" vertical="center"/>
    </xf>
    <xf numFmtId="0" fontId="107" fillId="25" borderId="4" xfId="0" applyFont="1" applyFill="1" applyBorder="1" applyAlignment="1">
      <alignment horizontal="left" vertical="center" wrapText="1"/>
    </xf>
    <xf numFmtId="3" fontId="8" fillId="10" borderId="4" xfId="0" applyNumberFormat="1" applyFont="1" applyFill="1" applyBorder="1" applyAlignment="1">
      <alignment vertical="center"/>
    </xf>
    <xf numFmtId="41" fontId="103" fillId="10" borderId="4" xfId="1" applyFont="1" applyFill="1" applyBorder="1" applyAlignment="1">
      <alignment horizontal="center" vertical="center"/>
    </xf>
    <xf numFmtId="0" fontId="107" fillId="10" borderId="5" xfId="0" applyFont="1" applyFill="1" applyBorder="1" applyAlignment="1">
      <alignment horizontal="center" vertical="center"/>
    </xf>
    <xf numFmtId="0" fontId="8" fillId="10" borderId="5" xfId="0" applyFont="1" applyFill="1" applyBorder="1" applyAlignment="1">
      <alignment horizontal="left" vertical="center" wrapText="1"/>
    </xf>
    <xf numFmtId="3" fontId="8" fillId="0" borderId="5" xfId="0" applyNumberFormat="1" applyFont="1" applyBorder="1" applyAlignment="1">
      <alignment horizontal="center" vertical="center"/>
    </xf>
    <xf numFmtId="14" fontId="126" fillId="11" borderId="4" xfId="0" applyNumberFormat="1" applyFont="1" applyFill="1" applyBorder="1" applyAlignment="1">
      <alignment horizontal="center" vertical="center" wrapText="1"/>
    </xf>
    <xf numFmtId="3" fontId="127" fillId="11" borderId="4" xfId="0" applyNumberFormat="1" applyFont="1" applyFill="1" applyBorder="1" applyAlignment="1">
      <alignment horizontal="center" vertical="center" wrapText="1"/>
    </xf>
    <xf numFmtId="0" fontId="8" fillId="10" borderId="0" xfId="0" applyFont="1" applyFill="1" applyAlignment="1">
      <alignment vertical="center" wrapText="1"/>
    </xf>
    <xf numFmtId="0" fontId="95" fillId="10" borderId="0" xfId="0" applyFont="1" applyFill="1" applyAlignment="1">
      <alignment vertical="center"/>
    </xf>
    <xf numFmtId="0" fontId="95" fillId="10" borderId="0" xfId="0" applyFont="1" applyFill="1" applyAlignment="1">
      <alignment horizontal="center" vertical="center"/>
    </xf>
    <xf numFmtId="9" fontId="8" fillId="10" borderId="0" xfId="2" applyFont="1" applyFill="1" applyAlignment="1">
      <alignment horizontal="center" vertical="center"/>
    </xf>
    <xf numFmtId="0" fontId="8" fillId="10" borderId="0" xfId="0" applyFont="1" applyFill="1" applyAlignment="1">
      <alignment horizontal="left" vertical="center"/>
    </xf>
    <xf numFmtId="9" fontId="107" fillId="10" borderId="4" xfId="0" applyNumberFormat="1" applyFont="1" applyFill="1" applyBorder="1" applyAlignment="1">
      <alignment vertical="center" wrapText="1"/>
    </xf>
    <xf numFmtId="0" fontId="24" fillId="10" borderId="4" xfId="0" applyFont="1" applyFill="1" applyBorder="1" applyAlignment="1"/>
    <xf numFmtId="0" fontId="129" fillId="10" borderId="0" xfId="0" applyFont="1" applyFill="1"/>
    <xf numFmtId="0" fontId="130" fillId="10" borderId="4" xfId="6" applyFont="1" applyFill="1" applyBorder="1"/>
    <xf numFmtId="0" fontId="130" fillId="10" borderId="10" xfId="0" applyFont="1" applyFill="1" applyBorder="1" applyAlignment="1">
      <alignment horizontal="center"/>
    </xf>
    <xf numFmtId="0" fontId="19" fillId="29" borderId="11" xfId="0" applyFont="1" applyFill="1" applyBorder="1" applyAlignment="1">
      <alignment horizontal="center"/>
    </xf>
    <xf numFmtId="0" fontId="131" fillId="10" borderId="4" xfId="6" applyFont="1" applyFill="1" applyBorder="1"/>
    <xf numFmtId="0" fontId="57" fillId="0" borderId="4" xfId="0" applyFont="1" applyBorder="1" applyAlignment="1">
      <alignment horizontal="justify" vertical="center" wrapText="1"/>
    </xf>
    <xf numFmtId="0" fontId="2" fillId="5" borderId="4" xfId="0" applyFont="1" applyFill="1" applyBorder="1" applyAlignment="1">
      <alignment vertical="center" wrapText="1"/>
    </xf>
    <xf numFmtId="0" fontId="4" fillId="5" borderId="6" xfId="0" applyFont="1" applyFill="1" applyBorder="1" applyAlignment="1"/>
    <xf numFmtId="0" fontId="4" fillId="5" borderId="26" xfId="0" applyFont="1" applyFill="1" applyBorder="1" applyAlignment="1"/>
    <xf numFmtId="41" fontId="5" fillId="8" borderId="17" xfId="1" applyFont="1" applyFill="1" applyBorder="1" applyAlignment="1">
      <alignment horizontal="center" vertical="center"/>
    </xf>
    <xf numFmtId="41" fontId="5" fillId="45" borderId="17" xfId="1" applyFont="1" applyFill="1" applyBorder="1" applyAlignment="1">
      <alignment horizontal="center" vertical="center"/>
    </xf>
    <xf numFmtId="41" fontId="5" fillId="0" borderId="17" xfId="1" applyFont="1" applyFill="1" applyBorder="1" applyAlignment="1">
      <alignment horizontal="center" vertical="center"/>
    </xf>
    <xf numFmtId="41" fontId="5" fillId="4" borderId="17" xfId="1" applyFont="1" applyFill="1" applyBorder="1" applyAlignment="1">
      <alignment horizontal="center" vertical="center"/>
    </xf>
    <xf numFmtId="0" fontId="5" fillId="8" borderId="17" xfId="0" applyFont="1" applyFill="1" applyBorder="1" applyAlignment="1">
      <alignment horizontal="center" vertical="center"/>
    </xf>
    <xf numFmtId="0" fontId="57" fillId="0" borderId="4" xfId="0" applyFont="1" applyBorder="1" applyAlignment="1">
      <alignment horizontal="center" vertical="center"/>
    </xf>
    <xf numFmtId="0" fontId="14" fillId="0" borderId="4" xfId="0" applyFont="1" applyBorder="1" applyAlignment="1">
      <alignment horizontal="center" vertical="center"/>
    </xf>
    <xf numFmtId="0" fontId="57" fillId="10" borderId="0" xfId="0" applyFont="1" applyFill="1"/>
    <xf numFmtId="0" fontId="57" fillId="0" borderId="4" xfId="0" applyFont="1" applyBorder="1" applyAlignment="1">
      <alignment horizontal="center" vertical="center" wrapText="1"/>
    </xf>
    <xf numFmtId="0" fontId="11" fillId="42" borderId="4" xfId="0" applyFont="1" applyFill="1" applyBorder="1" applyAlignment="1">
      <alignment vertical="center"/>
    </xf>
    <xf numFmtId="0" fontId="11" fillId="24" borderId="4" xfId="0" applyFont="1" applyFill="1" applyBorder="1" applyAlignment="1">
      <alignment vertical="center" wrapText="1"/>
    </xf>
    <xf numFmtId="0" fontId="11" fillId="24" borderId="4" xfId="0" applyFont="1" applyFill="1" applyBorder="1" applyAlignment="1">
      <alignment vertical="center"/>
    </xf>
    <xf numFmtId="0" fontId="0" fillId="4" borderId="4" xfId="0" applyFill="1" applyBorder="1" applyAlignment="1">
      <alignment wrapText="1"/>
    </xf>
    <xf numFmtId="0" fontId="11" fillId="10" borderId="0" xfId="0" applyFont="1" applyFill="1"/>
    <xf numFmtId="0" fontId="11" fillId="10" borderId="4" xfId="0" applyFont="1" applyFill="1" applyBorder="1" applyAlignment="1">
      <alignment horizontal="center"/>
    </xf>
    <xf numFmtId="0" fontId="133" fillId="0" borderId="4" xfId="0" applyFont="1" applyBorder="1" applyAlignment="1">
      <alignment horizontal="center" vertical="center" wrapText="1"/>
    </xf>
    <xf numFmtId="0" fontId="72" fillId="0" borderId="4" xfId="0" applyFont="1" applyBorder="1" applyAlignment="1">
      <alignment horizontal="center" vertical="center" wrapText="1"/>
    </xf>
    <xf numFmtId="0" fontId="134" fillId="10" borderId="4" xfId="0" applyFont="1" applyFill="1" applyBorder="1"/>
    <xf numFmtId="0" fontId="10" fillId="0" borderId="4" xfId="0" applyFont="1" applyBorder="1" applyAlignment="1">
      <alignment horizontal="center" vertical="center"/>
    </xf>
    <xf numFmtId="9" fontId="0" fillId="5" borderId="0" xfId="2" applyFont="1" applyFill="1"/>
    <xf numFmtId="0" fontId="135" fillId="0" borderId="57" xfId="0" applyFont="1" applyBorder="1" applyAlignment="1">
      <alignment vertical="center" wrapText="1"/>
    </xf>
    <xf numFmtId="0" fontId="135" fillId="47" borderId="57" xfId="0" applyFont="1" applyFill="1" applyBorder="1" applyAlignment="1">
      <alignment vertical="center" wrapText="1"/>
    </xf>
    <xf numFmtId="0" fontId="135" fillId="47" borderId="58" xfId="0" applyFont="1" applyFill="1" applyBorder="1" applyAlignment="1">
      <alignment vertical="center" wrapText="1"/>
    </xf>
    <xf numFmtId="0" fontId="136" fillId="0" borderId="58" xfId="0" applyFont="1" applyBorder="1" applyAlignment="1">
      <alignment horizontal="left" vertical="center" wrapText="1" indent="5"/>
    </xf>
    <xf numFmtId="0" fontId="135" fillId="11" borderId="57" xfId="0" applyFont="1" applyFill="1" applyBorder="1" applyAlignment="1">
      <alignment vertical="center" wrapText="1"/>
    </xf>
    <xf numFmtId="0" fontId="136" fillId="11" borderId="58" xfId="0" applyFont="1" applyFill="1" applyBorder="1" applyAlignment="1">
      <alignment horizontal="left" vertical="center" wrapText="1" indent="5"/>
    </xf>
    <xf numFmtId="0" fontId="135" fillId="24" borderId="57" xfId="0" applyFont="1" applyFill="1" applyBorder="1" applyAlignment="1">
      <alignment vertical="center" wrapText="1"/>
    </xf>
    <xf numFmtId="0" fontId="136" fillId="24" borderId="58" xfId="0" applyFont="1" applyFill="1" applyBorder="1" applyAlignment="1">
      <alignment horizontal="left" vertical="center" wrapText="1" indent="5"/>
    </xf>
    <xf numFmtId="0" fontId="136" fillId="11" borderId="59" xfId="0" applyFont="1" applyFill="1" applyBorder="1" applyAlignment="1">
      <alignment horizontal="left" vertical="center" wrapText="1" indent="5"/>
    </xf>
    <xf numFmtId="0" fontId="24" fillId="12" borderId="24" xfId="0" applyFont="1" applyFill="1" applyBorder="1" applyAlignment="1">
      <alignment horizontal="center" vertical="center"/>
    </xf>
    <xf numFmtId="0" fontId="21" fillId="16" borderId="13" xfId="0" applyFont="1" applyFill="1" applyBorder="1" applyAlignment="1">
      <alignment horizontal="center" vertical="center" wrapText="1"/>
    </xf>
    <xf numFmtId="167" fontId="94" fillId="26" borderId="4" xfId="1" applyNumberFormat="1" applyFont="1" applyFill="1" applyBorder="1" applyAlignment="1">
      <alignment horizontal="center" vertical="center" wrapText="1"/>
    </xf>
    <xf numFmtId="167" fontId="94" fillId="26" borderId="17" xfId="1" applyNumberFormat="1" applyFont="1" applyFill="1" applyBorder="1" applyAlignment="1">
      <alignment horizontal="center" vertical="center" wrapText="1"/>
    </xf>
    <xf numFmtId="1" fontId="94" fillId="4" borderId="4" xfId="1" applyNumberFormat="1" applyFont="1" applyFill="1" applyBorder="1" applyAlignment="1">
      <alignment horizontal="center" vertical="center" wrapText="1"/>
    </xf>
    <xf numFmtId="167" fontId="94" fillId="4" borderId="4" xfId="1" applyNumberFormat="1" applyFont="1" applyFill="1" applyBorder="1" applyAlignment="1">
      <alignment horizontal="center" vertical="center" wrapText="1"/>
    </xf>
    <xf numFmtId="0" fontId="132" fillId="16" borderId="4" xfId="0" applyFont="1" applyFill="1" applyBorder="1" applyAlignment="1">
      <alignment horizontal="center" vertical="center" wrapText="1"/>
    </xf>
    <xf numFmtId="0" fontId="132" fillId="16" borderId="4" xfId="0" applyFont="1" applyFill="1" applyBorder="1" applyAlignment="1">
      <alignment horizontal="left" vertical="center" wrapText="1"/>
    </xf>
    <xf numFmtId="0" fontId="28" fillId="10" borderId="0" xfId="0" applyFont="1" applyFill="1"/>
    <xf numFmtId="0" fontId="30" fillId="26" borderId="4" xfId="0" applyFont="1" applyFill="1" applyBorder="1"/>
    <xf numFmtId="0" fontId="129" fillId="26" borderId="4" xfId="0" applyFont="1" applyFill="1" applyBorder="1" applyAlignment="1">
      <alignment wrapText="1"/>
    </xf>
    <xf numFmtId="0" fontId="129" fillId="26" borderId="4" xfId="0" applyFont="1" applyFill="1" applyBorder="1" applyAlignment="1">
      <alignment vertical="center"/>
    </xf>
    <xf numFmtId="0" fontId="129" fillId="26" borderId="4" xfId="0" quotePrefix="1" applyFont="1" applyFill="1" applyBorder="1" applyAlignment="1">
      <alignment horizontal="left" vertical="center" wrapText="1" indent="2"/>
    </xf>
    <xf numFmtId="0" fontId="129" fillId="26" borderId="4" xfId="0" applyFont="1" applyFill="1" applyBorder="1" applyAlignment="1">
      <alignment vertical="center" wrapText="1"/>
    </xf>
    <xf numFmtId="0" fontId="129" fillId="26" borderId="4" xfId="0" applyFont="1" applyFill="1" applyBorder="1" applyAlignment="1">
      <alignment horizontal="left" vertical="center" indent="2"/>
    </xf>
    <xf numFmtId="0" fontId="129" fillId="14" borderId="4" xfId="0" applyFont="1" applyFill="1" applyBorder="1" applyAlignment="1">
      <alignment vertical="center"/>
    </xf>
    <xf numFmtId="0" fontId="129" fillId="14" borderId="4" xfId="0" applyFont="1" applyFill="1" applyBorder="1" applyAlignment="1">
      <alignment wrapText="1"/>
    </xf>
    <xf numFmtId="0" fontId="129" fillId="14" borderId="4" xfId="0" applyFont="1" applyFill="1" applyBorder="1" applyAlignment="1">
      <alignment horizontal="left" vertical="center" wrapText="1" indent="2" readingOrder="1"/>
    </xf>
    <xf numFmtId="0" fontId="129" fillId="14" borderId="4" xfId="0" quotePrefix="1" applyFont="1" applyFill="1" applyBorder="1" applyAlignment="1">
      <alignment vertical="center" wrapText="1"/>
    </xf>
    <xf numFmtId="0" fontId="129" fillId="14" borderId="4" xfId="0" applyFont="1" applyFill="1" applyBorder="1"/>
    <xf numFmtId="0" fontId="129" fillId="14" borderId="4" xfId="0" applyFont="1" applyFill="1" applyBorder="1" applyAlignment="1">
      <alignment horizontal="left" wrapText="1"/>
    </xf>
    <xf numFmtId="0" fontId="129" fillId="14" borderId="4" xfId="0" quotePrefix="1" applyFont="1" applyFill="1" applyBorder="1" applyAlignment="1">
      <alignment horizontal="left" wrapText="1"/>
    </xf>
    <xf numFmtId="0" fontId="28" fillId="25" borderId="0" xfId="0" applyFont="1" applyFill="1"/>
    <xf numFmtId="0" fontId="129" fillId="25" borderId="4" xfId="0" applyFont="1" applyFill="1" applyBorder="1" applyAlignment="1">
      <alignment horizontal="justify" vertical="center" wrapText="1"/>
    </xf>
    <xf numFmtId="0" fontId="129" fillId="25" borderId="4" xfId="0" applyFont="1" applyFill="1" applyBorder="1" applyAlignment="1">
      <alignment horizontal="left" vertical="center"/>
    </xf>
    <xf numFmtId="0" fontId="129" fillId="25" borderId="4" xfId="0" applyFont="1" applyFill="1" applyBorder="1" applyAlignment="1">
      <alignment vertical="center"/>
    </xf>
    <xf numFmtId="0" fontId="129" fillId="25" borderId="4" xfId="0" applyFont="1" applyFill="1" applyBorder="1" applyAlignment="1">
      <alignment horizontal="left" wrapText="1"/>
    </xf>
    <xf numFmtId="3" fontId="129" fillId="25" borderId="4" xfId="0" applyNumberFormat="1" applyFont="1" applyFill="1" applyBorder="1" applyAlignment="1">
      <alignment horizontal="left"/>
    </xf>
    <xf numFmtId="0" fontId="129" fillId="25" borderId="4" xfId="0" applyFont="1" applyFill="1" applyBorder="1" applyAlignment="1">
      <alignment horizontal="left"/>
    </xf>
    <xf numFmtId="0" fontId="129" fillId="25" borderId="4" xfId="0" applyFont="1" applyFill="1" applyBorder="1"/>
    <xf numFmtId="0" fontId="129" fillId="10" borderId="0" xfId="0" applyFont="1" applyFill="1" applyAlignment="1">
      <alignment horizontal="left"/>
    </xf>
    <xf numFmtId="0" fontId="129" fillId="10" borderId="0" xfId="0" applyFont="1" applyFill="1" applyAlignment="1">
      <alignment vertical="center"/>
    </xf>
    <xf numFmtId="0" fontId="135" fillId="50" borderId="55" xfId="0" applyFont="1" applyFill="1" applyBorder="1" applyAlignment="1">
      <alignment horizontal="center" vertical="center" wrapText="1"/>
    </xf>
    <xf numFmtId="0" fontId="135" fillId="50" borderId="56" xfId="0" applyFont="1" applyFill="1" applyBorder="1" applyAlignment="1">
      <alignment horizontal="center" vertical="center" wrapText="1"/>
    </xf>
    <xf numFmtId="9" fontId="0" fillId="0" borderId="0" xfId="0" applyNumberFormat="1"/>
    <xf numFmtId="0" fontId="13" fillId="25" borderId="4" xfId="0" applyFont="1" applyFill="1" applyBorder="1" applyAlignment="1">
      <alignment horizontal="center" vertical="center" wrapText="1"/>
    </xf>
    <xf numFmtId="0" fontId="4" fillId="5" borderId="49" xfId="0" applyFont="1" applyFill="1" applyBorder="1" applyAlignment="1"/>
    <xf numFmtId="0" fontId="4" fillId="5" borderId="17" xfId="0" applyFont="1" applyFill="1" applyBorder="1" applyAlignment="1"/>
    <xf numFmtId="41" fontId="7" fillId="3" borderId="39" xfId="1" applyFont="1" applyFill="1" applyBorder="1" applyAlignment="1">
      <alignment horizontal="center" vertical="center"/>
    </xf>
    <xf numFmtId="41" fontId="7" fillId="3" borderId="46" xfId="1" applyFont="1" applyFill="1" applyBorder="1" applyAlignment="1">
      <alignment horizontal="center" vertical="center"/>
    </xf>
    <xf numFmtId="41" fontId="4" fillId="3" borderId="46" xfId="1" applyFont="1" applyFill="1" applyBorder="1" applyAlignment="1">
      <alignment horizontal="center" vertical="center"/>
    </xf>
    <xf numFmtId="41" fontId="24" fillId="5" borderId="42" xfId="1" applyFont="1" applyFill="1" applyBorder="1"/>
    <xf numFmtId="41" fontId="30" fillId="25" borderId="15" xfId="1" applyFont="1" applyFill="1" applyBorder="1" applyAlignment="1">
      <alignment horizontal="center"/>
    </xf>
    <xf numFmtId="41" fontId="30" fillId="25" borderId="17" xfId="1" applyFont="1" applyFill="1" applyBorder="1" applyAlignment="1">
      <alignment horizontal="center"/>
    </xf>
    <xf numFmtId="41" fontId="30" fillId="25" borderId="18" xfId="1" applyFont="1" applyFill="1" applyBorder="1" applyAlignment="1">
      <alignment horizontal="center"/>
    </xf>
    <xf numFmtId="9" fontId="30" fillId="5" borderId="0" xfId="2" applyFont="1" applyFill="1"/>
    <xf numFmtId="9" fontId="0" fillId="5" borderId="0" xfId="0" applyNumberFormat="1" applyFill="1"/>
    <xf numFmtId="0" fontId="4" fillId="5" borderId="65" xfId="0" applyFont="1" applyFill="1" applyBorder="1" applyAlignment="1"/>
    <xf numFmtId="0" fontId="4" fillId="5" borderId="66" xfId="0" applyFont="1" applyFill="1" applyBorder="1" applyAlignment="1"/>
    <xf numFmtId="0" fontId="4" fillId="5" borderId="67" xfId="0" applyFont="1" applyFill="1" applyBorder="1" applyAlignment="1"/>
    <xf numFmtId="9" fontId="0" fillId="5" borderId="4" xfId="2" applyFont="1" applyFill="1" applyBorder="1" applyAlignment="1">
      <alignment horizontal="center"/>
    </xf>
    <xf numFmtId="41" fontId="12" fillId="5" borderId="4" xfId="1" applyFont="1" applyFill="1" applyBorder="1" applyAlignment="1">
      <alignment horizontal="center"/>
    </xf>
    <xf numFmtId="0" fontId="17" fillId="0" borderId="4" xfId="0" applyFont="1" applyBorder="1" applyAlignment="1">
      <alignment vertical="center"/>
    </xf>
    <xf numFmtId="0" fontId="8" fillId="10" borderId="4" xfId="0" applyFont="1" applyFill="1" applyBorder="1" applyAlignment="1">
      <alignment horizontal="center" vertical="center"/>
    </xf>
    <xf numFmtId="0" fontId="14" fillId="0" borderId="4" xfId="0" applyFont="1" applyBorder="1" applyAlignment="1">
      <alignment horizontal="justify" vertical="center" wrapText="1"/>
    </xf>
    <xf numFmtId="0" fontId="107" fillId="22" borderId="4" xfId="0" applyFont="1" applyFill="1" applyBorder="1" applyAlignment="1">
      <alignment horizontal="center" vertical="center" wrapText="1"/>
    </xf>
    <xf numFmtId="0" fontId="107" fillId="14" borderId="4" xfId="0" applyFont="1" applyFill="1" applyBorder="1" applyAlignment="1">
      <alignment horizontal="center" vertical="center" wrapText="1"/>
    </xf>
    <xf numFmtId="0" fontId="107" fillId="23" borderId="4" xfId="0" applyFont="1" applyFill="1" applyBorder="1" applyAlignment="1">
      <alignment horizontal="left" vertical="center" wrapText="1"/>
    </xf>
    <xf numFmtId="0" fontId="96" fillId="10" borderId="4" xfId="0" applyFont="1" applyFill="1" applyBorder="1" applyAlignment="1">
      <alignment horizontal="center"/>
    </xf>
    <xf numFmtId="0" fontId="8" fillId="0" borderId="4" xfId="0" applyFont="1" applyBorder="1" applyAlignment="1">
      <alignment horizontal="justify" vertical="center" wrapText="1"/>
    </xf>
    <xf numFmtId="9" fontId="8" fillId="0" borderId="4" xfId="0" applyNumberFormat="1" applyFont="1" applyBorder="1" applyAlignment="1">
      <alignment horizontal="center" vertical="center" wrapText="1"/>
    </xf>
    <xf numFmtId="9" fontId="127" fillId="0" borderId="4" xfId="0" applyNumberFormat="1" applyFont="1" applyBorder="1" applyAlignment="1">
      <alignment horizontal="center" vertical="center" wrapText="1"/>
    </xf>
    <xf numFmtId="0" fontId="107" fillId="0" borderId="4" xfId="0" applyFont="1" applyBorder="1" applyAlignment="1">
      <alignment horizontal="justify" vertical="center" wrapText="1"/>
    </xf>
    <xf numFmtId="0" fontId="8" fillId="0" borderId="4" xfId="0" applyFont="1" applyBorder="1" applyAlignment="1">
      <alignment vertical="center" wrapText="1"/>
    </xf>
    <xf numFmtId="0" fontId="96" fillId="0" borderId="4" xfId="0" applyFont="1" applyBorder="1" applyAlignment="1">
      <alignment vertical="center" wrapText="1"/>
    </xf>
    <xf numFmtId="0" fontId="107" fillId="0" borderId="4" xfId="0" applyFont="1" applyBorder="1" applyAlignment="1">
      <alignment vertical="center" wrapText="1"/>
    </xf>
    <xf numFmtId="0" fontId="8" fillId="12" borderId="4" xfId="0" applyFont="1" applyFill="1" applyBorder="1" applyAlignment="1">
      <alignment horizontal="center" vertical="center"/>
    </xf>
    <xf numFmtId="0" fontId="8" fillId="46" borderId="4" xfId="0" applyFont="1" applyFill="1" applyBorder="1" applyAlignment="1">
      <alignment horizontal="justify" vertical="center" wrapText="1"/>
    </xf>
    <xf numFmtId="0" fontId="95" fillId="0" borderId="4" xfId="0" applyFont="1" applyBorder="1" applyAlignment="1">
      <alignment horizontal="justify" vertical="center" wrapText="1"/>
    </xf>
    <xf numFmtId="0" fontId="8" fillId="12" borderId="4" xfId="0" applyFont="1" applyFill="1" applyBorder="1" applyAlignment="1">
      <alignment horizontal="left" vertical="center" wrapText="1"/>
    </xf>
    <xf numFmtId="0" fontId="107" fillId="23" borderId="4" xfId="0" applyFont="1" applyFill="1" applyBorder="1" applyAlignment="1">
      <alignment horizontal="left"/>
    </xf>
    <xf numFmtId="0" fontId="127" fillId="0" borderId="4" xfId="0" applyFont="1" applyBorder="1" applyAlignment="1">
      <alignment horizontal="justify" vertical="center" wrapText="1"/>
    </xf>
    <xf numFmtId="0" fontId="143" fillId="0" borderId="4" xfId="0" applyFont="1" applyBorder="1" applyAlignment="1">
      <alignment horizontal="left" vertical="center" wrapText="1" indent="2"/>
    </xf>
    <xf numFmtId="0" fontId="8" fillId="14" borderId="4" xfId="0" applyFont="1" applyFill="1" applyBorder="1" applyAlignment="1">
      <alignment horizontal="left" vertical="center"/>
    </xf>
    <xf numFmtId="9" fontId="8" fillId="0" borderId="4" xfId="0" applyNumberFormat="1" applyFont="1" applyBorder="1" applyAlignment="1">
      <alignment horizontal="justify" vertical="center" wrapText="1"/>
    </xf>
    <xf numFmtId="0" fontId="96" fillId="12" borderId="4" xfId="0" applyFont="1" applyFill="1" applyBorder="1" applyAlignment="1">
      <alignment horizontal="center"/>
    </xf>
    <xf numFmtId="0" fontId="96" fillId="12" borderId="4" xfId="0" applyFont="1" applyFill="1" applyBorder="1"/>
    <xf numFmtId="0" fontId="8" fillId="0" borderId="4" xfId="0" applyFont="1" applyBorder="1" applyAlignment="1">
      <alignment horizontal="justify" vertical="center"/>
    </xf>
    <xf numFmtId="0" fontId="95" fillId="0" borderId="4" xfId="0" applyFont="1" applyBorder="1" applyAlignment="1">
      <alignment horizontal="left" vertical="center" wrapText="1"/>
    </xf>
    <xf numFmtId="0" fontId="96" fillId="0" borderId="4" xfId="0" applyFont="1" applyBorder="1" applyAlignment="1">
      <alignment horizontal="left" vertical="top" wrapText="1"/>
    </xf>
    <xf numFmtId="0" fontId="107" fillId="0" borderId="4" xfId="0" applyFont="1" applyBorder="1" applyAlignment="1">
      <alignment horizontal="center" vertical="center" wrapText="1"/>
    </xf>
    <xf numFmtId="9" fontId="8" fillId="46" borderId="4" xfId="0" applyNumberFormat="1" applyFont="1" applyFill="1" applyBorder="1" applyAlignment="1">
      <alignment horizontal="center" vertical="center" wrapText="1"/>
    </xf>
    <xf numFmtId="10" fontId="8" fillId="0" borderId="4" xfId="0" applyNumberFormat="1" applyFont="1" applyBorder="1" applyAlignment="1">
      <alignment horizontal="center" vertical="center" wrapText="1"/>
    </xf>
    <xf numFmtId="0" fontId="8" fillId="0" borderId="4" xfId="0" applyFont="1" applyBorder="1" applyAlignment="1">
      <alignment horizontal="center" vertical="center" wrapText="1"/>
    </xf>
    <xf numFmtId="0" fontId="8" fillId="46" borderId="4" xfId="0" applyFont="1" applyFill="1" applyBorder="1" applyAlignment="1">
      <alignment horizontal="center" vertical="center" wrapText="1"/>
    </xf>
    <xf numFmtId="0" fontId="8" fillId="12" borderId="4" xfId="0" applyFont="1" applyFill="1" applyBorder="1" applyAlignment="1">
      <alignment horizontal="left" vertical="center"/>
    </xf>
    <xf numFmtId="9" fontId="95" fillId="0" borderId="4" xfId="0" applyNumberFormat="1" applyFont="1" applyBorder="1" applyAlignment="1">
      <alignment horizontal="center" vertical="center" wrapText="1"/>
    </xf>
    <xf numFmtId="0" fontId="96" fillId="10" borderId="0" xfId="0" applyFont="1" applyFill="1" applyAlignment="1">
      <alignment horizontal="left"/>
    </xf>
    <xf numFmtId="0" fontId="96" fillId="10" borderId="0" xfId="0" applyFont="1" applyFill="1" applyAlignment="1">
      <alignment horizontal="center"/>
    </xf>
    <xf numFmtId="41" fontId="7" fillId="7" borderId="17" xfId="1" applyFont="1" applyFill="1" applyBorder="1" applyAlignment="1">
      <alignment horizontal="center" vertical="center"/>
    </xf>
    <xf numFmtId="41" fontId="4" fillId="5" borderId="6" xfId="1" applyFont="1" applyFill="1" applyBorder="1" applyAlignment="1">
      <alignment horizontal="center" vertical="center"/>
    </xf>
    <xf numFmtId="0" fontId="0" fillId="4" borderId="4" xfId="0" applyFill="1" applyBorder="1"/>
    <xf numFmtId="0" fontId="96" fillId="4" borderId="4" xfId="0" applyFont="1" applyFill="1" applyBorder="1"/>
    <xf numFmtId="0" fontId="0" fillId="10" borderId="0" xfId="0" applyFill="1" applyAlignment="1">
      <alignment wrapText="1"/>
    </xf>
    <xf numFmtId="0" fontId="19" fillId="29" borderId="4" xfId="0" applyFont="1" applyFill="1" applyBorder="1" applyAlignment="1">
      <alignment horizontal="center"/>
    </xf>
    <xf numFmtId="0" fontId="20" fillId="10" borderId="17" xfId="0" applyFont="1" applyFill="1" applyBorder="1" applyAlignment="1">
      <alignment wrapText="1"/>
    </xf>
    <xf numFmtId="0" fontId="57" fillId="10" borderId="17" xfId="0" applyFont="1" applyFill="1" applyBorder="1" applyAlignment="1">
      <alignment wrapText="1"/>
    </xf>
    <xf numFmtId="0" fontId="0" fillId="10" borderId="17" xfId="0" applyFill="1" applyBorder="1" applyAlignment="1">
      <alignment wrapText="1"/>
    </xf>
    <xf numFmtId="0" fontId="147" fillId="42" borderId="4" xfId="0" applyFont="1" applyFill="1" applyBorder="1" applyAlignment="1">
      <alignment horizontal="center" vertical="center" wrapText="1"/>
    </xf>
    <xf numFmtId="0" fontId="147" fillId="42" borderId="4" xfId="0" applyFont="1" applyFill="1" applyBorder="1" applyAlignment="1">
      <alignment horizontal="center" vertical="center"/>
    </xf>
    <xf numFmtId="0" fontId="107" fillId="42" borderId="4" xfId="0" applyFont="1" applyFill="1" applyBorder="1" applyAlignment="1">
      <alignment horizontal="center" vertical="center" wrapText="1"/>
    </xf>
    <xf numFmtId="0" fontId="107" fillId="42" borderId="5" xfId="0" applyFont="1" applyFill="1" applyBorder="1" applyAlignment="1">
      <alignment horizontal="center" vertical="center" wrapText="1"/>
    </xf>
    <xf numFmtId="0" fontId="8" fillId="10" borderId="0" xfId="0" applyFont="1" applyFill="1" applyAlignment="1">
      <alignment horizontal="center"/>
    </xf>
    <xf numFmtId="0" fontId="147" fillId="37" borderId="4" xfId="0" applyFont="1" applyFill="1" applyBorder="1" applyAlignment="1">
      <alignment horizontal="center" vertical="center" wrapText="1"/>
    </xf>
    <xf numFmtId="0" fontId="148" fillId="5" borderId="4" xfId="0" applyFont="1" applyFill="1" applyBorder="1" applyAlignment="1">
      <alignment horizontal="center" vertical="center"/>
    </xf>
    <xf numFmtId="9" fontId="8" fillId="10" borderId="4" xfId="2" applyFont="1" applyFill="1" applyBorder="1" applyAlignment="1">
      <alignment horizontal="center"/>
    </xf>
    <xf numFmtId="9" fontId="8" fillId="10" borderId="4" xfId="0" applyNumberFormat="1" applyFont="1" applyFill="1" applyBorder="1" applyAlignment="1">
      <alignment horizontal="center"/>
    </xf>
    <xf numFmtId="0" fontId="148" fillId="5" borderId="4" xfId="0" applyFont="1" applyFill="1" applyBorder="1" applyAlignment="1">
      <alignment horizontal="center"/>
    </xf>
    <xf numFmtId="0" fontId="94" fillId="15" borderId="16" xfId="0" applyFont="1" applyFill="1" applyBorder="1" applyAlignment="1">
      <alignment wrapText="1"/>
    </xf>
    <xf numFmtId="0" fontId="147" fillId="5" borderId="16" xfId="0" applyFont="1" applyFill="1" applyBorder="1" applyAlignment="1">
      <alignment horizontal="center"/>
    </xf>
    <xf numFmtId="0" fontId="8" fillId="10" borderId="0" xfId="0" applyFont="1" applyFill="1" applyAlignment="1"/>
    <xf numFmtId="9" fontId="8" fillId="10" borderId="0" xfId="2" applyFont="1" applyFill="1"/>
    <xf numFmtId="10" fontId="8" fillId="10" borderId="4" xfId="0" applyNumberFormat="1" applyFont="1" applyFill="1" applyBorder="1" applyAlignment="1">
      <alignment horizontal="center"/>
    </xf>
    <xf numFmtId="0" fontId="148" fillId="5" borderId="4" xfId="0" applyFont="1" applyFill="1" applyBorder="1" applyAlignment="1">
      <alignment vertical="center" wrapText="1"/>
    </xf>
    <xf numFmtId="9" fontId="148" fillId="5" borderId="4" xfId="0" applyNumberFormat="1" applyFont="1" applyFill="1" applyBorder="1" applyAlignment="1">
      <alignment horizontal="center" vertical="center"/>
    </xf>
    <xf numFmtId="0" fontId="148" fillId="0" borderId="4" xfId="0" applyFont="1" applyFill="1" applyBorder="1" applyAlignment="1">
      <alignment vertical="center" wrapText="1"/>
    </xf>
    <xf numFmtId="0" fontId="148" fillId="0" borderId="4" xfId="0" applyFont="1" applyBorder="1" applyAlignment="1">
      <alignment horizontal="center" vertical="center"/>
    </xf>
    <xf numFmtId="9" fontId="8" fillId="10" borderId="4" xfId="0" applyNumberFormat="1" applyFont="1" applyFill="1" applyBorder="1" applyAlignment="1">
      <alignment horizontal="center" vertical="center"/>
    </xf>
    <xf numFmtId="0" fontId="8" fillId="10" borderId="4" xfId="0" applyFont="1" applyFill="1" applyBorder="1" applyAlignment="1"/>
    <xf numFmtId="0" fontId="8" fillId="10" borderId="0" xfId="0" applyFont="1" applyFill="1" applyAlignment="1">
      <alignment horizontal="center" wrapText="1"/>
    </xf>
    <xf numFmtId="0" fontId="5" fillId="10" borderId="17" xfId="0" applyFont="1" applyFill="1" applyBorder="1" applyAlignment="1">
      <alignment horizontal="center" vertical="center"/>
    </xf>
    <xf numFmtId="41" fontId="5" fillId="10" borderId="17" xfId="1" applyFont="1" applyFill="1" applyBorder="1" applyAlignment="1">
      <alignment horizontal="center" vertical="center"/>
    </xf>
    <xf numFmtId="9" fontId="14" fillId="4" borderId="4" xfId="0" applyNumberFormat="1" applyFont="1" applyFill="1" applyBorder="1" applyAlignment="1">
      <alignment horizontal="center" vertical="center" wrapText="1"/>
    </xf>
    <xf numFmtId="9" fontId="14" fillId="4" borderId="9" xfId="0" applyNumberFormat="1" applyFont="1" applyFill="1" applyBorder="1" applyAlignment="1">
      <alignment horizontal="center" vertical="center" wrapText="1"/>
    </xf>
    <xf numFmtId="0" fontId="9" fillId="4" borderId="4" xfId="0" applyFont="1" applyFill="1" applyBorder="1" applyAlignment="1">
      <alignment horizontal="center" vertical="center" wrapText="1"/>
    </xf>
    <xf numFmtId="9" fontId="73" fillId="4" borderId="4" xfId="2" applyNumberFormat="1" applyFont="1" applyFill="1" applyBorder="1" applyAlignment="1">
      <alignment horizontal="center" vertical="center" wrapText="1"/>
    </xf>
    <xf numFmtId="0" fontId="73" fillId="4" borderId="4" xfId="0" applyFont="1" applyFill="1" applyBorder="1" applyAlignment="1">
      <alignment horizontal="center" vertical="center" wrapText="1"/>
    </xf>
    <xf numFmtId="0" fontId="72" fillId="4" borderId="4" xfId="0" applyFont="1" applyFill="1" applyBorder="1" applyAlignment="1">
      <alignment horizontal="center" vertical="center" wrapText="1"/>
    </xf>
    <xf numFmtId="0" fontId="147" fillId="37" borderId="0" xfId="0" applyFont="1" applyFill="1" applyBorder="1" applyAlignment="1">
      <alignment horizontal="center" vertical="center" wrapText="1"/>
    </xf>
    <xf numFmtId="9" fontId="8" fillId="10" borderId="0" xfId="0" applyNumberFormat="1" applyFont="1" applyFill="1" applyBorder="1" applyAlignment="1">
      <alignment horizontal="center"/>
    </xf>
    <xf numFmtId="9" fontId="8" fillId="10" borderId="0" xfId="2" applyFont="1" applyFill="1" applyBorder="1" applyAlignment="1">
      <alignment horizontal="center"/>
    </xf>
    <xf numFmtId="10" fontId="8" fillId="10" borderId="0" xfId="0" applyNumberFormat="1" applyFont="1" applyFill="1" applyBorder="1" applyAlignment="1">
      <alignment horizontal="center"/>
    </xf>
    <xf numFmtId="9" fontId="148" fillId="5" borderId="0" xfId="0" applyNumberFormat="1" applyFont="1" applyFill="1" applyBorder="1" applyAlignment="1">
      <alignment horizontal="center" vertical="center"/>
    </xf>
    <xf numFmtId="9" fontId="8" fillId="10" borderId="0" xfId="0" applyNumberFormat="1" applyFont="1" applyFill="1" applyBorder="1" applyAlignment="1">
      <alignment horizontal="center" vertical="center"/>
    </xf>
    <xf numFmtId="41" fontId="5" fillId="51" borderId="17" xfId="1" applyFont="1" applyFill="1" applyBorder="1" applyAlignment="1">
      <alignment horizontal="center" vertical="center"/>
    </xf>
    <xf numFmtId="41" fontId="5" fillId="12" borderId="17" xfId="1" applyFont="1" applyFill="1" applyBorder="1" applyAlignment="1">
      <alignment horizontal="center" vertical="center"/>
    </xf>
    <xf numFmtId="41" fontId="7" fillId="4" borderId="4" xfId="0" applyNumberFormat="1" applyFont="1" applyFill="1" applyBorder="1"/>
    <xf numFmtId="41" fontId="5" fillId="4" borderId="4" xfId="0" applyNumberFormat="1" applyFont="1" applyFill="1" applyBorder="1"/>
    <xf numFmtId="41" fontId="30" fillId="4" borderId="4" xfId="1" applyFont="1" applyFill="1" applyBorder="1"/>
    <xf numFmtId="41" fontId="5" fillId="23" borderId="0" xfId="0" applyNumberFormat="1" applyFont="1" applyFill="1" applyAlignment="1">
      <alignment horizontal="left"/>
    </xf>
    <xf numFmtId="41" fontId="30" fillId="23" borderId="0" xfId="0" applyNumberFormat="1" applyFont="1" applyFill="1"/>
    <xf numFmtId="0" fontId="84" fillId="10" borderId="4" xfId="0" applyFont="1" applyFill="1" applyBorder="1"/>
    <xf numFmtId="0" fontId="84" fillId="10" borderId="0" xfId="0" applyFont="1" applyFill="1"/>
    <xf numFmtId="0" fontId="84" fillId="10" borderId="0" xfId="0" applyFont="1" applyFill="1" applyAlignment="1">
      <alignment wrapText="1"/>
    </xf>
    <xf numFmtId="0" fontId="152" fillId="10" borderId="4" xfId="0" applyFont="1" applyFill="1" applyBorder="1" applyAlignment="1">
      <alignment horizontal="left" vertical="center" wrapText="1"/>
    </xf>
    <xf numFmtId="0" fontId="96" fillId="0" borderId="4" xfId="0" applyFont="1" applyFill="1" applyBorder="1"/>
    <xf numFmtId="0" fontId="155" fillId="10" borderId="4" xfId="0" applyFont="1" applyFill="1" applyBorder="1" applyAlignment="1">
      <alignment horizontal="left" vertical="center" wrapText="1"/>
    </xf>
    <xf numFmtId="0" fontId="30" fillId="4" borderId="4" xfId="0" applyFont="1" applyFill="1" applyBorder="1" applyAlignment="1">
      <alignment horizontal="center" vertical="center"/>
    </xf>
    <xf numFmtId="0" fontId="8" fillId="0" borderId="4" xfId="0" applyFont="1" applyFill="1" applyBorder="1" applyAlignment="1">
      <alignment wrapText="1"/>
    </xf>
    <xf numFmtId="0" fontId="8" fillId="4" borderId="4" xfId="0" applyFont="1" applyFill="1" applyBorder="1" applyAlignment="1">
      <alignment horizontal="center" vertical="center"/>
    </xf>
    <xf numFmtId="0" fontId="8" fillId="0" borderId="4" xfId="0" applyFont="1" applyFill="1" applyBorder="1"/>
    <xf numFmtId="0" fontId="8" fillId="0" borderId="4" xfId="0" applyFont="1" applyFill="1" applyBorder="1" applyAlignment="1">
      <alignment horizontal="left" vertical="center"/>
    </xf>
    <xf numFmtId="0" fontId="30" fillId="10" borderId="4" xfId="0" applyFont="1" applyFill="1" applyBorder="1" applyAlignment="1">
      <alignment horizontal="left" vertical="center" wrapText="1"/>
    </xf>
    <xf numFmtId="0" fontId="8" fillId="4" borderId="4" xfId="0" applyFont="1" applyFill="1" applyBorder="1" applyAlignment="1"/>
    <xf numFmtId="0" fontId="30" fillId="4" borderId="4" xfId="0" applyFont="1" applyFill="1" applyBorder="1" applyAlignment="1"/>
    <xf numFmtId="0" fontId="151" fillId="0" borderId="4" xfId="0" applyFont="1" applyBorder="1" applyAlignment="1">
      <alignment vertical="center" wrapText="1"/>
    </xf>
    <xf numFmtId="0" fontId="8" fillId="52" borderId="4" xfId="0" applyFont="1" applyFill="1" applyBorder="1" applyAlignment="1"/>
    <xf numFmtId="0" fontId="96" fillId="0" borderId="16" xfId="0" applyFont="1" applyFill="1" applyBorder="1" applyAlignment="1"/>
    <xf numFmtId="0" fontId="96" fillId="0" borderId="9" xfId="0" applyFont="1" applyFill="1" applyBorder="1" applyAlignment="1"/>
    <xf numFmtId="0" fontId="30" fillId="0" borderId="4" xfId="0" applyFont="1" applyFill="1" applyBorder="1" applyAlignment="1">
      <alignment horizontal="center" vertical="center"/>
    </xf>
    <xf numFmtId="0" fontId="22" fillId="10" borderId="4" xfId="0" applyFont="1" applyFill="1" applyBorder="1" applyAlignment="1">
      <alignment horizontal="left" vertical="center" wrapText="1"/>
    </xf>
    <xf numFmtId="0" fontId="157" fillId="10" borderId="4" xfId="0" applyFont="1" applyFill="1" applyBorder="1" applyAlignment="1">
      <alignment horizontal="left" vertical="center" wrapText="1"/>
    </xf>
    <xf numFmtId="0" fontId="30" fillId="12" borderId="4" xfId="0" applyFont="1" applyFill="1" applyBorder="1" applyAlignment="1">
      <alignment horizontal="center" vertical="center"/>
    </xf>
    <xf numFmtId="0" fontId="0" fillId="10" borderId="0" xfId="0" applyFill="1" applyBorder="1"/>
    <xf numFmtId="41" fontId="2" fillId="3" borderId="4" xfId="1" applyFont="1" applyFill="1" applyBorder="1" applyAlignment="1">
      <alignment horizontal="center" vertical="center" wrapText="1"/>
    </xf>
    <xf numFmtId="0" fontId="13" fillId="10" borderId="4" xfId="0" applyFont="1" applyFill="1" applyBorder="1" applyAlignment="1">
      <alignment horizontal="justify" vertical="center" wrapText="1"/>
    </xf>
    <xf numFmtId="9" fontId="0" fillId="0" borderId="4" xfId="0" applyNumberFormat="1" applyBorder="1" applyAlignment="1">
      <alignment horizontal="center"/>
    </xf>
    <xf numFmtId="0" fontId="0" fillId="0" borderId="0" xfId="0" applyBorder="1"/>
    <xf numFmtId="0" fontId="0" fillId="0" borderId="4" xfId="0" applyBorder="1" applyAlignment="1">
      <alignment horizontal="left"/>
    </xf>
    <xf numFmtId="0" fontId="0" fillId="10" borderId="4" xfId="0" applyFill="1" applyBorder="1" applyAlignment="1">
      <alignment horizontal="left"/>
    </xf>
    <xf numFmtId="41" fontId="162" fillId="8" borderId="4" xfId="1" applyFont="1" applyFill="1" applyBorder="1" applyAlignment="1">
      <alignment horizontal="center" vertical="center"/>
    </xf>
    <xf numFmtId="0" fontId="13" fillId="10" borderId="4" xfId="0" applyFont="1" applyFill="1" applyBorder="1" applyAlignment="1">
      <alignment horizontal="left" vertical="center" wrapText="1"/>
    </xf>
    <xf numFmtId="0" fontId="13" fillId="25" borderId="4" xfId="0" applyFont="1" applyFill="1" applyBorder="1" applyAlignment="1">
      <alignment horizontal="left" vertical="center" wrapText="1"/>
    </xf>
    <xf numFmtId="0" fontId="161" fillId="26" borderId="4" xfId="0" applyFont="1" applyFill="1" applyBorder="1" applyAlignment="1">
      <alignment horizontal="left"/>
    </xf>
    <xf numFmtId="0" fontId="161" fillId="26" borderId="4" xfId="0" applyFont="1" applyFill="1" applyBorder="1" applyAlignment="1">
      <alignment horizontal="center"/>
    </xf>
    <xf numFmtId="0" fontId="4" fillId="5" borderId="31" xfId="0" applyFont="1" applyFill="1" applyBorder="1" applyAlignment="1"/>
    <xf numFmtId="0" fontId="4" fillId="5" borderId="22" xfId="0" applyFont="1" applyFill="1" applyBorder="1" applyAlignment="1"/>
    <xf numFmtId="0" fontId="4" fillId="5" borderId="29" xfId="0" applyFont="1" applyFill="1" applyBorder="1" applyAlignment="1"/>
    <xf numFmtId="41" fontId="0" fillId="4" borderId="4" xfId="0" applyNumberFormat="1" applyFill="1" applyBorder="1"/>
    <xf numFmtId="164" fontId="14" fillId="10" borderId="4" xfId="0" applyNumberFormat="1" applyFont="1" applyFill="1" applyBorder="1" applyAlignment="1">
      <alignment horizontal="center" vertical="center" wrapText="1"/>
    </xf>
    <xf numFmtId="9" fontId="14" fillId="4" borderId="16" xfId="0" applyNumberFormat="1" applyFont="1" applyFill="1" applyBorder="1" applyAlignment="1">
      <alignment horizontal="center" vertical="center" wrapText="1"/>
    </xf>
    <xf numFmtId="9" fontId="0" fillId="0" borderId="4" xfId="0" applyNumberFormat="1" applyBorder="1"/>
    <xf numFmtId="164" fontId="0" fillId="0" borderId="4" xfId="0" applyNumberFormat="1" applyBorder="1"/>
    <xf numFmtId="10" fontId="0" fillId="0" borderId="4" xfId="0" applyNumberFormat="1" applyBorder="1"/>
    <xf numFmtId="0" fontId="13" fillId="10" borderId="9" xfId="0" applyFont="1" applyFill="1" applyBorder="1" applyAlignment="1">
      <alignment vertical="center" wrapText="1"/>
    </xf>
    <xf numFmtId="164" fontId="0" fillId="0" borderId="4" xfId="0" applyNumberFormat="1" applyFill="1" applyBorder="1"/>
    <xf numFmtId="10" fontId="0" fillId="5" borderId="0" xfId="2" applyNumberFormat="1" applyFont="1" applyFill="1"/>
    <xf numFmtId="0" fontId="30" fillId="4"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4" fillId="4" borderId="4" xfId="0" applyFont="1" applyFill="1" applyBorder="1" applyAlignment="1">
      <alignment horizontal="center" vertical="center" wrapText="1"/>
    </xf>
    <xf numFmtId="164" fontId="0" fillId="10" borderId="4" xfId="0" applyNumberFormat="1" applyFill="1" applyBorder="1" applyAlignment="1">
      <alignment horizontal="center" vertical="center"/>
    </xf>
    <xf numFmtId="164" fontId="9" fillId="0" borderId="4" xfId="0" applyNumberFormat="1" applyFont="1" applyBorder="1" applyAlignment="1">
      <alignment horizontal="center" vertical="center"/>
    </xf>
    <xf numFmtId="41" fontId="2" fillId="16" borderId="5" xfId="1" applyFont="1" applyFill="1" applyBorder="1" applyAlignment="1">
      <alignment horizontal="center" vertical="center" wrapText="1"/>
    </xf>
    <xf numFmtId="41" fontId="2" fillId="16" borderId="9" xfId="1" applyFont="1" applyFill="1" applyBorder="1" applyAlignment="1">
      <alignment horizontal="center" vertical="center" wrapText="1"/>
    </xf>
    <xf numFmtId="0" fontId="0" fillId="4" borderId="0" xfId="0" applyFill="1" applyBorder="1"/>
    <xf numFmtId="0" fontId="2" fillId="42" borderId="5" xfId="0" applyFont="1" applyFill="1" applyBorder="1" applyAlignment="1">
      <alignment vertical="center" wrapText="1"/>
    </xf>
    <xf numFmtId="41" fontId="7" fillId="42" borderId="17" xfId="1" applyFont="1" applyFill="1" applyBorder="1" applyAlignment="1">
      <alignment horizontal="center" vertical="center"/>
    </xf>
    <xf numFmtId="41" fontId="0" fillId="42" borderId="4" xfId="0" applyNumberFormat="1" applyFill="1" applyBorder="1"/>
    <xf numFmtId="41" fontId="7" fillId="42" borderId="4" xfId="0" applyNumberFormat="1" applyFont="1" applyFill="1" applyBorder="1"/>
    <xf numFmtId="41" fontId="5" fillId="4" borderId="4" xfId="1" applyFont="1" applyFill="1" applyBorder="1" applyAlignment="1">
      <alignment horizontal="center" vertical="center"/>
    </xf>
    <xf numFmtId="0" fontId="2" fillId="42" borderId="4" xfId="0" applyFont="1" applyFill="1" applyBorder="1" applyAlignment="1">
      <alignment vertical="center" wrapText="1"/>
    </xf>
    <xf numFmtId="0" fontId="16" fillId="11" borderId="26" xfId="0" applyFont="1" applyFill="1" applyBorder="1" applyAlignment="1">
      <alignment horizontal="center" vertical="center"/>
    </xf>
    <xf numFmtId="3" fontId="16" fillId="11" borderId="26" xfId="0" applyNumberFormat="1" applyFont="1" applyFill="1" applyBorder="1" applyAlignment="1">
      <alignment horizontal="center" vertical="center"/>
    </xf>
    <xf numFmtId="0" fontId="17" fillId="11" borderId="26" xfId="0" applyFont="1" applyFill="1" applyBorder="1" applyAlignment="1">
      <alignment vertical="center"/>
    </xf>
    <xf numFmtId="0" fontId="126" fillId="53" borderId="2" xfId="0" applyFont="1" applyFill="1" applyBorder="1" applyAlignment="1">
      <alignment horizontal="justify" vertical="center"/>
    </xf>
    <xf numFmtId="0" fontId="126" fillId="53" borderId="20" xfId="0" applyFont="1" applyFill="1" applyBorder="1" applyAlignment="1">
      <alignment horizontal="center" vertical="center"/>
    </xf>
    <xf numFmtId="0" fontId="126" fillId="53" borderId="20" xfId="0" applyFont="1" applyFill="1" applyBorder="1" applyAlignment="1">
      <alignment horizontal="center" vertical="center" wrapText="1"/>
    </xf>
    <xf numFmtId="0" fontId="16" fillId="11" borderId="25" xfId="0" applyFont="1" applyFill="1" applyBorder="1" applyAlignment="1">
      <alignment horizontal="center" vertical="center"/>
    </xf>
    <xf numFmtId="3" fontId="16" fillId="11" borderId="25" xfId="0" applyNumberFormat="1" applyFont="1" applyFill="1" applyBorder="1" applyAlignment="1">
      <alignment horizontal="center" vertical="center"/>
    </xf>
    <xf numFmtId="0" fontId="17" fillId="11" borderId="25" xfId="0" applyFont="1" applyFill="1" applyBorder="1" applyAlignment="1">
      <alignment vertical="center"/>
    </xf>
    <xf numFmtId="41" fontId="5" fillId="7" borderId="5" xfId="1" applyFont="1" applyFill="1" applyBorder="1" applyAlignment="1">
      <alignment horizontal="center" vertical="center"/>
    </xf>
    <xf numFmtId="0" fontId="16" fillId="11" borderId="4" xfId="0" applyFont="1" applyFill="1" applyBorder="1" applyAlignment="1">
      <alignment horizontal="center" vertical="center"/>
    </xf>
    <xf numFmtId="3" fontId="16" fillId="11" borderId="4" xfId="0" applyNumberFormat="1" applyFont="1" applyFill="1" applyBorder="1" applyAlignment="1">
      <alignment horizontal="center" vertical="center"/>
    </xf>
    <xf numFmtId="0" fontId="17" fillId="11" borderId="4" xfId="0" applyFont="1" applyFill="1" applyBorder="1" applyAlignment="1">
      <alignment vertical="center"/>
    </xf>
    <xf numFmtId="0" fontId="16" fillId="11" borderId="4" xfId="0" applyFont="1" applyFill="1" applyBorder="1" applyAlignment="1">
      <alignment horizontal="justify" vertical="center"/>
    </xf>
    <xf numFmtId="3" fontId="27" fillId="54" borderId="4" xfId="0" applyNumberFormat="1" applyFont="1" applyFill="1" applyBorder="1" applyAlignment="1">
      <alignment horizontal="center" vertical="center"/>
    </xf>
    <xf numFmtId="0" fontId="27" fillId="54" borderId="4" xfId="0" applyFont="1" applyFill="1" applyBorder="1" applyAlignment="1">
      <alignment horizontal="center" vertical="center"/>
    </xf>
    <xf numFmtId="3" fontId="16" fillId="0" borderId="4" xfId="0" applyNumberFormat="1" applyFont="1" applyBorder="1" applyAlignment="1">
      <alignment horizontal="center" vertical="center"/>
    </xf>
    <xf numFmtId="0" fontId="0" fillId="0" borderId="4" xfId="0" applyBorder="1"/>
    <xf numFmtId="3" fontId="163" fillId="0" borderId="4" xfId="0" applyNumberFormat="1" applyFont="1" applyBorder="1" applyAlignment="1">
      <alignment horizontal="center" vertical="center"/>
    </xf>
    <xf numFmtId="3" fontId="27" fillId="55" borderId="4" xfId="0" applyNumberFormat="1" applyFont="1" applyFill="1" applyBorder="1" applyAlignment="1">
      <alignment horizontal="center" vertical="center"/>
    </xf>
    <xf numFmtId="0" fontId="16" fillId="11" borderId="4" xfId="0" applyFont="1" applyFill="1" applyBorder="1" applyAlignment="1">
      <alignment horizontal="justify" vertical="center" wrapText="1"/>
    </xf>
    <xf numFmtId="0" fontId="27" fillId="55" borderId="4" xfId="0" applyFont="1" applyFill="1" applyBorder="1" applyAlignment="1">
      <alignment horizontal="center" vertical="center"/>
    </xf>
    <xf numFmtId="3" fontId="27" fillId="16" borderId="4" xfId="0" applyNumberFormat="1" applyFont="1" applyFill="1" applyBorder="1" applyAlignment="1">
      <alignment horizontal="center" vertical="center"/>
    </xf>
    <xf numFmtId="16" fontId="0" fillId="42" borderId="0" xfId="0" applyNumberFormat="1" applyFill="1"/>
    <xf numFmtId="0" fontId="126" fillId="53" borderId="0" xfId="0" applyFont="1" applyFill="1" applyBorder="1" applyAlignment="1">
      <alignment horizontal="center" vertical="center" wrapText="1"/>
    </xf>
    <xf numFmtId="0" fontId="17" fillId="11" borderId="0" xfId="0" applyFont="1" applyFill="1" applyBorder="1" applyAlignment="1">
      <alignment vertical="center"/>
    </xf>
    <xf numFmtId="0" fontId="27" fillId="32" borderId="4" xfId="0" applyFont="1" applyFill="1" applyBorder="1" applyAlignment="1">
      <alignment horizontal="justify" vertical="center"/>
    </xf>
    <xf numFmtId="41" fontId="17" fillId="11" borderId="4" xfId="0" applyNumberFormat="1" applyFont="1" applyFill="1" applyBorder="1" applyAlignment="1">
      <alignment vertical="center"/>
    </xf>
    <xf numFmtId="3" fontId="16" fillId="11" borderId="21" xfId="0" applyNumberFormat="1" applyFont="1" applyFill="1" applyBorder="1" applyAlignment="1">
      <alignment horizontal="center" vertical="center"/>
    </xf>
    <xf numFmtId="0" fontId="17" fillId="11" borderId="21" xfId="0" applyFont="1" applyFill="1" applyBorder="1" applyAlignment="1">
      <alignment vertical="center"/>
    </xf>
    <xf numFmtId="3" fontId="16" fillId="11" borderId="17" xfId="0" applyNumberFormat="1" applyFont="1" applyFill="1" applyBorder="1" applyAlignment="1">
      <alignment horizontal="center" vertical="center"/>
    </xf>
    <xf numFmtId="0" fontId="17" fillId="11" borderId="17" xfId="0" applyFont="1" applyFill="1" applyBorder="1" applyAlignment="1">
      <alignment vertical="center"/>
    </xf>
    <xf numFmtId="0" fontId="126" fillId="12" borderId="0" xfId="0" applyFont="1" applyFill="1" applyBorder="1" applyAlignment="1">
      <alignment horizontal="center" vertical="center" wrapText="1"/>
    </xf>
    <xf numFmtId="0" fontId="32" fillId="0" borderId="0" xfId="7" applyFont="1"/>
    <xf numFmtId="0" fontId="13" fillId="13" borderId="4" xfId="7" applyFont="1" applyFill="1" applyBorder="1" applyAlignment="1">
      <alignment horizontal="center" vertical="center" wrapText="1"/>
    </xf>
    <xf numFmtId="0" fontId="31" fillId="15" borderId="4" xfId="7" applyFont="1" applyFill="1" applyBorder="1" applyAlignment="1">
      <alignment horizontal="center" vertical="center" wrapText="1"/>
    </xf>
    <xf numFmtId="0" fontId="31" fillId="24" borderId="4" xfId="7" applyFont="1" applyFill="1" applyBorder="1" applyAlignment="1">
      <alignment horizontal="center" vertical="center" wrapText="1"/>
    </xf>
    <xf numFmtId="0" fontId="13" fillId="0" borderId="4" xfId="7" applyFont="1" applyBorder="1" applyAlignment="1">
      <alignment vertical="center" wrapText="1"/>
    </xf>
    <xf numFmtId="0" fontId="14" fillId="12" borderId="4" xfId="7" applyFont="1" applyFill="1" applyBorder="1" applyAlignment="1">
      <alignment horizontal="justify" vertical="center" wrapText="1"/>
    </xf>
    <xf numFmtId="9" fontId="14" fillId="12" borderId="4" xfId="7" applyNumberFormat="1" applyFont="1" applyFill="1" applyBorder="1" applyAlignment="1">
      <alignment horizontal="center" vertical="center" wrapText="1"/>
    </xf>
    <xf numFmtId="9" fontId="14" fillId="0" borderId="4" xfId="7" applyNumberFormat="1" applyFont="1" applyBorder="1" applyAlignment="1">
      <alignment horizontal="center" vertical="center" wrapText="1"/>
    </xf>
    <xf numFmtId="0" fontId="14" fillId="0" borderId="4" xfId="7" applyFont="1" applyBorder="1" applyAlignment="1">
      <alignment horizontal="justify" vertical="center" wrapText="1"/>
    </xf>
    <xf numFmtId="9" fontId="85" fillId="0" borderId="4" xfId="7" applyNumberFormat="1" applyFont="1" applyBorder="1" applyAlignment="1">
      <alignment horizontal="center" vertical="center" wrapText="1"/>
    </xf>
    <xf numFmtId="0" fontId="85" fillId="0" borderId="4" xfId="7" applyFont="1" applyBorder="1" applyAlignment="1">
      <alignment horizontal="justify" vertical="center" wrapText="1"/>
    </xf>
    <xf numFmtId="0" fontId="15" fillId="46" borderId="4" xfId="7" applyFont="1" applyFill="1" applyBorder="1" applyAlignment="1">
      <alignment horizontal="justify" vertical="center" wrapText="1"/>
    </xf>
    <xf numFmtId="9" fontId="14" fillId="46" borderId="4" xfId="7" applyNumberFormat="1" applyFont="1" applyFill="1" applyBorder="1" applyAlignment="1">
      <alignment horizontal="center" vertical="center" wrapText="1"/>
    </xf>
    <xf numFmtId="0" fontId="14" fillId="46" borderId="4" xfId="7" applyFont="1" applyFill="1" applyBorder="1" applyAlignment="1">
      <alignment horizontal="justify" vertical="center" wrapText="1"/>
    </xf>
    <xf numFmtId="9" fontId="14" fillId="0" borderId="4" xfId="7" applyNumberFormat="1" applyFont="1" applyFill="1" applyBorder="1" applyAlignment="1">
      <alignment horizontal="center" vertical="center" wrapText="1"/>
    </xf>
    <xf numFmtId="0" fontId="14" fillId="0" borderId="4" xfId="7" applyFont="1" applyFill="1" applyBorder="1" applyAlignment="1">
      <alignment horizontal="justify" vertical="center" wrapText="1"/>
    </xf>
    <xf numFmtId="0" fontId="20" fillId="0" borderId="4" xfId="7" applyFont="1" applyBorder="1" applyAlignment="1">
      <alignment horizontal="justify" vertical="center" wrapText="1"/>
    </xf>
    <xf numFmtId="9" fontId="57" fillId="0" borderId="4" xfId="7" applyNumberFormat="1" applyFont="1" applyBorder="1" applyAlignment="1">
      <alignment horizontal="center" vertical="center" wrapText="1"/>
    </xf>
    <xf numFmtId="0" fontId="57" fillId="0" borderId="4" xfId="7" applyFont="1" applyBorder="1" applyAlignment="1">
      <alignment horizontal="justify" vertical="center" wrapText="1"/>
    </xf>
    <xf numFmtId="9" fontId="85" fillId="0" borderId="4" xfId="7" applyNumberFormat="1" applyFont="1" applyFill="1" applyBorder="1" applyAlignment="1">
      <alignment horizontal="center" vertical="center" wrapText="1"/>
    </xf>
    <xf numFmtId="0" fontId="13" fillId="10" borderId="4" xfId="7" applyFont="1" applyFill="1" applyBorder="1" applyAlignment="1">
      <alignment vertical="center" wrapText="1"/>
    </xf>
    <xf numFmtId="9" fontId="14" fillId="4" borderId="4" xfId="7" applyNumberFormat="1" applyFont="1" applyFill="1" applyBorder="1" applyAlignment="1">
      <alignment horizontal="center" vertical="center" wrapText="1"/>
    </xf>
    <xf numFmtId="9" fontId="14" fillId="56" borderId="4" xfId="7" applyNumberFormat="1" applyFont="1" applyFill="1" applyBorder="1" applyAlignment="1">
      <alignment horizontal="center" vertical="center" wrapText="1"/>
    </xf>
    <xf numFmtId="0" fontId="14" fillId="42" borderId="4" xfId="7" applyFont="1" applyFill="1" applyBorder="1" applyAlignment="1">
      <alignment horizontal="justify" vertical="center" wrapText="1"/>
    </xf>
    <xf numFmtId="9" fontId="14" fillId="56" borderId="13" xfId="7" applyNumberFormat="1" applyFont="1" applyFill="1" applyBorder="1" applyAlignment="1">
      <alignment horizontal="center" vertical="center" wrapText="1"/>
    </xf>
    <xf numFmtId="9" fontId="14" fillId="56" borderId="0" xfId="7" applyNumberFormat="1" applyFont="1" applyFill="1" applyBorder="1" applyAlignment="1">
      <alignment horizontal="center" vertical="center" wrapText="1"/>
    </xf>
    <xf numFmtId="0" fontId="14" fillId="42" borderId="0" xfId="7" applyFont="1" applyFill="1" applyBorder="1" applyAlignment="1">
      <alignment horizontal="justify" vertical="center" wrapText="1"/>
    </xf>
    <xf numFmtId="9" fontId="14" fillId="12" borderId="0" xfId="7" applyNumberFormat="1" applyFont="1" applyFill="1" applyBorder="1" applyAlignment="1">
      <alignment horizontal="center" vertical="center" wrapText="1"/>
    </xf>
    <xf numFmtId="0" fontId="14" fillId="12" borderId="0" xfId="7" applyFont="1" applyFill="1" applyBorder="1" applyAlignment="1">
      <alignment horizontal="justify" vertical="center" wrapText="1"/>
    </xf>
    <xf numFmtId="9" fontId="14" fillId="8" borderId="4" xfId="7" applyNumberFormat="1" applyFont="1" applyFill="1" applyBorder="1" applyAlignment="1">
      <alignment horizontal="center" vertical="center" wrapText="1"/>
    </xf>
    <xf numFmtId="0" fontId="13" fillId="0" borderId="4" xfId="7" applyFont="1" applyBorder="1" applyAlignment="1">
      <alignment horizontal="justify" vertical="center" wrapText="1"/>
    </xf>
    <xf numFmtId="0" fontId="15" fillId="0" borderId="4" xfId="7" applyFont="1" applyBorder="1" applyAlignment="1">
      <alignment horizontal="justify" vertical="center" wrapText="1"/>
    </xf>
    <xf numFmtId="0" fontId="14" fillId="24" borderId="4" xfId="7" applyFont="1" applyFill="1" applyBorder="1" applyAlignment="1">
      <alignment horizontal="justify" vertical="center" wrapText="1"/>
    </xf>
    <xf numFmtId="0" fontId="32" fillId="10" borderId="0" xfId="7" applyFont="1" applyFill="1"/>
    <xf numFmtId="0" fontId="14" fillId="8" borderId="4" xfId="7" applyFont="1" applyFill="1" applyBorder="1" applyAlignment="1">
      <alignment horizontal="justify" vertical="center" wrapText="1"/>
    </xf>
    <xf numFmtId="9" fontId="32" fillId="10" borderId="0" xfId="8" applyFont="1" applyFill="1"/>
    <xf numFmtId="0" fontId="15" fillId="10" borderId="4" xfId="7" applyFont="1" applyFill="1" applyBorder="1" applyAlignment="1">
      <alignment horizontal="justify" vertical="center" wrapText="1"/>
    </xf>
    <xf numFmtId="9" fontId="20" fillId="10" borderId="4" xfId="7" applyNumberFormat="1" applyFont="1" applyFill="1" applyBorder="1" applyAlignment="1">
      <alignment horizontal="center" vertical="center" wrapText="1"/>
    </xf>
    <xf numFmtId="9" fontId="14" fillId="10" borderId="4" xfId="7" applyNumberFormat="1" applyFont="1" applyFill="1" applyBorder="1" applyAlignment="1">
      <alignment horizontal="center" vertical="center" wrapText="1"/>
    </xf>
    <xf numFmtId="0" fontId="20" fillId="10" borderId="4" xfId="7" applyFont="1" applyFill="1" applyBorder="1" applyAlignment="1">
      <alignment horizontal="justify" vertical="center" wrapText="1"/>
    </xf>
    <xf numFmtId="0" fontId="103" fillId="0" borderId="4" xfId="7" applyFont="1" applyBorder="1" applyAlignment="1">
      <alignment horizontal="justify" vertical="center" wrapText="1"/>
    </xf>
    <xf numFmtId="9" fontId="20" fillId="0" borderId="4" xfId="7" applyNumberFormat="1" applyFont="1" applyFill="1" applyBorder="1" applyAlignment="1">
      <alignment horizontal="center" vertical="center" wrapText="1"/>
    </xf>
    <xf numFmtId="0" fontId="20" fillId="0" borderId="4" xfId="7" applyFont="1" applyFill="1" applyBorder="1" applyAlignment="1">
      <alignment horizontal="justify" vertical="center" wrapText="1"/>
    </xf>
    <xf numFmtId="0" fontId="15" fillId="31" borderId="4" xfId="7" applyFont="1" applyFill="1" applyBorder="1" applyAlignment="1">
      <alignment horizontal="justify" vertical="center" wrapText="1"/>
    </xf>
    <xf numFmtId="9" fontId="20" fillId="31" borderId="4" xfId="7" applyNumberFormat="1" applyFont="1" applyFill="1" applyBorder="1" applyAlignment="1">
      <alignment horizontal="center" vertical="center" wrapText="1"/>
    </xf>
    <xf numFmtId="9" fontId="14" fillId="31" borderId="4" xfId="7" applyNumberFormat="1" applyFont="1" applyFill="1" applyBorder="1" applyAlignment="1">
      <alignment horizontal="center" vertical="center" wrapText="1"/>
    </xf>
    <xf numFmtId="0" fontId="20" fillId="31" borderId="4" xfId="7" applyFont="1" applyFill="1" applyBorder="1" applyAlignment="1">
      <alignment horizontal="justify" vertical="center" wrapText="1"/>
    </xf>
    <xf numFmtId="0" fontId="15" fillId="0" borderId="5" xfId="7" applyFont="1" applyBorder="1" applyAlignment="1">
      <alignment vertical="center" wrapText="1"/>
    </xf>
    <xf numFmtId="164" fontId="14" fillId="0" borderId="4" xfId="7" applyNumberFormat="1" applyFont="1" applyBorder="1" applyAlignment="1">
      <alignment horizontal="center" vertical="center" wrapText="1"/>
    </xf>
    <xf numFmtId="0" fontId="15" fillId="31" borderId="5" xfId="7" applyFont="1" applyFill="1" applyBorder="1" applyAlignment="1">
      <alignment vertical="center" wrapText="1"/>
    </xf>
    <xf numFmtId="164" fontId="14" fillId="31" borderId="4" xfId="7" applyNumberFormat="1" applyFont="1" applyFill="1" applyBorder="1" applyAlignment="1">
      <alignment horizontal="center" vertical="center" wrapText="1"/>
    </xf>
    <xf numFmtId="0" fontId="14" fillId="31" borderId="4" xfId="7" applyFont="1" applyFill="1" applyBorder="1" applyAlignment="1">
      <alignment horizontal="justify" vertical="center" wrapText="1"/>
    </xf>
    <xf numFmtId="0" fontId="15" fillId="56" borderId="4" xfId="7" applyFont="1" applyFill="1" applyBorder="1" applyAlignment="1">
      <alignment horizontal="justify" vertical="center" wrapText="1"/>
    </xf>
    <xf numFmtId="9" fontId="85" fillId="56" borderId="4" xfId="7" applyNumberFormat="1" applyFont="1" applyFill="1" applyBorder="1" applyAlignment="1">
      <alignment horizontal="center" vertical="center" wrapText="1"/>
    </xf>
    <xf numFmtId="0" fontId="14" fillId="56" borderId="4" xfId="7" applyFont="1" applyFill="1" applyBorder="1" applyAlignment="1">
      <alignment horizontal="justify" vertical="center" wrapText="1"/>
    </xf>
    <xf numFmtId="0" fontId="20" fillId="0" borderId="4" xfId="7" applyFont="1" applyBorder="1" applyAlignment="1">
      <alignment wrapText="1"/>
    </xf>
    <xf numFmtId="0" fontId="85" fillId="0" borderId="4" xfId="7" applyFont="1" applyBorder="1" applyAlignment="1">
      <alignment wrapText="1"/>
    </xf>
    <xf numFmtId="0" fontId="85" fillId="0" borderId="4" xfId="7" applyFont="1" applyBorder="1" applyAlignment="1">
      <alignment vertical="center" wrapText="1"/>
    </xf>
    <xf numFmtId="0" fontId="15" fillId="0" borderId="4" xfId="7" applyFont="1" applyFill="1" applyBorder="1" applyAlignment="1">
      <alignment horizontal="justify" vertical="center" wrapText="1"/>
    </xf>
    <xf numFmtId="0" fontId="20" fillId="0" borderId="4" xfId="7" applyFont="1" applyBorder="1" applyAlignment="1">
      <alignment vertical="center" wrapText="1"/>
    </xf>
    <xf numFmtId="0" fontId="13" fillId="0" borderId="9" xfId="7" applyFont="1" applyBorder="1" applyAlignment="1">
      <alignment horizontal="center" vertical="center" wrapText="1"/>
    </xf>
    <xf numFmtId="9" fontId="14" fillId="45" borderId="4" xfId="7" applyNumberFormat="1" applyFont="1" applyFill="1" applyBorder="1" applyAlignment="1">
      <alignment horizontal="center" vertical="center" wrapText="1"/>
    </xf>
    <xf numFmtId="0" fontId="15" fillId="4" borderId="4" xfId="7" applyFont="1" applyFill="1" applyBorder="1" applyAlignment="1">
      <alignment horizontal="justify" vertical="center" wrapText="1"/>
    </xf>
    <xf numFmtId="0" fontId="14" fillId="4" borderId="4" xfId="7" applyFont="1" applyFill="1" applyBorder="1" applyAlignment="1">
      <alignment horizontal="justify" vertical="center" wrapText="1"/>
    </xf>
    <xf numFmtId="9" fontId="20" fillId="0" borderId="4" xfId="7" applyNumberFormat="1" applyFont="1" applyBorder="1" applyAlignment="1">
      <alignment horizontal="center" vertical="center" wrapText="1"/>
    </xf>
    <xf numFmtId="0" fontId="15" fillId="12" borderId="4" xfId="7" applyFont="1" applyFill="1" applyBorder="1" applyAlignment="1">
      <alignment horizontal="justify" vertical="center" wrapText="1"/>
    </xf>
    <xf numFmtId="0" fontId="20" fillId="4" borderId="4" xfId="7" applyFont="1" applyFill="1" applyBorder="1" applyAlignment="1">
      <alignment horizontal="justify" vertical="center" wrapText="1"/>
    </xf>
    <xf numFmtId="0" fontId="20" fillId="12" borderId="4" xfId="7" applyFont="1" applyFill="1" applyBorder="1" applyAlignment="1">
      <alignment horizontal="justify" vertical="center" wrapText="1"/>
    </xf>
    <xf numFmtId="0" fontId="14" fillId="0" borderId="4" xfId="7" applyFont="1" applyBorder="1" applyAlignment="1">
      <alignment horizontal="left" vertical="center" wrapText="1"/>
    </xf>
    <xf numFmtId="0" fontId="85" fillId="0" borderId="4" xfId="7" applyFont="1" applyBorder="1" applyAlignment="1">
      <alignment horizontal="left" vertical="center" wrapText="1"/>
    </xf>
    <xf numFmtId="0" fontId="16" fillId="10" borderId="4" xfId="7" applyFont="1" applyFill="1" applyBorder="1" applyAlignment="1">
      <alignment horizontal="justify" vertical="center" wrapText="1"/>
    </xf>
    <xf numFmtId="0" fontId="85" fillId="10" borderId="4" xfId="7" applyFont="1" applyFill="1" applyBorder="1" applyAlignment="1">
      <alignment horizontal="justify" vertical="center" wrapText="1"/>
    </xf>
    <xf numFmtId="0" fontId="18" fillId="10" borderId="4" xfId="7" applyFont="1" applyFill="1" applyBorder="1" applyAlignment="1">
      <alignment horizontal="left" vertical="center" wrapText="1"/>
    </xf>
    <xf numFmtId="0" fontId="160" fillId="10" borderId="4" xfId="7" applyFont="1" applyFill="1" applyBorder="1" applyAlignment="1">
      <alignment horizontal="left" vertical="center" wrapText="1"/>
    </xf>
    <xf numFmtId="0" fontId="14" fillId="10" borderId="4" xfId="7" applyFont="1" applyFill="1" applyBorder="1" applyAlignment="1">
      <alignment vertical="center" wrapText="1"/>
    </xf>
    <xf numFmtId="0" fontId="85" fillId="10" borderId="4" xfId="7" applyFont="1" applyFill="1" applyBorder="1" applyAlignment="1">
      <alignment vertical="center" wrapText="1"/>
    </xf>
    <xf numFmtId="0" fontId="32" fillId="0" borderId="0" xfId="7" applyFont="1" applyAlignment="1">
      <alignment wrapText="1"/>
    </xf>
    <xf numFmtId="0" fontId="13" fillId="57" borderId="20" xfId="0" applyFont="1" applyFill="1" applyBorder="1" applyAlignment="1">
      <alignment horizontal="center" vertical="center" wrapText="1"/>
    </xf>
    <xf numFmtId="0" fontId="13" fillId="57" borderId="26" xfId="0" applyFont="1" applyFill="1" applyBorder="1" applyAlignment="1">
      <alignment horizontal="center" vertical="center" wrapText="1"/>
    </xf>
    <xf numFmtId="0" fontId="13" fillId="0" borderId="26" xfId="0" applyFont="1" applyBorder="1" applyAlignment="1">
      <alignment vertical="center"/>
    </xf>
    <xf numFmtId="3" fontId="14" fillId="0" borderId="26" xfId="0" applyNumberFormat="1" applyFont="1" applyBorder="1" applyAlignment="1">
      <alignment horizontal="center" vertical="center"/>
    </xf>
    <xf numFmtId="41" fontId="29" fillId="0" borderId="26" xfId="1" applyFont="1" applyBorder="1" applyAlignment="1">
      <alignment horizontal="center" vertical="center"/>
    </xf>
    <xf numFmtId="0" fontId="14" fillId="0" borderId="26" xfId="0" applyFont="1" applyBorder="1" applyAlignment="1">
      <alignment horizontal="center" vertical="center"/>
    </xf>
    <xf numFmtId="3" fontId="166" fillId="0" borderId="26" xfId="0" applyNumberFormat="1" applyFont="1" applyBorder="1" applyAlignment="1">
      <alignment horizontal="center" vertical="center"/>
    </xf>
    <xf numFmtId="3" fontId="13" fillId="53" borderId="26" xfId="0" applyNumberFormat="1" applyFont="1" applyFill="1" applyBorder="1" applyAlignment="1">
      <alignment horizontal="center" vertical="center"/>
    </xf>
    <xf numFmtId="0" fontId="13" fillId="0" borderId="26" xfId="0" applyFont="1" applyBorder="1" applyAlignment="1">
      <alignment vertical="center" wrapText="1"/>
    </xf>
    <xf numFmtId="0" fontId="13" fillId="0" borderId="7" xfId="0" applyFont="1" applyBorder="1" applyAlignment="1">
      <alignment vertical="center" wrapText="1"/>
    </xf>
    <xf numFmtId="3" fontId="0" fillId="0" borderId="0" xfId="0" applyNumberFormat="1"/>
    <xf numFmtId="0" fontId="32" fillId="0" borderId="0" xfId="7" applyFont="1" applyFill="1"/>
    <xf numFmtId="0" fontId="13" fillId="0" borderId="4" xfId="7" applyFont="1" applyFill="1" applyBorder="1" applyAlignment="1">
      <alignment vertical="center" wrapText="1"/>
    </xf>
    <xf numFmtId="0" fontId="85" fillId="0" borderId="4" xfId="7" applyFont="1" applyFill="1" applyBorder="1" applyAlignment="1">
      <alignment horizontal="justify" vertical="center" wrapText="1"/>
    </xf>
    <xf numFmtId="0" fontId="24" fillId="16" borderId="10" xfId="0" applyFont="1" applyFill="1" applyBorder="1" applyAlignment="1">
      <alignment horizontal="center"/>
    </xf>
    <xf numFmtId="0" fontId="24" fillId="16" borderId="20" xfId="0" applyFont="1" applyFill="1" applyBorder="1" applyAlignment="1">
      <alignment horizontal="center"/>
    </xf>
    <xf numFmtId="0" fontId="147" fillId="38" borderId="4" xfId="0" applyFont="1" applyFill="1" applyBorder="1" applyAlignment="1">
      <alignment horizontal="left" vertical="center" wrapText="1"/>
    </xf>
    <xf numFmtId="0" fontId="149" fillId="5" borderId="4" xfId="0" applyFont="1" applyFill="1" applyBorder="1" applyAlignment="1">
      <alignment vertical="center" wrapText="1"/>
    </xf>
    <xf numFmtId="0" fontId="95" fillId="0" borderId="4" xfId="0" applyFont="1" applyBorder="1" applyAlignment="1">
      <alignment horizontal="center" vertical="center"/>
    </xf>
    <xf numFmtId="0" fontId="148" fillId="5" borderId="4" xfId="0" applyFont="1" applyFill="1" applyBorder="1" applyAlignment="1">
      <alignment vertical="center" wrapText="1"/>
    </xf>
    <xf numFmtId="0" fontId="148" fillId="0" borderId="4" xfId="0" applyFont="1" applyBorder="1" applyAlignment="1">
      <alignment horizontal="center" vertical="center"/>
    </xf>
    <xf numFmtId="0" fontId="95" fillId="5" borderId="4" xfId="0" applyFont="1" applyFill="1" applyBorder="1" applyAlignment="1">
      <alignment vertical="center" wrapText="1"/>
    </xf>
    <xf numFmtId="0" fontId="148" fillId="5" borderId="4" xfId="0" applyFont="1" applyFill="1" applyBorder="1" applyAlignment="1">
      <alignment horizontal="center" vertical="center" wrapText="1"/>
    </xf>
    <xf numFmtId="0" fontId="148" fillId="5" borderId="4" xfId="0" applyFont="1" applyFill="1" applyBorder="1" applyAlignment="1">
      <alignment horizontal="center" vertical="center"/>
    </xf>
    <xf numFmtId="0" fontId="95" fillId="5" borderId="5" xfId="0" applyFont="1" applyFill="1" applyBorder="1" applyAlignment="1">
      <alignment vertical="center" wrapText="1"/>
    </xf>
    <xf numFmtId="0" fontId="95" fillId="5" borderId="16" xfId="0" applyFont="1" applyFill="1" applyBorder="1" applyAlignment="1">
      <alignment vertical="center" wrapText="1"/>
    </xf>
    <xf numFmtId="0" fontId="94" fillId="0" borderId="5" xfId="0" applyFont="1" applyBorder="1" applyAlignment="1">
      <alignment horizontal="center" vertical="center"/>
    </xf>
    <xf numFmtId="0" fontId="94" fillId="0" borderId="16" xfId="0" applyFont="1" applyBorder="1" applyAlignment="1">
      <alignment horizontal="center" vertical="center"/>
    </xf>
    <xf numFmtId="0" fontId="147" fillId="5" borderId="4" xfId="0" applyFont="1" applyFill="1" applyBorder="1" applyAlignment="1">
      <alignment vertical="center" wrapText="1"/>
    </xf>
    <xf numFmtId="0" fontId="147" fillId="38" borderId="4" xfId="0" applyFont="1" applyFill="1" applyBorder="1" applyAlignment="1">
      <alignment horizontal="left" vertical="center"/>
    </xf>
    <xf numFmtId="0" fontId="148" fillId="0" borderId="5" xfId="0" applyFont="1" applyBorder="1" applyAlignment="1">
      <alignment vertical="center" wrapText="1"/>
    </xf>
    <xf numFmtId="0" fontId="148" fillId="0" borderId="16" xfId="0" applyFont="1" applyBorder="1" applyAlignment="1">
      <alignment vertical="center" wrapText="1"/>
    </xf>
    <xf numFmtId="0" fontId="148" fillId="0" borderId="5" xfId="0" applyFont="1" applyBorder="1" applyAlignment="1">
      <alignment horizontal="center" vertical="center"/>
    </xf>
    <xf numFmtId="0" fontId="148" fillId="0" borderId="16" xfId="0" applyFont="1" applyBorder="1" applyAlignment="1">
      <alignment horizontal="center" vertical="center"/>
    </xf>
    <xf numFmtId="0" fontId="147" fillId="38" borderId="4" xfId="0" applyFont="1" applyFill="1" applyBorder="1" applyAlignment="1">
      <alignment vertical="center" wrapText="1"/>
    </xf>
    <xf numFmtId="0" fontId="94" fillId="39" borderId="5" xfId="0" applyFont="1" applyFill="1" applyBorder="1" applyAlignment="1">
      <alignment vertical="center" wrapText="1"/>
    </xf>
    <xf numFmtId="0" fontId="94" fillId="39" borderId="16" xfId="0" applyFont="1" applyFill="1" applyBorder="1" applyAlignment="1">
      <alignment vertical="center" wrapText="1"/>
    </xf>
    <xf numFmtId="0" fontId="147" fillId="5" borderId="4" xfId="0" applyFont="1" applyFill="1" applyBorder="1" applyAlignment="1">
      <alignment horizontal="center" vertical="center"/>
    </xf>
    <xf numFmtId="0" fontId="8" fillId="42" borderId="4" xfId="0" applyFont="1" applyFill="1" applyBorder="1" applyAlignment="1">
      <alignment horizontal="center" vertical="center"/>
    </xf>
    <xf numFmtId="0" fontId="95" fillId="10" borderId="5" xfId="0" applyFont="1" applyFill="1" applyBorder="1" applyAlignment="1">
      <alignment horizontal="center" vertical="center" wrapText="1"/>
    </xf>
    <xf numFmtId="0" fontId="95" fillId="10" borderId="9" xfId="0" applyFont="1" applyFill="1" applyBorder="1" applyAlignment="1">
      <alignment horizontal="center" vertical="center" wrapText="1"/>
    </xf>
    <xf numFmtId="0" fontId="95" fillId="10" borderId="4" xfId="0" applyFont="1" applyFill="1" applyBorder="1" applyAlignment="1">
      <alignment horizontal="left" vertical="center" wrapText="1"/>
    </xf>
    <xf numFmtId="0" fontId="107" fillId="25" borderId="4" xfId="0" applyFont="1" applyFill="1" applyBorder="1" applyAlignment="1">
      <alignment horizontal="center" vertical="center" wrapText="1"/>
    </xf>
    <xf numFmtId="0" fontId="107" fillId="10" borderId="4" xfId="0" applyFont="1" applyFill="1" applyBorder="1" applyAlignment="1">
      <alignment horizontal="left" vertical="center" wrapText="1"/>
    </xf>
    <xf numFmtId="0" fontId="107" fillId="10" borderId="4" xfId="0" applyFont="1" applyFill="1" applyBorder="1" applyAlignment="1">
      <alignment horizontal="center" vertical="center"/>
    </xf>
    <xf numFmtId="41" fontId="8" fillId="10" borderId="4" xfId="4" applyNumberFormat="1" applyFont="1" applyFill="1" applyBorder="1" applyAlignment="1">
      <alignment horizontal="center" vertical="center"/>
    </xf>
    <xf numFmtId="0" fontId="8" fillId="10" borderId="4" xfId="0" applyFont="1" applyFill="1" applyBorder="1" applyAlignment="1">
      <alignment horizontal="center" vertical="center"/>
    </xf>
    <xf numFmtId="168" fontId="103" fillId="10" borderId="4" xfId="4" applyFont="1" applyFill="1" applyBorder="1" applyAlignment="1">
      <alignment horizontal="center" vertical="center"/>
    </xf>
    <xf numFmtId="0" fontId="94" fillId="12" borderId="5" xfId="0" applyFont="1" applyFill="1" applyBorder="1" applyAlignment="1">
      <alignment horizontal="center" vertical="center"/>
    </xf>
    <xf numFmtId="0" fontId="94" fillId="12" borderId="9" xfId="0" applyFont="1" applyFill="1" applyBorder="1" applyAlignment="1">
      <alignment horizontal="center" vertical="center"/>
    </xf>
    <xf numFmtId="0" fontId="107" fillId="10" borderId="5" xfId="0" applyFont="1" applyFill="1" applyBorder="1" applyAlignment="1">
      <alignment horizontal="center" vertical="center" wrapText="1"/>
    </xf>
    <xf numFmtId="0" fontId="107" fillId="10" borderId="9" xfId="0" applyFont="1" applyFill="1" applyBorder="1" applyAlignment="1">
      <alignment horizontal="center" vertical="center" wrapText="1"/>
    </xf>
    <xf numFmtId="0" fontId="94" fillId="10" borderId="5" xfId="0" applyFont="1" applyFill="1" applyBorder="1" applyAlignment="1">
      <alignment horizontal="center" vertical="center" wrapText="1"/>
    </xf>
    <xf numFmtId="0" fontId="94" fillId="10" borderId="9" xfId="0" applyFont="1" applyFill="1" applyBorder="1" applyAlignment="1">
      <alignment horizontal="center" vertical="center" wrapText="1"/>
    </xf>
    <xf numFmtId="0" fontId="13" fillId="15" borderId="4" xfId="0" applyFont="1" applyFill="1" applyBorder="1" applyAlignment="1">
      <alignment horizontal="left" vertical="center" wrapText="1"/>
    </xf>
    <xf numFmtId="0" fontId="13" fillId="15" borderId="4" xfId="0" applyFont="1" applyFill="1" applyBorder="1" applyAlignment="1">
      <alignment horizontal="left" vertical="center"/>
    </xf>
    <xf numFmtId="0" fontId="13" fillId="20" borderId="4" xfId="0" applyFont="1" applyFill="1" applyBorder="1" applyAlignment="1">
      <alignment horizontal="left" vertical="center"/>
    </xf>
    <xf numFmtId="0" fontId="13" fillId="4" borderId="4" xfId="0" applyFont="1" applyFill="1" applyBorder="1" applyAlignment="1">
      <alignment horizontal="left" vertical="center"/>
    </xf>
    <xf numFmtId="0" fontId="13" fillId="11" borderId="4" xfId="0" applyFont="1" applyFill="1" applyBorder="1" applyAlignment="1">
      <alignment horizontal="left" vertical="center" wrapText="1"/>
    </xf>
    <xf numFmtId="0" fontId="13" fillId="11" borderId="4" xfId="0" applyFont="1" applyFill="1" applyBorder="1" applyAlignment="1">
      <alignment horizontal="center" vertical="center"/>
    </xf>
    <xf numFmtId="41" fontId="13" fillId="11" borderId="4" xfId="1" applyFont="1" applyFill="1" applyBorder="1" applyAlignment="1">
      <alignment horizontal="center" vertical="center" wrapText="1"/>
    </xf>
    <xf numFmtId="0" fontId="14" fillId="11" borderId="4" xfId="0" applyFont="1" applyFill="1" applyBorder="1" applyAlignment="1">
      <alignment horizontal="center" vertical="center"/>
    </xf>
    <xf numFmtId="0" fontId="14" fillId="11" borderId="4" xfId="0" applyFont="1" applyFill="1" applyBorder="1" applyAlignment="1">
      <alignment horizontal="center" vertical="center" wrapText="1"/>
    </xf>
    <xf numFmtId="0" fontId="13" fillId="11" borderId="4" xfId="0" applyFont="1" applyFill="1" applyBorder="1" applyAlignment="1">
      <alignment horizontal="center" vertical="center" wrapText="1"/>
    </xf>
    <xf numFmtId="41" fontId="13" fillId="11" borderId="4" xfId="1" applyFont="1" applyFill="1" applyBorder="1" applyAlignment="1">
      <alignment horizontal="center" vertical="center"/>
    </xf>
    <xf numFmtId="0" fontId="13" fillId="11" borderId="5" xfId="0" applyFont="1" applyFill="1" applyBorder="1" applyAlignment="1">
      <alignment horizontal="left" vertical="center" wrapText="1"/>
    </xf>
    <xf numFmtId="0" fontId="13" fillId="11" borderId="16" xfId="0" applyFont="1" applyFill="1" applyBorder="1" applyAlignment="1">
      <alignment horizontal="left" vertical="center" wrapText="1"/>
    </xf>
    <xf numFmtId="0" fontId="13" fillId="11" borderId="9" xfId="0" applyFont="1" applyFill="1" applyBorder="1" applyAlignment="1">
      <alignment horizontal="left" vertical="center" wrapText="1"/>
    </xf>
    <xf numFmtId="0" fontId="13" fillId="0" borderId="4" xfId="0" applyFont="1" applyBorder="1" applyAlignment="1">
      <alignment horizontal="left" vertical="center" wrapText="1"/>
    </xf>
    <xf numFmtId="0" fontId="13" fillId="4" borderId="4" xfId="0" applyFont="1" applyFill="1" applyBorder="1" applyAlignment="1">
      <alignment vertical="center"/>
    </xf>
    <xf numFmtId="0" fontId="13" fillId="0" borderId="4" xfId="0" applyFont="1" applyBorder="1" applyAlignment="1">
      <alignment horizontal="center" vertical="center"/>
    </xf>
    <xf numFmtId="0" fontId="14" fillId="11" borderId="5" xfId="0" applyFont="1" applyFill="1" applyBorder="1" applyAlignment="1">
      <alignment horizontal="center" vertical="center"/>
    </xf>
    <xf numFmtId="0" fontId="14" fillId="11" borderId="16" xfId="0" applyFont="1" applyFill="1" applyBorder="1" applyAlignment="1">
      <alignment horizontal="center" vertical="center"/>
    </xf>
    <xf numFmtId="0" fontId="14" fillId="11" borderId="9" xfId="0" applyFont="1" applyFill="1" applyBorder="1" applyAlignment="1">
      <alignment horizontal="center" vertical="center"/>
    </xf>
    <xf numFmtId="41" fontId="13" fillId="11" borderId="5" xfId="1" applyFont="1" applyFill="1" applyBorder="1" applyAlignment="1">
      <alignment horizontal="center" vertical="center"/>
    </xf>
    <xf numFmtId="41" fontId="13" fillId="11" borderId="16" xfId="1" applyFont="1" applyFill="1" applyBorder="1" applyAlignment="1">
      <alignment horizontal="center" vertical="center"/>
    </xf>
    <xf numFmtId="41" fontId="13" fillId="11" borderId="9" xfId="1" applyFont="1" applyFill="1" applyBorder="1" applyAlignment="1">
      <alignment horizontal="center" vertical="center"/>
    </xf>
    <xf numFmtId="41" fontId="13" fillId="0" borderId="4" xfId="1" applyFont="1" applyBorder="1" applyAlignment="1">
      <alignment horizontal="center" vertical="center" wrapText="1"/>
    </xf>
    <xf numFmtId="0" fontId="13" fillId="7" borderId="4" xfId="0" applyFont="1" applyFill="1" applyBorder="1" applyAlignment="1">
      <alignment horizontal="center" vertical="center"/>
    </xf>
    <xf numFmtId="0" fontId="13" fillId="7" borderId="4" xfId="0" applyFont="1" applyFill="1" applyBorder="1" applyAlignment="1">
      <alignment horizontal="left" vertical="center"/>
    </xf>
    <xf numFmtId="0" fontId="13" fillId="7" borderId="5" xfId="0" applyFont="1" applyFill="1" applyBorder="1" applyAlignment="1">
      <alignment horizontal="center" vertical="center"/>
    </xf>
    <xf numFmtId="0" fontId="13" fillId="7" borderId="16" xfId="0" applyFont="1" applyFill="1" applyBorder="1" applyAlignment="1">
      <alignment horizontal="center" vertical="center"/>
    </xf>
    <xf numFmtId="0" fontId="13" fillId="7" borderId="9" xfId="0" applyFont="1" applyFill="1" applyBorder="1" applyAlignment="1">
      <alignment horizontal="center" vertical="center"/>
    </xf>
    <xf numFmtId="0" fontId="13" fillId="7" borderId="4" xfId="0" applyFont="1" applyFill="1" applyBorder="1" applyAlignment="1">
      <alignment horizontal="center" vertical="center" wrapText="1"/>
    </xf>
    <xf numFmtId="41" fontId="13" fillId="7" borderId="4" xfId="1" applyFont="1" applyFill="1" applyBorder="1" applyAlignment="1">
      <alignment horizontal="center" vertical="center" wrapText="1"/>
    </xf>
    <xf numFmtId="0" fontId="13" fillId="7" borderId="4" xfId="0" applyFont="1" applyFill="1" applyBorder="1" applyAlignment="1">
      <alignment horizontal="left" vertical="center" wrapText="1"/>
    </xf>
    <xf numFmtId="0" fontId="135" fillId="49" borderId="60" xfId="0" applyFont="1" applyFill="1" applyBorder="1" applyAlignment="1">
      <alignment horizontal="left" vertical="center" wrapText="1" indent="4"/>
    </xf>
    <xf numFmtId="0" fontId="135" fillId="49" borderId="61" xfId="0" applyFont="1" applyFill="1" applyBorder="1" applyAlignment="1">
      <alignment horizontal="left" vertical="center" wrapText="1" indent="4"/>
    </xf>
    <xf numFmtId="0" fontId="23" fillId="26" borderId="10" xfId="0" applyFont="1" applyFill="1" applyBorder="1" applyAlignment="1">
      <alignment horizontal="center"/>
    </xf>
    <xf numFmtId="0" fontId="23" fillId="26" borderId="12" xfId="0" applyFont="1" applyFill="1" applyBorder="1" applyAlignment="1">
      <alignment horizontal="center"/>
    </xf>
    <xf numFmtId="0" fontId="135" fillId="4" borderId="60" xfId="0" applyFont="1" applyFill="1" applyBorder="1" applyAlignment="1">
      <alignment horizontal="justify" vertical="center" wrapText="1"/>
    </xf>
    <xf numFmtId="0" fontId="135" fillId="4" borderId="61" xfId="0" applyFont="1" applyFill="1" applyBorder="1" applyAlignment="1">
      <alignment horizontal="justify" vertical="center" wrapText="1"/>
    </xf>
    <xf numFmtId="0" fontId="135" fillId="48" borderId="60" xfId="0" applyFont="1" applyFill="1" applyBorder="1" applyAlignment="1">
      <alignment horizontal="justify" vertical="center" wrapText="1"/>
    </xf>
    <xf numFmtId="0" fontId="135" fillId="48" borderId="61" xfId="0" applyFont="1" applyFill="1" applyBorder="1" applyAlignment="1">
      <alignment horizontal="justify" vertical="center" wrapText="1"/>
    </xf>
    <xf numFmtId="0" fontId="135" fillId="11" borderId="62" xfId="0" applyFont="1" applyFill="1" applyBorder="1" applyAlignment="1">
      <alignment vertical="center" wrapText="1"/>
    </xf>
    <xf numFmtId="0" fontId="135" fillId="11" borderId="57" xfId="0" applyFont="1" applyFill="1" applyBorder="1" applyAlignment="1">
      <alignment vertical="center" wrapText="1"/>
    </xf>
    <xf numFmtId="0" fontId="135" fillId="48" borderId="60" xfId="0" applyFont="1" applyFill="1" applyBorder="1" applyAlignment="1">
      <alignment vertical="center" wrapText="1"/>
    </xf>
    <xf numFmtId="0" fontId="135" fillId="48" borderId="61" xfId="0" applyFont="1" applyFill="1" applyBorder="1" applyAlignment="1">
      <alignment vertical="center" wrapText="1"/>
    </xf>
    <xf numFmtId="0" fontId="65" fillId="5" borderId="4" xfId="0" applyFont="1" applyFill="1" applyBorder="1" applyAlignment="1">
      <alignment horizontal="left" vertical="center" wrapText="1"/>
    </xf>
    <xf numFmtId="0" fontId="59" fillId="38" borderId="17" xfId="0" applyFont="1" applyFill="1" applyBorder="1" applyAlignment="1">
      <alignment horizontal="center" vertical="center" wrapText="1"/>
    </xf>
    <xf numFmtId="0" fontId="59" fillId="38" borderId="22" xfId="0" applyFont="1" applyFill="1" applyBorder="1" applyAlignment="1">
      <alignment horizontal="center" vertical="center" wrapText="1"/>
    </xf>
    <xf numFmtId="0" fontId="59" fillId="38" borderId="13" xfId="0" applyFont="1" applyFill="1" applyBorder="1" applyAlignment="1">
      <alignment horizontal="center" vertical="center" wrapText="1"/>
    </xf>
    <xf numFmtId="0" fontId="63" fillId="0" borderId="5" xfId="0" applyFont="1" applyBorder="1" applyAlignment="1">
      <alignment horizontal="center" vertical="center" wrapText="1"/>
    </xf>
    <xf numFmtId="0" fontId="63" fillId="0" borderId="16" xfId="0" applyFont="1" applyBorder="1" applyAlignment="1">
      <alignment horizontal="center" vertical="center" wrapText="1"/>
    </xf>
    <xf numFmtId="0" fontId="63" fillId="0" borderId="9" xfId="0" applyFont="1" applyBorder="1" applyAlignment="1">
      <alignment horizontal="center" vertical="center" wrapText="1"/>
    </xf>
    <xf numFmtId="0" fontId="61" fillId="0" borderId="4" xfId="0" applyFont="1" applyBorder="1" applyAlignment="1">
      <alignment horizontal="center" vertical="center"/>
    </xf>
    <xf numFmtId="0" fontId="59" fillId="36" borderId="17" xfId="0" applyFont="1" applyFill="1" applyBorder="1" applyAlignment="1">
      <alignment horizontal="left" vertical="center" wrapText="1"/>
    </xf>
    <xf numFmtId="0" fontId="59" fillId="36" borderId="22" xfId="0" applyFont="1" applyFill="1" applyBorder="1" applyAlignment="1">
      <alignment horizontal="left" vertical="center" wrapText="1"/>
    </xf>
    <xf numFmtId="0" fontId="59" fillId="36" borderId="4" xfId="0" applyFont="1" applyFill="1" applyBorder="1" applyAlignment="1">
      <alignment horizontal="left" vertical="center" wrapText="1"/>
    </xf>
    <xf numFmtId="0" fontId="59" fillId="37" borderId="18" xfId="0" applyFont="1" applyFill="1" applyBorder="1" applyAlignment="1">
      <alignment horizontal="center" vertical="center" wrapText="1"/>
    </xf>
    <xf numFmtId="0" fontId="59" fillId="37" borderId="29" xfId="0" applyFont="1" applyFill="1" applyBorder="1" applyAlignment="1">
      <alignment horizontal="center" vertical="center" wrapText="1"/>
    </xf>
    <xf numFmtId="0" fontId="59" fillId="37" borderId="15" xfId="0" applyFont="1" applyFill="1" applyBorder="1" applyAlignment="1">
      <alignment horizontal="center" vertical="center" wrapText="1"/>
    </xf>
    <xf numFmtId="0" fontId="59" fillId="37" borderId="31" xfId="0" applyFont="1" applyFill="1" applyBorder="1" applyAlignment="1">
      <alignment horizontal="center" vertical="center" wrapText="1"/>
    </xf>
    <xf numFmtId="0" fontId="80" fillId="0" borderId="4" xfId="0" applyFont="1" applyBorder="1" applyAlignment="1">
      <alignment horizontal="left" vertical="center" wrapText="1"/>
    </xf>
    <xf numFmtId="0" fontId="59" fillId="38" borderId="4" xfId="0" applyFont="1" applyFill="1" applyBorder="1" applyAlignment="1">
      <alignment horizontal="left" vertical="center" wrapText="1"/>
    </xf>
    <xf numFmtId="0" fontId="63" fillId="5" borderId="5" xfId="0" applyFont="1" applyFill="1" applyBorder="1" applyAlignment="1">
      <alignment horizontal="left" vertical="center" wrapText="1"/>
    </xf>
    <xf numFmtId="0" fontId="63" fillId="5" borderId="16" xfId="0" applyFont="1" applyFill="1" applyBorder="1" applyAlignment="1">
      <alignment horizontal="left" vertical="center" wrapText="1"/>
    </xf>
    <xf numFmtId="0" fontId="63" fillId="5" borderId="9" xfId="0" applyFont="1" applyFill="1" applyBorder="1" applyAlignment="1">
      <alignment horizontal="left" vertical="center" wrapText="1"/>
    </xf>
    <xf numFmtId="0" fontId="61" fillId="5" borderId="4" xfId="0" applyFont="1" applyFill="1" applyBorder="1" applyAlignment="1">
      <alignment horizontal="center" vertical="center" wrapText="1"/>
    </xf>
    <xf numFmtId="0" fontId="59" fillId="0" borderId="5" xfId="0" applyFont="1" applyBorder="1" applyAlignment="1">
      <alignment horizontal="center" vertical="center" wrapText="1"/>
    </xf>
    <xf numFmtId="0" fontId="59" fillId="0" borderId="16" xfId="0" applyFont="1" applyBorder="1" applyAlignment="1">
      <alignment horizontal="center" vertical="center" wrapText="1"/>
    </xf>
    <xf numFmtId="0" fontId="59" fillId="0" borderId="9" xfId="0" applyFont="1" applyBorder="1" applyAlignment="1">
      <alignment horizontal="center" vertical="center" wrapText="1"/>
    </xf>
    <xf numFmtId="0" fontId="59" fillId="38" borderId="17" xfId="0" applyFont="1" applyFill="1" applyBorder="1" applyAlignment="1">
      <alignment horizontal="left" vertical="center" wrapText="1"/>
    </xf>
    <xf numFmtId="0" fontId="59" fillId="38" borderId="22" xfId="0" applyFont="1" applyFill="1" applyBorder="1" applyAlignment="1">
      <alignment horizontal="left" vertical="center" wrapText="1"/>
    </xf>
    <xf numFmtId="0" fontId="59" fillId="38" borderId="13" xfId="0" applyFont="1" applyFill="1" applyBorder="1" applyAlignment="1">
      <alignment horizontal="left" vertical="center" wrapText="1"/>
    </xf>
    <xf numFmtId="0" fontId="68" fillId="5" borderId="5" xfId="0" applyFont="1" applyFill="1" applyBorder="1" applyAlignment="1">
      <alignment horizontal="center" vertical="center" wrapText="1"/>
    </xf>
    <xf numFmtId="0" fontId="68" fillId="5" borderId="16" xfId="0" applyFont="1" applyFill="1" applyBorder="1" applyAlignment="1">
      <alignment horizontal="center" vertical="center" wrapText="1"/>
    </xf>
    <xf numFmtId="0" fontId="68" fillId="5" borderId="9" xfId="0" applyFont="1" applyFill="1" applyBorder="1" applyAlignment="1">
      <alignment horizontal="center" vertical="center" wrapText="1"/>
    </xf>
    <xf numFmtId="0" fontId="61" fillId="5" borderId="5" xfId="0" applyFont="1" applyFill="1" applyBorder="1" applyAlignment="1">
      <alignment horizontal="center" vertical="center" wrapText="1"/>
    </xf>
    <xf numFmtId="0" fontId="61" fillId="5" borderId="16" xfId="0" applyFont="1" applyFill="1" applyBorder="1" applyAlignment="1">
      <alignment horizontal="center" vertical="center" wrapText="1"/>
    </xf>
    <xf numFmtId="0" fontId="61" fillId="5" borderId="9" xfId="0" applyFont="1" applyFill="1" applyBorder="1" applyAlignment="1">
      <alignment horizontal="center" vertical="center" wrapText="1"/>
    </xf>
    <xf numFmtId="0" fontId="67" fillId="5" borderId="5" xfId="0" applyFont="1" applyFill="1" applyBorder="1" applyAlignment="1">
      <alignment horizontal="left" vertical="center" wrapText="1"/>
    </xf>
    <xf numFmtId="0" fontId="67" fillId="5" borderId="16" xfId="0" applyFont="1" applyFill="1" applyBorder="1" applyAlignment="1">
      <alignment horizontal="left" vertical="center" wrapText="1"/>
    </xf>
    <xf numFmtId="0" fontId="67" fillId="5" borderId="9" xfId="0" applyFont="1" applyFill="1" applyBorder="1" applyAlignment="1">
      <alignment horizontal="left" vertical="center" wrapText="1"/>
    </xf>
    <xf numFmtId="0" fontId="61" fillId="0" borderId="5" xfId="0" applyFont="1" applyBorder="1" applyAlignment="1">
      <alignment horizontal="center" vertical="center"/>
    </xf>
    <xf numFmtId="0" fontId="61" fillId="0" borderId="16" xfId="0" applyFont="1" applyBorder="1" applyAlignment="1">
      <alignment horizontal="center" vertical="center"/>
    </xf>
    <xf numFmtId="0" fontId="61" fillId="0" borderId="9" xfId="0" applyFont="1" applyBorder="1" applyAlignment="1">
      <alignment horizontal="center" vertical="center"/>
    </xf>
    <xf numFmtId="0" fontId="61" fillId="0" borderId="5" xfId="0" applyFont="1" applyFill="1" applyBorder="1" applyAlignment="1">
      <alignment horizontal="center" vertical="center" wrapText="1"/>
    </xf>
    <xf numFmtId="0" fontId="61" fillId="0" borderId="16" xfId="0" applyFont="1" applyFill="1" applyBorder="1" applyAlignment="1">
      <alignment horizontal="center" vertical="center" wrapText="1"/>
    </xf>
    <xf numFmtId="0" fontId="61" fillId="0" borderId="9" xfId="0" applyFont="1" applyFill="1" applyBorder="1" applyAlignment="1">
      <alignment horizontal="center" vertical="center" wrapText="1"/>
    </xf>
    <xf numFmtId="0" fontId="79" fillId="5" borderId="5" xfId="0" applyFont="1" applyFill="1" applyBorder="1" applyAlignment="1">
      <alignment horizontal="left" vertical="center" wrapText="1"/>
    </xf>
    <xf numFmtId="0" fontId="79" fillId="5" borderId="16" xfId="0" applyFont="1" applyFill="1" applyBorder="1" applyAlignment="1">
      <alignment horizontal="left" vertical="center" wrapText="1"/>
    </xf>
    <xf numFmtId="0" fontId="79" fillId="5" borderId="9" xfId="0" applyFont="1" applyFill="1" applyBorder="1" applyAlignment="1">
      <alignment horizontal="left" vertical="center" wrapText="1"/>
    </xf>
    <xf numFmtId="0" fontId="79" fillId="0" borderId="5" xfId="0" applyFont="1" applyBorder="1" applyAlignment="1">
      <alignment horizontal="center" vertical="center"/>
    </xf>
    <xf numFmtId="0" fontId="79" fillId="0" borderId="16" xfId="0" applyFont="1" applyBorder="1" applyAlignment="1">
      <alignment horizontal="center" vertical="center"/>
    </xf>
    <xf numFmtId="0" fontId="79" fillId="0" borderId="9" xfId="0" applyFont="1" applyBorder="1" applyAlignment="1">
      <alignment horizontal="center" vertical="center"/>
    </xf>
    <xf numFmtId="0" fontId="62" fillId="24" borderId="5" xfId="0" applyFont="1" applyFill="1" applyBorder="1" applyAlignment="1">
      <alignment vertical="center" wrapText="1"/>
    </xf>
    <xf numFmtId="0" fontId="62" fillId="24" borderId="16" xfId="0" applyFont="1" applyFill="1" applyBorder="1" applyAlignment="1">
      <alignment vertical="center" wrapText="1"/>
    </xf>
    <xf numFmtId="0" fontId="62" fillId="24" borderId="9" xfId="0" applyFont="1" applyFill="1" applyBorder="1" applyAlignment="1">
      <alignment vertical="center" wrapText="1"/>
    </xf>
    <xf numFmtId="0" fontId="62" fillId="5" borderId="5" xfId="0" applyFont="1" applyFill="1" applyBorder="1" applyAlignment="1">
      <alignment horizontal="center" vertical="center" wrapText="1"/>
    </xf>
    <xf numFmtId="0" fontId="62" fillId="5" borderId="16" xfId="0" applyFont="1" applyFill="1" applyBorder="1" applyAlignment="1">
      <alignment horizontal="center" vertical="center" wrapText="1"/>
    </xf>
    <xf numFmtId="0" fontId="62" fillId="5" borderId="9" xfId="0" applyFont="1" applyFill="1" applyBorder="1" applyAlignment="1">
      <alignment horizontal="center" vertical="center" wrapText="1"/>
    </xf>
    <xf numFmtId="0" fontId="61" fillId="0" borderId="4" xfId="0" applyFont="1" applyBorder="1" applyAlignment="1">
      <alignment horizontal="right" vertical="center"/>
    </xf>
    <xf numFmtId="0" fontId="67" fillId="40" borderId="5" xfId="0" applyFont="1" applyFill="1" applyBorder="1" applyAlignment="1">
      <alignment horizontal="center" vertical="center" wrapText="1"/>
    </xf>
    <xf numFmtId="0" fontId="67" fillId="40" borderId="16" xfId="0" applyFont="1" applyFill="1" applyBorder="1" applyAlignment="1">
      <alignment horizontal="center" vertical="center" wrapText="1"/>
    </xf>
    <xf numFmtId="0" fontId="67" fillId="40" borderId="9" xfId="0" applyFont="1" applyFill="1" applyBorder="1" applyAlignment="1">
      <alignment horizontal="center" vertical="center" wrapText="1"/>
    </xf>
    <xf numFmtId="0" fontId="60" fillId="36" borderId="17" xfId="0" applyFont="1" applyFill="1" applyBorder="1" applyAlignment="1">
      <alignment horizontal="center" vertical="center" wrapText="1"/>
    </xf>
    <xf numFmtId="0" fontId="60" fillId="36" borderId="22" xfId="0" applyFont="1" applyFill="1" applyBorder="1" applyAlignment="1">
      <alignment horizontal="center" vertical="center" wrapText="1"/>
    </xf>
    <xf numFmtId="0" fontId="60" fillId="36" borderId="13" xfId="0" applyFont="1" applyFill="1" applyBorder="1" applyAlignment="1">
      <alignment horizontal="center" vertical="center" wrapText="1"/>
    </xf>
    <xf numFmtId="0" fontId="59" fillId="0" borderId="4" xfId="0" applyFont="1" applyBorder="1" applyAlignment="1">
      <alignment horizontal="left" vertical="center" wrapText="1"/>
    </xf>
    <xf numFmtId="0" fontId="62" fillId="5" borderId="5" xfId="0" applyFont="1" applyFill="1" applyBorder="1" applyAlignment="1">
      <alignment vertical="center" wrapText="1"/>
    </xf>
    <xf numFmtId="0" fontId="62" fillId="5" borderId="16" xfId="0" applyFont="1" applyFill="1" applyBorder="1" applyAlignment="1">
      <alignment vertical="center" wrapText="1"/>
    </xf>
    <xf numFmtId="0" fontId="62" fillId="5" borderId="9" xfId="0" applyFont="1" applyFill="1" applyBorder="1" applyAlignment="1">
      <alignment vertical="center" wrapText="1"/>
    </xf>
    <xf numFmtId="0" fontId="61" fillId="5" borderId="5" xfId="0" applyFont="1" applyFill="1" applyBorder="1" applyAlignment="1">
      <alignment horizontal="left" vertical="center" wrapText="1"/>
    </xf>
    <xf numFmtId="0" fontId="61" fillId="5" borderId="16" xfId="0" applyFont="1" applyFill="1" applyBorder="1" applyAlignment="1">
      <alignment horizontal="left" vertical="center" wrapText="1"/>
    </xf>
    <xf numFmtId="0" fontId="61" fillId="5" borderId="9" xfId="0" applyFont="1" applyFill="1" applyBorder="1" applyAlignment="1">
      <alignment horizontal="left" vertical="center" wrapText="1"/>
    </xf>
    <xf numFmtId="0" fontId="59" fillId="0" borderId="4" xfId="0" applyFont="1" applyBorder="1" applyAlignment="1">
      <alignment horizontal="center" vertical="center" wrapText="1"/>
    </xf>
    <xf numFmtId="0" fontId="59" fillId="5" borderId="5" xfId="0" applyFont="1" applyFill="1" applyBorder="1" applyAlignment="1">
      <alignment horizontal="left" vertical="center" wrapText="1"/>
    </xf>
    <xf numFmtId="0" fontId="59" fillId="5" borderId="16" xfId="0" applyFont="1" applyFill="1" applyBorder="1" applyAlignment="1">
      <alignment horizontal="left" vertical="center" wrapText="1"/>
    </xf>
    <xf numFmtId="0" fontId="59" fillId="5" borderId="9" xfId="0" applyFont="1" applyFill="1" applyBorder="1" applyAlignment="1">
      <alignment horizontal="left" vertical="center" wrapText="1"/>
    </xf>
    <xf numFmtId="0" fontId="64" fillId="5" borderId="4" xfId="0" applyFont="1" applyFill="1" applyBorder="1" applyAlignment="1">
      <alignment horizontal="center" vertical="center"/>
    </xf>
    <xf numFmtId="0" fontId="78" fillId="5" borderId="5" xfId="0" applyFont="1" applyFill="1" applyBorder="1" applyAlignment="1">
      <alignment horizontal="center" vertical="center" wrapText="1"/>
    </xf>
    <xf numFmtId="0" fontId="78" fillId="5" borderId="16" xfId="0" applyFont="1" applyFill="1" applyBorder="1" applyAlignment="1">
      <alignment horizontal="center" vertical="center" wrapText="1"/>
    </xf>
    <xf numFmtId="0" fontId="78" fillId="5" borderId="9" xfId="0" applyFont="1" applyFill="1" applyBorder="1" applyAlignment="1">
      <alignment horizontal="center" vertical="center" wrapText="1"/>
    </xf>
    <xf numFmtId="0" fontId="62" fillId="5" borderId="4" xfId="0" applyFont="1" applyFill="1" applyBorder="1" applyAlignment="1">
      <alignment horizontal="center" vertical="center"/>
    </xf>
    <xf numFmtId="0" fontId="67" fillId="5" borderId="4" xfId="0" applyFont="1" applyFill="1" applyBorder="1" applyAlignment="1">
      <alignment horizontal="left" vertical="center" wrapText="1"/>
    </xf>
    <xf numFmtId="0" fontId="68" fillId="0" borderId="4" xfId="0" applyFont="1" applyBorder="1" applyAlignment="1">
      <alignment horizontal="center" vertical="center"/>
    </xf>
    <xf numFmtId="0" fontId="68" fillId="5" borderId="5" xfId="0" applyFont="1" applyFill="1" applyBorder="1" applyAlignment="1">
      <alignment horizontal="left" vertical="center" wrapText="1"/>
    </xf>
    <xf numFmtId="0" fontId="68" fillId="5" borderId="16" xfId="0" applyFont="1" applyFill="1" applyBorder="1" applyAlignment="1">
      <alignment horizontal="left" vertical="center" wrapText="1"/>
    </xf>
    <xf numFmtId="0" fontId="68" fillId="5" borderId="9" xfId="0" applyFont="1" applyFill="1" applyBorder="1" applyAlignment="1">
      <alignment horizontal="left" vertical="center" wrapText="1"/>
    </xf>
    <xf numFmtId="0" fontId="65" fillId="0" borderId="4" xfId="0" applyFont="1" applyBorder="1" applyAlignment="1">
      <alignment horizontal="center" vertical="center"/>
    </xf>
    <xf numFmtId="0" fontId="76" fillId="5" borderId="5" xfId="0" applyFont="1" applyFill="1" applyBorder="1" applyAlignment="1">
      <alignment horizontal="left" vertical="center" wrapText="1"/>
    </xf>
    <xf numFmtId="0" fontId="76" fillId="5" borderId="16" xfId="0" applyFont="1" applyFill="1" applyBorder="1" applyAlignment="1">
      <alignment horizontal="left" vertical="center" wrapText="1"/>
    </xf>
    <xf numFmtId="0" fontId="76" fillId="5" borderId="9" xfId="0" applyFont="1" applyFill="1" applyBorder="1" applyAlignment="1">
      <alignment horizontal="left" vertical="center" wrapText="1"/>
    </xf>
    <xf numFmtId="0" fontId="59" fillId="5" borderId="4" xfId="0" applyFont="1" applyFill="1" applyBorder="1" applyAlignment="1">
      <alignment horizontal="left" vertical="center" wrapText="1"/>
    </xf>
    <xf numFmtId="0" fontId="59" fillId="38" borderId="32" xfId="0" applyFont="1" applyFill="1" applyBorder="1" applyAlignment="1">
      <alignment horizontal="left" vertical="center" wrapText="1"/>
    </xf>
    <xf numFmtId="0" fontId="61" fillId="0" borderId="5" xfId="0" applyFont="1" applyBorder="1" applyAlignment="1">
      <alignment horizontal="left" vertical="center" wrapText="1"/>
    </xf>
    <xf numFmtId="0" fontId="61" fillId="0" borderId="16" xfId="0" applyFont="1" applyBorder="1" applyAlignment="1">
      <alignment horizontal="left" vertical="center" wrapText="1"/>
    </xf>
    <xf numFmtId="0" fontId="61" fillId="0" borderId="9" xfId="0" applyFont="1" applyBorder="1" applyAlignment="1">
      <alignment horizontal="left" vertical="center" wrapText="1"/>
    </xf>
    <xf numFmtId="0" fontId="61" fillId="0" borderId="4" xfId="0" applyFont="1" applyBorder="1" applyAlignment="1">
      <alignment horizontal="center" vertical="center" wrapText="1"/>
    </xf>
    <xf numFmtId="0" fontId="67" fillId="5" borderId="5" xfId="0" applyFont="1" applyFill="1" applyBorder="1" applyAlignment="1">
      <alignment horizontal="center" vertical="center" wrapText="1"/>
    </xf>
    <xf numFmtId="0" fontId="67" fillId="5" borderId="16" xfId="0" applyFont="1" applyFill="1" applyBorder="1" applyAlignment="1">
      <alignment horizontal="center" vertical="center" wrapText="1"/>
    </xf>
    <xf numFmtId="0" fontId="67" fillId="5" borderId="9" xfId="0" applyFont="1" applyFill="1" applyBorder="1" applyAlignment="1">
      <alignment horizontal="center" vertical="center" wrapText="1"/>
    </xf>
    <xf numFmtId="0" fontId="61" fillId="0" borderId="4" xfId="0" applyFont="1" applyBorder="1" applyAlignment="1">
      <alignment horizontal="left" vertical="center"/>
    </xf>
    <xf numFmtId="0" fontId="59" fillId="0" borderId="4" xfId="0" applyFont="1" applyBorder="1" applyAlignment="1">
      <alignment horizontal="left" vertical="center"/>
    </xf>
    <xf numFmtId="0" fontId="59" fillId="5" borderId="4" xfId="0" applyFont="1" applyFill="1" applyBorder="1" applyAlignment="1">
      <alignment horizontal="center" vertical="center" wrapText="1"/>
    </xf>
    <xf numFmtId="0" fontId="59" fillId="38" borderId="28" xfId="0" applyFont="1" applyFill="1" applyBorder="1" applyAlignment="1">
      <alignment horizontal="left" vertical="center" wrapText="1"/>
    </xf>
    <xf numFmtId="0" fontId="0" fillId="5" borderId="50" xfId="0" applyFill="1" applyBorder="1" applyAlignment="1">
      <alignment horizontal="center" vertical="center" wrapText="1"/>
    </xf>
    <xf numFmtId="0" fontId="0" fillId="5" borderId="30" xfId="0" applyFill="1" applyBorder="1" applyAlignment="1">
      <alignment horizontal="center" vertical="center" wrapText="1"/>
    </xf>
    <xf numFmtId="0" fontId="65" fillId="39" borderId="18" xfId="0" applyFont="1" applyFill="1" applyBorder="1" applyAlignment="1">
      <alignment horizontal="center" vertical="center" wrapText="1"/>
    </xf>
    <xf numFmtId="0" fontId="65" fillId="39" borderId="30" xfId="0" applyFont="1" applyFill="1" applyBorder="1" applyAlignment="1">
      <alignment horizontal="center" vertical="center" wrapText="1"/>
    </xf>
    <xf numFmtId="0" fontId="65" fillId="39" borderId="15" xfId="0" applyFont="1" applyFill="1" applyBorder="1" applyAlignment="1">
      <alignment horizontal="center" vertical="center" wrapText="1"/>
    </xf>
    <xf numFmtId="0" fontId="66" fillId="5" borderId="29" xfId="0" applyFont="1" applyFill="1" applyBorder="1" applyAlignment="1">
      <alignment horizontal="center" vertical="center"/>
    </xf>
    <xf numFmtId="0" fontId="66" fillId="5" borderId="0" xfId="0" applyFont="1" applyFill="1" applyBorder="1" applyAlignment="1">
      <alignment horizontal="center" vertical="center"/>
    </xf>
    <xf numFmtId="0" fontId="66" fillId="5" borderId="31" xfId="0" applyFont="1" applyFill="1" applyBorder="1" applyAlignment="1">
      <alignment horizontal="center" vertical="center"/>
    </xf>
    <xf numFmtId="0" fontId="59" fillId="33" borderId="47" xfId="0" applyFont="1" applyFill="1" applyBorder="1" applyAlignment="1">
      <alignment horizontal="left" vertical="center" wrapText="1"/>
    </xf>
    <xf numFmtId="0" fontId="59" fillId="33" borderId="48" xfId="0" applyFont="1" applyFill="1" applyBorder="1" applyAlignment="1">
      <alignment horizontal="left" vertical="center" wrapText="1"/>
    </xf>
    <xf numFmtId="0" fontId="59" fillId="33" borderId="47" xfId="0" applyFont="1" applyFill="1" applyBorder="1" applyAlignment="1">
      <alignment horizontal="center" vertical="center" wrapText="1"/>
    </xf>
    <xf numFmtId="0" fontId="59" fillId="33" borderId="48" xfId="0" applyFont="1" applyFill="1" applyBorder="1" applyAlignment="1">
      <alignment horizontal="center" vertical="center" wrapText="1"/>
    </xf>
    <xf numFmtId="0" fontId="60" fillId="34" borderId="10" xfId="0" applyFont="1" applyFill="1" applyBorder="1" applyAlignment="1">
      <alignment horizontal="center"/>
    </xf>
    <xf numFmtId="0" fontId="60" fillId="34" borderId="12" xfId="0" applyFont="1" applyFill="1" applyBorder="1" applyAlignment="1">
      <alignment horizontal="center"/>
    </xf>
    <xf numFmtId="0" fontId="74" fillId="5" borderId="27" xfId="0" applyFont="1" applyFill="1" applyBorder="1" applyAlignment="1">
      <alignment horizontal="center" vertical="center"/>
    </xf>
    <xf numFmtId="0" fontId="59" fillId="36" borderId="49" xfId="0" applyFont="1" applyFill="1" applyBorder="1" applyAlignment="1">
      <alignment horizontal="left" vertical="center" wrapText="1"/>
    </xf>
    <xf numFmtId="0" fontId="59" fillId="36" borderId="38" xfId="0" applyFont="1" applyFill="1" applyBorder="1" applyAlignment="1">
      <alignment horizontal="left" vertical="center" wrapText="1"/>
    </xf>
    <xf numFmtId="0" fontId="71" fillId="5" borderId="2" xfId="0" applyFont="1" applyFill="1" applyBorder="1" applyAlignment="1">
      <alignment horizontal="left" vertical="center" wrapText="1"/>
    </xf>
    <xf numFmtId="0" fontId="71" fillId="5" borderId="8" xfId="0" applyFont="1" applyFill="1" applyBorder="1" applyAlignment="1">
      <alignment horizontal="left" vertical="center" wrapText="1"/>
    </xf>
    <xf numFmtId="0" fontId="71" fillId="5" borderId="7" xfId="0" applyFont="1" applyFill="1" applyBorder="1" applyAlignment="1">
      <alignment horizontal="left" vertical="center" wrapText="1"/>
    </xf>
    <xf numFmtId="0" fontId="59" fillId="38" borderId="17" xfId="0" applyFont="1" applyFill="1" applyBorder="1" applyAlignment="1">
      <alignment horizontal="left" vertical="center"/>
    </xf>
    <xf numFmtId="0" fontId="59" fillId="38" borderId="22" xfId="0" applyFont="1" applyFill="1" applyBorder="1" applyAlignment="1">
      <alignment horizontal="left" vertical="center"/>
    </xf>
    <xf numFmtId="0" fontId="59" fillId="38" borderId="13" xfId="0" applyFont="1" applyFill="1" applyBorder="1" applyAlignment="1">
      <alignment horizontal="left" vertical="center"/>
    </xf>
    <xf numFmtId="0" fontId="8" fillId="0" borderId="5" xfId="0" applyFont="1" applyFill="1" applyBorder="1" applyAlignment="1">
      <alignment horizontal="left" vertical="center" wrapText="1"/>
    </xf>
    <xf numFmtId="0" fontId="8" fillId="0" borderId="9" xfId="0" applyFont="1" applyFill="1" applyBorder="1" applyAlignment="1">
      <alignment horizontal="left" vertical="center"/>
    </xf>
    <xf numFmtId="0" fontId="30" fillId="0" borderId="5" xfId="0" applyFont="1" applyFill="1" applyBorder="1" applyAlignment="1">
      <alignment horizontal="center" vertical="center"/>
    </xf>
    <xf numFmtId="0" fontId="30" fillId="0" borderId="9" xfId="0" applyFont="1" applyFill="1" applyBorder="1" applyAlignment="1">
      <alignment horizontal="center" vertical="center"/>
    </xf>
    <xf numFmtId="0" fontId="8" fillId="0" borderId="5" xfId="0" applyFont="1" applyFill="1" applyBorder="1" applyAlignment="1">
      <alignment horizontal="left" wrapText="1"/>
    </xf>
    <xf numFmtId="0" fontId="8" fillId="0" borderId="9" xfId="0" applyFont="1" applyFill="1" applyBorder="1" applyAlignment="1">
      <alignment horizontal="left"/>
    </xf>
    <xf numFmtId="0" fontId="8" fillId="0" borderId="5" xfId="0" applyFont="1" applyFill="1" applyBorder="1" applyAlignment="1">
      <alignment horizontal="left" vertical="center"/>
    </xf>
    <xf numFmtId="0" fontId="8" fillId="0" borderId="9" xfId="0" applyFont="1" applyFill="1" applyBorder="1" applyAlignment="1">
      <alignment horizontal="left" vertical="center" wrapText="1"/>
    </xf>
    <xf numFmtId="0" fontId="8" fillId="10" borderId="5" xfId="0" applyFont="1" applyFill="1" applyBorder="1" applyAlignment="1">
      <alignment horizontal="left" vertical="center" wrapText="1"/>
    </xf>
    <xf numFmtId="0" fontId="8" fillId="10" borderId="9" xfId="0" applyFont="1" applyFill="1" applyBorder="1" applyAlignment="1">
      <alignment horizontal="left" vertical="center" wrapText="1"/>
    </xf>
    <xf numFmtId="0" fontId="151" fillId="0" borderId="5" xfId="0" applyFont="1" applyBorder="1" applyAlignment="1">
      <alignment horizontal="center" vertical="center" wrapText="1"/>
    </xf>
    <xf numFmtId="0" fontId="151" fillId="0" borderId="9" xfId="0" applyFont="1" applyBorder="1" applyAlignment="1">
      <alignment horizontal="center" vertical="center" wrapText="1"/>
    </xf>
    <xf numFmtId="0" fontId="30" fillId="0" borderId="16" xfId="0" applyFont="1" applyFill="1" applyBorder="1" applyAlignment="1">
      <alignment horizontal="center" vertical="center"/>
    </xf>
    <xf numFmtId="0" fontId="8" fillId="0" borderId="16" xfId="0" applyFont="1" applyFill="1" applyBorder="1" applyAlignment="1">
      <alignment horizontal="left" vertical="center"/>
    </xf>
    <xf numFmtId="0" fontId="8" fillId="0" borderId="5" xfId="0" applyFont="1" applyBorder="1" applyAlignment="1">
      <alignment horizontal="justify" vertical="center" wrapText="1"/>
    </xf>
    <xf numFmtId="0" fontId="8" fillId="0" borderId="16" xfId="0" applyFont="1" applyBorder="1" applyAlignment="1">
      <alignment horizontal="justify" vertical="center" wrapText="1"/>
    </xf>
    <xf numFmtId="0" fontId="8" fillId="0" borderId="9" xfId="0" applyFont="1" applyBorder="1" applyAlignment="1">
      <alignment horizontal="justify" vertical="center" wrapText="1"/>
    </xf>
    <xf numFmtId="0" fontId="8" fillId="4" borderId="5" xfId="0" applyFont="1" applyFill="1" applyBorder="1" applyAlignment="1">
      <alignment horizontal="center"/>
    </xf>
    <xf numFmtId="0" fontId="8" fillId="4" borderId="16" xfId="0" applyFont="1" applyFill="1" applyBorder="1" applyAlignment="1">
      <alignment horizontal="center"/>
    </xf>
    <xf numFmtId="0" fontId="8" fillId="4" borderId="9" xfId="0" applyFont="1" applyFill="1" applyBorder="1" applyAlignment="1">
      <alignment horizontal="center"/>
    </xf>
    <xf numFmtId="0" fontId="8" fillId="0" borderId="16" xfId="0" applyFont="1" applyFill="1" applyBorder="1" applyAlignment="1">
      <alignment horizontal="left"/>
    </xf>
    <xf numFmtId="0" fontId="30" fillId="4" borderId="5" xfId="0" applyFont="1" applyFill="1" applyBorder="1" applyAlignment="1">
      <alignment horizontal="center" vertical="center"/>
    </xf>
    <xf numFmtId="0" fontId="30" fillId="4" borderId="16" xfId="0" applyFont="1" applyFill="1" applyBorder="1" applyAlignment="1">
      <alignment horizontal="center" vertical="center"/>
    </xf>
    <xf numFmtId="0" fontId="30" fillId="4" borderId="9" xfId="0" applyFont="1" applyFill="1" applyBorder="1" applyAlignment="1">
      <alignment horizontal="center" vertical="center"/>
    </xf>
    <xf numFmtId="0" fontId="8" fillId="10" borderId="16" xfId="0" applyFont="1" applyFill="1" applyBorder="1" applyAlignment="1">
      <alignment horizontal="left" vertical="center" wrapText="1"/>
    </xf>
    <xf numFmtId="0" fontId="144" fillId="0" borderId="5" xfId="0" applyFont="1" applyFill="1" applyBorder="1" applyAlignment="1">
      <alignment horizontal="left" wrapText="1"/>
    </xf>
    <xf numFmtId="0" fontId="144" fillId="0" borderId="16" xfId="0" applyFont="1" applyFill="1" applyBorder="1" applyAlignment="1">
      <alignment horizontal="left" wrapText="1"/>
    </xf>
    <xf numFmtId="0" fontId="144" fillId="0" borderId="9" xfId="0" applyFont="1" applyFill="1" applyBorder="1" applyAlignment="1">
      <alignment horizontal="left" wrapText="1"/>
    </xf>
    <xf numFmtId="0" fontId="8" fillId="0" borderId="5" xfId="0" applyFont="1" applyBorder="1" applyAlignment="1">
      <alignment horizontal="left" vertical="center" wrapText="1"/>
    </xf>
    <xf numFmtId="0" fontId="8" fillId="0" borderId="9" xfId="0" applyFont="1" applyBorder="1" applyAlignment="1">
      <alignment horizontal="left" vertical="center" wrapText="1"/>
    </xf>
    <xf numFmtId="0" fontId="96" fillId="10" borderId="5" xfId="0" applyFont="1" applyFill="1" applyBorder="1" applyAlignment="1">
      <alignment horizontal="center"/>
    </xf>
    <xf numFmtId="0" fontId="96" fillId="10" borderId="9" xfId="0" applyFont="1" applyFill="1" applyBorder="1" applyAlignment="1">
      <alignment horizontal="center"/>
    </xf>
    <xf numFmtId="0" fontId="107" fillId="22" borderId="4" xfId="0" applyFont="1" applyFill="1" applyBorder="1" applyAlignment="1">
      <alignment horizontal="center" vertical="center" wrapText="1"/>
    </xf>
    <xf numFmtId="0" fontId="8" fillId="0" borderId="16" xfId="0" applyFont="1" applyBorder="1" applyAlignment="1">
      <alignment horizontal="left" vertical="center" wrapText="1"/>
    </xf>
    <xf numFmtId="0" fontId="8" fillId="12" borderId="5" xfId="0" applyFont="1" applyFill="1" applyBorder="1" applyAlignment="1">
      <alignment horizontal="center" vertical="center"/>
    </xf>
    <xf numFmtId="0" fontId="8" fillId="12" borderId="9" xfId="0" applyFont="1" applyFill="1" applyBorder="1" applyAlignment="1">
      <alignment horizontal="center" vertical="center"/>
    </xf>
    <xf numFmtId="0" fontId="8" fillId="10" borderId="5" xfId="0" applyFont="1" applyFill="1" applyBorder="1" applyAlignment="1">
      <alignment horizontal="center" vertical="center"/>
    </xf>
    <xf numFmtId="0" fontId="8" fillId="10" borderId="9" xfId="0" applyFont="1" applyFill="1" applyBorder="1" applyAlignment="1">
      <alignment horizontal="center" vertical="center"/>
    </xf>
    <xf numFmtId="0" fontId="8" fillId="10" borderId="5" xfId="0" applyFont="1" applyFill="1" applyBorder="1" applyAlignment="1">
      <alignment horizontal="left" vertical="center"/>
    </xf>
    <xf numFmtId="0" fontId="8" fillId="10" borderId="9" xfId="0" applyFont="1" applyFill="1" applyBorder="1" applyAlignment="1">
      <alignment horizontal="left" vertical="center"/>
    </xf>
    <xf numFmtId="0" fontId="8" fillId="0" borderId="5" xfId="0" applyFont="1" applyBorder="1" applyAlignment="1">
      <alignment horizontal="center" vertical="center" wrapText="1"/>
    </xf>
    <xf numFmtId="0" fontId="8" fillId="0" borderId="9" xfId="0" applyFont="1" applyBorder="1" applyAlignment="1">
      <alignment horizontal="center" vertical="center" wrapText="1"/>
    </xf>
    <xf numFmtId="0" fontId="96" fillId="12" borderId="5" xfId="0" applyFont="1" applyFill="1" applyBorder="1" applyAlignment="1">
      <alignment horizontal="center"/>
    </xf>
    <xf numFmtId="0" fontId="96" fillId="12" borderId="9" xfId="0" applyFont="1" applyFill="1" applyBorder="1" applyAlignment="1">
      <alignment horizontal="center"/>
    </xf>
    <xf numFmtId="0" fontId="8" fillId="12" borderId="16" xfId="0" applyFont="1" applyFill="1" applyBorder="1" applyAlignment="1">
      <alignment horizontal="center" vertical="center"/>
    </xf>
    <xf numFmtId="0" fontId="8" fillId="10" borderId="16" xfId="0" applyFont="1" applyFill="1" applyBorder="1" applyAlignment="1">
      <alignment horizontal="center" vertical="center"/>
    </xf>
    <xf numFmtId="0" fontId="142" fillId="14" borderId="4" xfId="0" applyFont="1" applyFill="1" applyBorder="1" applyAlignment="1">
      <alignment horizontal="center"/>
    </xf>
    <xf numFmtId="0" fontId="142" fillId="15" borderId="4" xfId="0" applyFont="1" applyFill="1" applyBorder="1" applyAlignment="1">
      <alignment horizontal="center"/>
    </xf>
    <xf numFmtId="0" fontId="107" fillId="22" borderId="4" xfId="0" applyFont="1" applyFill="1" applyBorder="1" applyAlignment="1">
      <alignment horizontal="left" vertical="center" wrapText="1"/>
    </xf>
    <xf numFmtId="0" fontId="96" fillId="10" borderId="16" xfId="0" applyFont="1" applyFill="1" applyBorder="1" applyAlignment="1">
      <alignment horizontal="center"/>
    </xf>
    <xf numFmtId="0" fontId="8" fillId="10" borderId="5" xfId="0" applyFont="1" applyFill="1" applyBorder="1" applyAlignment="1">
      <alignment horizontal="left" wrapText="1"/>
    </xf>
    <xf numFmtId="0" fontId="8" fillId="10" borderId="9" xfId="0" applyFont="1" applyFill="1" applyBorder="1" applyAlignment="1">
      <alignment horizontal="left" wrapText="1"/>
    </xf>
    <xf numFmtId="0" fontId="8" fillId="10" borderId="5" xfId="0" applyFont="1" applyFill="1" applyBorder="1" applyAlignment="1">
      <alignment vertical="center"/>
    </xf>
    <xf numFmtId="0" fontId="8" fillId="10" borderId="16" xfId="0" applyFont="1" applyFill="1" applyBorder="1" applyAlignment="1">
      <alignment vertical="center"/>
    </xf>
    <xf numFmtId="0" fontId="8" fillId="10" borderId="9" xfId="0" applyFont="1" applyFill="1" applyBorder="1" applyAlignment="1">
      <alignment vertical="center"/>
    </xf>
    <xf numFmtId="0" fontId="107" fillId="23" borderId="17" xfId="0" applyFont="1" applyFill="1" applyBorder="1" applyAlignment="1">
      <alignment horizontal="left"/>
    </xf>
    <xf numFmtId="0" fontId="107" fillId="23" borderId="22" xfId="0" applyFont="1" applyFill="1" applyBorder="1" applyAlignment="1">
      <alignment horizontal="left"/>
    </xf>
    <xf numFmtId="0" fontId="107" fillId="23" borderId="13" xfId="0" applyFont="1" applyFill="1" applyBorder="1" applyAlignment="1">
      <alignment horizontal="left"/>
    </xf>
    <xf numFmtId="0" fontId="107" fillId="0" borderId="5" xfId="0" applyFont="1" applyBorder="1" applyAlignment="1">
      <alignment vertical="center" wrapText="1"/>
    </xf>
    <xf numFmtId="0" fontId="107" fillId="0" borderId="16" xfId="0" applyFont="1" applyBorder="1" applyAlignment="1">
      <alignment vertical="center" wrapText="1"/>
    </xf>
    <xf numFmtId="0" fontId="107" fillId="0" borderId="9" xfId="0" applyFont="1" applyBorder="1" applyAlignment="1">
      <alignment vertical="center" wrapText="1"/>
    </xf>
    <xf numFmtId="9" fontId="8" fillId="0" borderId="5" xfId="0" applyNumberFormat="1" applyFont="1" applyBorder="1" applyAlignment="1">
      <alignment horizontal="center" vertical="center" wrapText="1"/>
    </xf>
    <xf numFmtId="9" fontId="8" fillId="0" borderId="9" xfId="0" applyNumberFormat="1" applyFont="1" applyBorder="1" applyAlignment="1">
      <alignment horizontal="center" vertical="center" wrapText="1"/>
    </xf>
    <xf numFmtId="9" fontId="8" fillId="0" borderId="16" xfId="0" applyNumberFormat="1" applyFont="1" applyBorder="1" applyAlignment="1">
      <alignment horizontal="center" vertical="center" wrapText="1"/>
    </xf>
    <xf numFmtId="0" fontId="107" fillId="0" borderId="5" xfId="0" applyFont="1" applyBorder="1" applyAlignment="1">
      <alignment horizontal="justify" vertical="center" wrapText="1"/>
    </xf>
    <xf numFmtId="0" fontId="107" fillId="0" borderId="16" xfId="0" applyFont="1" applyBorder="1" applyAlignment="1">
      <alignment horizontal="justify" vertical="center" wrapText="1"/>
    </xf>
    <xf numFmtId="0" fontId="107" fillId="0" borderId="9" xfId="0" applyFont="1" applyBorder="1" applyAlignment="1">
      <alignment horizontal="justify" vertical="center" wrapText="1"/>
    </xf>
    <xf numFmtId="0" fontId="145" fillId="0" borderId="5" xfId="0" applyFont="1" applyBorder="1" applyAlignment="1">
      <alignment horizontal="left" vertical="center" wrapText="1"/>
    </xf>
    <xf numFmtId="0" fontId="145" fillId="0" borderId="16" xfId="0" applyFont="1" applyBorder="1" applyAlignment="1">
      <alignment horizontal="left" vertical="center" wrapText="1"/>
    </xf>
    <xf numFmtId="0" fontId="145" fillId="0" borderId="9" xfId="0" applyFont="1" applyBorder="1" applyAlignment="1">
      <alignment horizontal="left" vertical="center" wrapText="1"/>
    </xf>
    <xf numFmtId="9" fontId="8" fillId="21" borderId="5" xfId="0" applyNumberFormat="1" applyFont="1" applyFill="1" applyBorder="1" applyAlignment="1">
      <alignment horizontal="center" vertical="center" wrapText="1"/>
    </xf>
    <xf numFmtId="9" fontId="8" fillId="21" borderId="16" xfId="0" applyNumberFormat="1" applyFont="1" applyFill="1" applyBorder="1" applyAlignment="1">
      <alignment horizontal="center" vertical="center" wrapText="1"/>
    </xf>
    <xf numFmtId="9" fontId="8" fillId="21" borderId="9" xfId="0" applyNumberFormat="1" applyFont="1" applyFill="1" applyBorder="1" applyAlignment="1">
      <alignment horizontal="center" vertical="center" wrapText="1"/>
    </xf>
    <xf numFmtId="0" fontId="8" fillId="0" borderId="5" xfId="0" applyFont="1" applyBorder="1" applyAlignment="1">
      <alignment vertical="center" wrapText="1"/>
    </xf>
    <xf numFmtId="0" fontId="8" fillId="0" borderId="16" xfId="0" applyFont="1" applyBorder="1" applyAlignment="1">
      <alignment vertical="center" wrapText="1"/>
    </xf>
    <xf numFmtId="0" fontId="8" fillId="0" borderId="9" xfId="0" applyFont="1" applyBorder="1" applyAlignment="1">
      <alignment vertical="center" wrapText="1"/>
    </xf>
    <xf numFmtId="0" fontId="127" fillId="0" borderId="5" xfId="0" applyFont="1" applyBorder="1" applyAlignment="1">
      <alignment horizontal="justify" vertical="center" wrapText="1"/>
    </xf>
    <xf numFmtId="0" fontId="127" fillId="0" borderId="9" xfId="0" applyFont="1" applyBorder="1" applyAlignment="1">
      <alignment horizontal="justify" vertical="center" wrapText="1"/>
    </xf>
    <xf numFmtId="9" fontId="127" fillId="0" borderId="5" xfId="0" applyNumberFormat="1" applyFont="1" applyBorder="1" applyAlignment="1">
      <alignment horizontal="center" vertical="center" wrapText="1"/>
    </xf>
    <xf numFmtId="9" fontId="127" fillId="0" borderId="9" xfId="0" applyNumberFormat="1" applyFont="1" applyBorder="1" applyAlignment="1">
      <alignment horizontal="center" vertical="center" wrapText="1"/>
    </xf>
    <xf numFmtId="9" fontId="127" fillId="0" borderId="16" xfId="0" applyNumberFormat="1" applyFont="1" applyBorder="1" applyAlignment="1">
      <alignment horizontal="center" vertical="center" wrapText="1"/>
    </xf>
    <xf numFmtId="9" fontId="95" fillId="0" borderId="5" xfId="0" applyNumberFormat="1" applyFont="1" applyBorder="1" applyAlignment="1">
      <alignment horizontal="center" vertical="center" wrapText="1"/>
    </xf>
    <xf numFmtId="9" fontId="95" fillId="0" borderId="9" xfId="0" applyNumberFormat="1" applyFont="1" applyBorder="1" applyAlignment="1">
      <alignment horizontal="center" vertical="center" wrapText="1"/>
    </xf>
    <xf numFmtId="0" fontId="107" fillId="0" borderId="5" xfId="0" applyFont="1" applyBorder="1" applyAlignment="1">
      <alignment horizontal="center" vertical="center" wrapText="1"/>
    </xf>
    <xf numFmtId="0" fontId="107" fillId="0" borderId="16" xfId="0" applyFont="1" applyBorder="1" applyAlignment="1">
      <alignment horizontal="center" vertical="center" wrapText="1"/>
    </xf>
    <xf numFmtId="0" fontId="107" fillId="0" borderId="9" xfId="0" applyFont="1" applyBorder="1" applyAlignment="1">
      <alignment horizontal="center" vertical="center" wrapText="1"/>
    </xf>
    <xf numFmtId="0" fontId="107" fillId="23" borderId="17" xfId="0" applyFont="1" applyFill="1" applyBorder="1" applyAlignment="1">
      <alignment horizontal="left" vertical="center" wrapText="1"/>
    </xf>
    <xf numFmtId="0" fontId="107" fillId="23" borderId="22" xfId="0" applyFont="1" applyFill="1" applyBorder="1" applyAlignment="1">
      <alignment horizontal="left" vertical="center" wrapText="1"/>
    </xf>
    <xf numFmtId="0" fontId="107" fillId="23" borderId="13" xfId="0" applyFont="1" applyFill="1" applyBorder="1" applyAlignment="1">
      <alignment horizontal="left" vertical="center" wrapText="1"/>
    </xf>
    <xf numFmtId="0" fontId="13" fillId="9" borderId="14" xfId="0" applyFont="1" applyFill="1" applyBorder="1" applyAlignment="1">
      <alignment horizontal="center" vertical="center" wrapText="1"/>
    </xf>
    <xf numFmtId="0" fontId="13" fillId="9" borderId="9" xfId="0" applyFont="1" applyFill="1" applyBorder="1" applyAlignment="1">
      <alignment horizontal="center" vertical="center" wrapText="1"/>
    </xf>
    <xf numFmtId="0" fontId="13" fillId="9" borderId="16" xfId="0" applyFont="1" applyFill="1" applyBorder="1" applyAlignment="1">
      <alignment horizontal="center" vertical="center" wrapText="1"/>
    </xf>
    <xf numFmtId="0" fontId="25" fillId="10" borderId="4" xfId="0" applyFont="1" applyFill="1" applyBorder="1" applyAlignment="1">
      <alignment horizontal="center" vertical="center" wrapText="1"/>
    </xf>
    <xf numFmtId="0" fontId="25" fillId="10" borderId="5" xfId="0" applyFont="1" applyFill="1" applyBorder="1" applyAlignment="1">
      <alignment horizontal="center" vertical="center" wrapText="1"/>
    </xf>
    <xf numFmtId="0" fontId="25" fillId="10" borderId="16" xfId="0" applyFont="1" applyFill="1" applyBorder="1" applyAlignment="1">
      <alignment horizontal="center" vertical="center" wrapText="1"/>
    </xf>
    <xf numFmtId="0" fontId="25" fillId="10" borderId="9" xfId="0" applyFont="1" applyFill="1" applyBorder="1" applyAlignment="1">
      <alignment horizontal="center" vertical="center" wrapText="1"/>
    </xf>
    <xf numFmtId="0" fontId="25" fillId="9" borderId="53" xfId="0" applyFont="1" applyFill="1" applyBorder="1" applyAlignment="1">
      <alignment horizontal="center" vertical="center" wrapText="1"/>
    </xf>
    <xf numFmtId="0" fontId="25" fillId="9" borderId="54" xfId="0" applyFont="1" applyFill="1" applyBorder="1" applyAlignment="1">
      <alignment horizontal="center" vertical="center" wrapText="1"/>
    </xf>
    <xf numFmtId="0" fontId="19" fillId="29" borderId="30" xfId="0" applyFont="1" applyFill="1" applyBorder="1" applyAlignment="1">
      <alignment horizontal="center"/>
    </xf>
    <xf numFmtId="0" fontId="19" fillId="29" borderId="0" xfId="0" applyFont="1" applyFill="1" applyBorder="1" applyAlignment="1">
      <alignment horizontal="center"/>
    </xf>
    <xf numFmtId="0" fontId="19" fillId="29" borderId="4" xfId="0" applyFont="1" applyFill="1" applyBorder="1" applyAlignment="1">
      <alignment horizontal="center"/>
    </xf>
    <xf numFmtId="0" fontId="13" fillId="9" borderId="4" xfId="0" applyFont="1" applyFill="1" applyBorder="1" applyAlignment="1">
      <alignment horizontal="center" vertical="center" wrapText="1"/>
    </xf>
    <xf numFmtId="0" fontId="13" fillId="9" borderId="50" xfId="0" applyFont="1" applyFill="1" applyBorder="1" applyAlignment="1">
      <alignment horizontal="center" vertical="center" wrapText="1"/>
    </xf>
    <xf numFmtId="0" fontId="13" fillId="9" borderId="15" xfId="0" applyFont="1" applyFill="1" applyBorder="1" applyAlignment="1">
      <alignment horizontal="center" vertical="center" wrapText="1"/>
    </xf>
    <xf numFmtId="41" fontId="2" fillId="16" borderId="30" xfId="1" applyFont="1" applyFill="1" applyBorder="1" applyAlignment="1">
      <alignment horizontal="center" vertical="center" wrapText="1"/>
    </xf>
    <xf numFmtId="0" fontId="0" fillId="5" borderId="4" xfId="0" applyFill="1" applyBorder="1" applyAlignment="1">
      <alignment horizontal="center"/>
    </xf>
    <xf numFmtId="41" fontId="2" fillId="16" borderId="5" xfId="1" applyFont="1" applyFill="1" applyBorder="1" applyAlignment="1">
      <alignment horizontal="center" vertical="center" wrapText="1"/>
    </xf>
    <xf numFmtId="41" fontId="2" fillId="16" borderId="9" xfId="1" applyFont="1" applyFill="1" applyBorder="1" applyAlignment="1">
      <alignment horizontal="center" vertical="center" wrapText="1"/>
    </xf>
    <xf numFmtId="41" fontId="2" fillId="16" borderId="4" xfId="1" applyFont="1" applyFill="1" applyBorder="1" applyAlignment="1">
      <alignment horizontal="center" vertical="center" wrapText="1"/>
    </xf>
    <xf numFmtId="41" fontId="0" fillId="5" borderId="31" xfId="1" applyFont="1" applyFill="1" applyBorder="1" applyAlignment="1">
      <alignment horizontal="center"/>
    </xf>
    <xf numFmtId="41" fontId="2" fillId="16" borderId="49" xfId="1" applyFont="1" applyFill="1" applyBorder="1" applyAlignment="1">
      <alignment horizontal="center" vertical="center" wrapText="1"/>
    </xf>
    <xf numFmtId="41" fontId="2" fillId="16" borderId="18" xfId="1" applyFont="1" applyFill="1" applyBorder="1" applyAlignment="1">
      <alignment horizontal="center" vertical="center" wrapText="1"/>
    </xf>
    <xf numFmtId="41" fontId="2" fillId="16" borderId="14" xfId="1" applyFont="1" applyFill="1" applyBorder="1" applyAlignment="1">
      <alignment horizontal="center" vertical="center" wrapText="1"/>
    </xf>
    <xf numFmtId="41" fontId="2" fillId="16" borderId="19" xfId="1" applyFont="1" applyFill="1" applyBorder="1" applyAlignment="1">
      <alignment horizontal="center" vertical="center" wrapText="1"/>
    </xf>
    <xf numFmtId="41" fontId="2" fillId="3" borderId="1" xfId="1" applyFont="1" applyFill="1" applyBorder="1" applyAlignment="1">
      <alignment horizontal="center" vertical="center" wrapText="1"/>
    </xf>
    <xf numFmtId="41" fontId="2" fillId="3" borderId="27" xfId="1" applyFont="1" applyFill="1" applyBorder="1" applyAlignment="1">
      <alignment horizontal="center" vertical="center" wrapText="1"/>
    </xf>
    <xf numFmtId="41" fontId="2" fillId="3" borderId="2" xfId="1" applyFont="1" applyFill="1" applyBorder="1" applyAlignment="1">
      <alignment horizontal="center" vertical="center" wrapText="1"/>
    </xf>
    <xf numFmtId="41" fontId="2" fillId="3" borderId="7" xfId="1" applyFont="1" applyFill="1" applyBorder="1" applyAlignment="1">
      <alignment horizontal="center" vertical="center" wrapText="1"/>
    </xf>
    <xf numFmtId="0" fontId="2" fillId="16" borderId="64" xfId="0" applyFont="1" applyFill="1" applyBorder="1" applyAlignment="1">
      <alignment horizontal="center" vertical="center" wrapText="1"/>
    </xf>
    <xf numFmtId="0" fontId="2" fillId="16" borderId="28" xfId="0" applyFont="1" applyFill="1" applyBorder="1" applyAlignment="1">
      <alignment horizontal="center" vertical="center" wrapText="1"/>
    </xf>
    <xf numFmtId="41" fontId="2" fillId="16" borderId="40" xfId="1" applyFont="1" applyFill="1" applyBorder="1" applyAlignment="1">
      <alignment horizontal="center" vertical="center" wrapText="1"/>
    </xf>
    <xf numFmtId="0" fontId="4" fillId="5" borderId="42" xfId="0" applyFont="1" applyFill="1" applyBorder="1" applyAlignment="1">
      <alignment horizontal="left"/>
    </xf>
    <xf numFmtId="0" fontId="4" fillId="5" borderId="63" xfId="0" applyFont="1" applyFill="1" applyBorder="1" applyAlignment="1">
      <alignment horizontal="left"/>
    </xf>
    <xf numFmtId="0" fontId="3" fillId="5" borderId="5" xfId="0" applyFont="1" applyFill="1" applyBorder="1" applyAlignment="1">
      <alignment horizontal="left" vertical="center" wrapText="1"/>
    </xf>
    <xf numFmtId="0" fontId="3" fillId="5" borderId="9" xfId="0" applyFont="1" applyFill="1" applyBorder="1" applyAlignment="1">
      <alignment horizontal="left" vertical="center" wrapText="1"/>
    </xf>
    <xf numFmtId="0" fontId="3" fillId="5" borderId="4" xfId="0" applyFont="1" applyFill="1" applyBorder="1" applyAlignment="1">
      <alignment horizontal="left" vertical="center" wrapText="1"/>
    </xf>
    <xf numFmtId="0" fontId="3" fillId="5" borderId="5" xfId="0" applyFont="1" applyFill="1" applyBorder="1" applyAlignment="1">
      <alignment horizontal="left" vertical="center"/>
    </xf>
    <xf numFmtId="0" fontId="3" fillId="5" borderId="16" xfId="0" applyFont="1" applyFill="1" applyBorder="1" applyAlignment="1">
      <alignment horizontal="left" vertical="center"/>
    </xf>
    <xf numFmtId="0" fontId="3" fillId="5" borderId="9" xfId="0" applyFont="1" applyFill="1" applyBorder="1" applyAlignment="1">
      <alignment horizontal="left" vertical="center"/>
    </xf>
    <xf numFmtId="0" fontId="3" fillId="5" borderId="16" xfId="0" applyFont="1" applyFill="1" applyBorder="1" applyAlignment="1">
      <alignment horizontal="left" vertical="center" wrapText="1"/>
    </xf>
    <xf numFmtId="0" fontId="3" fillId="5" borderId="5" xfId="0" applyFont="1" applyFill="1" applyBorder="1" applyAlignment="1">
      <alignment horizontal="center" vertical="center" wrapText="1"/>
    </xf>
    <xf numFmtId="0" fontId="3" fillId="5" borderId="9" xfId="0" applyFont="1" applyFill="1" applyBorder="1" applyAlignment="1">
      <alignment horizontal="center" vertical="center" wrapText="1"/>
    </xf>
    <xf numFmtId="41" fontId="2" fillId="16" borderId="17" xfId="1" applyFont="1" applyFill="1" applyBorder="1" applyAlignment="1">
      <alignment horizontal="center" vertical="center" wrapText="1"/>
    </xf>
    <xf numFmtId="0" fontId="2" fillId="2" borderId="1" xfId="0" applyFont="1" applyFill="1" applyBorder="1" applyAlignment="1">
      <alignment horizontal="left" vertical="center"/>
    </xf>
    <xf numFmtId="0" fontId="2" fillId="2" borderId="27" xfId="0" applyFont="1" applyFill="1" applyBorder="1" applyAlignment="1">
      <alignment horizontal="left" vertical="center"/>
    </xf>
    <xf numFmtId="0" fontId="2" fillId="2" borderId="2" xfId="0" applyFont="1" applyFill="1" applyBorder="1" applyAlignment="1">
      <alignment horizontal="center" vertical="center"/>
    </xf>
    <xf numFmtId="0" fontId="2" fillId="2" borderId="8" xfId="0" applyFont="1" applyFill="1" applyBorder="1" applyAlignment="1">
      <alignment horizontal="center" vertical="center"/>
    </xf>
    <xf numFmtId="41" fontId="2" fillId="3" borderId="3" xfId="1" applyFont="1" applyFill="1" applyBorder="1" applyAlignment="1">
      <alignment horizontal="center" vertical="center" wrapText="1"/>
    </xf>
    <xf numFmtId="41" fontId="2" fillId="3" borderId="0" xfId="1" applyFont="1" applyFill="1" applyBorder="1" applyAlignment="1">
      <alignment horizontal="center" vertical="center" wrapText="1"/>
    </xf>
    <xf numFmtId="0" fontId="3" fillId="5" borderId="4" xfId="0" applyFont="1" applyFill="1" applyBorder="1" applyAlignment="1">
      <alignment horizontal="left" vertical="center"/>
    </xf>
    <xf numFmtId="0" fontId="2" fillId="16" borderId="13" xfId="0" applyFont="1" applyFill="1" applyBorder="1" applyAlignment="1">
      <alignment horizontal="center" vertical="center" wrapText="1"/>
    </xf>
    <xf numFmtId="41" fontId="2" fillId="3" borderId="4" xfId="1" applyFont="1" applyFill="1" applyBorder="1" applyAlignment="1">
      <alignment horizontal="center" vertical="center" wrapText="1"/>
    </xf>
    <xf numFmtId="0" fontId="16" fillId="11" borderId="4" xfId="0" applyFont="1" applyFill="1" applyBorder="1" applyAlignment="1">
      <alignment horizontal="justify" vertical="center" wrapText="1"/>
    </xf>
    <xf numFmtId="0" fontId="27" fillId="55" borderId="4" xfId="0" applyFont="1" applyFill="1" applyBorder="1" applyAlignment="1">
      <alignment horizontal="justify" vertical="center" wrapText="1"/>
    </xf>
    <xf numFmtId="0" fontId="27" fillId="16" borderId="4" xfId="0" applyFont="1" applyFill="1" applyBorder="1" applyAlignment="1">
      <alignment horizontal="justify" vertical="center"/>
    </xf>
    <xf numFmtId="0" fontId="27" fillId="32" borderId="10" xfId="0" applyFont="1" applyFill="1" applyBorder="1" applyAlignment="1">
      <alignment horizontal="center" vertical="center"/>
    </xf>
    <xf numFmtId="0" fontId="27" fillId="32" borderId="11" xfId="0" applyFont="1" applyFill="1" applyBorder="1" applyAlignment="1">
      <alignment horizontal="center" vertical="center"/>
    </xf>
    <xf numFmtId="0" fontId="27" fillId="32" borderId="3" xfId="0" applyFont="1" applyFill="1" applyBorder="1" applyAlignment="1">
      <alignment horizontal="center" vertical="center"/>
    </xf>
    <xf numFmtId="0" fontId="27" fillId="32" borderId="12" xfId="0" applyFont="1" applyFill="1" applyBorder="1" applyAlignment="1">
      <alignment horizontal="center" vertical="center"/>
    </xf>
    <xf numFmtId="0" fontId="27" fillId="32" borderId="4" xfId="0" applyFont="1" applyFill="1" applyBorder="1" applyAlignment="1">
      <alignment horizontal="left" vertical="center"/>
    </xf>
    <xf numFmtId="0" fontId="27" fillId="32" borderId="4" xfId="0" applyFont="1" applyFill="1" applyBorder="1" applyAlignment="1">
      <alignment horizontal="justify" vertical="center"/>
    </xf>
    <xf numFmtId="0" fontId="16" fillId="11" borderId="4" xfId="0" applyFont="1" applyFill="1" applyBorder="1" applyAlignment="1">
      <alignment horizontal="justify" vertical="center"/>
    </xf>
    <xf numFmtId="0" fontId="16" fillId="11" borderId="8" xfId="0" applyFont="1" applyFill="1" applyBorder="1" applyAlignment="1">
      <alignment horizontal="justify" vertical="center"/>
    </xf>
    <xf numFmtId="0" fontId="16" fillId="11" borderId="7" xfId="0" applyFont="1" applyFill="1" applyBorder="1" applyAlignment="1">
      <alignment horizontal="justify" vertical="center"/>
    </xf>
    <xf numFmtId="0" fontId="16" fillId="11" borderId="2" xfId="0" applyFont="1" applyFill="1" applyBorder="1" applyAlignment="1">
      <alignment horizontal="justify" vertical="center"/>
    </xf>
    <xf numFmtId="0" fontId="27" fillId="54" borderId="4" xfId="0" applyFont="1" applyFill="1" applyBorder="1" applyAlignment="1">
      <alignment horizontal="justify" vertical="center" wrapText="1"/>
    </xf>
    <xf numFmtId="0" fontId="28" fillId="25" borderId="4" xfId="0" applyFont="1" applyFill="1" applyBorder="1" applyAlignment="1">
      <alignment horizontal="center" vertical="center"/>
    </xf>
    <xf numFmtId="0" fontId="28" fillId="25" borderId="5" xfId="0" applyFont="1" applyFill="1" applyBorder="1" applyAlignment="1">
      <alignment horizontal="center" vertical="center"/>
    </xf>
    <xf numFmtId="0" fontId="28" fillId="25" borderId="16" xfId="0" applyFont="1" applyFill="1" applyBorder="1" applyAlignment="1">
      <alignment horizontal="center" vertical="center"/>
    </xf>
    <xf numFmtId="0" fontId="28" fillId="25" borderId="18" xfId="0" applyFont="1" applyFill="1" applyBorder="1" applyAlignment="1">
      <alignment horizontal="center" vertical="center"/>
    </xf>
    <xf numFmtId="0" fontId="28" fillId="25" borderId="30" xfId="0" applyFont="1" applyFill="1" applyBorder="1" applyAlignment="1">
      <alignment horizontal="center" vertical="center"/>
    </xf>
    <xf numFmtId="3" fontId="28" fillId="25" borderId="4" xfId="0" applyNumberFormat="1" applyFont="1" applyFill="1" applyBorder="1" applyAlignment="1">
      <alignment horizontal="center" vertical="center"/>
    </xf>
    <xf numFmtId="0" fontId="129" fillId="25" borderId="4" xfId="0" applyFont="1" applyFill="1" applyBorder="1" applyAlignment="1">
      <alignment horizontal="center" vertical="center" wrapText="1"/>
    </xf>
    <xf numFmtId="0" fontId="23" fillId="25" borderId="4" xfId="0" applyFont="1" applyFill="1" applyBorder="1" applyAlignment="1">
      <alignment horizontal="left" vertical="center" wrapText="1"/>
    </xf>
    <xf numFmtId="0" fontId="23" fillId="25" borderId="4" xfId="0" applyFont="1" applyFill="1" applyBorder="1" applyAlignment="1">
      <alignment horizontal="left" vertical="center"/>
    </xf>
    <xf numFmtId="0" fontId="28" fillId="25" borderId="9" xfId="0" applyFont="1" applyFill="1" applyBorder="1" applyAlignment="1">
      <alignment horizontal="center" vertical="center"/>
    </xf>
    <xf numFmtId="0" fontId="28" fillId="25" borderId="15" xfId="0" applyFont="1" applyFill="1" applyBorder="1" applyAlignment="1">
      <alignment horizontal="center" vertical="center"/>
    </xf>
    <xf numFmtId="41" fontId="28" fillId="14" borderId="4" xfId="1" applyFont="1" applyFill="1" applyBorder="1" applyAlignment="1">
      <alignment horizontal="center" vertical="center"/>
    </xf>
    <xf numFmtId="0" fontId="28" fillId="14" borderId="4" xfId="0" applyFont="1" applyFill="1" applyBorder="1" applyAlignment="1">
      <alignment horizontal="center" vertical="center"/>
    </xf>
    <xf numFmtId="0" fontId="23" fillId="14" borderId="4" xfId="0" applyFont="1" applyFill="1" applyBorder="1" applyAlignment="1">
      <alignment horizontal="left" vertical="center" wrapText="1"/>
    </xf>
    <xf numFmtId="0" fontId="23" fillId="14" borderId="4" xfId="0" applyFont="1" applyFill="1" applyBorder="1" applyAlignment="1">
      <alignment horizontal="left" vertical="center"/>
    </xf>
    <xf numFmtId="0" fontId="28" fillId="25" borderId="16" xfId="0" quotePrefix="1" applyFont="1" applyFill="1" applyBorder="1" applyAlignment="1">
      <alignment horizontal="center" vertical="center" wrapText="1"/>
    </xf>
    <xf numFmtId="15" fontId="28" fillId="25" borderId="4" xfId="0" applyNumberFormat="1" applyFont="1" applyFill="1" applyBorder="1" applyAlignment="1">
      <alignment horizontal="center" vertical="center"/>
    </xf>
    <xf numFmtId="0" fontId="30" fillId="26" borderId="4" xfId="0" applyFont="1" applyFill="1" applyBorder="1" applyAlignment="1">
      <alignment horizontal="center" vertical="center"/>
    </xf>
    <xf numFmtId="41" fontId="30" fillId="26" borderId="4" xfId="1" applyFont="1" applyFill="1" applyBorder="1" applyAlignment="1">
      <alignment horizontal="center" vertical="center"/>
    </xf>
    <xf numFmtId="0" fontId="129" fillId="26" borderId="4" xfId="0" quotePrefix="1" applyFont="1" applyFill="1" applyBorder="1" applyAlignment="1">
      <alignment horizontal="left" vertical="center" wrapText="1"/>
    </xf>
    <xf numFmtId="0" fontId="129" fillId="26" borderId="4" xfId="0" applyFont="1" applyFill="1" applyBorder="1" applyAlignment="1">
      <alignment horizontal="left" vertical="center"/>
    </xf>
    <xf numFmtId="0" fontId="23" fillId="26" borderId="4" xfId="0" applyFont="1" applyFill="1" applyBorder="1" applyAlignment="1">
      <alignment horizontal="left" vertical="center" wrapText="1"/>
    </xf>
    <xf numFmtId="0" fontId="23" fillId="26" borderId="4" xfId="0" applyFont="1" applyFill="1" applyBorder="1" applyAlignment="1">
      <alignment horizontal="left" vertical="center"/>
    </xf>
    <xf numFmtId="15" fontId="28" fillId="14" borderId="4" xfId="0" applyNumberFormat="1" applyFont="1" applyFill="1" applyBorder="1" applyAlignment="1">
      <alignment horizontal="center" vertical="center"/>
    </xf>
    <xf numFmtId="0" fontId="28" fillId="14" borderId="17" xfId="0" applyFont="1" applyFill="1" applyBorder="1" applyAlignment="1">
      <alignment horizontal="center" vertical="center"/>
    </xf>
    <xf numFmtId="17" fontId="28" fillId="14" borderId="4" xfId="0" applyNumberFormat="1" applyFont="1" applyFill="1" applyBorder="1" applyAlignment="1">
      <alignment horizontal="center" vertical="center"/>
    </xf>
    <xf numFmtId="0" fontId="30" fillId="26" borderId="5" xfId="0" applyFont="1" applyFill="1" applyBorder="1" applyAlignment="1">
      <alignment horizontal="center" vertical="center"/>
    </xf>
    <xf numFmtId="0" fontId="30" fillId="26" borderId="16" xfId="0" applyFont="1" applyFill="1" applyBorder="1" applyAlignment="1">
      <alignment horizontal="center" vertical="center"/>
    </xf>
    <xf numFmtId="15" fontId="30" fillId="26" borderId="5" xfId="0" applyNumberFormat="1" applyFont="1" applyFill="1" applyBorder="1" applyAlignment="1">
      <alignment horizontal="center" vertical="center"/>
    </xf>
    <xf numFmtId="0" fontId="30" fillId="26" borderId="18" xfId="0" applyFont="1" applyFill="1" applyBorder="1" applyAlignment="1">
      <alignment horizontal="center" vertical="center"/>
    </xf>
    <xf numFmtId="0" fontId="30" fillId="26" borderId="30" xfId="0" applyFont="1" applyFill="1" applyBorder="1" applyAlignment="1">
      <alignment horizontal="center" vertical="center"/>
    </xf>
    <xf numFmtId="17" fontId="30" fillId="26" borderId="4" xfId="0" applyNumberFormat="1" applyFont="1" applyFill="1" applyBorder="1" applyAlignment="1">
      <alignment horizontal="center" vertical="center"/>
    </xf>
    <xf numFmtId="0" fontId="85" fillId="10" borderId="4" xfId="7" applyFont="1" applyFill="1" applyBorder="1" applyAlignment="1">
      <alignment horizontal="left" vertical="center" wrapText="1"/>
    </xf>
    <xf numFmtId="0" fontId="14" fillId="10" borderId="4" xfId="7" applyFont="1" applyFill="1" applyBorder="1" applyAlignment="1">
      <alignment horizontal="left" vertical="center" wrapText="1"/>
    </xf>
    <xf numFmtId="9" fontId="85" fillId="0" borderId="4" xfId="7" applyNumberFormat="1" applyFont="1" applyBorder="1" applyAlignment="1">
      <alignment horizontal="center" vertical="center" wrapText="1"/>
    </xf>
    <xf numFmtId="0" fontId="15" fillId="0" borderId="4" xfId="7" applyFont="1" applyBorder="1" applyAlignment="1">
      <alignment horizontal="justify" vertical="center" wrapText="1"/>
    </xf>
    <xf numFmtId="9" fontId="14" fillId="0" borderId="4" xfId="7" applyNumberFormat="1" applyFont="1" applyBorder="1" applyAlignment="1">
      <alignment horizontal="center" vertical="center" wrapText="1"/>
    </xf>
    <xf numFmtId="0" fontId="85" fillId="0" borderId="5" xfId="7" applyFont="1" applyBorder="1" applyAlignment="1">
      <alignment horizontal="left" vertical="center" wrapText="1"/>
    </xf>
    <xf numFmtId="0" fontId="85" fillId="0" borderId="9" xfId="7" applyFont="1" applyBorder="1" applyAlignment="1">
      <alignment horizontal="left" vertical="center" wrapText="1"/>
    </xf>
    <xf numFmtId="0" fontId="13" fillId="0" borderId="4" xfId="7" applyFont="1" applyBorder="1" applyAlignment="1">
      <alignment horizontal="justify" vertical="center" wrapText="1"/>
    </xf>
    <xf numFmtId="0" fontId="13" fillId="0" borderId="5" xfId="7" applyFont="1" applyBorder="1" applyAlignment="1">
      <alignment horizontal="center" vertical="center" wrapText="1"/>
    </xf>
    <xf numFmtId="0" fontId="13" fillId="0" borderId="9" xfId="7" applyFont="1" applyBorder="1" applyAlignment="1">
      <alignment horizontal="center" vertical="center" wrapText="1"/>
    </xf>
    <xf numFmtId="0" fontId="13" fillId="0" borderId="4" xfId="7" applyFont="1" applyBorder="1" applyAlignment="1">
      <alignment horizontal="center" vertical="center" wrapText="1"/>
    </xf>
    <xf numFmtId="0" fontId="13" fillId="0" borderId="16" xfId="7" applyFont="1" applyBorder="1" applyAlignment="1">
      <alignment horizontal="center" vertical="center" wrapText="1"/>
    </xf>
    <xf numFmtId="0" fontId="14" fillId="0" borderId="4" xfId="7" applyFont="1" applyBorder="1" applyAlignment="1">
      <alignment horizontal="justify" vertical="center" wrapText="1"/>
    </xf>
    <xf numFmtId="0" fontId="20" fillId="0" borderId="5" xfId="7" applyFont="1" applyBorder="1" applyAlignment="1">
      <alignment horizontal="left" vertical="center" wrapText="1"/>
    </xf>
    <xf numFmtId="0" fontId="20" fillId="0" borderId="9" xfId="7" applyFont="1" applyBorder="1" applyAlignment="1">
      <alignment horizontal="left" vertical="center" wrapText="1"/>
    </xf>
    <xf numFmtId="0" fontId="14" fillId="0" borderId="5" xfId="7" applyFont="1" applyBorder="1" applyAlignment="1">
      <alignment horizontal="left" vertical="center" wrapText="1"/>
    </xf>
    <xf numFmtId="0" fontId="14" fillId="0" borderId="9" xfId="7" applyFont="1" applyBorder="1" applyAlignment="1">
      <alignment horizontal="left" vertical="center" wrapText="1"/>
    </xf>
    <xf numFmtId="0" fontId="13" fillId="0" borderId="4" xfId="7" applyFont="1" applyBorder="1" applyAlignment="1">
      <alignment horizontal="left" vertical="center" wrapText="1"/>
    </xf>
    <xf numFmtId="0" fontId="13" fillId="0" borderId="4" xfId="7" applyFont="1" applyBorder="1" applyAlignment="1">
      <alignment vertical="center" wrapText="1"/>
    </xf>
    <xf numFmtId="0" fontId="12" fillId="24" borderId="4" xfId="7" applyFont="1" applyFill="1" applyBorder="1" applyAlignment="1">
      <alignment horizontal="center" vertical="center"/>
    </xf>
    <xf numFmtId="0" fontId="13" fillId="10" borderId="5" xfId="7" applyFont="1" applyFill="1" applyBorder="1" applyAlignment="1">
      <alignment horizontal="center" vertical="center" wrapText="1"/>
    </xf>
    <xf numFmtId="0" fontId="13" fillId="10" borderId="16" xfId="7" applyFont="1" applyFill="1" applyBorder="1" applyAlignment="1">
      <alignment horizontal="center" vertical="center" wrapText="1"/>
    </xf>
    <xf numFmtId="0" fontId="13" fillId="10" borderId="9" xfId="7" applyFont="1" applyFill="1" applyBorder="1" applyAlignment="1">
      <alignment horizontal="center" vertical="center" wrapText="1"/>
    </xf>
    <xf numFmtId="0" fontId="13" fillId="10" borderId="4" xfId="7" applyFont="1" applyFill="1" applyBorder="1" applyAlignment="1">
      <alignment horizontal="center" vertical="center" wrapText="1"/>
    </xf>
    <xf numFmtId="0" fontId="13" fillId="13" borderId="4" xfId="7" applyFont="1" applyFill="1" applyBorder="1" applyAlignment="1">
      <alignment horizontal="center" vertical="center" wrapText="1"/>
    </xf>
    <xf numFmtId="0" fontId="12" fillId="15" borderId="4" xfId="7" applyFont="1" applyFill="1" applyBorder="1" applyAlignment="1">
      <alignment horizontal="center"/>
    </xf>
    <xf numFmtId="0" fontId="13" fillId="53" borderId="10" xfId="0" applyFont="1" applyFill="1" applyBorder="1" applyAlignment="1">
      <alignment vertical="center"/>
    </xf>
    <xf numFmtId="0" fontId="13" fillId="53" borderId="12" xfId="0" applyFont="1" applyFill="1" applyBorder="1" applyAlignment="1">
      <alignment vertical="center"/>
    </xf>
    <xf numFmtId="0" fontId="13" fillId="0" borderId="2" xfId="0" applyFont="1" applyBorder="1" applyAlignment="1">
      <alignment vertical="center"/>
    </xf>
    <xf numFmtId="0" fontId="13" fillId="0" borderId="7" xfId="0" applyFont="1" applyBorder="1" applyAlignment="1">
      <alignment vertical="center"/>
    </xf>
    <xf numFmtId="0" fontId="13" fillId="11" borderId="2" xfId="0" applyFont="1" applyFill="1" applyBorder="1" applyAlignment="1">
      <alignment vertical="center"/>
    </xf>
    <xf numFmtId="0" fontId="13" fillId="11" borderId="7" xfId="0" applyFont="1" applyFill="1" applyBorder="1" applyAlignment="1">
      <alignment vertical="center"/>
    </xf>
    <xf numFmtId="0" fontId="13" fillId="9" borderId="2" xfId="0" applyFont="1" applyFill="1" applyBorder="1" applyAlignment="1">
      <alignment horizontal="center" vertical="center"/>
    </xf>
    <xf numFmtId="0" fontId="13" fillId="9" borderId="7" xfId="0" applyFont="1" applyFill="1" applyBorder="1" applyAlignment="1">
      <alignment horizontal="center" vertical="center"/>
    </xf>
    <xf numFmtId="0" fontId="13" fillId="9" borderId="2" xfId="0" applyFont="1" applyFill="1" applyBorder="1" applyAlignment="1">
      <alignment horizontal="center" vertical="center" wrapText="1"/>
    </xf>
    <xf numFmtId="0" fontId="13" fillId="9" borderId="7" xfId="0" applyFont="1" applyFill="1" applyBorder="1" applyAlignment="1">
      <alignment horizontal="center" vertical="center" wrapText="1"/>
    </xf>
    <xf numFmtId="0" fontId="13" fillId="0" borderId="2" xfId="0" applyFont="1" applyBorder="1" applyAlignment="1">
      <alignment vertical="center" wrapText="1"/>
    </xf>
    <xf numFmtId="0" fontId="13" fillId="0" borderId="8" xfId="0" applyFont="1" applyBorder="1" applyAlignment="1">
      <alignment vertical="center" wrapText="1"/>
    </xf>
    <xf numFmtId="0" fontId="13" fillId="0" borderId="7" xfId="0" applyFont="1" applyBorder="1" applyAlignment="1">
      <alignment vertical="center" wrapText="1"/>
    </xf>
    <xf numFmtId="0" fontId="13" fillId="10" borderId="5" xfId="0" applyFont="1" applyFill="1" applyBorder="1" applyAlignment="1">
      <alignment horizontal="left" vertical="center" wrapText="1"/>
    </xf>
    <xf numFmtId="0" fontId="13" fillId="10" borderId="16" xfId="0" applyFont="1" applyFill="1" applyBorder="1" applyAlignment="1">
      <alignment horizontal="left" vertical="center" wrapText="1"/>
    </xf>
    <xf numFmtId="0" fontId="13" fillId="10" borderId="9" xfId="0" applyFont="1" applyFill="1" applyBorder="1" applyAlignment="1">
      <alignment horizontal="left" vertical="center" wrapText="1"/>
    </xf>
    <xf numFmtId="0" fontId="13" fillId="10" borderId="4" xfId="0" applyFont="1" applyFill="1" applyBorder="1" applyAlignment="1">
      <alignment horizontal="left" vertical="center" wrapText="1"/>
    </xf>
    <xf numFmtId="10" fontId="0" fillId="0" borderId="4" xfId="0" applyNumberFormat="1" applyBorder="1" applyAlignment="1">
      <alignment horizontal="center" vertical="center"/>
    </xf>
    <xf numFmtId="9" fontId="0" fillId="0" borderId="4" xfId="2" applyFont="1" applyBorder="1" applyAlignment="1">
      <alignment horizontal="center" vertical="center"/>
    </xf>
    <xf numFmtId="10" fontId="0" fillId="0" borderId="5" xfId="0" applyNumberFormat="1" applyBorder="1" applyAlignment="1">
      <alignment horizontal="center" vertical="center"/>
    </xf>
    <xf numFmtId="170" fontId="0" fillId="0" borderId="4" xfId="0" applyNumberFormat="1" applyBorder="1" applyAlignment="1">
      <alignment horizontal="center" vertical="center"/>
    </xf>
    <xf numFmtId="9" fontId="0" fillId="0" borderId="5" xfId="2" applyFont="1" applyBorder="1" applyAlignment="1">
      <alignment horizontal="center" vertical="center"/>
    </xf>
    <xf numFmtId="9" fontId="0" fillId="0" borderId="16" xfId="2" applyFont="1" applyBorder="1" applyAlignment="1">
      <alignment horizontal="center" vertical="center"/>
    </xf>
    <xf numFmtId="9" fontId="0" fillId="0" borderId="9" xfId="2" applyFont="1" applyBorder="1" applyAlignment="1">
      <alignment horizontal="center" vertical="center"/>
    </xf>
    <xf numFmtId="0" fontId="7" fillId="42" borderId="4" xfId="0" applyFont="1" applyFill="1" applyBorder="1" applyAlignment="1">
      <alignment horizontal="center" vertical="center"/>
    </xf>
    <xf numFmtId="9" fontId="0" fillId="10" borderId="4" xfId="2" applyFont="1" applyFill="1" applyBorder="1" applyAlignment="1">
      <alignment horizontal="left" vertical="center"/>
    </xf>
    <xf numFmtId="41" fontId="46" fillId="10" borderId="5" xfId="1" applyFont="1" applyFill="1" applyBorder="1" applyAlignment="1">
      <alignment horizontal="center" vertical="center" wrapText="1"/>
    </xf>
    <xf numFmtId="41" fontId="46" fillId="10" borderId="16" xfId="1" applyFont="1" applyFill="1" applyBorder="1" applyAlignment="1">
      <alignment horizontal="center" vertical="center" wrapText="1"/>
    </xf>
    <xf numFmtId="41" fontId="46" fillId="10" borderId="9" xfId="1" applyFont="1" applyFill="1" applyBorder="1" applyAlignment="1">
      <alignment horizontal="center" vertical="center" wrapText="1"/>
    </xf>
    <xf numFmtId="41" fontId="49" fillId="26" borderId="5" xfId="1" applyFont="1" applyFill="1" applyBorder="1" applyAlignment="1">
      <alignment horizontal="center" vertical="center" wrapText="1"/>
    </xf>
    <xf numFmtId="41" fontId="49" fillId="26" borderId="16" xfId="1" applyFont="1" applyFill="1" applyBorder="1" applyAlignment="1">
      <alignment horizontal="center" vertical="center" wrapText="1"/>
    </xf>
    <xf numFmtId="41" fontId="49" fillId="26" borderId="9" xfId="1" applyFont="1" applyFill="1" applyBorder="1" applyAlignment="1">
      <alignment horizontal="center" vertical="center" wrapText="1"/>
    </xf>
    <xf numFmtId="166" fontId="36" fillId="0" borderId="5" xfId="3" applyNumberFormat="1" applyFont="1" applyFill="1" applyBorder="1" applyAlignment="1">
      <alignment horizontal="center" vertical="center" wrapText="1"/>
    </xf>
    <xf numFmtId="166" fontId="36" fillId="0" borderId="16" xfId="3" applyNumberFormat="1" applyFont="1" applyFill="1" applyBorder="1" applyAlignment="1">
      <alignment horizontal="center" vertical="center" wrapText="1"/>
    </xf>
    <xf numFmtId="166" fontId="45" fillId="26" borderId="5" xfId="3" applyNumberFormat="1" applyFont="1" applyFill="1" applyBorder="1" applyAlignment="1">
      <alignment horizontal="center" vertical="center" wrapText="1"/>
    </xf>
    <xf numFmtId="166" fontId="45" fillId="26" borderId="16" xfId="3" applyNumberFormat="1" applyFont="1" applyFill="1" applyBorder="1" applyAlignment="1">
      <alignment horizontal="center" vertical="center" wrapText="1"/>
    </xf>
    <xf numFmtId="0" fontId="33" fillId="0" borderId="36" xfId="0" applyFont="1" applyBorder="1" applyAlignment="1">
      <alignment horizontal="center" vertical="center" wrapText="1"/>
    </xf>
    <xf numFmtId="0" fontId="33" fillId="0" borderId="37" xfId="0" applyFont="1" applyBorder="1" applyAlignment="1">
      <alignment horizontal="center" vertical="center" wrapText="1"/>
    </xf>
    <xf numFmtId="0" fontId="38" fillId="0" borderId="5" xfId="0" applyFont="1" applyBorder="1" applyAlignment="1">
      <alignment horizontal="center" vertical="center" wrapText="1"/>
    </xf>
    <xf numFmtId="0" fontId="38" fillId="0" borderId="9" xfId="0" applyFont="1" applyBorder="1" applyAlignment="1">
      <alignment horizontal="center" vertical="center" wrapText="1"/>
    </xf>
    <xf numFmtId="0" fontId="39" fillId="0" borderId="29" xfId="0" applyFont="1" applyFill="1" applyBorder="1" applyAlignment="1">
      <alignment horizontal="center" vertical="top" wrapText="1"/>
    </xf>
    <xf numFmtId="0" fontId="39" fillId="0" borderId="0" xfId="0" applyFont="1" applyFill="1" applyBorder="1" applyAlignment="1">
      <alignment horizontal="center" vertical="top" wrapText="1"/>
    </xf>
    <xf numFmtId="0" fontId="39" fillId="0" borderId="31" xfId="0" applyFont="1" applyFill="1" applyBorder="1" applyAlignment="1">
      <alignment horizontal="center" vertical="top" wrapText="1"/>
    </xf>
    <xf numFmtId="0" fontId="36" fillId="0" borderId="18" xfId="0" applyFont="1" applyFill="1" applyBorder="1" applyAlignment="1">
      <alignment horizontal="left" vertical="center" wrapText="1"/>
    </xf>
    <xf numFmtId="0" fontId="36" fillId="0" borderId="29" xfId="0" applyFont="1" applyFill="1" applyBorder="1" applyAlignment="1">
      <alignment horizontal="left" vertical="center" wrapText="1"/>
    </xf>
    <xf numFmtId="0" fontId="36" fillId="0" borderId="28" xfId="0" applyFont="1" applyFill="1" applyBorder="1" applyAlignment="1">
      <alignment horizontal="left" vertical="center" wrapText="1"/>
    </xf>
    <xf numFmtId="0" fontId="36" fillId="0" borderId="30" xfId="0" applyFont="1" applyFill="1" applyBorder="1" applyAlignment="1">
      <alignment horizontal="left" vertical="center" wrapText="1"/>
    </xf>
    <xf numFmtId="0" fontId="36" fillId="0" borderId="0" xfId="0" applyFont="1" applyFill="1" applyBorder="1" applyAlignment="1">
      <alignment horizontal="left" vertical="center" wrapText="1"/>
    </xf>
    <xf numFmtId="0" fontId="36" fillId="0" borderId="23" xfId="0" applyFont="1" applyFill="1" applyBorder="1" applyAlignment="1">
      <alignment horizontal="left" vertical="center" wrapText="1"/>
    </xf>
    <xf numFmtId="0" fontId="36" fillId="0" borderId="15" xfId="0" applyFont="1" applyFill="1" applyBorder="1" applyAlignment="1">
      <alignment horizontal="left" vertical="center" wrapText="1"/>
    </xf>
    <xf numFmtId="0" fontId="36" fillId="0" borderId="31" xfId="0" applyFont="1" applyFill="1" applyBorder="1" applyAlignment="1">
      <alignment horizontal="left" vertical="center" wrapText="1"/>
    </xf>
    <xf numFmtId="0" fontId="36" fillId="0" borderId="32" xfId="0" applyFont="1" applyFill="1" applyBorder="1" applyAlignment="1">
      <alignment horizontal="left" vertical="center" wrapText="1"/>
    </xf>
    <xf numFmtId="0" fontId="33" fillId="0" borderId="4" xfId="0" applyFont="1" applyBorder="1" applyAlignment="1">
      <alignment horizontal="center" vertical="center" wrapText="1"/>
    </xf>
    <xf numFmtId="3" fontId="38" fillId="0" borderId="18" xfId="0" applyNumberFormat="1" applyFont="1" applyBorder="1" applyAlignment="1">
      <alignment horizontal="center" vertical="center" wrapText="1"/>
    </xf>
    <xf numFmtId="0" fontId="38" fillId="0" borderId="15" xfId="0" applyFont="1" applyBorder="1" applyAlignment="1">
      <alignment horizontal="center" vertical="center" wrapText="1"/>
    </xf>
    <xf numFmtId="0" fontId="38" fillId="25" borderId="18" xfId="0" applyFont="1" applyFill="1" applyBorder="1" applyAlignment="1">
      <alignment horizontal="center" vertical="center"/>
    </xf>
    <xf numFmtId="0" fontId="38" fillId="25" borderId="29" xfId="0" applyFont="1" applyFill="1" applyBorder="1" applyAlignment="1">
      <alignment horizontal="center" vertical="center"/>
    </xf>
    <xf numFmtId="0" fontId="38" fillId="25" borderId="28" xfId="0" applyFont="1" applyFill="1" applyBorder="1" applyAlignment="1">
      <alignment horizontal="center" vertical="center"/>
    </xf>
    <xf numFmtId="0" fontId="38" fillId="25" borderId="15" xfId="0" applyFont="1" applyFill="1" applyBorder="1" applyAlignment="1">
      <alignment horizontal="center" vertical="center"/>
    </xf>
    <xf numFmtId="0" fontId="38" fillId="25" borderId="31" xfId="0" applyFont="1" applyFill="1" applyBorder="1" applyAlignment="1">
      <alignment horizontal="center" vertical="center"/>
    </xf>
    <xf numFmtId="0" fontId="38" fillId="25" borderId="32" xfId="0" applyFont="1" applyFill="1" applyBorder="1" applyAlignment="1">
      <alignment horizontal="center" vertical="center"/>
    </xf>
    <xf numFmtId="0" fontId="36" fillId="0" borderId="5" xfId="0" applyFont="1" applyFill="1" applyBorder="1" applyAlignment="1">
      <alignment horizontal="center" vertical="center" wrapText="1"/>
    </xf>
    <xf numFmtId="0" fontId="36" fillId="0" borderId="9" xfId="0" applyFont="1" applyFill="1" applyBorder="1" applyAlignment="1">
      <alignment horizontal="center" vertical="center" wrapText="1"/>
    </xf>
    <xf numFmtId="166" fontId="36" fillId="0" borderId="17" xfId="3" applyNumberFormat="1" applyFont="1" applyFill="1" applyBorder="1" applyAlignment="1">
      <alignment horizontal="center" vertical="center" wrapText="1"/>
    </xf>
    <xf numFmtId="166" fontId="36" fillId="0" borderId="22" xfId="3" applyNumberFormat="1" applyFont="1" applyFill="1" applyBorder="1" applyAlignment="1">
      <alignment horizontal="center" vertical="center" wrapText="1"/>
    </xf>
    <xf numFmtId="166" fontId="36" fillId="0" borderId="13" xfId="3" applyNumberFormat="1" applyFont="1" applyFill="1" applyBorder="1" applyAlignment="1">
      <alignment horizontal="center" vertical="center" wrapText="1"/>
    </xf>
    <xf numFmtId="0" fontId="36" fillId="15" borderId="4" xfId="0" applyFont="1" applyFill="1" applyBorder="1" applyAlignment="1">
      <alignment horizontal="center" vertical="center"/>
    </xf>
    <xf numFmtId="0" fontId="36" fillId="24" borderId="4" xfId="0" applyFont="1" applyFill="1" applyBorder="1" applyAlignment="1">
      <alignment horizontal="center" vertical="center" wrapText="1"/>
    </xf>
    <xf numFmtId="0" fontId="37" fillId="15" borderId="4" xfId="0" applyFont="1" applyFill="1" applyBorder="1" applyAlignment="1">
      <alignment horizontal="center" vertical="center" wrapText="1"/>
    </xf>
    <xf numFmtId="0" fontId="37" fillId="15" borderId="18" xfId="0" applyFont="1" applyFill="1" applyBorder="1" applyAlignment="1">
      <alignment horizontal="center" vertical="center" wrapText="1"/>
    </xf>
    <xf numFmtId="0" fontId="37" fillId="15" borderId="29" xfId="0" applyFont="1" applyFill="1" applyBorder="1" applyAlignment="1">
      <alignment horizontal="center" vertical="center" wrapText="1"/>
    </xf>
    <xf numFmtId="0" fontId="37" fillId="15" borderId="28" xfId="0" applyFont="1" applyFill="1" applyBorder="1" applyAlignment="1">
      <alignment horizontal="center" vertical="center" wrapText="1"/>
    </xf>
    <xf numFmtId="0" fontId="37" fillId="15" borderId="30" xfId="0" applyFont="1" applyFill="1" applyBorder="1" applyAlignment="1">
      <alignment horizontal="center" vertical="center" wrapText="1"/>
    </xf>
    <xf numFmtId="0" fontId="37" fillId="15" borderId="0" xfId="0" applyFont="1" applyFill="1" applyBorder="1" applyAlignment="1">
      <alignment horizontal="center" vertical="center" wrapText="1"/>
    </xf>
    <xf numFmtId="0" fontId="37" fillId="15" borderId="23" xfId="0" applyFont="1" applyFill="1" applyBorder="1" applyAlignment="1">
      <alignment horizontal="center" vertical="center" wrapText="1"/>
    </xf>
    <xf numFmtId="0" fontId="36" fillId="0" borderId="4" xfId="0" applyFont="1" applyFill="1" applyBorder="1" applyAlignment="1">
      <alignment horizontal="center" vertical="center" wrapText="1"/>
    </xf>
    <xf numFmtId="0" fontId="36" fillId="26" borderId="5" xfId="0" applyFont="1" applyFill="1" applyBorder="1" applyAlignment="1">
      <alignment horizontal="center" vertical="center" wrapText="1"/>
    </xf>
    <xf numFmtId="0" fontId="36" fillId="26" borderId="9" xfId="0" applyFont="1" applyFill="1" applyBorder="1" applyAlignment="1">
      <alignment horizontal="center" vertical="center" wrapText="1"/>
    </xf>
    <xf numFmtId="9" fontId="14" fillId="42" borderId="9" xfId="0" applyNumberFormat="1" applyFont="1" applyFill="1" applyBorder="1" applyAlignment="1">
      <alignment horizontal="center" vertical="center" wrapText="1"/>
    </xf>
    <xf numFmtId="9" fontId="14" fillId="42" borderId="4" xfId="0" applyNumberFormat="1" applyFont="1" applyFill="1" applyBorder="1" applyAlignment="1">
      <alignment horizontal="center" vertical="center" wrapText="1"/>
    </xf>
    <xf numFmtId="9" fontId="14" fillId="16" borderId="4" xfId="0" applyNumberFormat="1" applyFont="1" applyFill="1" applyBorder="1" applyAlignment="1">
      <alignment horizontal="center" vertical="center" wrapText="1"/>
    </xf>
    <xf numFmtId="9" fontId="14" fillId="58" borderId="4" xfId="0" applyNumberFormat="1" applyFont="1" applyFill="1" applyBorder="1" applyAlignment="1">
      <alignment horizontal="center" vertical="center" wrapText="1"/>
    </xf>
    <xf numFmtId="0" fontId="58" fillId="21" borderId="24" xfId="0" applyFont="1" applyFill="1" applyBorder="1" applyAlignment="1">
      <alignment horizontal="center" vertical="center"/>
    </xf>
    <xf numFmtId="0" fontId="58" fillId="21" borderId="12" xfId="0" applyFont="1" applyFill="1" applyBorder="1" applyAlignment="1">
      <alignment horizontal="center" vertical="center"/>
    </xf>
    <xf numFmtId="0" fontId="29" fillId="11" borderId="26" xfId="0" applyFont="1" applyFill="1" applyBorder="1" applyAlignment="1">
      <alignment vertical="center"/>
    </xf>
    <xf numFmtId="0" fontId="29" fillId="11" borderId="26" xfId="0" applyFont="1" applyFill="1" applyBorder="1" applyAlignment="1">
      <alignment horizontal="center" vertical="center"/>
    </xf>
    <xf numFmtId="0" fontId="10" fillId="11" borderId="26" xfId="0" applyFont="1" applyFill="1" applyBorder="1" applyAlignment="1">
      <alignment vertical="center"/>
    </xf>
    <xf numFmtId="3" fontId="29" fillId="11" borderId="26" xfId="0" applyNumberFormat="1" applyFont="1" applyFill="1" applyBorder="1" applyAlignment="1">
      <alignment horizontal="center" vertical="center"/>
    </xf>
    <xf numFmtId="0" fontId="29" fillId="11" borderId="7" xfId="0" applyFont="1" applyFill="1" applyBorder="1" applyAlignment="1">
      <alignment vertical="center"/>
    </xf>
    <xf numFmtId="0" fontId="29" fillId="0" borderId="26" xfId="0" applyFont="1" applyBorder="1" applyAlignment="1">
      <alignment horizontal="center" vertical="center"/>
    </xf>
    <xf numFmtId="3" fontId="58" fillId="11" borderId="26" xfId="0" applyNumberFormat="1" applyFont="1" applyFill="1" applyBorder="1" applyAlignment="1">
      <alignment horizontal="center" vertical="center"/>
    </xf>
    <xf numFmtId="0" fontId="58" fillId="59" borderId="26" xfId="0" applyFont="1" applyFill="1" applyBorder="1" applyAlignment="1">
      <alignment horizontal="center" vertical="center"/>
    </xf>
    <xf numFmtId="0" fontId="29" fillId="11" borderId="7" xfId="0" applyFont="1" applyFill="1" applyBorder="1" applyAlignment="1">
      <alignment horizontal="justify" vertical="center" wrapText="1"/>
    </xf>
    <xf numFmtId="0" fontId="58" fillId="11" borderId="26" xfId="0" applyFont="1" applyFill="1" applyBorder="1" applyAlignment="1">
      <alignment horizontal="center" vertical="center"/>
    </xf>
    <xf numFmtId="0" fontId="29" fillId="11" borderId="7" xfId="0" applyFont="1" applyFill="1" applyBorder="1" applyAlignment="1">
      <alignment vertical="center" wrapText="1"/>
    </xf>
    <xf numFmtId="0" fontId="58" fillId="59" borderId="7" xfId="0" applyFont="1" applyFill="1" applyBorder="1" applyAlignment="1">
      <alignment vertical="center" wrapText="1"/>
    </xf>
    <xf numFmtId="0" fontId="58" fillId="59" borderId="26" xfId="0" applyFont="1" applyFill="1" applyBorder="1" applyAlignment="1">
      <alignment vertical="center" wrapText="1"/>
    </xf>
    <xf numFmtId="0" fontId="58" fillId="59" borderId="26" xfId="0" applyFont="1" applyFill="1" applyBorder="1" applyAlignment="1">
      <alignment horizontal="center" vertical="center" wrapText="1"/>
    </xf>
    <xf numFmtId="3" fontId="58" fillId="59" borderId="26" xfId="0" applyNumberFormat="1" applyFont="1" applyFill="1" applyBorder="1" applyAlignment="1">
      <alignment horizontal="center" vertical="center"/>
    </xf>
    <xf numFmtId="0" fontId="58" fillId="60" borderId="26" xfId="0" applyFont="1" applyFill="1" applyBorder="1" applyAlignment="1">
      <alignment horizontal="center" vertical="center"/>
    </xf>
    <xf numFmtId="0" fontId="58" fillId="22" borderId="10" xfId="0" applyFont="1" applyFill="1" applyBorder="1" applyAlignment="1">
      <alignment vertical="center"/>
    </xf>
    <xf numFmtId="0" fontId="58" fillId="22" borderId="11" xfId="0" applyFont="1" applyFill="1" applyBorder="1" applyAlignment="1">
      <alignment vertical="center"/>
    </xf>
    <xf numFmtId="0" fontId="58" fillId="22" borderId="12" xfId="0" applyFont="1" applyFill="1" applyBorder="1" applyAlignment="1">
      <alignment vertical="center"/>
    </xf>
    <xf numFmtId="0" fontId="29" fillId="11" borderId="8" xfId="0" applyFont="1" applyFill="1" applyBorder="1" applyAlignment="1">
      <alignment vertical="center"/>
    </xf>
    <xf numFmtId="0" fontId="29" fillId="11" borderId="2" xfId="0" applyFont="1" applyFill="1" applyBorder="1" applyAlignment="1">
      <alignment vertical="center"/>
    </xf>
    <xf numFmtId="0" fontId="29" fillId="11" borderId="7" xfId="0" applyFont="1" applyFill="1" applyBorder="1" applyAlignment="1">
      <alignment vertical="center"/>
    </xf>
    <xf numFmtId="0" fontId="58" fillId="11" borderId="2" xfId="0" applyFont="1" applyFill="1" applyBorder="1" applyAlignment="1">
      <alignment horizontal="center" vertical="center"/>
    </xf>
    <xf numFmtId="0" fontId="58" fillId="11" borderId="8" xfId="0" applyFont="1" applyFill="1" applyBorder="1" applyAlignment="1">
      <alignment horizontal="center" vertical="center"/>
    </xf>
    <xf numFmtId="0" fontId="58" fillId="11" borderId="7" xfId="0" applyFont="1" applyFill="1" applyBorder="1" applyAlignment="1">
      <alignment horizontal="center" vertical="center"/>
    </xf>
    <xf numFmtId="0" fontId="58" fillId="59" borderId="10" xfId="0" applyFont="1" applyFill="1" applyBorder="1" applyAlignment="1">
      <alignment vertical="center"/>
    </xf>
    <xf numFmtId="0" fontId="58" fillId="59" borderId="11" xfId="0" applyFont="1" applyFill="1" applyBorder="1" applyAlignment="1">
      <alignment vertical="center"/>
    </xf>
    <xf numFmtId="0" fontId="58" fillId="59" borderId="12" xfId="0" applyFont="1" applyFill="1" applyBorder="1" applyAlignment="1">
      <alignment vertical="center"/>
    </xf>
    <xf numFmtId="0" fontId="58" fillId="48" borderId="10" xfId="0" applyFont="1" applyFill="1" applyBorder="1" applyAlignment="1">
      <alignment vertical="center"/>
    </xf>
    <xf numFmtId="0" fontId="58" fillId="48" borderId="11" xfId="0" applyFont="1" applyFill="1" applyBorder="1" applyAlignment="1">
      <alignment vertical="center"/>
    </xf>
    <xf numFmtId="0" fontId="58" fillId="48" borderId="12" xfId="0" applyFont="1" applyFill="1" applyBorder="1" applyAlignment="1">
      <alignment vertical="center"/>
    </xf>
    <xf numFmtId="3" fontId="58" fillId="11" borderId="2" xfId="0" applyNumberFormat="1" applyFont="1" applyFill="1" applyBorder="1" applyAlignment="1">
      <alignment horizontal="center" vertical="center"/>
    </xf>
    <xf numFmtId="3" fontId="58" fillId="11" borderId="7" xfId="0" applyNumberFormat="1" applyFont="1" applyFill="1" applyBorder="1" applyAlignment="1">
      <alignment horizontal="center" vertical="center"/>
    </xf>
    <xf numFmtId="0" fontId="29" fillId="11" borderId="8" xfId="0" applyFont="1" applyFill="1" applyBorder="1" applyAlignment="1">
      <alignment vertical="center" wrapText="1"/>
    </xf>
    <xf numFmtId="0" fontId="29" fillId="11" borderId="2" xfId="0" applyFont="1" applyFill="1" applyBorder="1" applyAlignment="1">
      <alignment vertical="center" wrapText="1"/>
    </xf>
    <xf numFmtId="0" fontId="29" fillId="11" borderId="7" xfId="0" applyFont="1" applyFill="1" applyBorder="1" applyAlignment="1">
      <alignment vertical="center" wrapText="1"/>
    </xf>
    <xf numFmtId="0" fontId="29" fillId="11" borderId="8" xfId="0" applyFont="1" applyFill="1" applyBorder="1" applyAlignment="1">
      <alignment horizontal="justify" vertical="center" wrapText="1"/>
    </xf>
    <xf numFmtId="0" fontId="29" fillId="11" borderId="2" xfId="0" applyFont="1" applyFill="1" applyBorder="1" applyAlignment="1">
      <alignment horizontal="justify" vertical="center" wrapText="1"/>
    </xf>
    <xf numFmtId="0" fontId="29" fillId="11" borderId="7" xfId="0" applyFont="1" applyFill="1" applyBorder="1" applyAlignment="1">
      <alignment horizontal="justify" vertical="center" wrapText="1"/>
    </xf>
    <xf numFmtId="0" fontId="58" fillId="59" borderId="10" xfId="0" applyFont="1" applyFill="1" applyBorder="1" applyAlignment="1">
      <alignment vertical="center" wrapText="1"/>
    </xf>
    <xf numFmtId="0" fontId="58" fillId="59" borderId="11" xfId="0" applyFont="1" applyFill="1" applyBorder="1" applyAlignment="1">
      <alignment vertical="center" wrapText="1"/>
    </xf>
    <xf numFmtId="0" fontId="58" fillId="59" borderId="12" xfId="0" applyFont="1" applyFill="1" applyBorder="1" applyAlignment="1">
      <alignment vertical="center" wrapText="1"/>
    </xf>
    <xf numFmtId="3" fontId="58" fillId="11" borderId="8" xfId="0" applyNumberFormat="1" applyFont="1" applyFill="1" applyBorder="1" applyAlignment="1">
      <alignment horizontal="center" vertical="center"/>
    </xf>
    <xf numFmtId="0" fontId="58" fillId="60" borderId="10" xfId="0" applyFont="1" applyFill="1" applyBorder="1" applyAlignment="1">
      <alignment vertical="center"/>
    </xf>
    <xf numFmtId="0" fontId="58" fillId="60" borderId="11" xfId="0" applyFont="1" applyFill="1" applyBorder="1" applyAlignment="1">
      <alignment vertical="center"/>
    </xf>
    <xf numFmtId="0" fontId="58" fillId="60" borderId="12" xfId="0" applyFont="1" applyFill="1" applyBorder="1" applyAlignment="1">
      <alignment vertical="center"/>
    </xf>
    <xf numFmtId="0" fontId="167" fillId="0" borderId="21" xfId="0" applyFont="1" applyBorder="1" applyAlignment="1">
      <alignment horizontal="center"/>
    </xf>
    <xf numFmtId="0" fontId="162" fillId="0" borderId="0" xfId="0" applyFont="1" applyAlignment="1">
      <alignment horizontal="center" vertical="center"/>
    </xf>
    <xf numFmtId="0" fontId="168" fillId="0" borderId="0" xfId="0" applyFont="1" applyAlignment="1">
      <alignment vertical="center" wrapText="1"/>
    </xf>
    <xf numFmtId="0" fontId="94" fillId="61" borderId="26" xfId="0" applyFont="1" applyFill="1" applyBorder="1" applyAlignment="1">
      <alignment horizontal="center" vertical="center" wrapText="1"/>
    </xf>
    <xf numFmtId="0" fontId="25" fillId="0" borderId="26" xfId="0" applyFont="1" applyBorder="1" applyAlignment="1">
      <alignment vertical="center" wrapText="1"/>
    </xf>
    <xf numFmtId="0" fontId="10" fillId="0" borderId="26" xfId="0" applyFont="1" applyBorder="1" applyAlignment="1">
      <alignment horizontal="justify" vertical="center" wrapText="1"/>
    </xf>
    <xf numFmtId="9" fontId="10" fillId="0" borderId="26" xfId="0" applyNumberFormat="1" applyFont="1" applyBorder="1" applyAlignment="1">
      <alignment horizontal="center" vertical="center" wrapText="1"/>
    </xf>
    <xf numFmtId="0" fontId="25" fillId="0" borderId="25" xfId="0" applyFont="1" applyBorder="1" applyAlignment="1">
      <alignment vertical="center" wrapText="1"/>
    </xf>
    <xf numFmtId="0" fontId="10" fillId="0" borderId="26" xfId="0" applyFont="1" applyBorder="1" applyAlignment="1">
      <alignment vertical="center" wrapText="1"/>
    </xf>
    <xf numFmtId="0" fontId="10" fillId="0" borderId="25" xfId="0" applyFont="1" applyBorder="1" applyAlignment="1">
      <alignment horizontal="justify" vertical="center" wrapText="1"/>
    </xf>
    <xf numFmtId="0" fontId="21" fillId="0" borderId="25" xfId="0" applyFont="1" applyBorder="1" applyAlignment="1">
      <alignment horizontal="justify" vertical="center" wrapText="1"/>
    </xf>
    <xf numFmtId="0" fontId="21" fillId="0" borderId="26" xfId="0" applyFont="1" applyBorder="1" applyAlignment="1">
      <alignment vertical="center" wrapText="1"/>
    </xf>
    <xf numFmtId="0" fontId="13" fillId="0" borderId="25" xfId="0" applyFont="1" applyBorder="1" applyAlignment="1">
      <alignment vertical="center" wrapText="1"/>
    </xf>
    <xf numFmtId="0" fontId="13" fillId="0" borderId="25" xfId="0" applyFont="1" applyBorder="1" applyAlignment="1">
      <alignment horizontal="justify" vertical="center" wrapText="1"/>
    </xf>
    <xf numFmtId="0" fontId="25" fillId="0" borderId="25" xfId="0" applyFont="1" applyBorder="1" applyAlignment="1">
      <alignment horizontal="justify" vertical="center" wrapText="1"/>
    </xf>
    <xf numFmtId="0" fontId="169" fillId="0" borderId="25" xfId="0" applyFont="1" applyBorder="1" applyAlignment="1">
      <alignment horizontal="justify" vertical="center" wrapText="1"/>
    </xf>
    <xf numFmtId="0" fontId="169" fillId="0" borderId="26" xfId="0" applyFont="1" applyBorder="1" applyAlignment="1">
      <alignment horizontal="left" vertical="center" wrapText="1" indent="2"/>
    </xf>
    <xf numFmtId="0" fontId="25" fillId="11" borderId="26" xfId="0" applyFont="1" applyFill="1" applyBorder="1" applyAlignment="1">
      <alignment horizontal="justify" vertical="center" wrapText="1"/>
    </xf>
    <xf numFmtId="9" fontId="22" fillId="0" borderId="26" xfId="0" applyNumberFormat="1" applyFont="1" applyBorder="1" applyAlignment="1">
      <alignment horizontal="center" vertical="center" wrapText="1"/>
    </xf>
    <xf numFmtId="0" fontId="22" fillId="0" borderId="26" xfId="0" applyFont="1" applyBorder="1" applyAlignment="1">
      <alignment vertical="center" wrapText="1"/>
    </xf>
    <xf numFmtId="9" fontId="172" fillId="0" borderId="26" xfId="0" applyNumberFormat="1" applyFont="1" applyBorder="1" applyAlignment="1">
      <alignment horizontal="center" vertical="center" wrapText="1"/>
    </xf>
    <xf numFmtId="0" fontId="25" fillId="0" borderId="26" xfId="0" applyFont="1" applyBorder="1" applyAlignment="1">
      <alignment horizontal="justify" vertical="center" wrapText="1"/>
    </xf>
    <xf numFmtId="0" fontId="169" fillId="0" borderId="26" xfId="0" applyFont="1" applyBorder="1" applyAlignment="1">
      <alignment horizontal="justify" vertical="center" wrapText="1"/>
    </xf>
    <xf numFmtId="0" fontId="169" fillId="0" borderId="25" xfId="0" applyFont="1" applyBorder="1" applyAlignment="1">
      <alignment horizontal="left" vertical="center" wrapText="1" indent="2"/>
    </xf>
    <xf numFmtId="0" fontId="25" fillId="61" borderId="2" xfId="0" applyFont="1" applyFill="1" applyBorder="1" applyAlignment="1">
      <alignment horizontal="center" vertical="center" wrapText="1"/>
    </xf>
    <xf numFmtId="0" fontId="25" fillId="61" borderId="7" xfId="0" applyFont="1" applyFill="1" applyBorder="1" applyAlignment="1">
      <alignment horizontal="center" vertical="center" wrapText="1"/>
    </xf>
    <xf numFmtId="0" fontId="25" fillId="61" borderId="10" xfId="0" applyFont="1" applyFill="1" applyBorder="1" applyAlignment="1">
      <alignment horizontal="center" vertical="center" wrapText="1"/>
    </xf>
    <xf numFmtId="0" fontId="25" fillId="61" borderId="12" xfId="0" applyFont="1" applyFill="1" applyBorder="1" applyAlignment="1">
      <alignment horizontal="center" vertical="center" wrapText="1"/>
    </xf>
    <xf numFmtId="0" fontId="25" fillId="0" borderId="8" xfId="0" applyFont="1" applyBorder="1" applyAlignment="1">
      <alignment vertical="center" wrapText="1"/>
    </xf>
    <xf numFmtId="0" fontId="25" fillId="0" borderId="2" xfId="0" applyFont="1" applyBorder="1" applyAlignment="1">
      <alignment vertical="center" wrapText="1"/>
    </xf>
    <xf numFmtId="0" fontId="25" fillId="0" borderId="7" xfId="0" applyFont="1" applyBorder="1" applyAlignment="1">
      <alignment vertical="center" wrapText="1"/>
    </xf>
    <xf numFmtId="0" fontId="10" fillId="0" borderId="2" xfId="0" applyFont="1" applyBorder="1" applyAlignment="1">
      <alignment horizontal="justify" vertical="center" wrapText="1"/>
    </xf>
    <xf numFmtId="0" fontId="10" fillId="0" borderId="7" xfId="0" applyFont="1" applyBorder="1" applyAlignment="1">
      <alignment horizontal="justify" vertical="center" wrapText="1"/>
    </xf>
    <xf numFmtId="9" fontId="10" fillId="0" borderId="2" xfId="0" applyNumberFormat="1" applyFont="1" applyBorder="1" applyAlignment="1">
      <alignment horizontal="center" vertical="center" wrapText="1"/>
    </xf>
    <xf numFmtId="9" fontId="10" fillId="0" borderId="7" xfId="0" applyNumberFormat="1" applyFont="1" applyBorder="1" applyAlignment="1">
      <alignment horizontal="center" vertical="center" wrapText="1"/>
    </xf>
    <xf numFmtId="0" fontId="168" fillId="0" borderId="27" xfId="0" applyFont="1" applyBorder="1" applyAlignment="1">
      <alignment vertical="center" wrapText="1"/>
    </xf>
    <xf numFmtId="0" fontId="10" fillId="0" borderId="8" xfId="0" applyFont="1" applyBorder="1" applyAlignment="1">
      <alignment horizontal="justify" vertical="center" wrapText="1"/>
    </xf>
    <xf numFmtId="9" fontId="22" fillId="0" borderId="2" xfId="0" applyNumberFormat="1" applyFont="1" applyBorder="1" applyAlignment="1">
      <alignment horizontal="center" vertical="center" wrapText="1"/>
    </xf>
    <xf numFmtId="9" fontId="22" fillId="0" borderId="8" xfId="0" applyNumberFormat="1" applyFont="1" applyBorder="1" applyAlignment="1">
      <alignment horizontal="center" vertical="center" wrapText="1"/>
    </xf>
    <xf numFmtId="9" fontId="22" fillId="0" borderId="7" xfId="0" applyNumberFormat="1" applyFont="1" applyBorder="1" applyAlignment="1">
      <alignment horizontal="center" vertical="center" wrapText="1"/>
    </xf>
    <xf numFmtId="9" fontId="14" fillId="0" borderId="2" xfId="0" applyNumberFormat="1" applyFont="1" applyBorder="1" applyAlignment="1">
      <alignment horizontal="center" vertical="center" wrapText="1"/>
    </xf>
    <xf numFmtId="9" fontId="14" fillId="0" borderId="8" xfId="0" applyNumberFormat="1" applyFont="1" applyBorder="1" applyAlignment="1">
      <alignment horizontal="center" vertical="center" wrapText="1"/>
    </xf>
    <xf numFmtId="9" fontId="10" fillId="0" borderId="8" xfId="0" applyNumberFormat="1" applyFont="1" applyBorder="1" applyAlignment="1">
      <alignment horizontal="center" vertical="center" wrapText="1"/>
    </xf>
    <xf numFmtId="0" fontId="10" fillId="0" borderId="2" xfId="0" applyFont="1" applyBorder="1" applyAlignment="1">
      <alignment vertical="center" wrapText="1"/>
    </xf>
    <xf numFmtId="0" fontId="10" fillId="0" borderId="7" xfId="0" applyFont="1" applyBorder="1" applyAlignment="1">
      <alignment vertical="center" wrapText="1"/>
    </xf>
    <xf numFmtId="9" fontId="172" fillId="0" borderId="2" xfId="0" applyNumberFormat="1" applyFont="1" applyBorder="1" applyAlignment="1">
      <alignment horizontal="center" vertical="center" wrapText="1"/>
    </xf>
    <xf numFmtId="9" fontId="172" fillId="0" borderId="7" xfId="0" applyNumberFormat="1" applyFont="1" applyBorder="1" applyAlignment="1">
      <alignment horizontal="center" vertical="center" wrapText="1"/>
    </xf>
    <xf numFmtId="0" fontId="14" fillId="0" borderId="2" xfId="0" applyFont="1" applyBorder="1" applyAlignment="1">
      <alignment horizontal="justify" vertical="center" wrapText="1"/>
    </xf>
    <xf numFmtId="0" fontId="14" fillId="0" borderId="8" xfId="0" applyFont="1" applyBorder="1" applyAlignment="1">
      <alignment horizontal="justify" vertical="center" wrapText="1"/>
    </xf>
    <xf numFmtId="0" fontId="14" fillId="0" borderId="7" xfId="0" applyFont="1" applyBorder="1" applyAlignment="1">
      <alignment horizontal="justify" vertical="center" wrapText="1"/>
    </xf>
    <xf numFmtId="0" fontId="10" fillId="0" borderId="8" xfId="0" applyFont="1" applyBorder="1" applyAlignment="1">
      <alignment vertical="center" wrapText="1"/>
    </xf>
    <xf numFmtId="0" fontId="25" fillId="0" borderId="26" xfId="0" applyFont="1" applyFill="1" applyBorder="1" applyAlignment="1">
      <alignment vertical="center" wrapText="1"/>
    </xf>
    <xf numFmtId="0" fontId="10" fillId="0" borderId="26" xfId="0" applyFont="1" applyFill="1" applyBorder="1" applyAlignment="1">
      <alignment horizontal="justify" vertical="center" wrapText="1"/>
    </xf>
    <xf numFmtId="9" fontId="10" fillId="0" borderId="26" xfId="0" applyNumberFormat="1" applyFont="1" applyFill="1" applyBorder="1" applyAlignment="1">
      <alignment horizontal="center" vertical="center" wrapText="1"/>
    </xf>
    <xf numFmtId="0" fontId="10" fillId="0" borderId="26" xfId="0" applyFont="1" applyFill="1" applyBorder="1" applyAlignment="1">
      <alignment vertical="center" wrapText="1"/>
    </xf>
    <xf numFmtId="0" fontId="168" fillId="0" borderId="0" xfId="0" applyFont="1" applyFill="1" applyAlignment="1">
      <alignment vertical="center" wrapText="1"/>
    </xf>
    <xf numFmtId="0" fontId="0" fillId="0" borderId="0" xfId="0" applyFill="1"/>
    <xf numFmtId="0" fontId="10" fillId="12" borderId="26" xfId="0" applyFont="1" applyFill="1" applyBorder="1" applyAlignment="1">
      <alignment horizontal="justify" vertical="center" wrapText="1"/>
    </xf>
    <xf numFmtId="10" fontId="14" fillId="0" borderId="2" xfId="0" applyNumberFormat="1" applyFont="1" applyFill="1" applyBorder="1" applyAlignment="1">
      <alignment horizontal="center" vertical="center" wrapText="1"/>
    </xf>
    <xf numFmtId="10" fontId="14" fillId="0" borderId="8" xfId="0" applyNumberFormat="1" applyFont="1" applyFill="1" applyBorder="1" applyAlignment="1">
      <alignment horizontal="center" vertical="center" wrapText="1"/>
    </xf>
    <xf numFmtId="0" fontId="25" fillId="0" borderId="2" xfId="0" applyFont="1" applyBorder="1" applyAlignment="1">
      <alignment horizontal="left" vertical="center" wrapText="1"/>
    </xf>
    <xf numFmtId="0" fontId="25" fillId="0" borderId="8" xfId="0" applyFont="1" applyBorder="1" applyAlignment="1">
      <alignment horizontal="left" vertical="center" wrapText="1"/>
    </xf>
    <xf numFmtId="9" fontId="10" fillId="0" borderId="2" xfId="0" applyNumberFormat="1" applyFont="1" applyBorder="1" applyAlignment="1">
      <alignment horizontal="center" vertical="center" wrapText="1"/>
    </xf>
    <xf numFmtId="0" fontId="168" fillId="0" borderId="27" xfId="0" applyFont="1" applyBorder="1" applyAlignment="1">
      <alignment vertical="center" wrapText="1"/>
    </xf>
    <xf numFmtId="0" fontId="10" fillId="0" borderId="2" xfId="0" applyFont="1" applyBorder="1" applyAlignment="1">
      <alignment horizontal="justify" vertical="center" wrapText="1"/>
    </xf>
    <xf numFmtId="9" fontId="22" fillId="0" borderId="2" xfId="0" applyNumberFormat="1" applyFont="1" applyBorder="1" applyAlignment="1">
      <alignment horizontal="center" vertical="center" wrapText="1"/>
    </xf>
    <xf numFmtId="10" fontId="10" fillId="0" borderId="2" xfId="0" applyNumberFormat="1" applyFont="1" applyBorder="1" applyAlignment="1">
      <alignment horizontal="center" vertical="center" wrapText="1"/>
    </xf>
    <xf numFmtId="0" fontId="25" fillId="0" borderId="2" xfId="0" applyFont="1" applyBorder="1" applyAlignment="1">
      <alignment vertical="center" wrapText="1"/>
    </xf>
    <xf numFmtId="9" fontId="10" fillId="0" borderId="2" xfId="0" applyNumberFormat="1" applyFont="1" applyBorder="1" applyAlignment="1">
      <alignment horizontal="justify" vertical="center" wrapText="1"/>
    </xf>
    <xf numFmtId="0" fontId="73" fillId="0" borderId="26" xfId="0" applyFont="1" applyBorder="1" applyAlignment="1">
      <alignment horizontal="justify" vertical="center" wrapText="1"/>
    </xf>
    <xf numFmtId="0" fontId="10" fillId="12" borderId="26" xfId="0" applyFont="1" applyFill="1" applyBorder="1" applyAlignment="1">
      <alignment vertical="center" wrapText="1"/>
    </xf>
    <xf numFmtId="0" fontId="73" fillId="0" borderId="26" xfId="0" applyFont="1" applyBorder="1" applyAlignment="1">
      <alignment vertical="center" wrapText="1"/>
    </xf>
    <xf numFmtId="0" fontId="10" fillId="0" borderId="2" xfId="0" applyFont="1" applyBorder="1" applyAlignment="1">
      <alignment vertical="center" wrapText="1"/>
    </xf>
    <xf numFmtId="9" fontId="172" fillId="0" borderId="2" xfId="0" applyNumberFormat="1" applyFont="1" applyBorder="1" applyAlignment="1">
      <alignment horizontal="center" vertical="center" wrapText="1"/>
    </xf>
    <xf numFmtId="0" fontId="73" fillId="0" borderId="25" xfId="0" applyFont="1" applyBorder="1" applyAlignment="1">
      <alignment horizontal="justify" vertical="center" wrapText="1"/>
    </xf>
    <xf numFmtId="0" fontId="174" fillId="0" borderId="25" xfId="0" applyFont="1" applyBorder="1" applyAlignment="1">
      <alignment horizontal="justify" vertical="center" wrapText="1"/>
    </xf>
    <xf numFmtId="0" fontId="176" fillId="0" borderId="25" xfId="0" applyFont="1" applyBorder="1" applyAlignment="1">
      <alignment horizontal="left" vertical="center" wrapText="1" indent="2"/>
    </xf>
    <xf numFmtId="0" fontId="176" fillId="0" borderId="26" xfId="0" applyFont="1" applyBorder="1" applyAlignment="1">
      <alignment horizontal="left" vertical="center" wrapText="1" indent="2"/>
    </xf>
    <xf numFmtId="0" fontId="165" fillId="26" borderId="4" xfId="0" applyFont="1" applyFill="1" applyBorder="1" applyAlignment="1">
      <alignment horizontal="center" vertical="center" wrapText="1"/>
    </xf>
    <xf numFmtId="0" fontId="31" fillId="26" borderId="4" xfId="0" applyFont="1" applyFill="1" applyBorder="1" applyAlignment="1">
      <alignment horizontal="center" vertical="center" wrapText="1"/>
    </xf>
    <xf numFmtId="0" fontId="165" fillId="62" borderId="4" xfId="0" applyFont="1" applyFill="1" applyBorder="1" applyAlignment="1">
      <alignment horizontal="left" vertical="center"/>
    </xf>
    <xf numFmtId="0" fontId="165" fillId="63" borderId="4" xfId="0" applyFont="1" applyFill="1" applyBorder="1" applyAlignment="1">
      <alignment horizontal="center" vertical="center" wrapText="1"/>
    </xf>
    <xf numFmtId="0" fontId="178" fillId="0" borderId="4" xfId="0" applyFont="1" applyBorder="1" applyAlignment="1">
      <alignment horizontal="left" vertical="center" wrapText="1"/>
    </xf>
    <xf numFmtId="0" fontId="178" fillId="0" borderId="4" xfId="0" applyFont="1" applyBorder="1" applyAlignment="1">
      <alignment horizontal="center" vertical="center"/>
    </xf>
    <xf numFmtId="0" fontId="178" fillId="5" borderId="4" xfId="0" applyFont="1" applyFill="1" applyBorder="1" applyAlignment="1">
      <alignment horizontal="center" vertical="center"/>
    </xf>
    <xf numFmtId="0" fontId="28" fillId="10" borderId="4" xfId="0" applyFont="1" applyFill="1" applyBorder="1" applyAlignment="1">
      <alignment horizontal="center" vertical="center"/>
    </xf>
    <xf numFmtId="0" fontId="28" fillId="10" borderId="4" xfId="0" applyFont="1" applyFill="1" applyBorder="1" applyAlignment="1">
      <alignment horizontal="center" vertical="center" wrapText="1"/>
    </xf>
    <xf numFmtId="9" fontId="28" fillId="10" borderId="4" xfId="2" applyFont="1" applyFill="1" applyBorder="1" applyAlignment="1">
      <alignment horizontal="center" vertical="center"/>
    </xf>
    <xf numFmtId="9" fontId="28" fillId="10" borderId="4" xfId="2" applyFont="1" applyFill="1" applyBorder="1" applyAlignment="1">
      <alignment horizontal="left" vertical="center" wrapText="1"/>
    </xf>
    <xf numFmtId="0" fontId="28" fillId="64" borderId="4" xfId="0" applyFont="1" applyFill="1" applyBorder="1" applyAlignment="1">
      <alignment horizontal="center" vertical="center"/>
    </xf>
    <xf numFmtId="9" fontId="28" fillId="10" borderId="4" xfId="0" applyNumberFormat="1" applyFont="1" applyFill="1" applyBorder="1" applyAlignment="1">
      <alignment horizontal="center" vertical="center"/>
    </xf>
    <xf numFmtId="9" fontId="28" fillId="10" borderId="4" xfId="0" applyNumberFormat="1" applyFont="1" applyFill="1" applyBorder="1" applyAlignment="1">
      <alignment horizontal="left" vertical="center" wrapText="1"/>
    </xf>
    <xf numFmtId="0" fontId="165" fillId="62" borderId="4" xfId="0" applyFont="1" applyFill="1" applyBorder="1" applyAlignment="1">
      <alignment vertical="center" wrapText="1"/>
    </xf>
    <xf numFmtId="0" fontId="21" fillId="0" borderId="4" xfId="0" applyFont="1" applyFill="1" applyBorder="1" applyAlignment="1">
      <alignment horizontal="left" vertical="center" wrapText="1"/>
    </xf>
    <xf numFmtId="0" fontId="165" fillId="5" borderId="4" xfId="0" applyFont="1" applyFill="1" applyBorder="1" applyAlignment="1">
      <alignment horizontal="center" vertical="center"/>
    </xf>
    <xf numFmtId="9" fontId="28" fillId="10" borderId="4" xfId="2" applyFont="1" applyFill="1" applyBorder="1" applyAlignment="1">
      <alignment horizontal="left" vertical="center"/>
    </xf>
    <xf numFmtId="0" fontId="28" fillId="64" borderId="4" xfId="0" applyFont="1" applyFill="1" applyBorder="1" applyAlignment="1">
      <alignment horizontal="center" vertical="center" wrapText="1"/>
    </xf>
    <xf numFmtId="0" fontId="28" fillId="10" borderId="4" xfId="0" applyFont="1" applyFill="1" applyBorder="1" applyAlignment="1">
      <alignment horizontal="left" vertical="center" wrapText="1"/>
    </xf>
    <xf numFmtId="1" fontId="28" fillId="10" borderId="4" xfId="2" applyNumberFormat="1" applyFont="1" applyFill="1" applyBorder="1" applyAlignment="1">
      <alignment horizontal="left" vertical="center" wrapText="1"/>
    </xf>
    <xf numFmtId="0" fontId="21" fillId="0" borderId="4" xfId="0" applyFont="1" applyFill="1" applyBorder="1" applyAlignment="1">
      <alignment horizontal="left" vertical="center" wrapText="1"/>
    </xf>
    <xf numFmtId="0" fontId="165" fillId="5" borderId="4" xfId="0" applyFont="1" applyFill="1" applyBorder="1" applyAlignment="1">
      <alignment horizontal="center" vertical="center"/>
    </xf>
    <xf numFmtId="0" fontId="165" fillId="62" borderId="4" xfId="0" applyFont="1" applyFill="1" applyBorder="1" applyAlignment="1">
      <alignment horizontal="left" vertical="center" wrapText="1"/>
    </xf>
    <xf numFmtId="0" fontId="181" fillId="5" borderId="4" xfId="0" applyFont="1" applyFill="1" applyBorder="1" applyAlignment="1">
      <alignment horizontal="left" vertical="center" wrapText="1"/>
    </xf>
    <xf numFmtId="0" fontId="22" fillId="0" borderId="4" xfId="0" applyFont="1" applyBorder="1" applyAlignment="1">
      <alignment horizontal="center" vertical="center"/>
    </xf>
    <xf numFmtId="9" fontId="28" fillId="64" borderId="4" xfId="2" applyFont="1" applyFill="1" applyBorder="1" applyAlignment="1">
      <alignment vertical="center"/>
    </xf>
    <xf numFmtId="0" fontId="28" fillId="10" borderId="4" xfId="0" applyFont="1" applyFill="1" applyBorder="1" applyAlignment="1">
      <alignment vertical="center" wrapText="1"/>
    </xf>
    <xf numFmtId="9" fontId="28" fillId="10" borderId="4" xfId="2" applyFont="1" applyFill="1" applyBorder="1" applyAlignment="1">
      <alignment horizontal="center" vertical="center" wrapText="1"/>
    </xf>
    <xf numFmtId="0" fontId="22" fillId="5" borderId="4" xfId="0" applyFont="1" applyFill="1" applyBorder="1" applyAlignment="1">
      <alignment horizontal="left" vertical="center" wrapText="1"/>
    </xf>
    <xf numFmtId="0" fontId="21" fillId="0" borderId="4" xfId="0" applyFont="1" applyBorder="1" applyAlignment="1">
      <alignment horizontal="center" vertical="center"/>
    </xf>
    <xf numFmtId="0" fontId="165" fillId="5" borderId="4" xfId="0" applyFont="1" applyFill="1" applyBorder="1" applyAlignment="1">
      <alignment horizontal="left" vertical="center" wrapText="1"/>
    </xf>
    <xf numFmtId="9" fontId="28" fillId="10" borderId="4" xfId="0" applyNumberFormat="1" applyFont="1" applyFill="1" applyBorder="1" applyAlignment="1">
      <alignment horizontal="center" vertical="center" wrapText="1"/>
    </xf>
    <xf numFmtId="0" fontId="178" fillId="5" borderId="4" xfId="0" applyFont="1" applyFill="1" applyBorder="1" applyAlignment="1">
      <alignment horizontal="left" vertical="center" wrapText="1"/>
    </xf>
    <xf numFmtId="0" fontId="178" fillId="0" borderId="4" xfId="0" applyFont="1" applyBorder="1" applyAlignment="1">
      <alignment horizontal="center" vertical="center"/>
    </xf>
    <xf numFmtId="0" fontId="178" fillId="5" borderId="4" xfId="0" applyFont="1" applyFill="1" applyBorder="1" applyAlignment="1">
      <alignment horizontal="left" vertical="center" wrapText="1"/>
    </xf>
    <xf numFmtId="1" fontId="28" fillId="10" borderId="4" xfId="0" applyNumberFormat="1" applyFont="1" applyFill="1" applyBorder="1" applyAlignment="1">
      <alignment horizontal="left" vertical="center" wrapText="1"/>
    </xf>
    <xf numFmtId="9" fontId="178" fillId="5" borderId="4" xfId="2" applyFont="1" applyFill="1" applyBorder="1" applyAlignment="1">
      <alignment horizontal="center" vertical="center"/>
    </xf>
    <xf numFmtId="0" fontId="165" fillId="65" borderId="4" xfId="0" applyFont="1" applyFill="1" applyBorder="1" applyAlignment="1">
      <alignment horizontal="center" vertical="center" wrapText="1"/>
    </xf>
    <xf numFmtId="0" fontId="178" fillId="5" borderId="4" xfId="0" applyFont="1" applyFill="1" applyBorder="1" applyAlignment="1">
      <alignment horizontal="center" vertical="center" wrapText="1"/>
    </xf>
    <xf numFmtId="0" fontId="178" fillId="5" borderId="4" xfId="0" applyFont="1" applyFill="1" applyBorder="1" applyAlignment="1">
      <alignment horizontal="center"/>
    </xf>
    <xf numFmtId="0" fontId="28" fillId="10" borderId="4" xfId="0" applyFont="1" applyFill="1" applyBorder="1" applyAlignment="1">
      <alignment horizontal="center"/>
    </xf>
    <xf numFmtId="0" fontId="28" fillId="10" borderId="4" xfId="0" applyFont="1" applyFill="1" applyBorder="1" applyAlignment="1">
      <alignment horizontal="center" wrapText="1"/>
    </xf>
    <xf numFmtId="9" fontId="28" fillId="10" borderId="4" xfId="0" applyNumberFormat="1" applyFont="1" applyFill="1" applyBorder="1" applyAlignment="1">
      <alignment horizontal="center"/>
    </xf>
    <xf numFmtId="0" fontId="178" fillId="5" borderId="4" xfId="0" applyFont="1" applyFill="1" applyBorder="1" applyAlignment="1">
      <alignment horizontal="center" vertical="center"/>
    </xf>
    <xf numFmtId="0" fontId="178" fillId="5" borderId="4" xfId="0" applyFont="1" applyFill="1" applyBorder="1" applyAlignment="1">
      <alignment horizontal="center" vertical="center" wrapText="1"/>
    </xf>
    <xf numFmtId="9" fontId="178" fillId="5" borderId="4" xfId="0" applyNumberFormat="1" applyFont="1" applyFill="1" applyBorder="1" applyAlignment="1">
      <alignment horizontal="center" vertical="center"/>
    </xf>
    <xf numFmtId="9" fontId="178" fillId="5" borderId="4" xfId="0" applyNumberFormat="1" applyFont="1" applyFill="1" applyBorder="1" applyAlignment="1">
      <alignment horizontal="center" vertical="center" wrapText="1"/>
    </xf>
    <xf numFmtId="0" fontId="178" fillId="0" borderId="4" xfId="0" applyFont="1" applyFill="1" applyBorder="1" applyAlignment="1">
      <alignment horizontal="left" vertical="center" wrapText="1"/>
    </xf>
    <xf numFmtId="9" fontId="28" fillId="64" borderId="4" xfId="0" applyNumberFormat="1" applyFont="1" applyFill="1" applyBorder="1" applyAlignment="1">
      <alignment horizontal="center" vertical="center"/>
    </xf>
    <xf numFmtId="0" fontId="22" fillId="0" borderId="4" xfId="0" applyFont="1" applyBorder="1" applyAlignment="1">
      <alignment horizontal="left" vertical="center" wrapText="1"/>
    </xf>
    <xf numFmtId="0" fontId="28" fillId="10" borderId="4" xfId="0" applyFont="1" applyFill="1" applyBorder="1" applyAlignment="1">
      <alignment horizontal="left" vertical="center"/>
    </xf>
    <xf numFmtId="0" fontId="8" fillId="10" borderId="0" xfId="0" applyFont="1" applyFill="1" applyAlignment="1">
      <alignment horizontal="left"/>
    </xf>
    <xf numFmtId="0" fontId="165" fillId="26" borderId="5" xfId="0" applyFont="1" applyFill="1" applyBorder="1" applyAlignment="1">
      <alignment horizontal="center" vertical="center" wrapText="1"/>
    </xf>
    <xf numFmtId="0" fontId="165" fillId="26" borderId="9" xfId="0" applyFont="1" applyFill="1" applyBorder="1" applyAlignment="1">
      <alignment horizontal="center" vertical="center" wrapText="1"/>
    </xf>
    <xf numFmtId="0" fontId="0" fillId="10" borderId="0" xfId="0" applyFill="1" applyAlignment="1">
      <alignment horizontal="center"/>
    </xf>
    <xf numFmtId="0" fontId="13" fillId="21" borderId="2" xfId="0" applyFont="1" applyFill="1" applyBorder="1" applyAlignment="1">
      <alignment horizontal="center" vertical="center"/>
    </xf>
    <xf numFmtId="0" fontId="13" fillId="21" borderId="20" xfId="0" applyFont="1" applyFill="1" applyBorder="1" applyAlignment="1">
      <alignment horizontal="center" vertical="center" wrapText="1"/>
    </xf>
    <xf numFmtId="0" fontId="13" fillId="11" borderId="7" xfId="0" applyFont="1" applyFill="1" applyBorder="1" applyAlignment="1">
      <alignment horizontal="center" vertical="center"/>
    </xf>
    <xf numFmtId="0" fontId="13" fillId="11" borderId="26" xfId="0" applyFont="1" applyFill="1" applyBorder="1" applyAlignment="1">
      <alignment horizontal="center" vertical="center"/>
    </xf>
    <xf numFmtId="3" fontId="10" fillId="11" borderId="26" xfId="0" applyNumberFormat="1" applyFont="1" applyFill="1" applyBorder="1" applyAlignment="1">
      <alignment horizontal="center" vertical="center"/>
    </xf>
    <xf numFmtId="3" fontId="10" fillId="11" borderId="26" xfId="0" applyNumberFormat="1" applyFont="1" applyFill="1" applyBorder="1" applyAlignment="1">
      <alignment horizontal="center" vertical="center" wrapText="1"/>
    </xf>
    <xf numFmtId="10" fontId="10" fillId="11" borderId="26" xfId="0" applyNumberFormat="1" applyFont="1" applyFill="1" applyBorder="1" applyAlignment="1">
      <alignment horizontal="center" vertical="center" wrapText="1"/>
    </xf>
    <xf numFmtId="0" fontId="13" fillId="11" borderId="26" xfId="0" applyFont="1" applyFill="1" applyBorder="1" applyAlignment="1">
      <alignment horizontal="center" vertical="center" wrapText="1"/>
    </xf>
    <xf numFmtId="9" fontId="10" fillId="11" borderId="26" xfId="0" applyNumberFormat="1" applyFont="1" applyFill="1" applyBorder="1" applyAlignment="1">
      <alignment horizontal="center" vertical="center" wrapText="1"/>
    </xf>
    <xf numFmtId="3" fontId="25" fillId="66" borderId="26" xfId="0" applyNumberFormat="1" applyFont="1" applyFill="1" applyBorder="1" applyAlignment="1">
      <alignment horizontal="center" vertical="center"/>
    </xf>
    <xf numFmtId="3" fontId="25" fillId="66" borderId="26" xfId="0" applyNumberFormat="1" applyFont="1" applyFill="1" applyBorder="1" applyAlignment="1">
      <alignment horizontal="center" vertical="center" wrapText="1"/>
    </xf>
    <xf numFmtId="10" fontId="25" fillId="66" borderId="26" xfId="0" applyNumberFormat="1" applyFont="1" applyFill="1" applyBorder="1" applyAlignment="1">
      <alignment horizontal="center" vertical="center" wrapText="1"/>
    </xf>
    <xf numFmtId="0" fontId="13" fillId="66" borderId="10" xfId="0" applyFont="1" applyFill="1" applyBorder="1" applyAlignment="1">
      <alignment horizontal="center" vertical="center"/>
    </xf>
    <xf numFmtId="0" fontId="13" fillId="66" borderId="12" xfId="0" applyFont="1" applyFill="1" applyBorder="1" applyAlignment="1">
      <alignment horizontal="center" vertical="center"/>
    </xf>
    <xf numFmtId="0" fontId="97" fillId="0" borderId="0" xfId="6" applyAlignment="1">
      <alignment horizontal="justify" vertical="center"/>
    </xf>
    <xf numFmtId="0" fontId="13" fillId="21" borderId="2" xfId="0" applyFont="1" applyFill="1" applyBorder="1" applyAlignment="1">
      <alignment horizontal="center" vertical="center" wrapText="1"/>
    </xf>
    <xf numFmtId="10" fontId="10" fillId="11" borderId="26" xfId="2" applyNumberFormat="1" applyFont="1" applyFill="1" applyBorder="1" applyAlignment="1">
      <alignment horizontal="center" vertical="center" wrapText="1"/>
    </xf>
    <xf numFmtId="0" fontId="10" fillId="12" borderId="25" xfId="0" applyFont="1" applyFill="1" applyBorder="1" applyAlignment="1">
      <alignment horizontal="justify" vertical="center" wrapText="1"/>
    </xf>
  </cellXfs>
  <cellStyles count="10">
    <cellStyle name="Lien hypertexte" xfId="6" builtinId="8"/>
    <cellStyle name="Milliers [0]" xfId="1" builtinId="6"/>
    <cellStyle name="Milliers [0] 2" xfId="4" xr:uid="{82DC2E54-0611-4214-A0A5-E88B6E9AF417}"/>
    <cellStyle name="Milliers [0] 4" xfId="9" xr:uid="{B4B922E3-3352-483F-97B9-A23DCDE96F9B}"/>
    <cellStyle name="Milliers 2" xfId="3" xr:uid="{57CA3BCC-0947-4495-BB8E-75848A761BEE}"/>
    <cellStyle name="Milliers 3" xfId="5" xr:uid="{AF15FDC7-D102-4A3B-B041-19391312E9B2}"/>
    <cellStyle name="Normal" xfId="0" builtinId="0"/>
    <cellStyle name="Normal 4" xfId="7" xr:uid="{B1093893-DFD9-4A37-AEB8-BACB687D29D0}"/>
    <cellStyle name="Pourcentage" xfId="2" builtinId="5"/>
    <cellStyle name="Pourcentage 3" xfId="8" xr:uid="{F29E025A-F0F2-4129-91B6-E3A11A0D6D8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hyperlink" Target="#ACCUEIL!A1"/></Relationships>
</file>

<file path=xl/drawings/_rels/drawing10.xml.rels><?xml version="1.0" encoding="UTF-8" standalone="yes"?>
<Relationships xmlns="http://schemas.openxmlformats.org/package/2006/relationships"><Relationship Id="rId1" Type="http://schemas.openxmlformats.org/officeDocument/2006/relationships/hyperlink" Target="#ACCUEIL!A1"/></Relationships>
</file>

<file path=xl/drawings/_rels/drawing2.xml.rels><?xml version="1.0" encoding="UTF-8" standalone="yes"?>
<Relationships xmlns="http://schemas.openxmlformats.org/package/2006/relationships"><Relationship Id="rId1" Type="http://schemas.openxmlformats.org/officeDocument/2006/relationships/hyperlink" Target="#ACCUEIL!A1"/></Relationships>
</file>

<file path=xl/drawings/_rels/drawing3.xml.rels><?xml version="1.0" encoding="UTF-8" standalone="yes"?>
<Relationships xmlns="http://schemas.openxmlformats.org/package/2006/relationships"><Relationship Id="rId1" Type="http://schemas.openxmlformats.org/officeDocument/2006/relationships/hyperlink" Target="#ACCUEIL!A1"/></Relationships>
</file>

<file path=xl/drawings/_rels/drawing4.xml.rels><?xml version="1.0" encoding="UTF-8" standalone="yes"?>
<Relationships xmlns="http://schemas.openxmlformats.org/package/2006/relationships"><Relationship Id="rId1" Type="http://schemas.openxmlformats.org/officeDocument/2006/relationships/hyperlink" Target="#ACCUEIL!A1"/></Relationships>
</file>

<file path=xl/drawings/_rels/drawing5.xml.rels><?xml version="1.0" encoding="UTF-8" standalone="yes"?>
<Relationships xmlns="http://schemas.openxmlformats.org/package/2006/relationships"><Relationship Id="rId1" Type="http://schemas.openxmlformats.org/officeDocument/2006/relationships/hyperlink" Target="#SOMMAIRE!A1"/></Relationships>
</file>

<file path=xl/drawings/_rels/drawing6.xml.rels><?xml version="1.0" encoding="UTF-8" standalone="yes"?>
<Relationships xmlns="http://schemas.openxmlformats.org/package/2006/relationships"><Relationship Id="rId1" Type="http://schemas.openxmlformats.org/officeDocument/2006/relationships/hyperlink" Target="#ACCUEIL!A1"/></Relationships>
</file>

<file path=xl/drawings/_rels/drawing7.xml.rels><?xml version="1.0" encoding="UTF-8" standalone="yes"?>
<Relationships xmlns="http://schemas.openxmlformats.org/package/2006/relationships"><Relationship Id="rId1" Type="http://schemas.openxmlformats.org/officeDocument/2006/relationships/hyperlink" Target="#MENU!A1"/></Relationships>
</file>

<file path=xl/drawings/_rels/drawing8.xml.rels><?xml version="1.0" encoding="UTF-8" standalone="yes"?>
<Relationships xmlns="http://schemas.openxmlformats.org/package/2006/relationships"><Relationship Id="rId1" Type="http://schemas.openxmlformats.org/officeDocument/2006/relationships/hyperlink" Target="#ACCUEIL!A1"/></Relationships>
</file>

<file path=xl/drawings/_rels/drawing9.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xdr:from>
      <xdr:col>0</xdr:col>
      <xdr:colOff>65316</xdr:colOff>
      <xdr:row>0</xdr:row>
      <xdr:rowOff>38100</xdr:rowOff>
    </xdr:from>
    <xdr:to>
      <xdr:col>0</xdr:col>
      <xdr:colOff>1034144</xdr:colOff>
      <xdr:row>0</xdr:row>
      <xdr:rowOff>272143</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34739C41-9DFA-4F2E-83E3-8A9511498CD8}"/>
            </a:ext>
          </a:extLst>
        </xdr:cNvPr>
        <xdr:cNvSpPr/>
      </xdr:nvSpPr>
      <xdr:spPr>
        <a:xfrm>
          <a:off x="65316" y="38100"/>
          <a:ext cx="968828" cy="234043"/>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ctr"/>
          <a:r>
            <a:rPr lang="fr-SN" sz="1100" b="1">
              <a:latin typeface="Agency FB" panose="020B0503020202020204" pitchFamily="34" charset="0"/>
            </a:rPr>
            <a:t>SOMMAIRE</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114300</xdr:colOff>
      <xdr:row>0</xdr:row>
      <xdr:rowOff>57150</xdr:rowOff>
    </xdr:from>
    <xdr:to>
      <xdr:col>0</xdr:col>
      <xdr:colOff>1041009</xdr:colOff>
      <xdr:row>1</xdr:row>
      <xdr:rowOff>72292</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697ED634-85A2-4DC6-AE6C-5A6AFE402DA4}"/>
            </a:ext>
          </a:extLst>
        </xdr:cNvPr>
        <xdr:cNvSpPr/>
      </xdr:nvSpPr>
      <xdr:spPr>
        <a:xfrm>
          <a:off x="114300" y="57150"/>
          <a:ext cx="926709" cy="312322"/>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ctr"/>
          <a:r>
            <a:rPr lang="fr-SN" sz="1600" b="1">
              <a:latin typeface="Agency FB" panose="020B0503020202020204" pitchFamily="34" charset="0"/>
            </a:rPr>
            <a:t>SOMMAIRE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22860</xdr:colOff>
      <xdr:row>0</xdr:row>
      <xdr:rowOff>38100</xdr:rowOff>
    </xdr:from>
    <xdr:to>
      <xdr:col>0</xdr:col>
      <xdr:colOff>949569</xdr:colOff>
      <xdr:row>0</xdr:row>
      <xdr:rowOff>351692</xdr:rowOff>
    </xdr:to>
    <xdr:sp macro="" textlink="">
      <xdr:nvSpPr>
        <xdr:cNvPr id="4" name="Rectangle 3">
          <a:hlinkClick xmlns:r="http://schemas.openxmlformats.org/officeDocument/2006/relationships" r:id="rId1"/>
          <a:extLst>
            <a:ext uri="{FF2B5EF4-FFF2-40B4-BE49-F238E27FC236}">
              <a16:creationId xmlns:a16="http://schemas.microsoft.com/office/drawing/2014/main" id="{E3D08F00-D723-4F29-9994-16DB65DF8751}"/>
            </a:ext>
          </a:extLst>
        </xdr:cNvPr>
        <xdr:cNvSpPr/>
      </xdr:nvSpPr>
      <xdr:spPr>
        <a:xfrm>
          <a:off x="22860" y="38100"/>
          <a:ext cx="926709" cy="313592"/>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ctr"/>
          <a:r>
            <a:rPr lang="fr-SN" sz="1600" b="1">
              <a:latin typeface="Agency FB" panose="020B0503020202020204" pitchFamily="34" charset="0"/>
            </a:rPr>
            <a:t>SOMMAIRE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167640</xdr:colOff>
      <xdr:row>0</xdr:row>
      <xdr:rowOff>121920</xdr:rowOff>
    </xdr:from>
    <xdr:to>
      <xdr:col>0</xdr:col>
      <xdr:colOff>1094349</xdr:colOff>
      <xdr:row>2</xdr:row>
      <xdr:rowOff>69752</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6121E711-9735-4BFA-AE39-4B661ED82FD4}"/>
            </a:ext>
          </a:extLst>
        </xdr:cNvPr>
        <xdr:cNvSpPr/>
      </xdr:nvSpPr>
      <xdr:spPr>
        <a:xfrm>
          <a:off x="167640" y="121920"/>
          <a:ext cx="926709" cy="313592"/>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ctr"/>
          <a:r>
            <a:rPr lang="fr-SN" sz="1600" b="1">
              <a:latin typeface="Agency FB" panose="020B0503020202020204" pitchFamily="34" charset="0"/>
            </a:rPr>
            <a:t>SOMMAIRE</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60960</xdr:colOff>
      <xdr:row>0</xdr:row>
      <xdr:rowOff>68580</xdr:rowOff>
    </xdr:from>
    <xdr:to>
      <xdr:col>0</xdr:col>
      <xdr:colOff>987669</xdr:colOff>
      <xdr:row>0</xdr:row>
      <xdr:rowOff>382172</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07D50044-F8CB-43D6-8862-5CA86B00523E}"/>
            </a:ext>
          </a:extLst>
        </xdr:cNvPr>
        <xdr:cNvSpPr/>
      </xdr:nvSpPr>
      <xdr:spPr>
        <a:xfrm>
          <a:off x="60960" y="68580"/>
          <a:ext cx="926709" cy="313592"/>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ctr"/>
          <a:r>
            <a:rPr lang="fr-SN" sz="1600" b="1">
              <a:latin typeface="Agency FB" panose="020B0503020202020204" pitchFamily="34" charset="0"/>
            </a:rPr>
            <a:t>SOMMAIRE</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83820</xdr:colOff>
      <xdr:row>1</xdr:row>
      <xdr:rowOff>45720</xdr:rowOff>
    </xdr:from>
    <xdr:to>
      <xdr:col>0</xdr:col>
      <xdr:colOff>1173373</xdr:colOff>
      <xdr:row>2</xdr:row>
      <xdr:rowOff>160020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0900240C-6C6A-4B62-9EF0-38042C8DCCA6}"/>
            </a:ext>
          </a:extLst>
        </xdr:cNvPr>
        <xdr:cNvSpPr/>
      </xdr:nvSpPr>
      <xdr:spPr>
        <a:xfrm>
          <a:off x="83820" y="99060"/>
          <a:ext cx="1089553" cy="33528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ctr"/>
          <a:r>
            <a:rPr lang="fr-SN" sz="1800" b="1">
              <a:latin typeface="Agency FB" panose="020B0503020202020204" pitchFamily="34" charset="0"/>
            </a:rPr>
            <a:t>SOMMAIRE</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114300</xdr:colOff>
      <xdr:row>0</xdr:row>
      <xdr:rowOff>114300</xdr:rowOff>
    </xdr:from>
    <xdr:to>
      <xdr:col>0</xdr:col>
      <xdr:colOff>1041009</xdr:colOff>
      <xdr:row>1</xdr:row>
      <xdr:rowOff>245012</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AF6A5E26-A167-44C1-A859-93F1C305E672}"/>
            </a:ext>
          </a:extLst>
        </xdr:cNvPr>
        <xdr:cNvSpPr/>
      </xdr:nvSpPr>
      <xdr:spPr>
        <a:xfrm>
          <a:off x="114300" y="114300"/>
          <a:ext cx="926709" cy="313592"/>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ctr"/>
          <a:r>
            <a:rPr lang="fr-SN" sz="1600" b="1">
              <a:latin typeface="Agency FB" panose="020B0503020202020204" pitchFamily="34" charset="0"/>
            </a:rPr>
            <a:t>SOMMAIRE</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76200</xdr:colOff>
      <xdr:row>1</xdr:row>
      <xdr:rowOff>129540</xdr:rowOff>
    </xdr:from>
    <xdr:to>
      <xdr:col>0</xdr:col>
      <xdr:colOff>1150620</xdr:colOff>
      <xdr:row>3</xdr:row>
      <xdr:rowOff>68580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37F1ADFD-2B61-444E-AE2A-FB04D81F615D}"/>
            </a:ext>
          </a:extLst>
        </xdr:cNvPr>
        <xdr:cNvSpPr/>
      </xdr:nvSpPr>
      <xdr:spPr>
        <a:xfrm>
          <a:off x="76200" y="320040"/>
          <a:ext cx="1074420" cy="31242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ctr"/>
          <a:r>
            <a:rPr lang="fr-SN" sz="1800" b="1">
              <a:latin typeface="Agency FB" panose="020B0503020202020204" pitchFamily="34" charset="0"/>
            </a:rPr>
            <a:t>SOMMAIRE</a:t>
          </a:r>
        </a:p>
      </xdr:txBody>
    </xdr:sp>
    <xdr:clientData/>
  </xdr:twoCellAnchor>
  <xdr:twoCellAnchor editAs="oneCell">
    <xdr:from>
      <xdr:col>0</xdr:col>
      <xdr:colOff>0</xdr:colOff>
      <xdr:row>55</xdr:row>
      <xdr:rowOff>228600</xdr:rowOff>
    </xdr:from>
    <xdr:to>
      <xdr:col>0</xdr:col>
      <xdr:colOff>400050</xdr:colOff>
      <xdr:row>59</xdr:row>
      <xdr:rowOff>207874</xdr:rowOff>
    </xdr:to>
    <xdr:sp macro="" textlink="">
      <xdr:nvSpPr>
        <xdr:cNvPr id="3" name="Check Box 4401" hidden="1">
          <a:extLst>
            <a:ext uri="{63B3BB69-23CF-44E3-9099-C40C66FF867C}">
              <a14:compatExt xmlns:a14="http://schemas.microsoft.com/office/drawing/2010/main" spid="_x0000_s6449"/>
            </a:ext>
            <a:ext uri="{FF2B5EF4-FFF2-40B4-BE49-F238E27FC236}">
              <a16:creationId xmlns:a16="http://schemas.microsoft.com/office/drawing/2014/main" id="{F93FE48A-AC4B-4E29-9FCB-27DA273BE916}"/>
            </a:ext>
          </a:extLst>
        </xdr:cNvPr>
        <xdr:cNvSpPr/>
      </xdr:nvSpPr>
      <xdr:spPr bwMode="auto">
        <a:xfrm>
          <a:off x="0" y="17388840"/>
          <a:ext cx="400050" cy="138135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56</xdr:row>
      <xdr:rowOff>228600</xdr:rowOff>
    </xdr:from>
    <xdr:to>
      <xdr:col>0</xdr:col>
      <xdr:colOff>400050</xdr:colOff>
      <xdr:row>59</xdr:row>
      <xdr:rowOff>559698</xdr:rowOff>
    </xdr:to>
    <xdr:sp macro="" textlink="">
      <xdr:nvSpPr>
        <xdr:cNvPr id="4" name="Check Box 4424" hidden="1">
          <a:extLst>
            <a:ext uri="{63B3BB69-23CF-44E3-9099-C40C66FF867C}">
              <a14:compatExt xmlns:a14="http://schemas.microsoft.com/office/drawing/2010/main" spid="_x0000_s6472"/>
            </a:ext>
            <a:ext uri="{FF2B5EF4-FFF2-40B4-BE49-F238E27FC236}">
              <a16:creationId xmlns:a16="http://schemas.microsoft.com/office/drawing/2014/main" id="{90597691-FDAB-4C09-82DC-C0EE68163CFA}"/>
            </a:ext>
          </a:extLst>
        </xdr:cNvPr>
        <xdr:cNvSpPr/>
      </xdr:nvSpPr>
      <xdr:spPr bwMode="auto">
        <a:xfrm>
          <a:off x="0" y="17739360"/>
          <a:ext cx="400050" cy="138265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56</xdr:row>
      <xdr:rowOff>228600</xdr:rowOff>
    </xdr:from>
    <xdr:to>
      <xdr:col>0</xdr:col>
      <xdr:colOff>400050</xdr:colOff>
      <xdr:row>59</xdr:row>
      <xdr:rowOff>559698</xdr:rowOff>
    </xdr:to>
    <xdr:sp macro="" textlink="">
      <xdr:nvSpPr>
        <xdr:cNvPr id="5" name="Check Box 4450" hidden="1">
          <a:extLst>
            <a:ext uri="{63B3BB69-23CF-44E3-9099-C40C66FF867C}">
              <a14:compatExt xmlns:a14="http://schemas.microsoft.com/office/drawing/2010/main" spid="_x0000_s6498"/>
            </a:ext>
            <a:ext uri="{FF2B5EF4-FFF2-40B4-BE49-F238E27FC236}">
              <a16:creationId xmlns:a16="http://schemas.microsoft.com/office/drawing/2014/main" id="{C0A2F287-F591-4C12-9E32-E534942321BE}"/>
            </a:ext>
          </a:extLst>
        </xdr:cNvPr>
        <xdr:cNvSpPr/>
      </xdr:nvSpPr>
      <xdr:spPr bwMode="auto">
        <a:xfrm>
          <a:off x="0" y="17739360"/>
          <a:ext cx="400050" cy="138265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56</xdr:row>
      <xdr:rowOff>228600</xdr:rowOff>
    </xdr:from>
    <xdr:to>
      <xdr:col>0</xdr:col>
      <xdr:colOff>400050</xdr:colOff>
      <xdr:row>59</xdr:row>
      <xdr:rowOff>559698</xdr:rowOff>
    </xdr:to>
    <xdr:sp macro="" textlink="">
      <xdr:nvSpPr>
        <xdr:cNvPr id="6" name="Check Box 4451" hidden="1">
          <a:extLst>
            <a:ext uri="{63B3BB69-23CF-44E3-9099-C40C66FF867C}">
              <a14:compatExt xmlns:a14="http://schemas.microsoft.com/office/drawing/2010/main" spid="_x0000_s6499"/>
            </a:ext>
            <a:ext uri="{FF2B5EF4-FFF2-40B4-BE49-F238E27FC236}">
              <a16:creationId xmlns:a16="http://schemas.microsoft.com/office/drawing/2014/main" id="{544EC564-7861-423E-B9AB-BBF23149F8A6}"/>
            </a:ext>
          </a:extLst>
        </xdr:cNvPr>
        <xdr:cNvSpPr/>
      </xdr:nvSpPr>
      <xdr:spPr bwMode="auto">
        <a:xfrm>
          <a:off x="0" y="17739360"/>
          <a:ext cx="400050" cy="138265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57</xdr:row>
      <xdr:rowOff>228600</xdr:rowOff>
    </xdr:from>
    <xdr:to>
      <xdr:col>0</xdr:col>
      <xdr:colOff>400050</xdr:colOff>
      <xdr:row>60</xdr:row>
      <xdr:rowOff>5564</xdr:rowOff>
    </xdr:to>
    <xdr:sp macro="" textlink="">
      <xdr:nvSpPr>
        <xdr:cNvPr id="7" name="Check Box 4473" hidden="1">
          <a:extLst>
            <a:ext uri="{63B3BB69-23CF-44E3-9099-C40C66FF867C}">
              <a14:compatExt xmlns:a14="http://schemas.microsoft.com/office/drawing/2010/main" spid="_x0000_s6521"/>
            </a:ext>
            <a:ext uri="{FF2B5EF4-FFF2-40B4-BE49-F238E27FC236}">
              <a16:creationId xmlns:a16="http://schemas.microsoft.com/office/drawing/2014/main" id="{867D9E5E-6C7C-4A34-916C-D2AE5A46EDCA}"/>
            </a:ext>
          </a:extLst>
        </xdr:cNvPr>
        <xdr:cNvSpPr/>
      </xdr:nvSpPr>
      <xdr:spPr bwMode="auto">
        <a:xfrm>
          <a:off x="0" y="18089880"/>
          <a:ext cx="400050" cy="135430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57</xdr:row>
      <xdr:rowOff>228600</xdr:rowOff>
    </xdr:from>
    <xdr:to>
      <xdr:col>0</xdr:col>
      <xdr:colOff>400050</xdr:colOff>
      <xdr:row>60</xdr:row>
      <xdr:rowOff>5564</xdr:rowOff>
    </xdr:to>
    <xdr:sp macro="" textlink="">
      <xdr:nvSpPr>
        <xdr:cNvPr id="8" name="Check Box 4474" hidden="1">
          <a:extLst>
            <a:ext uri="{63B3BB69-23CF-44E3-9099-C40C66FF867C}">
              <a14:compatExt xmlns:a14="http://schemas.microsoft.com/office/drawing/2010/main" spid="_x0000_s6522"/>
            </a:ext>
            <a:ext uri="{FF2B5EF4-FFF2-40B4-BE49-F238E27FC236}">
              <a16:creationId xmlns:a16="http://schemas.microsoft.com/office/drawing/2014/main" id="{EE51B056-2441-4843-ACB9-2375C36F5E71}"/>
            </a:ext>
          </a:extLst>
        </xdr:cNvPr>
        <xdr:cNvSpPr/>
      </xdr:nvSpPr>
      <xdr:spPr bwMode="auto">
        <a:xfrm>
          <a:off x="0" y="18089880"/>
          <a:ext cx="400050" cy="135430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57</xdr:row>
      <xdr:rowOff>228600</xdr:rowOff>
    </xdr:from>
    <xdr:to>
      <xdr:col>0</xdr:col>
      <xdr:colOff>400050</xdr:colOff>
      <xdr:row>60</xdr:row>
      <xdr:rowOff>5564</xdr:rowOff>
    </xdr:to>
    <xdr:sp macro="" textlink="">
      <xdr:nvSpPr>
        <xdr:cNvPr id="9" name="Check Box 4499" hidden="1">
          <a:extLst>
            <a:ext uri="{63B3BB69-23CF-44E3-9099-C40C66FF867C}">
              <a14:compatExt xmlns:a14="http://schemas.microsoft.com/office/drawing/2010/main" spid="_x0000_s6547"/>
            </a:ext>
            <a:ext uri="{FF2B5EF4-FFF2-40B4-BE49-F238E27FC236}">
              <a16:creationId xmlns:a16="http://schemas.microsoft.com/office/drawing/2014/main" id="{D9C18E98-FBEF-4012-A0CD-DB60E2D398BC}"/>
            </a:ext>
          </a:extLst>
        </xdr:cNvPr>
        <xdr:cNvSpPr/>
      </xdr:nvSpPr>
      <xdr:spPr bwMode="auto">
        <a:xfrm>
          <a:off x="0" y="18089880"/>
          <a:ext cx="400050" cy="135430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57</xdr:row>
      <xdr:rowOff>228600</xdr:rowOff>
    </xdr:from>
    <xdr:to>
      <xdr:col>0</xdr:col>
      <xdr:colOff>400050</xdr:colOff>
      <xdr:row>60</xdr:row>
      <xdr:rowOff>5564</xdr:rowOff>
    </xdr:to>
    <xdr:sp macro="" textlink="">
      <xdr:nvSpPr>
        <xdr:cNvPr id="10" name="Check Box 4500" hidden="1">
          <a:extLst>
            <a:ext uri="{63B3BB69-23CF-44E3-9099-C40C66FF867C}">
              <a14:compatExt xmlns:a14="http://schemas.microsoft.com/office/drawing/2010/main" spid="_x0000_s6548"/>
            </a:ext>
            <a:ext uri="{FF2B5EF4-FFF2-40B4-BE49-F238E27FC236}">
              <a16:creationId xmlns:a16="http://schemas.microsoft.com/office/drawing/2014/main" id="{06DE4C3D-B308-4E10-8B10-FDB6395D68B8}"/>
            </a:ext>
          </a:extLst>
        </xdr:cNvPr>
        <xdr:cNvSpPr/>
      </xdr:nvSpPr>
      <xdr:spPr bwMode="auto">
        <a:xfrm>
          <a:off x="0" y="18089880"/>
          <a:ext cx="400050" cy="135430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58</xdr:row>
      <xdr:rowOff>228600</xdr:rowOff>
    </xdr:from>
    <xdr:to>
      <xdr:col>0</xdr:col>
      <xdr:colOff>400050</xdr:colOff>
      <xdr:row>60</xdr:row>
      <xdr:rowOff>326727</xdr:rowOff>
    </xdr:to>
    <xdr:sp macro="" textlink="">
      <xdr:nvSpPr>
        <xdr:cNvPr id="11" name="Check Box 4522" hidden="1">
          <a:extLst>
            <a:ext uri="{63B3BB69-23CF-44E3-9099-C40C66FF867C}">
              <a14:compatExt xmlns:a14="http://schemas.microsoft.com/office/drawing/2010/main" spid="_x0000_s6570"/>
            </a:ext>
            <a:ext uri="{FF2B5EF4-FFF2-40B4-BE49-F238E27FC236}">
              <a16:creationId xmlns:a16="http://schemas.microsoft.com/office/drawing/2014/main" id="{B42C341E-AA24-463E-B6DA-34CFE9CF856E}"/>
            </a:ext>
          </a:extLst>
        </xdr:cNvPr>
        <xdr:cNvSpPr/>
      </xdr:nvSpPr>
      <xdr:spPr bwMode="auto">
        <a:xfrm>
          <a:off x="0" y="18440400"/>
          <a:ext cx="400050" cy="13249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58</xdr:row>
      <xdr:rowOff>228600</xdr:rowOff>
    </xdr:from>
    <xdr:to>
      <xdr:col>0</xdr:col>
      <xdr:colOff>400050</xdr:colOff>
      <xdr:row>60</xdr:row>
      <xdr:rowOff>326727</xdr:rowOff>
    </xdr:to>
    <xdr:sp macro="" textlink="">
      <xdr:nvSpPr>
        <xdr:cNvPr id="12" name="Check Box 4523" hidden="1">
          <a:extLst>
            <a:ext uri="{63B3BB69-23CF-44E3-9099-C40C66FF867C}">
              <a14:compatExt xmlns:a14="http://schemas.microsoft.com/office/drawing/2010/main" spid="_x0000_s6571"/>
            </a:ext>
            <a:ext uri="{FF2B5EF4-FFF2-40B4-BE49-F238E27FC236}">
              <a16:creationId xmlns:a16="http://schemas.microsoft.com/office/drawing/2014/main" id="{30B8115A-CEAB-4960-BB2F-76CBBF0CD514}"/>
            </a:ext>
          </a:extLst>
        </xdr:cNvPr>
        <xdr:cNvSpPr/>
      </xdr:nvSpPr>
      <xdr:spPr bwMode="auto">
        <a:xfrm>
          <a:off x="0" y="18440400"/>
          <a:ext cx="400050" cy="13249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58</xdr:row>
      <xdr:rowOff>228600</xdr:rowOff>
    </xdr:from>
    <xdr:to>
      <xdr:col>0</xdr:col>
      <xdr:colOff>400050</xdr:colOff>
      <xdr:row>60</xdr:row>
      <xdr:rowOff>326727</xdr:rowOff>
    </xdr:to>
    <xdr:sp macro="" textlink="">
      <xdr:nvSpPr>
        <xdr:cNvPr id="13" name="Check Box 4549" hidden="1">
          <a:extLst>
            <a:ext uri="{63B3BB69-23CF-44E3-9099-C40C66FF867C}">
              <a14:compatExt xmlns:a14="http://schemas.microsoft.com/office/drawing/2010/main" spid="_x0000_s6597"/>
            </a:ext>
            <a:ext uri="{FF2B5EF4-FFF2-40B4-BE49-F238E27FC236}">
              <a16:creationId xmlns:a16="http://schemas.microsoft.com/office/drawing/2014/main" id="{5EE3A948-8976-4E97-A46C-3EEACFC74C8C}"/>
            </a:ext>
          </a:extLst>
        </xdr:cNvPr>
        <xdr:cNvSpPr/>
      </xdr:nvSpPr>
      <xdr:spPr bwMode="auto">
        <a:xfrm>
          <a:off x="0" y="18440400"/>
          <a:ext cx="400050" cy="13249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oneCellAnchor>
    <xdr:from>
      <xdr:col>0</xdr:col>
      <xdr:colOff>0</xdr:colOff>
      <xdr:row>59</xdr:row>
      <xdr:rowOff>228600</xdr:rowOff>
    </xdr:from>
    <xdr:ext cx="400050" cy="1323042"/>
    <xdr:sp macro="" textlink="">
      <xdr:nvSpPr>
        <xdr:cNvPr id="14" name="Check Box 4522" hidden="1">
          <a:extLst>
            <a:ext uri="{63B3BB69-23CF-44E3-9099-C40C66FF867C}">
              <a14:compatExt xmlns:a14="http://schemas.microsoft.com/office/drawing/2010/main" spid="_x0000_s6570"/>
            </a:ext>
            <a:ext uri="{FF2B5EF4-FFF2-40B4-BE49-F238E27FC236}">
              <a16:creationId xmlns:a16="http://schemas.microsoft.com/office/drawing/2014/main" id="{499484CC-F65D-44D1-A5F0-329C085BA2B2}"/>
            </a:ext>
          </a:extLst>
        </xdr:cNvPr>
        <xdr:cNvSpPr/>
      </xdr:nvSpPr>
      <xdr:spPr bwMode="auto">
        <a:xfrm>
          <a:off x="0" y="18790920"/>
          <a:ext cx="400050" cy="132304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59</xdr:row>
      <xdr:rowOff>228600</xdr:rowOff>
    </xdr:from>
    <xdr:ext cx="400050" cy="1323042"/>
    <xdr:sp macro="" textlink="">
      <xdr:nvSpPr>
        <xdr:cNvPr id="15" name="Check Box 4523" hidden="1">
          <a:extLst>
            <a:ext uri="{63B3BB69-23CF-44E3-9099-C40C66FF867C}">
              <a14:compatExt xmlns:a14="http://schemas.microsoft.com/office/drawing/2010/main" spid="_x0000_s6571"/>
            </a:ext>
            <a:ext uri="{FF2B5EF4-FFF2-40B4-BE49-F238E27FC236}">
              <a16:creationId xmlns:a16="http://schemas.microsoft.com/office/drawing/2014/main" id="{E5B8F104-68A9-46AE-83B7-E4063610FA1D}"/>
            </a:ext>
          </a:extLst>
        </xdr:cNvPr>
        <xdr:cNvSpPr/>
      </xdr:nvSpPr>
      <xdr:spPr bwMode="auto">
        <a:xfrm>
          <a:off x="0" y="18790920"/>
          <a:ext cx="400050" cy="132304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59</xdr:row>
      <xdr:rowOff>228600</xdr:rowOff>
    </xdr:from>
    <xdr:ext cx="400050" cy="1323042"/>
    <xdr:sp macro="" textlink="">
      <xdr:nvSpPr>
        <xdr:cNvPr id="16" name="Check Box 4549" hidden="1">
          <a:extLst>
            <a:ext uri="{63B3BB69-23CF-44E3-9099-C40C66FF867C}">
              <a14:compatExt xmlns:a14="http://schemas.microsoft.com/office/drawing/2010/main" spid="_x0000_s6597"/>
            </a:ext>
            <a:ext uri="{FF2B5EF4-FFF2-40B4-BE49-F238E27FC236}">
              <a16:creationId xmlns:a16="http://schemas.microsoft.com/office/drawing/2014/main" id="{0B7C16C7-DFDB-43B8-A9E7-937408D9BA7B}"/>
            </a:ext>
          </a:extLst>
        </xdr:cNvPr>
        <xdr:cNvSpPr/>
      </xdr:nvSpPr>
      <xdr:spPr bwMode="auto">
        <a:xfrm>
          <a:off x="0" y="18790920"/>
          <a:ext cx="400050" cy="132304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91440</xdr:colOff>
      <xdr:row>0</xdr:row>
      <xdr:rowOff>30480</xdr:rowOff>
    </xdr:from>
    <xdr:to>
      <xdr:col>0</xdr:col>
      <xdr:colOff>1165860</xdr:colOff>
      <xdr:row>1</xdr:row>
      <xdr:rowOff>160020</xdr:rowOff>
    </xdr:to>
    <xdr:sp macro="" textlink="">
      <xdr:nvSpPr>
        <xdr:cNvPr id="4" name="Rectangle 3">
          <a:hlinkClick xmlns:r="http://schemas.openxmlformats.org/officeDocument/2006/relationships" r:id="rId1"/>
          <a:extLst>
            <a:ext uri="{FF2B5EF4-FFF2-40B4-BE49-F238E27FC236}">
              <a16:creationId xmlns:a16="http://schemas.microsoft.com/office/drawing/2014/main" id="{662D26CB-5A1F-44A2-B38F-DD06B93DB8A9}"/>
            </a:ext>
          </a:extLst>
        </xdr:cNvPr>
        <xdr:cNvSpPr/>
      </xdr:nvSpPr>
      <xdr:spPr>
        <a:xfrm>
          <a:off x="91440" y="30480"/>
          <a:ext cx="1074420" cy="31242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ctr"/>
          <a:r>
            <a:rPr lang="fr-SN" sz="1800" b="1">
              <a:latin typeface="Agency FB" panose="020B0503020202020204" pitchFamily="34" charset="0"/>
            </a:rPr>
            <a:t>SOMMAIRE</a:t>
          </a: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10</xdr:col>
      <xdr:colOff>0</xdr:colOff>
      <xdr:row>27</xdr:row>
      <xdr:rowOff>0</xdr:rowOff>
    </xdr:from>
    <xdr:to>
      <xdr:col>10</xdr:col>
      <xdr:colOff>160020</xdr:colOff>
      <xdr:row>27</xdr:row>
      <xdr:rowOff>160020</xdr:rowOff>
    </xdr:to>
    <xdr:pic>
      <xdr:nvPicPr>
        <xdr:cNvPr id="2" name="Image 1" descr="*">
          <a:extLst>
            <a:ext uri="{FF2B5EF4-FFF2-40B4-BE49-F238E27FC236}">
              <a16:creationId xmlns:a16="http://schemas.microsoft.com/office/drawing/2014/main" id="{92E0D74C-46C3-4BCF-A1E1-EC6F5A1DA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06200" y="22768560"/>
          <a:ext cx="160020" cy="1600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28</xdr:row>
      <xdr:rowOff>0</xdr:rowOff>
    </xdr:from>
    <xdr:to>
      <xdr:col>10</xdr:col>
      <xdr:colOff>160020</xdr:colOff>
      <xdr:row>28</xdr:row>
      <xdr:rowOff>160020</xdr:rowOff>
    </xdr:to>
    <xdr:pic>
      <xdr:nvPicPr>
        <xdr:cNvPr id="3" name="Image 2" descr="*">
          <a:extLst>
            <a:ext uri="{FF2B5EF4-FFF2-40B4-BE49-F238E27FC236}">
              <a16:creationId xmlns:a16="http://schemas.microsoft.com/office/drawing/2014/main" id="{7A0A02FB-E25F-42C2-83E1-58DB9385EC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06200" y="23225760"/>
          <a:ext cx="160020" cy="1600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8.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33FF0-53B4-4856-A507-A9FCDB422396}">
  <dimension ref="B1:L6"/>
  <sheetViews>
    <sheetView workbookViewId="0">
      <selection activeCell="E2" sqref="E2"/>
    </sheetView>
  </sheetViews>
  <sheetFormatPr baseColWidth="10" defaultRowHeight="14.4"/>
  <cols>
    <col min="1" max="1" width="2.5546875" style="12" customWidth="1"/>
    <col min="2" max="2" width="14.5546875" style="12" customWidth="1"/>
    <col min="3" max="3" width="11.5546875" style="12"/>
    <col min="4" max="4" width="0.77734375" style="761" customWidth="1"/>
    <col min="5" max="5" width="8.109375" style="12" bestFit="1" customWidth="1"/>
    <col min="6" max="6" width="11.5546875" style="12"/>
    <col min="7" max="7" width="1.5546875" style="12" customWidth="1"/>
    <col min="8" max="8" width="12.6640625" style="12" customWidth="1"/>
    <col min="9" max="9" width="11.5546875" style="12"/>
    <col min="10" max="10" width="2" style="12" customWidth="1"/>
    <col min="11" max="11" width="21.88671875" style="12" bestFit="1" customWidth="1"/>
    <col min="12" max="16384" width="11.5546875" style="12"/>
  </cols>
  <sheetData>
    <row r="1" spans="2:12">
      <c r="B1" s="771" t="s">
        <v>12</v>
      </c>
      <c r="C1" s="772" t="s">
        <v>2128</v>
      </c>
      <c r="E1" s="771" t="s">
        <v>2133</v>
      </c>
      <c r="F1" s="772" t="s">
        <v>2128</v>
      </c>
      <c r="H1" s="771" t="s">
        <v>55</v>
      </c>
      <c r="I1" s="772" t="s">
        <v>2128</v>
      </c>
      <c r="K1" s="771" t="s">
        <v>2144</v>
      </c>
      <c r="L1" s="771" t="s">
        <v>2128</v>
      </c>
    </row>
    <row r="2" spans="2:12">
      <c r="B2" s="766" t="s">
        <v>2129</v>
      </c>
      <c r="C2" s="764">
        <v>0.7</v>
      </c>
      <c r="D2" s="765"/>
      <c r="E2" s="766" t="s">
        <v>2134</v>
      </c>
      <c r="F2" s="764">
        <v>0.25</v>
      </c>
      <c r="H2" s="766" t="s">
        <v>1322</v>
      </c>
      <c r="I2" s="764">
        <v>0.7</v>
      </c>
      <c r="K2" s="766" t="s">
        <v>2145</v>
      </c>
      <c r="L2" s="764">
        <v>0.6</v>
      </c>
    </row>
    <row r="3" spans="2:12">
      <c r="B3" s="766" t="s">
        <v>2130</v>
      </c>
      <c r="C3" s="764">
        <v>0.3</v>
      </c>
      <c r="D3" s="765"/>
      <c r="E3" s="766" t="s">
        <v>2135</v>
      </c>
      <c r="F3" s="764">
        <v>0.35</v>
      </c>
      <c r="H3" s="766" t="s">
        <v>2143</v>
      </c>
      <c r="I3" s="764">
        <v>0.3</v>
      </c>
      <c r="K3" s="766" t="s">
        <v>2146</v>
      </c>
      <c r="L3" s="764">
        <v>0.1</v>
      </c>
    </row>
    <row r="4" spans="2:12">
      <c r="B4" s="767" t="s">
        <v>2132</v>
      </c>
      <c r="C4" s="764">
        <v>0.7</v>
      </c>
      <c r="E4" s="767" t="s">
        <v>2136</v>
      </c>
      <c r="F4" s="764">
        <v>0.4</v>
      </c>
      <c r="K4" s="767" t="s">
        <v>2147</v>
      </c>
      <c r="L4" s="195">
        <v>0.15</v>
      </c>
    </row>
    <row r="5" spans="2:12">
      <c r="B5" s="767" t="s">
        <v>2131</v>
      </c>
      <c r="C5" s="764">
        <v>0.3</v>
      </c>
      <c r="K5" s="21" t="s">
        <v>2138</v>
      </c>
      <c r="L5" s="195">
        <v>0.05</v>
      </c>
    </row>
    <row r="6" spans="2:12">
      <c r="K6" s="767" t="s">
        <v>2148</v>
      </c>
      <c r="L6" s="195">
        <v>0.1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8BC1-63DD-46CA-8DD8-23D6E2FD828F}">
  <sheetPr>
    <tabColor rgb="FFFFFF00"/>
  </sheetPr>
  <dimension ref="B1:Q102"/>
  <sheetViews>
    <sheetView workbookViewId="0">
      <pane xSplit="4" ySplit="2" topLeftCell="K3" activePane="bottomRight" state="frozen"/>
      <selection pane="topRight" activeCell="E1" sqref="E1"/>
      <selection pane="bottomLeft" activeCell="A3" sqref="A3"/>
      <selection pane="bottomRight" activeCell="O12" sqref="O12"/>
    </sheetView>
  </sheetViews>
  <sheetFormatPr baseColWidth="10" defaultColWidth="31.88671875" defaultRowHeight="14.4"/>
  <cols>
    <col min="1" max="1" width="18.33203125" style="1" customWidth="1"/>
    <col min="2" max="2" width="28.33203125" style="13" customWidth="1"/>
    <col min="3" max="3" width="10.21875" style="1" bestFit="1" customWidth="1"/>
    <col min="4" max="4" width="20.6640625" style="9" bestFit="1" customWidth="1"/>
    <col min="5" max="5" width="20.6640625" style="9" hidden="1" customWidth="1"/>
    <col min="6" max="7" width="21" style="1" hidden="1" customWidth="1"/>
    <col min="8" max="9" width="21" style="296" hidden="1" customWidth="1"/>
    <col min="10" max="10" width="21" style="1" hidden="1" customWidth="1"/>
    <col min="11" max="11" width="24.33203125" style="1" customWidth="1"/>
    <col min="12" max="12" width="24.33203125" style="1" hidden="1" customWidth="1"/>
    <col min="13" max="14" width="22.33203125" style="1" customWidth="1"/>
    <col min="15" max="15" width="19.109375" style="1" bestFit="1" customWidth="1"/>
    <col min="16" max="16" width="14.5546875" style="1" bestFit="1" customWidth="1"/>
    <col min="17" max="16384" width="31.88671875" style="1"/>
  </cols>
  <sheetData>
    <row r="1" spans="2:16">
      <c r="B1" s="1262" t="s">
        <v>0</v>
      </c>
      <c r="C1" s="1264" t="s">
        <v>1</v>
      </c>
      <c r="D1" s="1266" t="s">
        <v>2</v>
      </c>
      <c r="E1" s="1245" t="s">
        <v>1324</v>
      </c>
      <c r="F1" s="1269" t="s">
        <v>1325</v>
      </c>
      <c r="G1" s="1245" t="s">
        <v>1326</v>
      </c>
      <c r="H1" s="1237" t="s">
        <v>1327</v>
      </c>
      <c r="I1" s="1235" t="s">
        <v>2018</v>
      </c>
      <c r="J1" s="1261" t="s">
        <v>1328</v>
      </c>
      <c r="K1" s="1270" t="s">
        <v>2053</v>
      </c>
      <c r="L1" s="762"/>
      <c r="M1" s="1237" t="s">
        <v>2054</v>
      </c>
      <c r="N1" s="1237" t="s">
        <v>2055</v>
      </c>
      <c r="O1" s="1233" t="s">
        <v>2165</v>
      </c>
    </row>
    <row r="2" spans="2:16" ht="15" thickBot="1">
      <c r="B2" s="1263"/>
      <c r="C2" s="1265"/>
      <c r="D2" s="1267"/>
      <c r="E2" s="1246"/>
      <c r="F2" s="1248"/>
      <c r="G2" s="1246"/>
      <c r="H2" s="1235"/>
      <c r="I2" s="1236"/>
      <c r="J2" s="1240"/>
      <c r="K2" s="1270"/>
      <c r="L2" s="762"/>
      <c r="M2" s="1237"/>
      <c r="N2" s="1237"/>
      <c r="O2" s="1233"/>
    </row>
    <row r="3" spans="2:16" ht="16.2" thickBot="1">
      <c r="B3" s="265" t="s">
        <v>4</v>
      </c>
      <c r="C3" s="266"/>
      <c r="D3" s="267"/>
      <c r="E3" s="268"/>
      <c r="F3" s="269"/>
      <c r="G3" s="10"/>
      <c r="H3" s="270"/>
      <c r="I3" s="270"/>
      <c r="J3" s="641"/>
      <c r="K3" s="689"/>
      <c r="L3" s="776">
        <f>+N3-J3</f>
        <v>0</v>
      </c>
      <c r="M3" s="689"/>
      <c r="N3" s="689"/>
      <c r="O3" s="792"/>
    </row>
    <row r="4" spans="2:16" ht="15.6">
      <c r="B4" s="1255" t="s">
        <v>5</v>
      </c>
      <c r="C4" s="2" t="s">
        <v>6</v>
      </c>
      <c r="D4" s="249">
        <v>500000000</v>
      </c>
      <c r="E4" s="271">
        <v>0</v>
      </c>
      <c r="F4" s="272">
        <f>20411050+227299943</f>
        <v>247710993</v>
      </c>
      <c r="G4" s="10">
        <v>100000000</v>
      </c>
      <c r="H4" s="273">
        <v>247710993</v>
      </c>
      <c r="I4" s="640">
        <f>+J4-F4</f>
        <v>0</v>
      </c>
      <c r="J4" s="569">
        <v>247710993</v>
      </c>
      <c r="K4" s="736">
        <v>200000000</v>
      </c>
      <c r="L4" s="776">
        <f>+N4-J4</f>
        <v>251780728</v>
      </c>
      <c r="M4" s="735">
        <f>+N4-J4</f>
        <v>251780728</v>
      </c>
      <c r="N4" s="569">
        <v>499491721</v>
      </c>
      <c r="O4" s="5">
        <v>499491721</v>
      </c>
      <c r="P4" s="784">
        <f>+D4/$D$90</f>
        <v>0.10000000001000001</v>
      </c>
    </row>
    <row r="5" spans="2:16" ht="15.6">
      <c r="B5" s="1256"/>
      <c r="C5" s="3" t="s">
        <v>7</v>
      </c>
      <c r="D5" s="249">
        <f>687758765+667987432*3</f>
        <v>2691721061</v>
      </c>
      <c r="E5" s="274">
        <v>687758765</v>
      </c>
      <c r="F5" s="275"/>
      <c r="G5" s="6">
        <v>667987432</v>
      </c>
      <c r="H5" s="270">
        <v>233585166</v>
      </c>
      <c r="I5" s="641"/>
      <c r="J5" s="570">
        <v>233585166</v>
      </c>
      <c r="K5" s="736">
        <v>667987432</v>
      </c>
      <c r="L5" s="776">
        <f t="shared" ref="L5:L67" si="0">+N5-J5</f>
        <v>215647158</v>
      </c>
      <c r="M5" s="735">
        <f t="shared" ref="M5:M29" si="1">+N5-J5</f>
        <v>215647158</v>
      </c>
      <c r="N5" s="570">
        <v>449232324</v>
      </c>
      <c r="O5" s="5">
        <v>879250538</v>
      </c>
    </row>
    <row r="6" spans="2:16" ht="15.6">
      <c r="B6" s="1256"/>
      <c r="C6" s="3" t="s">
        <v>8</v>
      </c>
      <c r="D6" s="249">
        <f>657832052+950156202+1096318278+511669976</f>
        <v>3215976508</v>
      </c>
      <c r="E6" s="274">
        <v>657832052</v>
      </c>
      <c r="F6" s="276">
        <v>506051720</v>
      </c>
      <c r="G6" s="6">
        <v>950156202</v>
      </c>
      <c r="H6" s="270">
        <v>778042634</v>
      </c>
      <c r="I6" s="641"/>
      <c r="J6" s="571">
        <v>815257134</v>
      </c>
      <c r="K6" s="736">
        <v>1096318278</v>
      </c>
      <c r="L6" s="776">
        <f t="shared" si="0"/>
        <v>383451563</v>
      </c>
      <c r="M6" s="735">
        <f t="shared" si="1"/>
        <v>383451563</v>
      </c>
      <c r="N6" s="571">
        <f>970505667+133206872+85069158+9927000</f>
        <v>1198708697</v>
      </c>
      <c r="O6" s="5">
        <v>2548409721</v>
      </c>
    </row>
    <row r="7" spans="2:16" ht="15.6">
      <c r="B7" s="1257"/>
      <c r="C7" s="3" t="s">
        <v>9</v>
      </c>
      <c r="D7" s="249">
        <f>2134948469+1067474235</f>
        <v>3202422704</v>
      </c>
      <c r="E7" s="274">
        <v>2134948469</v>
      </c>
      <c r="F7" s="277"/>
      <c r="G7" s="6">
        <v>0</v>
      </c>
      <c r="H7" s="270"/>
      <c r="I7" s="641"/>
      <c r="J7" s="718"/>
      <c r="K7" s="736">
        <v>1067474235</v>
      </c>
      <c r="L7" s="776">
        <f t="shared" si="0"/>
        <v>2134869269</v>
      </c>
      <c r="M7" s="735">
        <f t="shared" si="1"/>
        <v>2134869269</v>
      </c>
      <c r="N7" s="572">
        <v>2134869269</v>
      </c>
      <c r="O7" s="5">
        <v>2134869269</v>
      </c>
    </row>
    <row r="8" spans="2:16" ht="15.6">
      <c r="B8" s="1255" t="s">
        <v>10</v>
      </c>
      <c r="C8" s="3" t="s">
        <v>6</v>
      </c>
      <c r="D8" s="249">
        <f>641075993+267857143</f>
        <v>908933136</v>
      </c>
      <c r="E8" s="274">
        <v>0</v>
      </c>
      <c r="F8" s="278"/>
      <c r="G8" s="6">
        <v>641075993</v>
      </c>
      <c r="H8" s="270">
        <v>61456407</v>
      </c>
      <c r="I8" s="640">
        <f>+J8-F8</f>
        <v>61456407</v>
      </c>
      <c r="J8" s="569">
        <f>61456407</f>
        <v>61456407</v>
      </c>
      <c r="K8" s="736">
        <v>267857143</v>
      </c>
      <c r="L8" s="776">
        <f t="shared" si="0"/>
        <v>240810916</v>
      </c>
      <c r="M8" s="735">
        <f t="shared" si="1"/>
        <v>240810916</v>
      </c>
      <c r="N8" s="569">
        <v>302267323</v>
      </c>
      <c r="O8" s="5">
        <f>462943859+282350305</f>
        <v>745294164</v>
      </c>
      <c r="P8" s="784">
        <f>+D8/$D$90</f>
        <v>0.18178662721817868</v>
      </c>
    </row>
    <row r="9" spans="2:16" ht="15.6">
      <c r="B9" s="1256"/>
      <c r="C9" s="3" t="s">
        <v>7</v>
      </c>
      <c r="D9" s="249">
        <f>971911425+705674194+470449462+235224731</f>
        <v>2383259812</v>
      </c>
      <c r="E9" s="274">
        <v>971911425</v>
      </c>
      <c r="F9" s="278">
        <v>410767920</v>
      </c>
      <c r="G9" s="6">
        <v>705674194</v>
      </c>
      <c r="H9" s="270">
        <v>531763139</v>
      </c>
      <c r="I9" s="641"/>
      <c r="J9" s="570">
        <v>693864067</v>
      </c>
      <c r="K9" s="736">
        <v>470449462</v>
      </c>
      <c r="L9" s="776">
        <f t="shared" si="0"/>
        <v>317386388</v>
      </c>
      <c r="M9" s="735">
        <f t="shared" si="1"/>
        <v>317386388</v>
      </c>
      <c r="N9" s="570">
        <v>1011250455</v>
      </c>
      <c r="O9" s="5">
        <v>1328364843</v>
      </c>
    </row>
    <row r="10" spans="2:16" ht="15.6">
      <c r="B10" s="1256"/>
      <c r="C10" s="3" t="s">
        <v>8</v>
      </c>
      <c r="D10" s="249">
        <f>361250000+689250000</f>
        <v>1050500000</v>
      </c>
      <c r="E10" s="274">
        <v>0</v>
      </c>
      <c r="F10" s="276"/>
      <c r="G10" s="6">
        <v>0</v>
      </c>
      <c r="H10" s="270"/>
      <c r="I10" s="641"/>
      <c r="J10" s="571"/>
      <c r="K10" s="736">
        <v>361250000</v>
      </c>
      <c r="L10" s="776">
        <f t="shared" si="0"/>
        <v>0</v>
      </c>
      <c r="M10" s="735"/>
      <c r="N10" s="571"/>
      <c r="O10" s="5">
        <v>0</v>
      </c>
    </row>
    <row r="11" spans="2:16" ht="15.6">
      <c r="B11" s="1256"/>
      <c r="C11" s="3" t="s">
        <v>9</v>
      </c>
      <c r="D11" s="249">
        <v>687639154</v>
      </c>
      <c r="E11" s="274">
        <v>0</v>
      </c>
      <c r="F11" s="276"/>
      <c r="G11" s="6">
        <v>0</v>
      </c>
      <c r="H11" s="270"/>
      <c r="I11" s="641"/>
      <c r="J11" s="719"/>
      <c r="K11" s="736">
        <v>687639154</v>
      </c>
      <c r="L11" s="776">
        <f t="shared" si="0"/>
        <v>343779977</v>
      </c>
      <c r="M11" s="735">
        <f t="shared" si="1"/>
        <v>343779977</v>
      </c>
      <c r="N11" s="572">
        <v>343779977</v>
      </c>
      <c r="O11" s="5">
        <v>343779977</v>
      </c>
    </row>
    <row r="12" spans="2:16" ht="15.6">
      <c r="B12" s="1257"/>
      <c r="C12" s="3" t="s">
        <v>11</v>
      </c>
      <c r="D12" s="249">
        <f>5000000000+7500000000*2</f>
        <v>20000000000</v>
      </c>
      <c r="E12" s="274">
        <v>0</v>
      </c>
      <c r="F12" s="276">
        <f>187766512+60195433+194717700+360269689+137228395+81783407+205231500</f>
        <v>1227192636</v>
      </c>
      <c r="G12" s="6">
        <v>5000000000</v>
      </c>
      <c r="H12" s="270">
        <v>3800229793</v>
      </c>
      <c r="I12" s="270"/>
      <c r="J12" s="641">
        <v>3749979832</v>
      </c>
      <c r="K12" s="736">
        <v>7500000000</v>
      </c>
      <c r="L12" s="776">
        <f t="shared" si="0"/>
        <v>2963852664</v>
      </c>
      <c r="M12" s="735">
        <f t="shared" si="1"/>
        <v>2963852664</v>
      </c>
      <c r="N12" s="732">
        <v>6713832496</v>
      </c>
      <c r="O12" s="5">
        <v>10801218441</v>
      </c>
    </row>
    <row r="13" spans="2:16" ht="15.6">
      <c r="B13" s="1255" t="s">
        <v>12</v>
      </c>
      <c r="C13" s="3" t="s">
        <v>6</v>
      </c>
      <c r="D13" s="249">
        <f>450000000+400000000*2</f>
        <v>1250000000</v>
      </c>
      <c r="E13" s="274">
        <v>0</v>
      </c>
      <c r="F13" s="276">
        <f>175560070+43087813</f>
        <v>218647883</v>
      </c>
      <c r="G13" s="6">
        <v>450000000</v>
      </c>
      <c r="H13" s="270">
        <v>218647883</v>
      </c>
      <c r="I13" s="640">
        <f>+J13-F13</f>
        <v>0</v>
      </c>
      <c r="J13" s="569">
        <f>175560070+43087813</f>
        <v>218647883</v>
      </c>
      <c r="K13" s="736">
        <v>400000000</v>
      </c>
      <c r="L13" s="776">
        <f t="shared" si="0"/>
        <v>710600773</v>
      </c>
      <c r="M13" s="735">
        <f t="shared" si="1"/>
        <v>710600773</v>
      </c>
      <c r="N13" s="569">
        <v>929248656</v>
      </c>
      <c r="O13" s="5">
        <v>1189327614</v>
      </c>
      <c r="P13" s="784">
        <f>+D13/$D$90</f>
        <v>0.250000000025</v>
      </c>
    </row>
    <row r="14" spans="2:16" ht="15.6">
      <c r="B14" s="1256"/>
      <c r="C14" s="3" t="s">
        <v>7</v>
      </c>
      <c r="D14" s="249">
        <f>688973188+542722668</f>
        <v>1231695856</v>
      </c>
      <c r="E14" s="274">
        <v>688973188</v>
      </c>
      <c r="F14" s="276">
        <v>119935000</v>
      </c>
      <c r="G14" s="6">
        <v>542722668</v>
      </c>
      <c r="H14" s="270">
        <v>304931784</v>
      </c>
      <c r="I14" s="641"/>
      <c r="J14" s="570">
        <v>304931784</v>
      </c>
      <c r="K14" s="736"/>
      <c r="L14" s="776">
        <f t="shared" si="0"/>
        <v>373276382</v>
      </c>
      <c r="M14" s="735">
        <f t="shared" si="1"/>
        <v>373276382</v>
      </c>
      <c r="N14" s="570">
        <v>678208166</v>
      </c>
      <c r="O14" s="5">
        <v>678208166</v>
      </c>
    </row>
    <row r="15" spans="2:16" ht="15.6">
      <c r="B15" s="1256"/>
      <c r="C15" s="3" t="s">
        <v>8</v>
      </c>
      <c r="D15" s="249">
        <f>1116497926+904367500+400315000</f>
        <v>2421180426</v>
      </c>
      <c r="E15" s="274">
        <v>1116497926</v>
      </c>
      <c r="F15" s="276">
        <f>606070474+283742014</f>
        <v>889812488</v>
      </c>
      <c r="G15" s="6">
        <v>904367500</v>
      </c>
      <c r="H15" s="270">
        <v>889812488</v>
      </c>
      <c r="I15" s="641"/>
      <c r="J15" s="571">
        <v>889812488</v>
      </c>
      <c r="K15" s="736">
        <v>400315000</v>
      </c>
      <c r="L15" s="776">
        <f t="shared" si="0"/>
        <v>579078376</v>
      </c>
      <c r="M15" s="735">
        <f t="shared" si="1"/>
        <v>579078376</v>
      </c>
      <c r="N15" s="571">
        <v>1468890864</v>
      </c>
      <c r="O15" s="5">
        <v>1759640864</v>
      </c>
    </row>
    <row r="16" spans="2:16" ht="15.6">
      <c r="B16" s="1257"/>
      <c r="C16" s="3" t="s">
        <v>9</v>
      </c>
      <c r="D16" s="249">
        <f>254296780+252118560+138733560</f>
        <v>645148900</v>
      </c>
      <c r="E16" s="274">
        <v>0</v>
      </c>
      <c r="F16" s="276"/>
      <c r="G16" s="6">
        <v>254296780</v>
      </c>
      <c r="H16" s="270"/>
      <c r="I16" s="641"/>
      <c r="J16" s="719"/>
      <c r="K16" s="736">
        <v>252118560</v>
      </c>
      <c r="L16" s="776">
        <f t="shared" si="0"/>
        <v>0</v>
      </c>
      <c r="M16" s="735"/>
      <c r="N16" s="572"/>
      <c r="O16" s="5">
        <v>102550400</v>
      </c>
    </row>
    <row r="17" spans="2:16" ht="15.6">
      <c r="B17" s="1268" t="s">
        <v>13</v>
      </c>
      <c r="C17" s="246" t="s">
        <v>6</v>
      </c>
      <c r="D17" s="279">
        <f>80000000+40000000*2</f>
        <v>160000000</v>
      </c>
      <c r="E17" s="280">
        <v>0</v>
      </c>
      <c r="F17" s="276"/>
      <c r="G17" s="6">
        <v>80000000</v>
      </c>
      <c r="H17" s="270"/>
      <c r="I17" s="640">
        <f>+J17-F17</f>
        <v>0</v>
      </c>
      <c r="J17" s="569"/>
      <c r="K17" s="736">
        <v>40000000</v>
      </c>
      <c r="L17" s="776">
        <f t="shared" si="0"/>
        <v>61047212</v>
      </c>
      <c r="M17" s="735">
        <f t="shared" si="1"/>
        <v>61047212</v>
      </c>
      <c r="N17" s="569">
        <v>61047212</v>
      </c>
      <c r="O17" s="5">
        <f>61047212</f>
        <v>61047212</v>
      </c>
      <c r="P17" s="784">
        <f>+D17/$D$90</f>
        <v>3.2000000003200003E-2</v>
      </c>
    </row>
    <row r="18" spans="2:16" ht="15.6">
      <c r="B18" s="1268"/>
      <c r="C18" s="246" t="s">
        <v>7</v>
      </c>
      <c r="D18" s="249">
        <v>1419357433</v>
      </c>
      <c r="E18" s="280">
        <v>390078957</v>
      </c>
      <c r="F18" s="276">
        <v>77623000</v>
      </c>
      <c r="G18" s="6">
        <v>459472859</v>
      </c>
      <c r="H18" s="270">
        <v>132148778</v>
      </c>
      <c r="I18" s="641"/>
      <c r="J18" s="570">
        <v>132148778</v>
      </c>
      <c r="K18" s="736">
        <v>366439261</v>
      </c>
      <c r="L18" s="776">
        <f t="shared" si="0"/>
        <v>88101435</v>
      </c>
      <c r="M18" s="735">
        <f t="shared" si="1"/>
        <v>88101435</v>
      </c>
      <c r="N18" s="570">
        <v>220250213</v>
      </c>
      <c r="O18" s="5">
        <v>357586041</v>
      </c>
    </row>
    <row r="19" spans="2:16" ht="15.6">
      <c r="B19" s="1268"/>
      <c r="C19" s="246" t="s">
        <v>8</v>
      </c>
      <c r="D19" s="249">
        <v>1487216950</v>
      </c>
      <c r="E19" s="280">
        <v>0</v>
      </c>
      <c r="F19" s="276"/>
      <c r="G19" s="6">
        <v>408035808</v>
      </c>
      <c r="H19" s="270"/>
      <c r="I19" s="641"/>
      <c r="J19" s="571"/>
      <c r="K19" s="736">
        <v>502245333</v>
      </c>
      <c r="L19" s="776">
        <f t="shared" si="0"/>
        <v>0</v>
      </c>
      <c r="M19" s="735"/>
      <c r="N19" s="571"/>
      <c r="O19" s="5"/>
    </row>
    <row r="20" spans="2:16" ht="15.6">
      <c r="B20" s="1268"/>
      <c r="C20" s="246" t="s">
        <v>9</v>
      </c>
      <c r="D20" s="249">
        <v>909453403</v>
      </c>
      <c r="E20" s="280">
        <v>363006973</v>
      </c>
      <c r="F20" s="276"/>
      <c r="G20" s="6">
        <v>118452924</v>
      </c>
      <c r="H20" s="270"/>
      <c r="I20" s="641"/>
      <c r="J20" s="719">
        <v>481374771.64067763</v>
      </c>
      <c r="K20" s="736">
        <v>339153814</v>
      </c>
      <c r="L20" s="776">
        <f t="shared" si="0"/>
        <v>-0.64067763090133667</v>
      </c>
      <c r="M20" s="735"/>
      <c r="N20" s="572">
        <v>481374771</v>
      </c>
      <c r="O20" s="5">
        <v>481374772</v>
      </c>
    </row>
    <row r="21" spans="2:16" ht="15.6">
      <c r="B21" s="256" t="s">
        <v>14</v>
      </c>
      <c r="C21" s="246" t="s">
        <v>7</v>
      </c>
      <c r="D21" s="249">
        <v>1191941790</v>
      </c>
      <c r="E21" s="280">
        <v>243595858</v>
      </c>
      <c r="F21" s="276"/>
      <c r="G21" s="6">
        <v>352375037</v>
      </c>
      <c r="H21" s="270">
        <v>0</v>
      </c>
      <c r="I21" s="641"/>
      <c r="J21" s="570"/>
      <c r="K21" s="736">
        <v>352375037</v>
      </c>
      <c r="L21" s="776">
        <f t="shared" si="0"/>
        <v>136697026</v>
      </c>
      <c r="M21" s="735">
        <f t="shared" si="1"/>
        <v>136697026</v>
      </c>
      <c r="N21" s="570">
        <v>136697026</v>
      </c>
      <c r="O21" s="5">
        <v>363416065</v>
      </c>
    </row>
    <row r="22" spans="2:16" ht="15.6">
      <c r="B22" s="793" t="s">
        <v>406</v>
      </c>
      <c r="C22" s="793"/>
      <c r="D22" s="283">
        <f>+SUM(D4:D21)</f>
        <v>45356447133</v>
      </c>
      <c r="E22" s="283">
        <f>+SUM(E4:E21)</f>
        <v>7254603613</v>
      </c>
      <c r="F22" s="283">
        <f>+SUM(F4:F21)</f>
        <v>3697741640</v>
      </c>
      <c r="G22" s="283">
        <f>+SUM(G4:G21)</f>
        <v>11634617397</v>
      </c>
      <c r="H22" s="283">
        <f>+SUM(H4:H21)</f>
        <v>7198329065</v>
      </c>
      <c r="I22" s="283"/>
      <c r="J22" s="794">
        <f>+SUM(J4:J21)</f>
        <v>7828769303.6406775</v>
      </c>
      <c r="K22" s="794">
        <f>+SUM(K4:K21)</f>
        <v>14971622709</v>
      </c>
      <c r="L22" s="795">
        <f t="shared" si="0"/>
        <v>8800379866.3593216</v>
      </c>
      <c r="M22" s="796">
        <f t="shared" si="1"/>
        <v>8800379866.3593216</v>
      </c>
      <c r="N22" s="794">
        <f>+SUM(N4:N21)</f>
        <v>16629149170</v>
      </c>
      <c r="O22" s="794">
        <f>+SUM(O4:O21)</f>
        <v>24273829808</v>
      </c>
    </row>
    <row r="23" spans="2:16" ht="15.6">
      <c r="B23" s="285" t="s">
        <v>15</v>
      </c>
      <c r="C23" s="286"/>
      <c r="D23" s="279"/>
      <c r="E23" s="287"/>
      <c r="F23" s="272"/>
      <c r="G23" s="6"/>
      <c r="H23" s="273"/>
      <c r="I23" s="273"/>
      <c r="J23" s="640"/>
      <c r="K23" s="736"/>
      <c r="L23" s="776">
        <f t="shared" si="0"/>
        <v>0</v>
      </c>
      <c r="M23" s="734"/>
      <c r="N23" s="689"/>
      <c r="O23" s="792"/>
    </row>
    <row r="24" spans="2:16" ht="15.6">
      <c r="B24" s="1256" t="s">
        <v>16</v>
      </c>
      <c r="C24" s="2" t="s">
        <v>6</v>
      </c>
      <c r="D24" s="249">
        <v>314285714</v>
      </c>
      <c r="E24" s="274">
        <v>0</v>
      </c>
      <c r="F24" s="272"/>
      <c r="G24" s="6">
        <v>110000000</v>
      </c>
      <c r="H24" s="273">
        <v>44736125</v>
      </c>
      <c r="I24" s="640">
        <f>+J24-F24</f>
        <v>44736125</v>
      </c>
      <c r="J24" s="569">
        <v>44736125</v>
      </c>
      <c r="K24" s="735">
        <v>94285714</v>
      </c>
      <c r="L24" s="776">
        <f t="shared" si="0"/>
        <v>376629788</v>
      </c>
      <c r="M24" s="735">
        <f t="shared" si="1"/>
        <v>376629788</v>
      </c>
      <c r="N24" s="733">
        <v>421365913</v>
      </c>
      <c r="O24" s="5">
        <v>268417619</v>
      </c>
      <c r="P24" s="784">
        <f>+D24/$D$90</f>
        <v>6.285714280628571E-2</v>
      </c>
    </row>
    <row r="25" spans="2:16" ht="15.6">
      <c r="B25" s="1256"/>
      <c r="C25" s="3" t="s">
        <v>7</v>
      </c>
      <c r="D25" s="249">
        <v>96614297</v>
      </c>
      <c r="E25" s="274">
        <v>96614297</v>
      </c>
      <c r="F25" s="276"/>
      <c r="G25" s="6">
        <v>0</v>
      </c>
      <c r="H25" s="270">
        <v>0</v>
      </c>
      <c r="I25" s="641"/>
      <c r="J25" s="570"/>
      <c r="K25" s="736"/>
      <c r="L25" s="776">
        <f t="shared" si="0"/>
        <v>0</v>
      </c>
      <c r="M25" s="735"/>
      <c r="N25" s="570"/>
      <c r="O25" s="5">
        <v>48307149</v>
      </c>
    </row>
    <row r="26" spans="2:16" ht="15.6">
      <c r="B26" s="1257"/>
      <c r="C26" s="3" t="s">
        <v>8</v>
      </c>
      <c r="D26" s="249">
        <f>454425644+485025644+35700000*2</f>
        <v>1010851288</v>
      </c>
      <c r="E26" s="274">
        <v>454425644</v>
      </c>
      <c r="F26" s="276"/>
      <c r="G26" s="6">
        <v>485025644</v>
      </c>
      <c r="H26" s="270"/>
      <c r="I26" s="641"/>
      <c r="J26" s="571"/>
      <c r="K26" s="735">
        <v>35700000</v>
      </c>
      <c r="L26" s="776">
        <f t="shared" si="0"/>
        <v>210097279</v>
      </c>
      <c r="M26" s="735">
        <f t="shared" si="1"/>
        <v>210097279</v>
      </c>
      <c r="N26" s="571">
        <v>210097279</v>
      </c>
      <c r="O26" s="5"/>
    </row>
    <row r="27" spans="2:16" ht="15.6">
      <c r="B27" s="1255" t="s">
        <v>17</v>
      </c>
      <c r="C27" s="3" t="s">
        <v>6</v>
      </c>
      <c r="D27" s="249">
        <f>5000000*4</f>
        <v>20000000</v>
      </c>
      <c r="E27" s="274">
        <v>5000000</v>
      </c>
      <c r="F27" s="276"/>
      <c r="G27" s="6">
        <v>5000000</v>
      </c>
      <c r="H27" s="270"/>
      <c r="I27" s="640">
        <f>+J27-F27</f>
        <v>0</v>
      </c>
      <c r="J27" s="569"/>
      <c r="K27" s="735">
        <v>5000000</v>
      </c>
      <c r="L27" s="776">
        <f t="shared" si="0"/>
        <v>0</v>
      </c>
      <c r="M27" s="735"/>
      <c r="N27" s="569"/>
      <c r="O27" s="5"/>
      <c r="P27" s="784">
        <f>+D27/$D$90</f>
        <v>4.0000000004000004E-3</v>
      </c>
    </row>
    <row r="28" spans="2:16" ht="15.6">
      <c r="B28" s="1256"/>
      <c r="C28" s="3" t="s">
        <v>7</v>
      </c>
      <c r="D28" s="249">
        <f>119877761+119877761</f>
        <v>239755522</v>
      </c>
      <c r="E28" s="274">
        <v>119877761</v>
      </c>
      <c r="F28" s="276"/>
      <c r="G28" s="6">
        <v>119877761</v>
      </c>
      <c r="H28" s="270">
        <v>45379030</v>
      </c>
      <c r="I28" s="641"/>
      <c r="J28" s="570">
        <v>78179033</v>
      </c>
      <c r="K28" s="735"/>
      <c r="L28" s="776">
        <f t="shared" si="0"/>
        <v>169420081</v>
      </c>
      <c r="M28" s="735">
        <f t="shared" si="1"/>
        <v>169420081</v>
      </c>
      <c r="N28" s="733">
        <v>247599114</v>
      </c>
      <c r="O28" s="5">
        <v>237579687</v>
      </c>
    </row>
    <row r="29" spans="2:16" ht="15.6">
      <c r="B29" s="1257"/>
      <c r="C29" s="3" t="s">
        <v>8</v>
      </c>
      <c r="D29" s="249">
        <f>208367140+212462320+307672500+210836250</f>
        <v>939338210</v>
      </c>
      <c r="E29" s="274">
        <v>208367140</v>
      </c>
      <c r="F29" s="276">
        <f>75248195</f>
        <v>75248195</v>
      </c>
      <c r="G29" s="6">
        <v>212462320</v>
      </c>
      <c r="H29" s="270">
        <v>75248195</v>
      </c>
      <c r="I29" s="641"/>
      <c r="J29" s="571">
        <f>75248195</f>
        <v>75248195</v>
      </c>
      <c r="K29" s="735">
        <v>307672500</v>
      </c>
      <c r="L29" s="776">
        <f t="shared" si="0"/>
        <v>80307998</v>
      </c>
      <c r="M29" s="735">
        <f t="shared" si="1"/>
        <v>80307998</v>
      </c>
      <c r="N29" s="571">
        <f>75248195+80307998</f>
        <v>155556193</v>
      </c>
      <c r="O29" s="5">
        <v>210097279</v>
      </c>
    </row>
    <row r="30" spans="2:16" ht="15.6">
      <c r="B30" s="256" t="s">
        <v>18</v>
      </c>
      <c r="C30" s="3" t="s">
        <v>7</v>
      </c>
      <c r="D30" s="249">
        <v>654306949</v>
      </c>
      <c r="E30" s="274">
        <v>84821390</v>
      </c>
      <c r="F30" s="276"/>
      <c r="G30" s="6">
        <v>172712675</v>
      </c>
      <c r="H30" s="270">
        <v>0</v>
      </c>
      <c r="I30" s="641"/>
      <c r="J30" s="570"/>
      <c r="K30" s="735">
        <v>198762675</v>
      </c>
      <c r="L30" s="776">
        <f t="shared" si="0"/>
        <v>0</v>
      </c>
      <c r="M30" s="735"/>
      <c r="N30" s="570"/>
      <c r="O30" s="5">
        <v>221098126</v>
      </c>
    </row>
    <row r="31" spans="2:16" ht="15.6">
      <c r="B31" s="1252" t="s">
        <v>19</v>
      </c>
      <c r="C31" s="3" t="s">
        <v>8</v>
      </c>
      <c r="D31" s="249">
        <f>85000000+127500000+159500000+149000000</f>
        <v>521000000</v>
      </c>
      <c r="E31" s="274">
        <v>85000000</v>
      </c>
      <c r="F31" s="276"/>
      <c r="G31" s="6">
        <v>127500000</v>
      </c>
      <c r="H31" s="270"/>
      <c r="I31" s="641"/>
      <c r="J31" s="571"/>
      <c r="K31" s="736">
        <v>159500000</v>
      </c>
      <c r="L31" s="776">
        <f t="shared" si="0"/>
        <v>0</v>
      </c>
      <c r="M31" s="735"/>
      <c r="N31" s="571"/>
      <c r="O31" s="5">
        <f>150173936+124057835</f>
        <v>274231771</v>
      </c>
    </row>
    <row r="32" spans="2:16" ht="15.6">
      <c r="B32" s="1253"/>
      <c r="C32" s="3" t="s">
        <v>9</v>
      </c>
      <c r="D32" s="249">
        <f>45000000+114862500</f>
        <v>159862500</v>
      </c>
      <c r="E32" s="274">
        <v>0</v>
      </c>
      <c r="F32" s="276"/>
      <c r="G32" s="6">
        <v>0</v>
      </c>
      <c r="H32" s="270"/>
      <c r="I32" s="641"/>
      <c r="J32" s="719"/>
      <c r="K32" s="736">
        <v>45000000</v>
      </c>
      <c r="L32" s="776">
        <f t="shared" si="0"/>
        <v>0</v>
      </c>
      <c r="M32" s="735"/>
      <c r="N32" s="572"/>
      <c r="O32" s="5"/>
    </row>
    <row r="33" spans="2:16" ht="15.6">
      <c r="B33" s="1252" t="s">
        <v>20</v>
      </c>
      <c r="C33" s="3" t="s">
        <v>6</v>
      </c>
      <c r="D33" s="249">
        <f>7500000+2500000+10000000</f>
        <v>20000000</v>
      </c>
      <c r="E33" s="274">
        <v>0</v>
      </c>
      <c r="F33" s="276"/>
      <c r="G33" s="6">
        <v>7500000</v>
      </c>
      <c r="H33" s="270"/>
      <c r="I33" s="640">
        <f>+J33-F33</f>
        <v>0</v>
      </c>
      <c r="J33" s="569"/>
      <c r="K33" s="736">
        <v>2500000</v>
      </c>
      <c r="L33" s="776">
        <f t="shared" si="0"/>
        <v>0</v>
      </c>
      <c r="M33" s="735"/>
      <c r="N33" s="569"/>
      <c r="O33" s="5"/>
      <c r="P33" s="784">
        <f>+D33/$D$90</f>
        <v>4.0000000004000004E-3</v>
      </c>
    </row>
    <row r="34" spans="2:16" ht="15.6">
      <c r="B34" s="1258"/>
      <c r="C34" s="3" t="s">
        <v>7</v>
      </c>
      <c r="D34" s="249">
        <f>39033047+58549570+328134570+308618047</f>
        <v>734335234</v>
      </c>
      <c r="E34" s="274">
        <v>39033047</v>
      </c>
      <c r="F34" s="276"/>
      <c r="G34" s="6">
        <v>58549570</v>
      </c>
      <c r="H34" s="270">
        <v>0</v>
      </c>
      <c r="I34" s="641"/>
      <c r="J34" s="570"/>
      <c r="K34" s="736">
        <v>328134570</v>
      </c>
      <c r="L34" s="776">
        <f t="shared" si="0"/>
        <v>0</v>
      </c>
      <c r="M34" s="735"/>
      <c r="N34" s="570"/>
      <c r="O34" s="5">
        <v>198045066</v>
      </c>
    </row>
    <row r="35" spans="2:16" ht="15.6">
      <c r="B35" s="1258"/>
      <c r="C35" s="4" t="s">
        <v>8</v>
      </c>
      <c r="D35" s="249">
        <f>188000000+127500000*2</f>
        <v>443000000</v>
      </c>
      <c r="E35" s="274">
        <v>0</v>
      </c>
      <c r="F35" s="276"/>
      <c r="G35" s="6">
        <v>188000000</v>
      </c>
      <c r="H35" s="270"/>
      <c r="I35" s="641"/>
      <c r="J35" s="571"/>
      <c r="K35" s="736">
        <v>127500000</v>
      </c>
      <c r="L35" s="776">
        <f t="shared" si="0"/>
        <v>0</v>
      </c>
      <c r="M35" s="735"/>
      <c r="N35" s="571"/>
      <c r="O35" s="5"/>
    </row>
    <row r="36" spans="2:16" ht="15.6">
      <c r="B36" s="793" t="s">
        <v>505</v>
      </c>
      <c r="C36" s="793"/>
      <c r="D36" s="283">
        <f>+SUM(D24:D35)</f>
        <v>5153349714</v>
      </c>
      <c r="E36" s="283">
        <f>+SUM(E24:E35)</f>
        <v>1093139279</v>
      </c>
      <c r="F36" s="283">
        <f>+SUM(F24:F35)</f>
        <v>75248195</v>
      </c>
      <c r="G36" s="283">
        <f>+SUM(G24:G35)</f>
        <v>1486627970</v>
      </c>
      <c r="H36" s="283">
        <f>+SUM(H24:H35)</f>
        <v>165363350</v>
      </c>
      <c r="I36" s="283"/>
      <c r="J36" s="794">
        <f>+SUM(J24:J35)</f>
        <v>198163353</v>
      </c>
      <c r="K36" s="794">
        <f>+SUM(K24:K35)</f>
        <v>1304055459</v>
      </c>
      <c r="L36" s="795">
        <f t="shared" si="0"/>
        <v>836455146</v>
      </c>
      <c r="M36" s="796">
        <f>+N36-J36</f>
        <v>836455146</v>
      </c>
      <c r="N36" s="794">
        <f>+SUM(N24:N35)</f>
        <v>1034618499</v>
      </c>
      <c r="O36" s="794">
        <f>+SUM(O24:O35)</f>
        <v>1457776697</v>
      </c>
    </row>
    <row r="37" spans="2:16" ht="15.6">
      <c r="B37" s="285" t="s">
        <v>21</v>
      </c>
      <c r="C37" s="286"/>
      <c r="D37" s="288"/>
      <c r="E37" s="287"/>
      <c r="F37" s="272"/>
      <c r="G37" s="6"/>
      <c r="H37" s="273"/>
      <c r="I37" s="273"/>
      <c r="J37" s="640"/>
      <c r="K37" s="736"/>
      <c r="L37" s="776">
        <f t="shared" si="0"/>
        <v>0</v>
      </c>
      <c r="M37" s="735"/>
      <c r="N37" s="689"/>
      <c r="O37" s="792"/>
    </row>
    <row r="38" spans="2:16" ht="15.6">
      <c r="B38" s="253" t="s">
        <v>22</v>
      </c>
      <c r="C38" s="2" t="s">
        <v>9</v>
      </c>
      <c r="D38" s="768"/>
      <c r="E38" s="274"/>
      <c r="F38" s="272"/>
      <c r="G38" s="6"/>
      <c r="H38" s="273"/>
      <c r="I38" s="640"/>
      <c r="J38" s="719"/>
      <c r="K38" s="736"/>
      <c r="L38" s="776">
        <f t="shared" si="0"/>
        <v>0</v>
      </c>
      <c r="M38" s="735"/>
      <c r="N38" s="572"/>
      <c r="O38" s="5"/>
    </row>
    <row r="39" spans="2:16" ht="15.6">
      <c r="B39" s="1254" t="s">
        <v>23</v>
      </c>
      <c r="C39" s="2" t="s">
        <v>6</v>
      </c>
      <c r="D39" s="249">
        <f>10000000+7500000</f>
        <v>17500000</v>
      </c>
      <c r="E39" s="274">
        <v>0</v>
      </c>
      <c r="F39" s="276"/>
      <c r="G39" s="6">
        <v>10000000</v>
      </c>
      <c r="H39" s="270"/>
      <c r="I39" s="640">
        <f>+J39-F39</f>
        <v>0</v>
      </c>
      <c r="J39" s="569"/>
      <c r="K39" s="736">
        <v>2500000</v>
      </c>
      <c r="L39" s="776">
        <f t="shared" si="0"/>
        <v>0</v>
      </c>
      <c r="M39" s="735"/>
      <c r="N39" s="569"/>
      <c r="O39" s="5"/>
      <c r="P39" s="784">
        <f>+D39/$D$90</f>
        <v>3.50000000035E-3</v>
      </c>
    </row>
    <row r="40" spans="2:16" ht="15.6">
      <c r="B40" s="1254"/>
      <c r="C40" s="3" t="s">
        <v>8</v>
      </c>
      <c r="D40" s="249">
        <f>27380960+28812740*2</f>
        <v>85006440</v>
      </c>
      <c r="E40" s="274">
        <v>28812740</v>
      </c>
      <c r="F40" s="276"/>
      <c r="G40" s="6">
        <v>27380960</v>
      </c>
      <c r="H40" s="270"/>
      <c r="I40" s="641"/>
      <c r="J40" s="571"/>
      <c r="K40" s="736">
        <v>28812740</v>
      </c>
      <c r="L40" s="776">
        <f t="shared" si="0"/>
        <v>0</v>
      </c>
      <c r="M40" s="735"/>
      <c r="N40" s="571"/>
      <c r="O40" s="5">
        <v>0</v>
      </c>
    </row>
    <row r="41" spans="2:16" ht="15.6">
      <c r="B41" s="1254"/>
      <c r="C41" s="3" t="s">
        <v>9</v>
      </c>
      <c r="D41" s="249">
        <v>122825000</v>
      </c>
      <c r="E41" s="274">
        <v>0</v>
      </c>
      <c r="F41" s="276"/>
      <c r="G41" s="6">
        <v>0</v>
      </c>
      <c r="H41" s="270"/>
      <c r="I41" s="641"/>
      <c r="J41" s="719"/>
      <c r="K41" s="736"/>
      <c r="L41" s="776">
        <f t="shared" si="0"/>
        <v>0</v>
      </c>
      <c r="M41" s="735"/>
      <c r="N41" s="572"/>
      <c r="O41" s="5"/>
    </row>
    <row r="42" spans="2:16" ht="15.6">
      <c r="B42" s="1252" t="s">
        <v>24</v>
      </c>
      <c r="C42" s="3" t="s">
        <v>6</v>
      </c>
      <c r="D42" s="249">
        <v>15000000</v>
      </c>
      <c r="E42" s="274">
        <v>0</v>
      </c>
      <c r="F42" s="276"/>
      <c r="G42" s="6">
        <v>4500000</v>
      </c>
      <c r="H42" s="270">
        <v>6349105</v>
      </c>
      <c r="I42" s="640">
        <f>+J42-F42</f>
        <v>6349105</v>
      </c>
      <c r="J42" s="569">
        <f>3884110+1182495+1282500</f>
        <v>6349105</v>
      </c>
      <c r="K42" s="736">
        <v>5500000</v>
      </c>
      <c r="L42" s="776">
        <f t="shared" si="0"/>
        <v>0</v>
      </c>
      <c r="M42" s="735"/>
      <c r="N42" s="569">
        <f>3884110+1182495+1282500</f>
        <v>6349105</v>
      </c>
      <c r="O42" s="5">
        <v>5066605</v>
      </c>
      <c r="P42" s="784">
        <f>+D42/$D$90</f>
        <v>3.0000000003000001E-3</v>
      </c>
    </row>
    <row r="43" spans="2:16" ht="15.6">
      <c r="B43" s="1253"/>
      <c r="C43" s="3" t="s">
        <v>8</v>
      </c>
      <c r="D43" s="249">
        <f>44920841*2+35619867*2</f>
        <v>161081416</v>
      </c>
      <c r="E43" s="274">
        <v>44920841</v>
      </c>
      <c r="F43" s="276">
        <f>23636000</f>
        <v>23636000</v>
      </c>
      <c r="G43" s="6">
        <v>35619867</v>
      </c>
      <c r="H43" s="270">
        <v>23636000</v>
      </c>
      <c r="I43" s="641"/>
      <c r="J43" s="571">
        <f>23636000</f>
        <v>23636000</v>
      </c>
      <c r="K43" s="736">
        <v>35619867</v>
      </c>
      <c r="L43" s="776">
        <f t="shared" si="0"/>
        <v>23636000</v>
      </c>
      <c r="M43" s="735">
        <f>+N43-J43</f>
        <v>23636000</v>
      </c>
      <c r="N43" s="571">
        <v>47272000</v>
      </c>
      <c r="O43" s="5">
        <v>70908000</v>
      </c>
    </row>
    <row r="44" spans="2:16" ht="15.6">
      <c r="B44" s="1259" t="s">
        <v>25</v>
      </c>
      <c r="C44" s="3" t="s">
        <v>6</v>
      </c>
      <c r="D44" s="249">
        <v>25000000</v>
      </c>
      <c r="E44" s="274"/>
      <c r="F44" s="276"/>
      <c r="G44" s="6"/>
      <c r="H44" s="270"/>
      <c r="I44" s="640">
        <f>+J44-F44</f>
        <v>0</v>
      </c>
      <c r="J44" s="571"/>
      <c r="K44" s="736"/>
      <c r="L44" s="776">
        <f t="shared" si="0"/>
        <v>0</v>
      </c>
      <c r="M44" s="735"/>
      <c r="N44" s="733"/>
      <c r="O44" s="5">
        <v>1282500</v>
      </c>
      <c r="P44" s="784">
        <f>+D44/$D$90</f>
        <v>5.0000000005000003E-3</v>
      </c>
    </row>
    <row r="45" spans="2:16" ht="15.6">
      <c r="B45" s="1260"/>
      <c r="C45" s="3" t="s">
        <v>8</v>
      </c>
      <c r="D45" s="249">
        <f>72493153-D44</f>
        <v>47493153</v>
      </c>
      <c r="E45" s="274">
        <v>8772965</v>
      </c>
      <c r="F45" s="276"/>
      <c r="G45" s="6">
        <v>11873289</v>
      </c>
      <c r="H45" s="270"/>
      <c r="I45" s="641"/>
      <c r="J45" s="571"/>
      <c r="K45" s="736">
        <v>11873289</v>
      </c>
      <c r="L45" s="776">
        <f t="shared" si="0"/>
        <v>0</v>
      </c>
      <c r="M45" s="735"/>
      <c r="N45" s="733"/>
      <c r="O45" s="5"/>
    </row>
    <row r="46" spans="2:16" ht="15.6">
      <c r="B46" s="1255" t="s">
        <v>26</v>
      </c>
      <c r="C46" s="3" t="s">
        <v>6</v>
      </c>
      <c r="D46" s="249">
        <f>39250000*3</f>
        <v>117750000</v>
      </c>
      <c r="E46" s="274">
        <v>0</v>
      </c>
      <c r="F46" s="276">
        <f>13469700+5000000</f>
        <v>18469700</v>
      </c>
      <c r="G46" s="6">
        <v>39250000</v>
      </c>
      <c r="H46" s="270">
        <v>34440600</v>
      </c>
      <c r="I46" s="640">
        <f>+J46-F46</f>
        <v>15970900</v>
      </c>
      <c r="J46" s="569">
        <f>13469700+5000000+1735400+1735500+12500000</f>
        <v>34440600</v>
      </c>
      <c r="K46" s="736">
        <v>39250000</v>
      </c>
      <c r="L46" s="776">
        <f t="shared" si="0"/>
        <v>79521234</v>
      </c>
      <c r="M46" s="735">
        <f>+N46-J46</f>
        <v>79521234</v>
      </c>
      <c r="N46" s="569">
        <v>113961834</v>
      </c>
      <c r="O46" s="5">
        <v>116812634</v>
      </c>
      <c r="P46" s="784">
        <f>+D46/$D$90</f>
        <v>2.3550000002355E-2</v>
      </c>
    </row>
    <row r="47" spans="2:16" ht="15.6">
      <c r="B47" s="1257"/>
      <c r="C47" s="3" t="s">
        <v>9</v>
      </c>
      <c r="D47" s="249">
        <f>12500000*4</f>
        <v>50000000</v>
      </c>
      <c r="E47" s="274">
        <v>12500000</v>
      </c>
      <c r="F47" s="276"/>
      <c r="G47" s="6">
        <v>12500000</v>
      </c>
      <c r="H47" s="270"/>
      <c r="I47" s="641"/>
      <c r="J47" s="719"/>
      <c r="K47" s="736">
        <v>12500000</v>
      </c>
      <c r="L47" s="776">
        <f t="shared" si="0"/>
        <v>0</v>
      </c>
      <c r="M47" s="735"/>
      <c r="N47" s="572"/>
      <c r="O47" s="5"/>
    </row>
    <row r="48" spans="2:16" ht="15.6">
      <c r="B48" s="1252" t="s">
        <v>27</v>
      </c>
      <c r="C48" s="4" t="s">
        <v>7</v>
      </c>
      <c r="D48" s="249">
        <v>50000000</v>
      </c>
      <c r="E48" s="274">
        <v>0</v>
      </c>
      <c r="F48" s="276"/>
      <c r="G48" s="6">
        <v>0</v>
      </c>
      <c r="H48" s="270">
        <v>0</v>
      </c>
      <c r="I48" s="641"/>
      <c r="J48" s="570"/>
      <c r="K48" s="736"/>
      <c r="L48" s="776">
        <f t="shared" si="0"/>
        <v>0</v>
      </c>
      <c r="M48" s="735"/>
      <c r="N48" s="570"/>
      <c r="O48" s="797"/>
    </row>
    <row r="49" spans="2:16" ht="15.6">
      <c r="B49" s="1258"/>
      <c r="C49" s="4" t="s">
        <v>8</v>
      </c>
      <c r="D49" s="289">
        <f>35100000+40950000*2</f>
        <v>117000000</v>
      </c>
      <c r="E49" s="290">
        <v>0</v>
      </c>
      <c r="F49" s="291"/>
      <c r="G49" s="6">
        <v>40950000</v>
      </c>
      <c r="H49" s="292"/>
      <c r="I49" s="642"/>
      <c r="J49" s="571"/>
      <c r="K49" s="736">
        <v>35100000</v>
      </c>
      <c r="L49" s="776">
        <f t="shared" si="0"/>
        <v>0</v>
      </c>
      <c r="M49" s="734"/>
      <c r="N49" s="571"/>
      <c r="O49" s="5"/>
    </row>
    <row r="50" spans="2:16" ht="15.6">
      <c r="B50" s="798" t="s">
        <v>616</v>
      </c>
      <c r="C50" s="798"/>
      <c r="D50" s="283">
        <f>+SUM(D38:D49)</f>
        <v>808656009</v>
      </c>
      <c r="E50" s="283">
        <f>+SUM(E38:E49)</f>
        <v>95006546</v>
      </c>
      <c r="F50" s="283">
        <f>+SUM(F38:F49)</f>
        <v>42105700</v>
      </c>
      <c r="G50" s="283">
        <f>+SUM(G38:G49)</f>
        <v>182074116</v>
      </c>
      <c r="H50" s="283">
        <f>+SUM(H38:H49)</f>
        <v>64425705</v>
      </c>
      <c r="I50" s="283"/>
      <c r="J50" s="794">
        <f>+SUM(J38:J49)</f>
        <v>64425705</v>
      </c>
      <c r="K50" s="794">
        <f>+SUM(K38:K49)</f>
        <v>171155896</v>
      </c>
      <c r="L50" s="795">
        <f t="shared" si="0"/>
        <v>103157234</v>
      </c>
      <c r="M50" s="796">
        <f>+N50-J50</f>
        <v>103157234</v>
      </c>
      <c r="N50" s="794">
        <f>+SUM(N38:N49)</f>
        <v>167582939</v>
      </c>
      <c r="O50" s="794">
        <f>+SUM(O38:O49)</f>
        <v>194069739</v>
      </c>
    </row>
    <row r="51" spans="2:16" ht="15.6">
      <c r="B51" s="293" t="s">
        <v>28</v>
      </c>
      <c r="C51" s="294"/>
      <c r="D51" s="288"/>
      <c r="E51" s="287"/>
      <c r="F51" s="272"/>
      <c r="G51" s="287"/>
      <c r="H51" s="273"/>
      <c r="I51" s="273"/>
      <c r="J51" s="640"/>
      <c r="K51" s="736"/>
      <c r="L51" s="776">
        <f t="shared" si="0"/>
        <v>0</v>
      </c>
      <c r="M51" s="735"/>
      <c r="N51" s="689"/>
      <c r="O51" s="792"/>
    </row>
    <row r="52" spans="2:16" ht="15.6">
      <c r="B52" s="1258" t="s">
        <v>29</v>
      </c>
      <c r="C52" s="247" t="s">
        <v>6</v>
      </c>
      <c r="D52" s="249">
        <v>823225000</v>
      </c>
      <c r="E52" s="274">
        <v>187500000</v>
      </c>
      <c r="F52" s="272">
        <f>84467452+2800000+2000000+4000000+2000000+4000000+2800000+85711430+86517752+5500000+4000000+2800000</f>
        <v>286596634</v>
      </c>
      <c r="G52" s="6">
        <v>187500000</v>
      </c>
      <c r="H52" s="273">
        <v>531081785</v>
      </c>
      <c r="I52" s="640">
        <f>+J52-F52</f>
        <v>258981951</v>
      </c>
      <c r="J52" s="569">
        <v>545578585</v>
      </c>
      <c r="K52" s="736">
        <v>187500000</v>
      </c>
      <c r="L52" s="776">
        <f t="shared" si="0"/>
        <v>620295509</v>
      </c>
      <c r="M52" s="735">
        <f>+N52-J52</f>
        <v>620295509</v>
      </c>
      <c r="N52" s="569">
        <v>1165874094</v>
      </c>
      <c r="O52" s="5">
        <f>(1045368974+48500000+74113698+32000000+26089072)-(158203136+244643608)</f>
        <v>823225000</v>
      </c>
      <c r="P52" s="588">
        <f>+D94/D90</f>
        <v>0.3303062299330306</v>
      </c>
    </row>
    <row r="53" spans="2:16" ht="15.6">
      <c r="B53" s="1258"/>
      <c r="C53" s="248" t="s">
        <v>7</v>
      </c>
      <c r="D53" s="249">
        <v>225000000</v>
      </c>
      <c r="E53" s="274"/>
      <c r="F53" s="276"/>
      <c r="G53" s="6"/>
      <c r="H53" s="270">
        <v>0</v>
      </c>
      <c r="I53" s="641"/>
      <c r="J53" s="570"/>
      <c r="K53" s="736">
        <v>25000000</v>
      </c>
      <c r="L53" s="776">
        <f t="shared" si="0"/>
        <v>93743496</v>
      </c>
      <c r="M53" s="735">
        <f>+N53-J53</f>
        <v>93743496</v>
      </c>
      <c r="N53" s="570">
        <v>93743496</v>
      </c>
      <c r="O53" s="5">
        <v>158203136</v>
      </c>
    </row>
    <row r="54" spans="2:16" ht="15.6">
      <c r="B54" s="1253"/>
      <c r="C54" s="248" t="s">
        <v>8</v>
      </c>
      <c r="D54" s="249"/>
      <c r="E54" s="274"/>
      <c r="F54" s="276"/>
      <c r="G54" s="6"/>
      <c r="H54" s="270"/>
      <c r="I54" s="641"/>
      <c r="J54" s="571"/>
      <c r="K54" s="736"/>
      <c r="L54" s="776">
        <f t="shared" si="0"/>
        <v>0</v>
      </c>
      <c r="M54" s="735"/>
      <c r="N54" s="571"/>
      <c r="O54" s="5"/>
    </row>
    <row r="55" spans="2:16" ht="15.6">
      <c r="B55" s="252" t="s">
        <v>43</v>
      </c>
      <c r="C55" s="248" t="s">
        <v>6</v>
      </c>
      <c r="D55" s="249">
        <v>300000000</v>
      </c>
      <c r="E55" s="274">
        <v>300000000</v>
      </c>
      <c r="F55" s="276"/>
      <c r="G55" s="6"/>
      <c r="H55" s="270"/>
      <c r="I55" s="640">
        <f>+J55-F55</f>
        <v>0</v>
      </c>
      <c r="J55" s="569"/>
      <c r="K55" s="736"/>
      <c r="L55" s="776">
        <f t="shared" si="0"/>
        <v>0</v>
      </c>
      <c r="M55" s="735"/>
      <c r="N55" s="569"/>
      <c r="O55" s="5"/>
    </row>
    <row r="56" spans="2:16" ht="27" customHeight="1">
      <c r="B56" s="252" t="s">
        <v>46</v>
      </c>
      <c r="C56" s="248" t="s">
        <v>6</v>
      </c>
      <c r="D56" s="249">
        <v>34306149.5</v>
      </c>
      <c r="E56" s="274"/>
      <c r="F56" s="276"/>
      <c r="G56" s="6">
        <v>10000000</v>
      </c>
      <c r="H56" s="270"/>
      <c r="I56" s="640">
        <f>+J56-F56</f>
        <v>0</v>
      </c>
      <c r="J56" s="569"/>
      <c r="K56" s="736">
        <v>10000000</v>
      </c>
      <c r="L56" s="776">
        <f t="shared" si="0"/>
        <v>7046335</v>
      </c>
      <c r="M56" s="735">
        <f>+N56-J56</f>
        <v>7046335</v>
      </c>
      <c r="N56" s="569">
        <v>7046335</v>
      </c>
      <c r="O56" s="5">
        <v>7886495</v>
      </c>
    </row>
    <row r="57" spans="2:16" ht="15.6">
      <c r="B57" s="250" t="s">
        <v>30</v>
      </c>
      <c r="C57" s="248" t="s">
        <v>6</v>
      </c>
      <c r="D57" s="249">
        <v>100000000</v>
      </c>
      <c r="E57" s="274">
        <v>25000000</v>
      </c>
      <c r="F57" s="276"/>
      <c r="G57" s="6">
        <v>25000000</v>
      </c>
      <c r="H57" s="270">
        <v>26156400</v>
      </c>
      <c r="I57" s="640">
        <f>+J57-F57</f>
        <v>26156400</v>
      </c>
      <c r="J57" s="569">
        <f>20700000+900000+2126400+620000+1810000</f>
        <v>26156400</v>
      </c>
      <c r="K57" s="736"/>
      <c r="L57" s="776">
        <f t="shared" si="0"/>
        <v>28372000</v>
      </c>
      <c r="M57" s="735">
        <f>+N57-J57</f>
        <v>28372000</v>
      </c>
      <c r="N57" s="569">
        <v>54528400</v>
      </c>
      <c r="O57" s="5">
        <v>98534800</v>
      </c>
    </row>
    <row r="58" spans="2:16" ht="15.6">
      <c r="B58" s="1252" t="s">
        <v>31</v>
      </c>
      <c r="C58" s="248" t="s">
        <v>6</v>
      </c>
      <c r="D58" s="249">
        <v>25000000</v>
      </c>
      <c r="E58" s="274">
        <v>0</v>
      </c>
      <c r="F58" s="276"/>
      <c r="G58" s="6">
        <v>5000000</v>
      </c>
      <c r="H58" s="270">
        <v>6628827</v>
      </c>
      <c r="I58" s="640">
        <f>+J58-F58</f>
        <v>6628827</v>
      </c>
      <c r="J58" s="569">
        <f>6628827</f>
        <v>6628827</v>
      </c>
      <c r="K58" s="736">
        <v>10000000</v>
      </c>
      <c r="L58" s="776">
        <f t="shared" si="0"/>
        <v>3533392</v>
      </c>
      <c r="M58" s="735">
        <f>+N58-J58</f>
        <v>3533392</v>
      </c>
      <c r="N58" s="569">
        <v>10162219</v>
      </c>
      <c r="O58" s="5">
        <v>12178249</v>
      </c>
    </row>
    <row r="59" spans="2:16" ht="15.6">
      <c r="B59" s="1253"/>
      <c r="C59" s="248" t="s">
        <v>8</v>
      </c>
      <c r="D59" s="249"/>
      <c r="E59" s="274"/>
      <c r="F59" s="276"/>
      <c r="G59" s="6"/>
      <c r="H59" s="270"/>
      <c r="I59" s="641"/>
      <c r="J59" s="571"/>
      <c r="K59" s="736"/>
      <c r="L59" s="776">
        <f t="shared" si="0"/>
        <v>0</v>
      </c>
      <c r="M59" s="735"/>
      <c r="N59" s="571"/>
      <c r="O59" s="5"/>
    </row>
    <row r="60" spans="2:16" ht="15.6">
      <c r="B60" s="1252" t="s">
        <v>32</v>
      </c>
      <c r="C60" s="248" t="s">
        <v>6</v>
      </c>
      <c r="D60" s="249">
        <v>35000000</v>
      </c>
      <c r="E60" s="274">
        <v>0</v>
      </c>
      <c r="F60" s="276"/>
      <c r="G60" s="6">
        <v>10000000</v>
      </c>
      <c r="H60" s="270">
        <v>931283</v>
      </c>
      <c r="I60" s="640">
        <f>+J60-F60</f>
        <v>4260739</v>
      </c>
      <c r="J60" s="569">
        <v>4260739</v>
      </c>
      <c r="K60" s="736">
        <v>10000000</v>
      </c>
      <c r="L60" s="776">
        <f t="shared" si="0"/>
        <v>4354071</v>
      </c>
      <c r="M60" s="735">
        <f>+N60-J60</f>
        <v>4354071</v>
      </c>
      <c r="N60" s="569">
        <v>8614810</v>
      </c>
      <c r="O60" s="5">
        <v>8614810</v>
      </c>
    </row>
    <row r="61" spans="2:16" ht="15.6">
      <c r="B61" s="1253"/>
      <c r="C61" s="248" t="s">
        <v>8</v>
      </c>
      <c r="D61" s="249"/>
      <c r="E61" s="274"/>
      <c r="F61" s="276"/>
      <c r="G61" s="6"/>
      <c r="H61" s="270"/>
      <c r="I61" s="641"/>
      <c r="J61" s="571"/>
      <c r="K61" s="736"/>
      <c r="L61" s="776">
        <f t="shared" si="0"/>
        <v>0</v>
      </c>
      <c r="M61" s="735"/>
      <c r="N61" s="571"/>
      <c r="O61" s="5"/>
    </row>
    <row r="62" spans="2:16" ht="19.8" customHeight="1">
      <c r="B62" s="1252" t="s">
        <v>33</v>
      </c>
      <c r="C62" s="248" t="s">
        <v>6</v>
      </c>
      <c r="D62" s="249">
        <v>6500000</v>
      </c>
      <c r="E62" s="274"/>
      <c r="F62" s="276"/>
      <c r="G62" s="6">
        <v>2500000</v>
      </c>
      <c r="H62" s="270"/>
      <c r="I62" s="640">
        <f>+J62-F62</f>
        <v>0</v>
      </c>
      <c r="J62" s="569"/>
      <c r="K62" s="736">
        <v>1500000</v>
      </c>
      <c r="L62" s="776">
        <f t="shared" si="0"/>
        <v>0</v>
      </c>
      <c r="M62" s="735"/>
      <c r="N62" s="569"/>
      <c r="O62" s="5"/>
    </row>
    <row r="63" spans="2:16" ht="19.8" customHeight="1">
      <c r="B63" s="1253"/>
      <c r="C63" s="248" t="s">
        <v>8</v>
      </c>
      <c r="D63" s="249"/>
      <c r="E63" s="274"/>
      <c r="F63" s="276"/>
      <c r="G63" s="6"/>
      <c r="H63" s="270"/>
      <c r="I63" s="641"/>
      <c r="J63" s="571"/>
      <c r="K63" s="736"/>
      <c r="L63" s="776">
        <f t="shared" si="0"/>
        <v>0</v>
      </c>
      <c r="M63" s="735"/>
      <c r="N63" s="571"/>
      <c r="O63" s="5"/>
    </row>
    <row r="64" spans="2:16" ht="15.6">
      <c r="B64" s="1252" t="s">
        <v>34</v>
      </c>
      <c r="C64" s="248" t="s">
        <v>6</v>
      </c>
      <c r="D64" s="249">
        <v>22500000</v>
      </c>
      <c r="E64" s="274"/>
      <c r="F64" s="276"/>
      <c r="G64" s="6">
        <v>10000000</v>
      </c>
      <c r="H64" s="270"/>
      <c r="I64" s="640">
        <f>+J64-F64</f>
        <v>0</v>
      </c>
      <c r="J64" s="569"/>
      <c r="K64" s="736">
        <v>12500000</v>
      </c>
      <c r="L64" s="776">
        <f t="shared" si="0"/>
        <v>0</v>
      </c>
      <c r="M64" s="735"/>
      <c r="N64" s="569"/>
      <c r="O64" s="5">
        <v>0</v>
      </c>
    </row>
    <row r="65" spans="2:15" ht="15.6">
      <c r="B65" s="1253"/>
      <c r="C65" s="248" t="s">
        <v>7</v>
      </c>
      <c r="D65" s="249">
        <v>100000000</v>
      </c>
      <c r="E65" s="274"/>
      <c r="F65" s="276"/>
      <c r="G65" s="6"/>
      <c r="H65" s="270"/>
      <c r="I65" s="641"/>
      <c r="J65" s="570"/>
      <c r="K65" s="736"/>
      <c r="L65" s="776">
        <f t="shared" si="0"/>
        <v>0</v>
      </c>
      <c r="M65" s="735"/>
      <c r="N65" s="570"/>
      <c r="O65" s="5">
        <v>5656000</v>
      </c>
    </row>
    <row r="66" spans="2:15" ht="15.6">
      <c r="B66" s="1252" t="s">
        <v>35</v>
      </c>
      <c r="C66" s="248" t="s">
        <v>6</v>
      </c>
      <c r="D66" s="249">
        <v>70000000</v>
      </c>
      <c r="E66" s="274">
        <v>20000000</v>
      </c>
      <c r="F66" s="276">
        <v>5000000</v>
      </c>
      <c r="G66" s="6">
        <v>15000000</v>
      </c>
      <c r="H66" s="270">
        <v>7252900</v>
      </c>
      <c r="I66" s="640">
        <f>+J66-F66</f>
        <v>2910600</v>
      </c>
      <c r="J66" s="569">
        <v>7910600</v>
      </c>
      <c r="K66" s="736">
        <v>17500000</v>
      </c>
      <c r="L66" s="776">
        <f t="shared" si="0"/>
        <v>42489070</v>
      </c>
      <c r="M66" s="735">
        <f>+N66-J66</f>
        <v>42489070</v>
      </c>
      <c r="N66" s="569">
        <v>50399670</v>
      </c>
      <c r="O66" s="5">
        <v>54746112</v>
      </c>
    </row>
    <row r="67" spans="2:15" ht="15.6">
      <c r="B67" s="1253"/>
      <c r="C67" s="248" t="s">
        <v>8</v>
      </c>
      <c r="D67" s="249"/>
      <c r="E67" s="274"/>
      <c r="F67" s="276"/>
      <c r="G67" s="6"/>
      <c r="H67" s="270"/>
      <c r="I67" s="641"/>
      <c r="J67" s="571"/>
      <c r="K67" s="736"/>
      <c r="L67" s="776">
        <f t="shared" si="0"/>
        <v>0</v>
      </c>
      <c r="M67" s="735"/>
      <c r="N67" s="571"/>
      <c r="O67" s="5"/>
    </row>
    <row r="68" spans="2:15" ht="15.6">
      <c r="B68" s="1252" t="s">
        <v>36</v>
      </c>
      <c r="C68" s="248" t="s">
        <v>7</v>
      </c>
      <c r="D68" s="249">
        <v>150000000</v>
      </c>
      <c r="E68" s="274"/>
      <c r="F68" s="276"/>
      <c r="G68" s="6"/>
      <c r="H68" s="270">
        <v>0</v>
      </c>
      <c r="I68" s="641"/>
      <c r="J68" s="570"/>
      <c r="K68" s="736"/>
      <c r="L68" s="776">
        <f t="shared" ref="L68:L83" si="2">+N68-J68</f>
        <v>0</v>
      </c>
      <c r="M68" s="735"/>
      <c r="N68" s="570"/>
      <c r="O68" s="5">
        <v>36059098</v>
      </c>
    </row>
    <row r="69" spans="2:15" ht="15.6">
      <c r="B69" s="1253"/>
      <c r="C69" s="248" t="s">
        <v>6</v>
      </c>
      <c r="D69" s="249"/>
      <c r="E69" s="274"/>
      <c r="F69" s="276"/>
      <c r="G69" s="6"/>
      <c r="H69" s="270"/>
      <c r="I69" s="640">
        <f>+J69-F69</f>
        <v>0</v>
      </c>
      <c r="J69" s="569"/>
      <c r="K69" s="736"/>
      <c r="L69" s="776">
        <f t="shared" si="2"/>
        <v>0</v>
      </c>
      <c r="M69" s="735"/>
      <c r="N69" s="569"/>
      <c r="O69" s="5"/>
    </row>
    <row r="70" spans="2:15" ht="15.6">
      <c r="B70" s="1252" t="s">
        <v>37</v>
      </c>
      <c r="C70" s="248" t="s">
        <v>6</v>
      </c>
      <c r="D70" s="249">
        <v>75000000</v>
      </c>
      <c r="E70" s="274">
        <v>0</v>
      </c>
      <c r="F70" s="276">
        <v>3388611</v>
      </c>
      <c r="G70" s="6">
        <v>37500000</v>
      </c>
      <c r="H70" s="270">
        <v>56387175</v>
      </c>
      <c r="I70" s="640">
        <f>+J70-F70</f>
        <v>55712564</v>
      </c>
      <c r="J70" s="569">
        <v>59101175</v>
      </c>
      <c r="K70" s="736">
        <v>37500000</v>
      </c>
      <c r="L70" s="776">
        <f t="shared" si="2"/>
        <v>1829125</v>
      </c>
      <c r="M70" s="735">
        <f>+N70-J70</f>
        <v>1829125</v>
      </c>
      <c r="N70" s="569">
        <v>60930300</v>
      </c>
      <c r="O70" s="5">
        <v>74000951</v>
      </c>
    </row>
    <row r="71" spans="2:15" ht="15.6">
      <c r="B71" s="1253"/>
      <c r="C71" s="248" t="s">
        <v>7</v>
      </c>
      <c r="D71" s="249">
        <v>195000000</v>
      </c>
      <c r="E71" s="274"/>
      <c r="F71" s="276">
        <v>19907451</v>
      </c>
      <c r="G71" s="6"/>
      <c r="H71" s="270">
        <v>29033737</v>
      </c>
      <c r="I71" s="641"/>
      <c r="J71" s="570">
        <v>33151930</v>
      </c>
      <c r="K71" s="736"/>
      <c r="L71" s="776">
        <f t="shared" si="2"/>
        <v>28128886</v>
      </c>
      <c r="M71" s="735">
        <f>+N71-J71</f>
        <v>28128886</v>
      </c>
      <c r="N71" s="570">
        <v>61280816</v>
      </c>
      <c r="O71" s="5">
        <v>78235055</v>
      </c>
    </row>
    <row r="72" spans="2:15" ht="27.6">
      <c r="B72" s="251" t="s">
        <v>38</v>
      </c>
      <c r="C72" s="248" t="s">
        <v>6</v>
      </c>
      <c r="D72" s="249">
        <v>60000000</v>
      </c>
      <c r="E72" s="274"/>
      <c r="F72" s="276"/>
      <c r="G72" s="6">
        <v>40000000</v>
      </c>
      <c r="H72" s="270">
        <v>1791240</v>
      </c>
      <c r="I72" s="640">
        <f>+J72-F72</f>
        <v>1791240</v>
      </c>
      <c r="J72" s="569">
        <f>1791240</f>
        <v>1791240</v>
      </c>
      <c r="K72" s="736">
        <v>20000000</v>
      </c>
      <c r="L72" s="776">
        <f t="shared" si="2"/>
        <v>0</v>
      </c>
      <c r="M72" s="735"/>
      <c r="N72" s="569">
        <v>1791240</v>
      </c>
      <c r="O72" s="5">
        <v>27112270</v>
      </c>
    </row>
    <row r="73" spans="2:15" ht="15.6">
      <c r="B73" s="1252" t="s">
        <v>39</v>
      </c>
      <c r="C73" s="248" t="s">
        <v>6</v>
      </c>
      <c r="D73" s="249">
        <v>5000000</v>
      </c>
      <c r="E73" s="274"/>
      <c r="F73" s="276"/>
      <c r="G73" s="6">
        <v>1500000</v>
      </c>
      <c r="H73" s="270"/>
      <c r="I73" s="640">
        <f>+J73-F73</f>
        <v>0</v>
      </c>
      <c r="J73" s="569"/>
      <c r="K73" s="736">
        <v>1750000</v>
      </c>
      <c r="L73" s="776">
        <f t="shared" si="2"/>
        <v>0</v>
      </c>
      <c r="M73" s="735"/>
      <c r="N73" s="569"/>
      <c r="O73" s="5"/>
    </row>
    <row r="74" spans="2:15" ht="25.8" customHeight="1">
      <c r="B74" s="1253"/>
      <c r="C74" s="248" t="s">
        <v>7</v>
      </c>
      <c r="D74" s="249">
        <v>30000000</v>
      </c>
      <c r="E74" s="274"/>
      <c r="F74" s="276">
        <v>240000</v>
      </c>
      <c r="G74" s="6"/>
      <c r="H74" s="270">
        <v>300000</v>
      </c>
      <c r="I74" s="641"/>
      <c r="J74" s="570">
        <v>690000</v>
      </c>
      <c r="K74" s="736"/>
      <c r="L74" s="776">
        <f t="shared" si="2"/>
        <v>510000</v>
      </c>
      <c r="M74" s="735">
        <f>+N74-J74</f>
        <v>510000</v>
      </c>
      <c r="N74" s="570">
        <v>1200000</v>
      </c>
      <c r="O74" s="5">
        <v>1200000</v>
      </c>
    </row>
    <row r="75" spans="2:15" ht="15.6">
      <c r="B75" s="250" t="s">
        <v>40</v>
      </c>
      <c r="C75" s="248" t="s">
        <v>7</v>
      </c>
      <c r="D75" s="249">
        <v>327056666</v>
      </c>
      <c r="E75" s="274"/>
      <c r="F75" s="276">
        <v>61552667</v>
      </c>
      <c r="G75" s="6"/>
      <c r="H75" s="270">
        <v>200792667</v>
      </c>
      <c r="I75" s="641"/>
      <c r="J75" s="570">
        <v>200792667</v>
      </c>
      <c r="K75" s="736"/>
      <c r="L75" s="776">
        <f t="shared" si="2"/>
        <v>155807001</v>
      </c>
      <c r="M75" s="735">
        <f>+N75-J75</f>
        <v>155807001</v>
      </c>
      <c r="N75" s="733">
        <v>356599668</v>
      </c>
      <c r="O75" s="5">
        <v>309140000</v>
      </c>
    </row>
    <row r="76" spans="2:15" ht="15.6">
      <c r="B76" s="250" t="s">
        <v>45</v>
      </c>
      <c r="C76" s="248" t="s">
        <v>6</v>
      </c>
      <c r="D76" s="249">
        <v>75000000</v>
      </c>
      <c r="E76" s="274"/>
      <c r="F76" s="276"/>
      <c r="G76" s="6">
        <v>37500000</v>
      </c>
      <c r="H76" s="270"/>
      <c r="I76" s="640">
        <f>+J76-F76</f>
        <v>0</v>
      </c>
      <c r="J76" s="569"/>
      <c r="K76" s="736">
        <v>37500000</v>
      </c>
      <c r="L76" s="776">
        <f t="shared" si="2"/>
        <v>173559434</v>
      </c>
      <c r="M76" s="735">
        <f>+N76-J76</f>
        <v>173559434</v>
      </c>
      <c r="N76" s="569">
        <v>173559434</v>
      </c>
      <c r="O76" s="5">
        <v>12882898</v>
      </c>
    </row>
    <row r="77" spans="2:15" ht="15.6">
      <c r="B77" s="250" t="s">
        <v>44</v>
      </c>
      <c r="C77" s="248" t="s">
        <v>6</v>
      </c>
      <c r="D77" s="249">
        <v>5000000</v>
      </c>
      <c r="E77" s="274"/>
      <c r="F77" s="276"/>
      <c r="G77" s="6">
        <v>1250000</v>
      </c>
      <c r="H77" s="270"/>
      <c r="I77" s="640">
        <f>+J77-F77</f>
        <v>0</v>
      </c>
      <c r="J77" s="569"/>
      <c r="K77" s="736">
        <v>2500000</v>
      </c>
      <c r="L77" s="776">
        <f t="shared" si="2"/>
        <v>5088160</v>
      </c>
      <c r="M77" s="735">
        <f>+N77-J77</f>
        <v>5088160</v>
      </c>
      <c r="N77" s="569">
        <v>5088160</v>
      </c>
      <c r="O77" s="5">
        <v>4248000</v>
      </c>
    </row>
    <row r="78" spans="2:15" ht="15.6">
      <c r="B78" s="250" t="s">
        <v>1298</v>
      </c>
      <c r="C78" s="248" t="s">
        <v>8</v>
      </c>
      <c r="D78" s="249">
        <v>364714000</v>
      </c>
      <c r="E78" s="274">
        <v>182357000</v>
      </c>
      <c r="F78" s="276">
        <v>8280600</v>
      </c>
      <c r="G78" s="6">
        <v>0</v>
      </c>
      <c r="H78" s="270">
        <v>17161700</v>
      </c>
      <c r="I78" s="641"/>
      <c r="J78" s="571">
        <v>22380301</v>
      </c>
      <c r="K78" s="736">
        <v>182355000</v>
      </c>
      <c r="L78" s="776">
        <f t="shared" si="2"/>
        <v>17645170</v>
      </c>
      <c r="M78" s="735">
        <f>+N78-J78</f>
        <v>17645170</v>
      </c>
      <c r="N78" s="571">
        <f>37395471+2630000</f>
        <v>40025471</v>
      </c>
      <c r="O78" s="5">
        <f>55488935+6666666+244643608</f>
        <v>306799209</v>
      </c>
    </row>
    <row r="79" spans="2:15" ht="15.6">
      <c r="B79" s="250" t="s">
        <v>1299</v>
      </c>
      <c r="C79" s="248" t="s">
        <v>9</v>
      </c>
      <c r="D79" s="249">
        <v>873365365</v>
      </c>
      <c r="E79" s="274"/>
      <c r="F79" s="276"/>
      <c r="G79" s="6"/>
      <c r="H79" s="270"/>
      <c r="I79" s="641"/>
      <c r="J79" s="719">
        <v>242359591</v>
      </c>
      <c r="K79" s="736"/>
      <c r="L79" s="776">
        <f t="shared" si="2"/>
        <v>0</v>
      </c>
      <c r="M79" s="735"/>
      <c r="N79" s="572">
        <v>242359591</v>
      </c>
      <c r="O79" s="5">
        <v>242319991</v>
      </c>
    </row>
    <row r="80" spans="2:15" ht="15.6">
      <c r="B80" s="1254" t="s">
        <v>41</v>
      </c>
      <c r="C80" s="295" t="s">
        <v>6</v>
      </c>
      <c r="D80" s="249">
        <v>15000000</v>
      </c>
      <c r="E80" s="274"/>
      <c r="F80" s="278"/>
      <c r="G80" s="6">
        <v>15000000</v>
      </c>
      <c r="H80" s="270"/>
      <c r="I80" s="640">
        <f>+J80-F80</f>
        <v>0</v>
      </c>
      <c r="J80" s="573"/>
      <c r="K80" s="736"/>
      <c r="L80" s="776">
        <f t="shared" si="2"/>
        <v>0</v>
      </c>
      <c r="M80" s="735"/>
      <c r="N80" s="573"/>
      <c r="O80" s="5">
        <v>0</v>
      </c>
    </row>
    <row r="81" spans="2:17" ht="15.6">
      <c r="B81" s="1254"/>
      <c r="C81" s="295" t="s">
        <v>7</v>
      </c>
      <c r="D81" s="249">
        <v>27000000</v>
      </c>
      <c r="E81" s="290"/>
      <c r="F81" s="278"/>
      <c r="G81" s="6"/>
      <c r="H81" s="270"/>
      <c r="I81" s="641"/>
      <c r="J81" s="570">
        <v>12000000</v>
      </c>
      <c r="K81" s="736"/>
      <c r="L81" s="776">
        <f t="shared" si="2"/>
        <v>0</v>
      </c>
      <c r="M81" s="735"/>
      <c r="N81" s="570">
        <v>12000000</v>
      </c>
      <c r="O81" s="5">
        <v>12000000</v>
      </c>
    </row>
    <row r="82" spans="2:17" ht="15.6">
      <c r="B82" s="566" t="s">
        <v>1329</v>
      </c>
      <c r="C82" s="566"/>
      <c r="D82" s="281">
        <f>+SUM(D52:D81)</f>
        <v>3943667180.5</v>
      </c>
      <c r="E82" s="282">
        <f>+SUM(E52:E81)</f>
        <v>714857000</v>
      </c>
      <c r="F82" s="283">
        <f>+SUM(F52:F81)</f>
        <v>384965963</v>
      </c>
      <c r="G82" s="282">
        <f>+SUM(G52:G81)</f>
        <v>397750000</v>
      </c>
      <c r="H82" s="284">
        <f>+SUM(H52:H81)</f>
        <v>877517714</v>
      </c>
      <c r="I82" s="284"/>
      <c r="J82" s="687">
        <f>+SUM(J52:J81)</f>
        <v>1162802055</v>
      </c>
      <c r="K82" s="687">
        <f>+SUM(K52:K81)</f>
        <v>555605000</v>
      </c>
      <c r="L82" s="776">
        <f t="shared" si="2"/>
        <v>1182401649</v>
      </c>
      <c r="M82" s="687">
        <f>+SUM(M52:M81)</f>
        <v>1182401649</v>
      </c>
      <c r="N82" s="734">
        <f>+SUM(N52:N81)</f>
        <v>2345203704</v>
      </c>
      <c r="O82" s="734">
        <f>+SUM(O52:O81)</f>
        <v>2273042074</v>
      </c>
    </row>
    <row r="83" spans="2:17" ht="16.2" thickBot="1">
      <c r="B83" s="567" t="s">
        <v>1300</v>
      </c>
      <c r="C83" s="568"/>
      <c r="D83" s="7">
        <f>+D82+D50+D36+D22</f>
        <v>55262120036.5</v>
      </c>
      <c r="E83" s="7">
        <f>+E82+E50+E36+E22</f>
        <v>9157606438</v>
      </c>
      <c r="F83" s="7">
        <f>+F82+F50+F36+F22</f>
        <v>4200061498</v>
      </c>
      <c r="G83" s="7">
        <f>+G82+G50+G36+G22</f>
        <v>13701069483</v>
      </c>
      <c r="H83" s="7">
        <f>+H82+H50+H36+H22</f>
        <v>8305635834</v>
      </c>
      <c r="I83" s="7"/>
      <c r="J83" s="688">
        <f>+J82+J50+J36+J22</f>
        <v>9254160416.6406784</v>
      </c>
      <c r="K83" s="688">
        <f>+K82+K50+K36+K22</f>
        <v>17002439064</v>
      </c>
      <c r="L83" s="776">
        <f t="shared" si="2"/>
        <v>10922393895.359322</v>
      </c>
      <c r="M83" s="734">
        <f>+N83-J83</f>
        <v>10922393895.359322</v>
      </c>
      <c r="N83" s="734">
        <f>+N82+N50+N36+N22</f>
        <v>20176554312</v>
      </c>
      <c r="O83" s="734">
        <f>+O82+O50+O36+O22</f>
        <v>28198718318</v>
      </c>
      <c r="P83" s="588">
        <f>+M83/K83</f>
        <v>0.64240159039803757</v>
      </c>
    </row>
    <row r="84" spans="2:17" ht="15" thickBot="1">
      <c r="B84" s="1"/>
      <c r="D84" s="1"/>
      <c r="E84" s="1"/>
      <c r="H84" s="1"/>
      <c r="I84" s="1"/>
    </row>
    <row r="85" spans="2:17">
      <c r="B85" s="1"/>
      <c r="D85" s="1243" t="s">
        <v>2</v>
      </c>
      <c r="E85" s="1245" t="s">
        <v>1324</v>
      </c>
      <c r="F85" s="1247" t="s">
        <v>1325</v>
      </c>
      <c r="G85" s="1245" t="s">
        <v>1326</v>
      </c>
      <c r="H85" s="1249" t="s">
        <v>1327</v>
      </c>
      <c r="I85" s="1241" t="s">
        <v>2014</v>
      </c>
      <c r="J85" s="1239" t="s">
        <v>1328</v>
      </c>
      <c r="K85" s="1270" t="s">
        <v>2053</v>
      </c>
      <c r="L85" s="762"/>
      <c r="M85" s="1237" t="s">
        <v>2054</v>
      </c>
      <c r="N85" s="1237" t="s">
        <v>2055</v>
      </c>
      <c r="O85" s="790"/>
      <c r="P85" s="1235" t="s">
        <v>2076</v>
      </c>
      <c r="Q85" s="1237" t="s">
        <v>2077</v>
      </c>
    </row>
    <row r="86" spans="2:17" ht="15" thickBot="1">
      <c r="B86" s="1"/>
      <c r="D86" s="1244"/>
      <c r="E86" s="1246"/>
      <c r="F86" s="1248"/>
      <c r="G86" s="1246"/>
      <c r="H86" s="1235"/>
      <c r="I86" s="1242"/>
      <c r="J86" s="1240"/>
      <c r="K86" s="1270"/>
      <c r="L86" s="762"/>
      <c r="M86" s="1237"/>
      <c r="N86" s="1237"/>
      <c r="O86" s="791"/>
      <c r="P86" s="1236"/>
      <c r="Q86" s="1237"/>
    </row>
    <row r="87" spans="2:17" ht="15.6">
      <c r="B87" s="297" t="s">
        <v>1301</v>
      </c>
      <c r="C87" s="634" t="s">
        <v>8</v>
      </c>
      <c r="D87" s="636">
        <f>+D78+D67+D63+D61+D59+D54+D49+D45+D43+D40+D35+D31+D29+D26+D19+D15+D10+D6</f>
        <v>11864358391</v>
      </c>
      <c r="E87" s="636">
        <f t="shared" ref="E87:O87" si="3">+E78+E67+E63+E61+E59+E54+E49+E45+E43+E40+E35+E31+E29+E26+E19+E15+E10+E6</f>
        <v>2786986308</v>
      </c>
      <c r="F87" s="636">
        <f t="shared" si="3"/>
        <v>1503029003</v>
      </c>
      <c r="G87" s="636">
        <f t="shared" si="3"/>
        <v>3391371590</v>
      </c>
      <c r="H87" s="636">
        <f t="shared" si="3"/>
        <v>1783901017</v>
      </c>
      <c r="I87" s="636">
        <f t="shared" si="3"/>
        <v>0</v>
      </c>
      <c r="J87" s="636">
        <f t="shared" si="3"/>
        <v>1826334118</v>
      </c>
      <c r="K87" s="636">
        <f t="shared" si="3"/>
        <v>3284262007</v>
      </c>
      <c r="L87" s="636">
        <f t="shared" si="3"/>
        <v>1294216386</v>
      </c>
      <c r="M87" s="636">
        <f t="shared" si="3"/>
        <v>1294216386</v>
      </c>
      <c r="N87" s="636">
        <f t="shared" si="3"/>
        <v>3120550504</v>
      </c>
      <c r="O87" s="636">
        <f t="shared" si="3"/>
        <v>5170086844</v>
      </c>
      <c r="P87" s="737">
        <f t="shared" ref="P87:P92" si="4">+O87/D87*100</f>
        <v>43.576623982649551</v>
      </c>
      <c r="Q87" s="738">
        <f t="shared" ref="Q87:Q92" si="5">+M87/K87*100</f>
        <v>39.406611995070342</v>
      </c>
    </row>
    <row r="88" spans="2:17" ht="15.6">
      <c r="B88" s="298" t="s">
        <v>1302</v>
      </c>
      <c r="C88" s="635" t="s">
        <v>7</v>
      </c>
      <c r="D88" s="637">
        <f>+D81+D75+D74+D71+D68+D65+D53+D48+D34+D30+D28+D25+D21+D18+D14+D9+D5</f>
        <v>11747044620</v>
      </c>
      <c r="E88" s="637">
        <f t="shared" ref="E88:O88" si="6">+E81+E75+E74+E71+E68+E65+E53+E48+E34+E30+E28+E25+E21+E18+E14+E9+E5</f>
        <v>3322664688</v>
      </c>
      <c r="F88" s="637">
        <f t="shared" si="6"/>
        <v>690026038</v>
      </c>
      <c r="G88" s="637">
        <f t="shared" si="6"/>
        <v>3079372196</v>
      </c>
      <c r="H88" s="637">
        <f t="shared" si="6"/>
        <v>1477934301</v>
      </c>
      <c r="I88" s="637">
        <f t="shared" si="6"/>
        <v>0</v>
      </c>
      <c r="J88" s="637">
        <f t="shared" si="6"/>
        <v>1689343425</v>
      </c>
      <c r="K88" s="637">
        <f t="shared" si="6"/>
        <v>2409148437</v>
      </c>
      <c r="L88" s="637">
        <f t="shared" si="6"/>
        <v>1578717853</v>
      </c>
      <c r="M88" s="637">
        <f t="shared" si="6"/>
        <v>1578717853</v>
      </c>
      <c r="N88" s="637">
        <f t="shared" si="6"/>
        <v>3268061278</v>
      </c>
      <c r="O88" s="637">
        <f t="shared" si="6"/>
        <v>4912348970</v>
      </c>
      <c r="P88" s="737">
        <f t="shared" si="4"/>
        <v>41.817743346581416</v>
      </c>
      <c r="Q88" s="738">
        <f t="shared" si="5"/>
        <v>65.530119637040869</v>
      </c>
    </row>
    <row r="89" spans="2:17" ht="15.6">
      <c r="B89" s="298" t="s">
        <v>1303</v>
      </c>
      <c r="C89" s="635" t="s">
        <v>9</v>
      </c>
      <c r="D89" s="638">
        <f>+D7+D11+D16+D20+D32+D38+D41+D47+D79</f>
        <v>6650717026</v>
      </c>
      <c r="E89" s="638">
        <f t="shared" ref="E89:O89" si="7">+E7+E11+E16+E20+E32+E38+E41+E47+E79</f>
        <v>2510455442</v>
      </c>
      <c r="F89" s="638">
        <f t="shared" si="7"/>
        <v>0</v>
      </c>
      <c r="G89" s="638">
        <f t="shared" si="7"/>
        <v>385249704</v>
      </c>
      <c r="H89" s="638">
        <f t="shared" si="7"/>
        <v>0</v>
      </c>
      <c r="I89" s="638">
        <f t="shared" si="7"/>
        <v>0</v>
      </c>
      <c r="J89" s="638">
        <f t="shared" si="7"/>
        <v>723734362.64067769</v>
      </c>
      <c r="K89" s="638">
        <f t="shared" si="7"/>
        <v>2403885763</v>
      </c>
      <c r="L89" s="638">
        <f t="shared" si="7"/>
        <v>2478649245.3593225</v>
      </c>
      <c r="M89" s="638">
        <f t="shared" si="7"/>
        <v>2478649246</v>
      </c>
      <c r="N89" s="638">
        <f t="shared" si="7"/>
        <v>3202383608</v>
      </c>
      <c r="O89" s="638">
        <f t="shared" si="7"/>
        <v>3304894409</v>
      </c>
      <c r="P89" s="737">
        <f t="shared" si="4"/>
        <v>49.692302289813284</v>
      </c>
      <c r="Q89" s="738">
        <f t="shared" si="5"/>
        <v>103.11010964625444</v>
      </c>
    </row>
    <row r="90" spans="2:17" ht="15.6">
      <c r="B90" s="298" t="s">
        <v>1304</v>
      </c>
      <c r="C90" s="635" t="s">
        <v>6</v>
      </c>
      <c r="D90" s="637">
        <f>+D80+D77+D76+D73+D72+D70+D69+D66+D64+D62+D60+D58+D57+D56+D55+D52+D46+D42+D39+D33+D27+D24+D17+D13+D8+D4+D44</f>
        <v>4999999999.5</v>
      </c>
      <c r="E90" s="637">
        <f t="shared" ref="E90:O90" si="8">+E80+E77+E76+E73+E72+E70+E69+E66+E64+E62+E60+E58+E57+E56+E55+E52+E46+E42+E39+E33+E27+E24+E17+E13+E8+E4+E44</f>
        <v>537500000</v>
      </c>
      <c r="F90" s="637">
        <f t="shared" si="8"/>
        <v>779813821</v>
      </c>
      <c r="G90" s="637">
        <f t="shared" si="8"/>
        <v>1845075993</v>
      </c>
      <c r="H90" s="637">
        <f t="shared" si="8"/>
        <v>1243570723</v>
      </c>
      <c r="I90" s="637">
        <f t="shared" si="8"/>
        <v>484954858</v>
      </c>
      <c r="J90" s="637">
        <f t="shared" si="8"/>
        <v>1264768679</v>
      </c>
      <c r="K90" s="637">
        <f t="shared" si="8"/>
        <v>1405142857</v>
      </c>
      <c r="L90" s="637">
        <f t="shared" si="8"/>
        <v>2606957747</v>
      </c>
      <c r="M90" s="637">
        <f t="shared" si="8"/>
        <v>2606957747</v>
      </c>
      <c r="N90" s="637">
        <f t="shared" si="8"/>
        <v>3871726426</v>
      </c>
      <c r="O90" s="637">
        <f t="shared" si="8"/>
        <v>4010169654</v>
      </c>
      <c r="P90" s="737">
        <f t="shared" si="4"/>
        <v>80.203393088020334</v>
      </c>
      <c r="Q90" s="738">
        <f t="shared" si="5"/>
        <v>185.52972987856137</v>
      </c>
    </row>
    <row r="91" spans="2:17" ht="15.6">
      <c r="B91" s="298" t="s">
        <v>1330</v>
      </c>
      <c r="C91" s="635" t="s">
        <v>1305</v>
      </c>
      <c r="D91" s="637">
        <f t="shared" ref="D91:O91" si="9">+D12</f>
        <v>20000000000</v>
      </c>
      <c r="E91" s="637">
        <f t="shared" si="9"/>
        <v>0</v>
      </c>
      <c r="F91" s="637">
        <f t="shared" si="9"/>
        <v>1227192636</v>
      </c>
      <c r="G91" s="637">
        <f t="shared" si="9"/>
        <v>5000000000</v>
      </c>
      <c r="H91" s="637">
        <f t="shared" si="9"/>
        <v>3800229793</v>
      </c>
      <c r="I91" s="637">
        <f t="shared" si="9"/>
        <v>0</v>
      </c>
      <c r="J91" s="637">
        <f t="shared" si="9"/>
        <v>3749979832</v>
      </c>
      <c r="K91" s="637">
        <f t="shared" si="9"/>
        <v>7500000000</v>
      </c>
      <c r="L91" s="637">
        <f t="shared" si="9"/>
        <v>2963852664</v>
      </c>
      <c r="M91" s="637">
        <f t="shared" si="9"/>
        <v>2963852664</v>
      </c>
      <c r="N91" s="637">
        <f t="shared" si="9"/>
        <v>6713832496</v>
      </c>
      <c r="O91" s="637">
        <f t="shared" si="9"/>
        <v>10801218441</v>
      </c>
      <c r="P91" s="737">
        <f t="shared" si="4"/>
        <v>54.006092205000002</v>
      </c>
      <c r="Q91" s="738">
        <f t="shared" si="5"/>
        <v>39.518035519999998</v>
      </c>
    </row>
    <row r="92" spans="2:17" ht="16.2" thickBot="1">
      <c r="B92" s="1250" t="s">
        <v>1300</v>
      </c>
      <c r="C92" s="1251"/>
      <c r="D92" s="639">
        <f t="shared" ref="D92:O92" si="10">+SUM(D87:D91)</f>
        <v>55262120036.5</v>
      </c>
      <c r="E92" s="639">
        <f t="shared" si="10"/>
        <v>9157606438</v>
      </c>
      <c r="F92" s="639">
        <f t="shared" si="10"/>
        <v>4200061498</v>
      </c>
      <c r="G92" s="639">
        <f t="shared" si="10"/>
        <v>13701069483</v>
      </c>
      <c r="H92" s="639">
        <f t="shared" si="10"/>
        <v>8305635834</v>
      </c>
      <c r="I92" s="639">
        <f t="shared" si="10"/>
        <v>484954858</v>
      </c>
      <c r="J92" s="639">
        <f t="shared" si="10"/>
        <v>9254160416.6406784</v>
      </c>
      <c r="K92" s="639">
        <f t="shared" si="10"/>
        <v>17002439064</v>
      </c>
      <c r="L92" s="639">
        <f t="shared" si="10"/>
        <v>10922393895.359322</v>
      </c>
      <c r="M92" s="639">
        <f t="shared" si="10"/>
        <v>10922393896</v>
      </c>
      <c r="N92" s="639">
        <f t="shared" si="10"/>
        <v>20176554312</v>
      </c>
      <c r="O92" s="639">
        <f t="shared" si="10"/>
        <v>28198718318</v>
      </c>
      <c r="P92" s="737">
        <f t="shared" si="4"/>
        <v>51.027210500384477</v>
      </c>
      <c r="Q92" s="738">
        <f t="shared" si="5"/>
        <v>64.240159043571907</v>
      </c>
    </row>
    <row r="93" spans="2:17">
      <c r="F93" s="11"/>
      <c r="G93" s="11"/>
      <c r="N93" s="588">
        <f>+N92/D92</f>
        <v>0.36510641102211816</v>
      </c>
      <c r="O93" s="588">
        <f>+O92/D92</f>
        <v>0.51027210500384479</v>
      </c>
    </row>
    <row r="94" spans="2:17">
      <c r="D94" s="9">
        <f>+D80+D77+D76+D73+D72+D70+D66+D64+D62+D60+D58+D57+D56+D55+D52</f>
        <v>1651531149.5</v>
      </c>
      <c r="F94" s="588"/>
      <c r="G94" s="588"/>
      <c r="I94" s="643"/>
      <c r="J94" s="588"/>
      <c r="K94" s="11"/>
      <c r="L94" s="11"/>
    </row>
    <row r="95" spans="2:17">
      <c r="G95" s="644"/>
    </row>
    <row r="96" spans="2:17">
      <c r="D96" s="1238" t="s">
        <v>2078</v>
      </c>
      <c r="E96" s="1238"/>
      <c r="F96" s="588"/>
      <c r="G96" s="588"/>
      <c r="M96" s="1234" t="s">
        <v>2064</v>
      </c>
      <c r="N96" s="1234"/>
      <c r="O96" s="1234" t="s">
        <v>2064</v>
      </c>
      <c r="P96" s="1234"/>
    </row>
    <row r="97" spans="3:16" ht="15" thickBot="1">
      <c r="D97" s="649" t="s">
        <v>2016</v>
      </c>
      <c r="E97" s="649" t="s">
        <v>2017</v>
      </c>
      <c r="G97" s="644"/>
      <c r="M97" s="649" t="s">
        <v>2016</v>
      </c>
      <c r="N97" s="649" t="s">
        <v>2017</v>
      </c>
      <c r="O97" s="649" t="s">
        <v>2016</v>
      </c>
      <c r="P97" s="649" t="s">
        <v>2017</v>
      </c>
    </row>
    <row r="98" spans="3:16" ht="15.6">
      <c r="C98" s="645" t="s">
        <v>8</v>
      </c>
      <c r="D98" s="648">
        <f>+(E87+G87)/D87</f>
        <v>0.52074943240813976</v>
      </c>
      <c r="E98" s="648">
        <f>+J87/D87</f>
        <v>0.15393450347769422</v>
      </c>
      <c r="F98" s="588"/>
      <c r="G98" s="588"/>
      <c r="K98" s="645" t="s">
        <v>8</v>
      </c>
      <c r="L98" s="773"/>
      <c r="M98" s="648">
        <f>+(E87+G87+K87)/D87</f>
        <v>0.79756693056222094</v>
      </c>
      <c r="N98" s="648">
        <f>+N87/D87</f>
        <v>0.26301890090973401</v>
      </c>
      <c r="O98" s="648"/>
      <c r="P98" s="648"/>
    </row>
    <row r="99" spans="3:16" ht="15.6">
      <c r="C99" s="646" t="s">
        <v>7</v>
      </c>
      <c r="D99" s="648">
        <f>+(E88+G88)/D88</f>
        <v>0.54499128002801445</v>
      </c>
      <c r="E99" s="648">
        <f>+J88/D88</f>
        <v>0.14381007986670949</v>
      </c>
      <c r="G99" s="644"/>
      <c r="K99" s="646" t="s">
        <v>7</v>
      </c>
      <c r="L99" s="774"/>
      <c r="M99" s="648">
        <f>+(E88+G88+K88)/D88</f>
        <v>0.75007677301220632</v>
      </c>
      <c r="N99" s="648">
        <f>+N88/D88</f>
        <v>0.27820284877746554</v>
      </c>
      <c r="O99" s="648"/>
      <c r="P99" s="648"/>
    </row>
    <row r="100" spans="3:16" ht="15.6">
      <c r="C100" s="646" t="s">
        <v>9</v>
      </c>
      <c r="D100" s="648">
        <f>+(E89+G89)/D89</f>
        <v>0.43539743679962123</v>
      </c>
      <c r="E100" s="648">
        <f>+J89/D89</f>
        <v>0.10882050158070847</v>
      </c>
      <c r="K100" s="646" t="s">
        <v>9</v>
      </c>
      <c r="L100" s="774"/>
      <c r="M100" s="648">
        <f>+(E89+G89+K89)/D89</f>
        <v>0.79684504517062282</v>
      </c>
      <c r="N100" s="648">
        <f>+N89/D89</f>
        <v>0.48150952678948034</v>
      </c>
      <c r="O100" s="648"/>
      <c r="P100" s="648"/>
    </row>
    <row r="101" spans="3:16" ht="15.6">
      <c r="C101" s="646" t="s">
        <v>6</v>
      </c>
      <c r="D101" s="648">
        <f>+(E90+G90)/D90</f>
        <v>0.47651519864765152</v>
      </c>
      <c r="E101" s="648">
        <f>+J90/D90</f>
        <v>0.2529537358252954</v>
      </c>
      <c r="K101" s="646" t="s">
        <v>6</v>
      </c>
      <c r="L101" s="774"/>
      <c r="M101" s="648">
        <f>+(E90+G90+K90)/D90</f>
        <v>0.75754377007575435</v>
      </c>
      <c r="N101" s="648">
        <f>+N90/D90</f>
        <v>0.77434528527743451</v>
      </c>
      <c r="O101" s="648"/>
      <c r="P101" s="648"/>
    </row>
    <row r="102" spans="3:16" ht="16.2" thickBot="1">
      <c r="C102" s="647" t="s">
        <v>1305</v>
      </c>
      <c r="D102" s="648">
        <f>+(E91+G91)/D91</f>
        <v>0.25</v>
      </c>
      <c r="E102" s="648">
        <f>+J91/D91</f>
        <v>0.1874989916</v>
      </c>
      <c r="K102" s="647" t="s">
        <v>1305</v>
      </c>
      <c r="L102" s="775"/>
      <c r="M102" s="648">
        <f>+(E91+G91+K91)/D91</f>
        <v>0.625</v>
      </c>
      <c r="N102" s="648">
        <f>+N91/D91</f>
        <v>0.33569162479999998</v>
      </c>
      <c r="O102" s="648"/>
      <c r="P102" s="648"/>
    </row>
  </sheetData>
  <autoFilter ref="B1:P83" xr:uid="{BA0D0CE2-0132-46A4-B6D3-D789116DB799}"/>
  <mergeCells count="52">
    <mergeCell ref="K1:K2"/>
    <mergeCell ref="M1:M2"/>
    <mergeCell ref="N1:N2"/>
    <mergeCell ref="K85:K86"/>
    <mergeCell ref="M85:M86"/>
    <mergeCell ref="J1:J2"/>
    <mergeCell ref="B24:B26"/>
    <mergeCell ref="B1:B2"/>
    <mergeCell ref="C1:C2"/>
    <mergeCell ref="D1:D2"/>
    <mergeCell ref="E1:E2"/>
    <mergeCell ref="B4:B7"/>
    <mergeCell ref="B8:B12"/>
    <mergeCell ref="B13:B16"/>
    <mergeCell ref="B17:B20"/>
    <mergeCell ref="F1:F2"/>
    <mergeCell ref="I1:I2"/>
    <mergeCell ref="B64:B65"/>
    <mergeCell ref="B27:B29"/>
    <mergeCell ref="B31:B32"/>
    <mergeCell ref="B33:B35"/>
    <mergeCell ref="B39:B41"/>
    <mergeCell ref="B42:B43"/>
    <mergeCell ref="B46:B47"/>
    <mergeCell ref="B48:B49"/>
    <mergeCell ref="B52:B54"/>
    <mergeCell ref="B58:B59"/>
    <mergeCell ref="B60:B61"/>
    <mergeCell ref="B62:B63"/>
    <mergeCell ref="B44:B45"/>
    <mergeCell ref="B92:C92"/>
    <mergeCell ref="B66:B67"/>
    <mergeCell ref="B68:B69"/>
    <mergeCell ref="B70:B71"/>
    <mergeCell ref="B73:B74"/>
    <mergeCell ref="B80:B81"/>
    <mergeCell ref="O1:O2"/>
    <mergeCell ref="O96:P96"/>
    <mergeCell ref="P85:P86"/>
    <mergeCell ref="Q85:Q86"/>
    <mergeCell ref="D96:E96"/>
    <mergeCell ref="J85:J86"/>
    <mergeCell ref="I85:I86"/>
    <mergeCell ref="D85:D86"/>
    <mergeCell ref="E85:E86"/>
    <mergeCell ref="F85:F86"/>
    <mergeCell ref="G85:G86"/>
    <mergeCell ref="H85:H86"/>
    <mergeCell ref="N85:N86"/>
    <mergeCell ref="M96:N96"/>
    <mergeCell ref="G1:G2"/>
    <mergeCell ref="H1:H2"/>
  </mergeCells>
  <pageMargins left="0.7" right="0.7" top="0.75" bottom="0.75" header="0.3" footer="0.3"/>
  <pageSetup paperSize="9" orientation="portrait" r:id="rId1"/>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19CF4-5722-4B39-89BE-F77E59AEB7E8}">
  <dimension ref="B1:J76"/>
  <sheetViews>
    <sheetView topLeftCell="B1" workbookViewId="0">
      <pane ySplit="1" topLeftCell="A2" activePane="bottomLeft" state="frozen"/>
      <selection activeCell="B1" sqref="B1"/>
      <selection pane="bottomLeft" activeCell="J1" sqref="J1"/>
    </sheetView>
  </sheetViews>
  <sheetFormatPr baseColWidth="10" defaultColWidth="21" defaultRowHeight="14.4"/>
  <cols>
    <col min="10" max="10" width="19.109375" customWidth="1"/>
  </cols>
  <sheetData>
    <row r="1" spans="2:10" ht="21" thickBot="1">
      <c r="B1" s="802" t="s">
        <v>0</v>
      </c>
      <c r="C1" s="803" t="s">
        <v>1</v>
      </c>
      <c r="D1" s="804" t="s">
        <v>2166</v>
      </c>
      <c r="E1" s="804" t="s">
        <v>2167</v>
      </c>
      <c r="F1" s="804" t="s">
        <v>2168</v>
      </c>
      <c r="G1" s="804" t="s">
        <v>2169</v>
      </c>
      <c r="H1" s="823" t="s">
        <v>2198</v>
      </c>
      <c r="I1" s="822">
        <v>45657</v>
      </c>
      <c r="J1" s="831" t="s">
        <v>2199</v>
      </c>
    </row>
    <row r="2" spans="2:10" ht="15" customHeight="1" thickBot="1">
      <c r="B2" s="1274" t="s">
        <v>4</v>
      </c>
      <c r="C2" s="1275"/>
      <c r="D2" s="1275"/>
      <c r="E2" s="1275"/>
      <c r="F2" s="1275"/>
      <c r="G2" s="1275"/>
      <c r="H2" s="1276"/>
      <c r="I2" s="1277"/>
    </row>
    <row r="3" spans="2:10" ht="16.2" thickBot="1">
      <c r="B3" s="1281" t="s">
        <v>5</v>
      </c>
      <c r="C3" s="799" t="s">
        <v>6</v>
      </c>
      <c r="D3" s="800">
        <v>500000000</v>
      </c>
      <c r="E3" s="800">
        <v>200000000</v>
      </c>
      <c r="F3" s="800">
        <v>251780728</v>
      </c>
      <c r="G3" s="827">
        <v>499491721</v>
      </c>
      <c r="H3" s="810">
        <f>+I3-G3</f>
        <v>0</v>
      </c>
      <c r="I3" s="8">
        <v>499491721</v>
      </c>
    </row>
    <row r="4" spans="2:10" ht="16.2" thickBot="1">
      <c r="B4" s="1281"/>
      <c r="C4" s="799" t="s">
        <v>7</v>
      </c>
      <c r="D4" s="800">
        <v>2691721061</v>
      </c>
      <c r="E4" s="800">
        <v>667987432</v>
      </c>
      <c r="F4" s="800">
        <v>215647158</v>
      </c>
      <c r="G4" s="827">
        <v>449232324</v>
      </c>
      <c r="H4" s="810">
        <f t="shared" ref="H4:H20" si="0">+I4-G4</f>
        <v>430018214</v>
      </c>
      <c r="I4" s="5">
        <v>879250538</v>
      </c>
    </row>
    <row r="5" spans="2:10" ht="16.2" thickBot="1">
      <c r="B5" s="1281"/>
      <c r="C5" s="799" t="s">
        <v>8</v>
      </c>
      <c r="D5" s="800">
        <v>3215976508</v>
      </c>
      <c r="E5" s="800">
        <v>1096318278</v>
      </c>
      <c r="F5" s="800">
        <v>383451563</v>
      </c>
      <c r="G5" s="827">
        <v>1198708697</v>
      </c>
      <c r="H5" s="810">
        <f t="shared" si="0"/>
        <v>1349701024</v>
      </c>
      <c r="I5" s="5">
        <v>2548409721</v>
      </c>
    </row>
    <row r="6" spans="2:10" ht="16.2" thickBot="1">
      <c r="B6" s="1282"/>
      <c r="C6" s="799" t="s">
        <v>9</v>
      </c>
      <c r="D6" s="800">
        <v>3202422704</v>
      </c>
      <c r="E6" s="800">
        <v>1067474235</v>
      </c>
      <c r="F6" s="800">
        <v>2134869269</v>
      </c>
      <c r="G6" s="827">
        <v>2134869269</v>
      </c>
      <c r="H6" s="810">
        <f t="shared" si="0"/>
        <v>0</v>
      </c>
      <c r="I6" s="5">
        <v>2134869269</v>
      </c>
    </row>
    <row r="7" spans="2:10" ht="16.2" thickBot="1">
      <c r="B7" s="1283" t="s">
        <v>10</v>
      </c>
      <c r="C7" s="799" t="s">
        <v>6</v>
      </c>
      <c r="D7" s="800">
        <v>908933136</v>
      </c>
      <c r="E7" s="800">
        <v>267857143</v>
      </c>
      <c r="F7" s="800">
        <v>446450549</v>
      </c>
      <c r="G7" s="827">
        <v>507906956</v>
      </c>
      <c r="H7" s="810">
        <f t="shared" si="0"/>
        <v>237387208</v>
      </c>
      <c r="I7" s="5">
        <f>462943859+282350305</f>
        <v>745294164</v>
      </c>
    </row>
    <row r="8" spans="2:10" ht="16.2" thickBot="1">
      <c r="B8" s="1281"/>
      <c r="C8" s="799" t="s">
        <v>7</v>
      </c>
      <c r="D8" s="800">
        <v>2383259812</v>
      </c>
      <c r="E8" s="800">
        <v>470449462</v>
      </c>
      <c r="F8" s="800">
        <v>317386388</v>
      </c>
      <c r="G8" s="827">
        <v>1011250455</v>
      </c>
      <c r="H8" s="810">
        <f t="shared" si="0"/>
        <v>317114388</v>
      </c>
      <c r="I8" s="5">
        <v>1328364843</v>
      </c>
    </row>
    <row r="9" spans="2:10" ht="16.2" thickBot="1">
      <c r="B9" s="1281"/>
      <c r="C9" s="799" t="s">
        <v>8</v>
      </c>
      <c r="D9" s="800">
        <v>1050500000</v>
      </c>
      <c r="E9" s="800">
        <v>361250000</v>
      </c>
      <c r="F9" s="801"/>
      <c r="G9" s="828"/>
      <c r="H9" s="810">
        <f t="shared" si="0"/>
        <v>0</v>
      </c>
      <c r="I9" s="5">
        <v>0</v>
      </c>
    </row>
    <row r="10" spans="2:10" ht="16.2" thickBot="1">
      <c r="B10" s="1281"/>
      <c r="C10" s="799" t="s">
        <v>9</v>
      </c>
      <c r="D10" s="800">
        <v>687639154</v>
      </c>
      <c r="E10" s="800">
        <v>687639154</v>
      </c>
      <c r="F10" s="800">
        <v>343779977</v>
      </c>
      <c r="G10" s="827">
        <v>343779977</v>
      </c>
      <c r="H10" s="810">
        <f t="shared" si="0"/>
        <v>0</v>
      </c>
      <c r="I10" s="5">
        <v>343779977</v>
      </c>
    </row>
    <row r="11" spans="2:10" ht="16.2" thickBot="1">
      <c r="B11" s="1282"/>
      <c r="C11" s="799" t="s">
        <v>11</v>
      </c>
      <c r="D11" s="800">
        <v>20000000000</v>
      </c>
      <c r="E11" s="800">
        <v>7500000000</v>
      </c>
      <c r="F11" s="800">
        <v>2963852664</v>
      </c>
      <c r="G11" s="827">
        <v>6713832496</v>
      </c>
      <c r="H11" s="810">
        <f t="shared" si="0"/>
        <v>4087385945</v>
      </c>
      <c r="I11" s="5">
        <v>10801218441</v>
      </c>
    </row>
    <row r="12" spans="2:10" ht="16.2" thickBot="1">
      <c r="B12" s="1283" t="s">
        <v>12</v>
      </c>
      <c r="C12" s="799" t="s">
        <v>6</v>
      </c>
      <c r="D12" s="800">
        <v>1250000000</v>
      </c>
      <c r="E12" s="800">
        <v>400000000</v>
      </c>
      <c r="F12" s="800">
        <v>710600773</v>
      </c>
      <c r="G12" s="827">
        <v>929248656</v>
      </c>
      <c r="H12" s="810">
        <f t="shared" si="0"/>
        <v>260078958</v>
      </c>
      <c r="I12" s="5">
        <v>1189327614</v>
      </c>
    </row>
    <row r="13" spans="2:10" ht="16.2" thickBot="1">
      <c r="B13" s="1281"/>
      <c r="C13" s="799" t="s">
        <v>7</v>
      </c>
      <c r="D13" s="800">
        <v>1231695856</v>
      </c>
      <c r="E13" s="801"/>
      <c r="F13" s="800">
        <v>373276382</v>
      </c>
      <c r="G13" s="827">
        <v>678208166</v>
      </c>
      <c r="H13" s="810">
        <f t="shared" si="0"/>
        <v>0</v>
      </c>
      <c r="I13" s="5">
        <v>678208166</v>
      </c>
    </row>
    <row r="14" spans="2:10" ht="16.2" thickBot="1">
      <c r="B14" s="1281"/>
      <c r="C14" s="799" t="s">
        <v>8</v>
      </c>
      <c r="D14" s="800">
        <v>2421180426</v>
      </c>
      <c r="E14" s="800">
        <v>400315000</v>
      </c>
      <c r="F14" s="800">
        <v>579078376</v>
      </c>
      <c r="G14" s="827">
        <v>1468890864</v>
      </c>
      <c r="H14" s="810">
        <f t="shared" si="0"/>
        <v>290750000</v>
      </c>
      <c r="I14" s="5">
        <v>1759640864</v>
      </c>
    </row>
    <row r="15" spans="2:10" ht="15.6">
      <c r="B15" s="1281"/>
      <c r="C15" s="805" t="s">
        <v>9</v>
      </c>
      <c r="D15" s="806">
        <v>645148900</v>
      </c>
      <c r="E15" s="806">
        <v>252118560</v>
      </c>
      <c r="F15" s="807"/>
      <c r="G15" s="824"/>
      <c r="H15" s="810">
        <f t="shared" si="0"/>
        <v>102550400</v>
      </c>
      <c r="I15" s="808">
        <v>102550400</v>
      </c>
    </row>
    <row r="16" spans="2:10" ht="15.6">
      <c r="B16" s="1280" t="s">
        <v>13</v>
      </c>
      <c r="C16" s="809" t="s">
        <v>6</v>
      </c>
      <c r="D16" s="810">
        <v>160000000</v>
      </c>
      <c r="E16" s="810">
        <v>40000000</v>
      </c>
      <c r="F16" s="810">
        <v>61047212</v>
      </c>
      <c r="G16" s="829">
        <v>61047212</v>
      </c>
      <c r="H16" s="810">
        <f t="shared" si="0"/>
        <v>0</v>
      </c>
      <c r="I16" s="5">
        <f>61047212</f>
        <v>61047212</v>
      </c>
    </row>
    <row r="17" spans="2:9" ht="15.6">
      <c r="B17" s="1280"/>
      <c r="C17" s="809" t="s">
        <v>7</v>
      </c>
      <c r="D17" s="810">
        <v>1419357433</v>
      </c>
      <c r="E17" s="810">
        <v>366439261</v>
      </c>
      <c r="F17" s="810">
        <v>88101435</v>
      </c>
      <c r="G17" s="829">
        <v>220250213</v>
      </c>
      <c r="H17" s="810">
        <f t="shared" si="0"/>
        <v>137335828</v>
      </c>
      <c r="I17" s="5">
        <v>357586041</v>
      </c>
    </row>
    <row r="18" spans="2:9" ht="15.6">
      <c r="B18" s="1280"/>
      <c r="C18" s="809" t="s">
        <v>8</v>
      </c>
      <c r="D18" s="810">
        <v>1487216950</v>
      </c>
      <c r="E18" s="810">
        <v>502245333</v>
      </c>
      <c r="F18" s="811"/>
      <c r="G18" s="830"/>
      <c r="H18" s="810">
        <f t="shared" si="0"/>
        <v>0</v>
      </c>
      <c r="I18" s="5"/>
    </row>
    <row r="19" spans="2:9" ht="15.6">
      <c r="B19" s="1280"/>
      <c r="C19" s="809" t="s">
        <v>9</v>
      </c>
      <c r="D19" s="810">
        <v>909453403</v>
      </c>
      <c r="E19" s="810">
        <v>339153814</v>
      </c>
      <c r="F19" s="811"/>
      <c r="G19" s="829">
        <v>481374771</v>
      </c>
      <c r="H19" s="810">
        <f t="shared" si="0"/>
        <v>1</v>
      </c>
      <c r="I19" s="5">
        <v>481374772</v>
      </c>
    </row>
    <row r="20" spans="2:9" ht="15.6">
      <c r="B20" s="812" t="s">
        <v>14</v>
      </c>
      <c r="C20" s="809" t="s">
        <v>7</v>
      </c>
      <c r="D20" s="810">
        <v>1191941790</v>
      </c>
      <c r="E20" s="810">
        <v>352375037</v>
      </c>
      <c r="F20" s="810">
        <v>136697026</v>
      </c>
      <c r="G20" s="829">
        <v>136697026</v>
      </c>
      <c r="H20" s="810">
        <f t="shared" si="0"/>
        <v>226719039</v>
      </c>
      <c r="I20" s="5">
        <v>363416065</v>
      </c>
    </row>
    <row r="21" spans="2:9">
      <c r="B21" s="1284" t="s">
        <v>406</v>
      </c>
      <c r="C21" s="1284"/>
      <c r="D21" s="813">
        <v>45356447133</v>
      </c>
      <c r="E21" s="813">
        <v>14971622709</v>
      </c>
      <c r="F21" s="814" t="s">
        <v>2170</v>
      </c>
      <c r="G21" s="813">
        <v>16834788803</v>
      </c>
      <c r="H21" s="813">
        <f>+SUM(H3:H20)</f>
        <v>7439041005</v>
      </c>
      <c r="I21" s="813">
        <f>+SUM(I3:I20)</f>
        <v>24273829808</v>
      </c>
    </row>
    <row r="22" spans="2:9" ht="15" customHeight="1">
      <c r="B22" s="1278" t="s">
        <v>407</v>
      </c>
      <c r="C22" s="1278"/>
      <c r="D22" s="1278"/>
      <c r="E22" s="1278"/>
      <c r="F22" s="1278"/>
      <c r="G22" s="1278"/>
      <c r="H22" s="1278"/>
      <c r="I22" s="1278"/>
    </row>
    <row r="23" spans="2:9" ht="15.6">
      <c r="B23" s="1280" t="s">
        <v>16</v>
      </c>
      <c r="C23" s="809" t="s">
        <v>6</v>
      </c>
      <c r="D23" s="810">
        <v>314285714</v>
      </c>
      <c r="E23" s="810">
        <v>94285714</v>
      </c>
      <c r="F23" s="815">
        <v>269549589</v>
      </c>
      <c r="G23" s="815">
        <v>314285714</v>
      </c>
      <c r="H23" s="815">
        <f>+I23-G23</f>
        <v>0</v>
      </c>
      <c r="I23" s="276">
        <f>+G23</f>
        <v>314285714</v>
      </c>
    </row>
    <row r="24" spans="2:9" ht="15.6">
      <c r="B24" s="1280"/>
      <c r="C24" s="809" t="s">
        <v>7</v>
      </c>
      <c r="D24" s="810">
        <v>96614297</v>
      </c>
      <c r="E24" s="811"/>
      <c r="F24" s="817">
        <v>37386594</v>
      </c>
      <c r="G24" s="817">
        <v>37386594</v>
      </c>
      <c r="H24" s="815">
        <f t="shared" ref="H24:H34" si="1">+I24-G24</f>
        <v>10920555</v>
      </c>
      <c r="I24" s="5">
        <v>48307149</v>
      </c>
    </row>
    <row r="25" spans="2:9" ht="15.6">
      <c r="B25" s="1280"/>
      <c r="C25" s="809" t="s">
        <v>8</v>
      </c>
      <c r="D25" s="810">
        <v>1010851288</v>
      </c>
      <c r="E25" s="810">
        <v>35700000</v>
      </c>
      <c r="F25" s="815">
        <v>210097279</v>
      </c>
      <c r="G25" s="815">
        <v>210097279</v>
      </c>
      <c r="H25" s="815">
        <f t="shared" si="1"/>
        <v>0</v>
      </c>
      <c r="I25" s="5">
        <f>+G25</f>
        <v>210097279</v>
      </c>
    </row>
    <row r="26" spans="2:9" ht="15.6">
      <c r="B26" s="1280" t="s">
        <v>2171</v>
      </c>
      <c r="C26" s="809" t="s">
        <v>6</v>
      </c>
      <c r="D26" s="810">
        <v>20000000</v>
      </c>
      <c r="E26" s="810">
        <v>5000000</v>
      </c>
      <c r="F26" s="650"/>
      <c r="G26" s="650"/>
      <c r="H26" s="815">
        <f t="shared" si="1"/>
        <v>0</v>
      </c>
      <c r="I26" s="5"/>
    </row>
    <row r="27" spans="2:9" ht="15.6">
      <c r="B27" s="1280"/>
      <c r="C27" s="809" t="s">
        <v>7</v>
      </c>
      <c r="D27" s="810">
        <v>239755522</v>
      </c>
      <c r="E27" s="811"/>
      <c r="F27" s="815">
        <v>161576489</v>
      </c>
      <c r="G27" s="815">
        <v>239755522</v>
      </c>
      <c r="H27" s="815">
        <f t="shared" si="1"/>
        <v>-2175835</v>
      </c>
      <c r="I27" s="5">
        <v>237579687</v>
      </c>
    </row>
    <row r="28" spans="2:9" ht="15.6">
      <c r="B28" s="1280"/>
      <c r="C28" s="809" t="s">
        <v>8</v>
      </c>
      <c r="D28" s="810">
        <v>939338210</v>
      </c>
      <c r="E28" s="810">
        <v>307672500</v>
      </c>
      <c r="F28" s="810">
        <v>80307998</v>
      </c>
      <c r="G28" s="810">
        <v>155556193</v>
      </c>
      <c r="H28" s="815">
        <f t="shared" si="1"/>
        <v>54541086</v>
      </c>
      <c r="I28" s="5">
        <v>210097279</v>
      </c>
    </row>
    <row r="29" spans="2:9" ht="15.6">
      <c r="B29" s="812" t="s">
        <v>2172</v>
      </c>
      <c r="C29" s="809" t="s">
        <v>7</v>
      </c>
      <c r="D29" s="810">
        <v>654306949</v>
      </c>
      <c r="E29" s="810">
        <v>198762675</v>
      </c>
      <c r="F29" s="811"/>
      <c r="G29" s="811"/>
      <c r="H29" s="815">
        <f t="shared" si="1"/>
        <v>221098126</v>
      </c>
      <c r="I29" s="5">
        <v>221098126</v>
      </c>
    </row>
    <row r="30" spans="2:9" ht="24.6" customHeight="1">
      <c r="B30" s="1271" t="s">
        <v>2173</v>
      </c>
      <c r="C30" s="809" t="s">
        <v>8</v>
      </c>
      <c r="D30" s="810">
        <v>521000000</v>
      </c>
      <c r="E30" s="810">
        <v>159500000</v>
      </c>
      <c r="F30" s="811"/>
      <c r="G30" s="811"/>
      <c r="H30" s="815">
        <f t="shared" si="1"/>
        <v>274231771</v>
      </c>
      <c r="I30" s="5">
        <f>150173936+124057835</f>
        <v>274231771</v>
      </c>
    </row>
    <row r="31" spans="2:9" ht="15.6">
      <c r="B31" s="1271"/>
      <c r="C31" s="809" t="s">
        <v>9</v>
      </c>
      <c r="D31" s="810">
        <v>159862500</v>
      </c>
      <c r="E31" s="810">
        <v>45000000</v>
      </c>
      <c r="F31" s="811"/>
      <c r="G31" s="811"/>
      <c r="H31" s="815">
        <f t="shared" si="1"/>
        <v>0</v>
      </c>
      <c r="I31" s="5"/>
    </row>
    <row r="32" spans="2:9" ht="15.6">
      <c r="B32" s="1271" t="s">
        <v>797</v>
      </c>
      <c r="C32" s="809" t="s">
        <v>6</v>
      </c>
      <c r="D32" s="810">
        <v>20000000</v>
      </c>
      <c r="E32" s="810">
        <v>2500000</v>
      </c>
      <c r="F32" s="811"/>
      <c r="G32" s="811"/>
      <c r="H32" s="815">
        <f t="shared" si="1"/>
        <v>0</v>
      </c>
      <c r="I32" s="5"/>
    </row>
    <row r="33" spans="2:9" ht="15.6">
      <c r="B33" s="1271"/>
      <c r="C33" s="809" t="s">
        <v>7</v>
      </c>
      <c r="D33" s="810">
        <v>734335234</v>
      </c>
      <c r="E33" s="810">
        <v>328134570</v>
      </c>
      <c r="F33" s="811"/>
      <c r="G33" s="811"/>
      <c r="H33" s="815">
        <f t="shared" si="1"/>
        <v>198045066</v>
      </c>
      <c r="I33" s="5">
        <v>198045066</v>
      </c>
    </row>
    <row r="34" spans="2:9" ht="15.6">
      <c r="B34" s="1271"/>
      <c r="C34" s="809" t="s">
        <v>8</v>
      </c>
      <c r="D34" s="810">
        <v>443000000</v>
      </c>
      <c r="E34" s="810">
        <v>127500000</v>
      </c>
      <c r="F34" s="811"/>
      <c r="G34" s="811"/>
      <c r="H34" s="815">
        <f t="shared" si="1"/>
        <v>0</v>
      </c>
      <c r="I34" s="5"/>
    </row>
    <row r="35" spans="2:9">
      <c r="B35" s="1272" t="s">
        <v>505</v>
      </c>
      <c r="C35" s="1272"/>
      <c r="D35" s="818">
        <v>5153349714</v>
      </c>
      <c r="E35" s="818">
        <v>1304055459</v>
      </c>
      <c r="F35" s="818">
        <v>758917949</v>
      </c>
      <c r="G35" s="818">
        <v>957081302</v>
      </c>
      <c r="H35" s="818">
        <f>+SUM(H23:H34)</f>
        <v>756660769</v>
      </c>
      <c r="I35" s="818">
        <f>+SUM(I23:I34)</f>
        <v>1713742071</v>
      </c>
    </row>
    <row r="36" spans="2:9">
      <c r="B36" s="1279" t="s">
        <v>506</v>
      </c>
      <c r="C36" s="1279"/>
      <c r="D36" s="1279"/>
      <c r="E36" s="1279"/>
      <c r="F36" s="1279"/>
      <c r="G36" s="1279"/>
      <c r="H36" s="825"/>
      <c r="I36" s="825"/>
    </row>
    <row r="37" spans="2:9" ht="15.6">
      <c r="B37" s="1271" t="s">
        <v>2174</v>
      </c>
      <c r="C37" s="809" t="s">
        <v>6</v>
      </c>
      <c r="D37" s="810">
        <v>17500000</v>
      </c>
      <c r="E37" s="810">
        <v>2500000</v>
      </c>
      <c r="F37" s="811"/>
      <c r="G37" s="811"/>
      <c r="H37" s="826">
        <f>+I37-G37</f>
        <v>0</v>
      </c>
      <c r="I37" s="5"/>
    </row>
    <row r="38" spans="2:9" ht="15.6">
      <c r="B38" s="1271"/>
      <c r="C38" s="809" t="s">
        <v>8</v>
      </c>
      <c r="D38" s="810">
        <v>85006440</v>
      </c>
      <c r="E38" s="810">
        <v>28812740</v>
      </c>
      <c r="F38" s="811"/>
      <c r="G38" s="811"/>
      <c r="H38" s="826">
        <f t="shared" ref="H38:H47" si="2">+I38-G38</f>
        <v>0</v>
      </c>
      <c r="I38" s="5">
        <v>0</v>
      </c>
    </row>
    <row r="39" spans="2:9" ht="15.6">
      <c r="B39" s="1271"/>
      <c r="C39" s="809" t="s">
        <v>9</v>
      </c>
      <c r="D39" s="810">
        <v>122825000</v>
      </c>
      <c r="E39" s="811"/>
      <c r="F39" s="811"/>
      <c r="G39" s="811"/>
      <c r="H39" s="826">
        <f t="shared" si="2"/>
        <v>0</v>
      </c>
      <c r="I39" s="5"/>
    </row>
    <row r="40" spans="2:9" ht="24.6" customHeight="1">
      <c r="B40" s="1271" t="s">
        <v>2175</v>
      </c>
      <c r="C40" s="809" t="s">
        <v>6</v>
      </c>
      <c r="D40" s="810">
        <v>15000000</v>
      </c>
      <c r="E40" s="810">
        <v>5500000</v>
      </c>
      <c r="F40" s="811"/>
      <c r="G40" s="810">
        <v>6349105</v>
      </c>
      <c r="H40" s="826">
        <f t="shared" si="2"/>
        <v>-1282500</v>
      </c>
      <c r="I40" s="5">
        <v>5066605</v>
      </c>
    </row>
    <row r="41" spans="2:9" ht="15.6">
      <c r="B41" s="1271"/>
      <c r="C41" s="809" t="s">
        <v>8</v>
      </c>
      <c r="D41" s="810">
        <v>161081416</v>
      </c>
      <c r="E41" s="810">
        <v>35619867</v>
      </c>
      <c r="F41" s="810">
        <v>23636000</v>
      </c>
      <c r="G41" s="810">
        <v>47272000</v>
      </c>
      <c r="H41" s="826">
        <f t="shared" si="2"/>
        <v>23636000</v>
      </c>
      <c r="I41" s="5">
        <v>70908000</v>
      </c>
    </row>
    <row r="42" spans="2:9" ht="15.6">
      <c r="B42" s="1271" t="s">
        <v>2176</v>
      </c>
      <c r="C42" s="809" t="s">
        <v>6</v>
      </c>
      <c r="D42" s="810">
        <v>25000000</v>
      </c>
      <c r="E42" s="811"/>
      <c r="F42" s="811"/>
      <c r="G42" s="811"/>
      <c r="H42" s="826">
        <f t="shared" si="2"/>
        <v>1282500</v>
      </c>
      <c r="I42" s="5">
        <v>1282500</v>
      </c>
    </row>
    <row r="43" spans="2:9" ht="15.6">
      <c r="B43" s="1271"/>
      <c r="C43" s="809" t="s">
        <v>8</v>
      </c>
      <c r="D43" s="810">
        <v>47493153</v>
      </c>
      <c r="E43" s="810">
        <v>11873289</v>
      </c>
      <c r="F43" s="811"/>
      <c r="G43" s="811"/>
      <c r="H43" s="826">
        <f t="shared" si="2"/>
        <v>0</v>
      </c>
      <c r="I43" s="5"/>
    </row>
    <row r="44" spans="2:9" ht="15.6">
      <c r="B44" s="1280" t="s">
        <v>2177</v>
      </c>
      <c r="C44" s="809" t="s">
        <v>6</v>
      </c>
      <c r="D44" s="810">
        <v>117750000</v>
      </c>
      <c r="E44" s="810">
        <v>39250000</v>
      </c>
      <c r="F44" s="810">
        <v>79521234</v>
      </c>
      <c r="G44" s="810">
        <v>113961834</v>
      </c>
      <c r="H44" s="826">
        <f t="shared" si="2"/>
        <v>2850800</v>
      </c>
      <c r="I44" s="5">
        <v>116812634</v>
      </c>
    </row>
    <row r="45" spans="2:9" ht="15.6">
      <c r="B45" s="1280"/>
      <c r="C45" s="809" t="s">
        <v>9</v>
      </c>
      <c r="D45" s="810">
        <v>50000000</v>
      </c>
      <c r="E45" s="810">
        <v>12500000</v>
      </c>
      <c r="F45" s="811"/>
      <c r="G45" s="811"/>
      <c r="H45" s="826">
        <f t="shared" si="2"/>
        <v>0</v>
      </c>
      <c r="I45" s="5"/>
    </row>
    <row r="46" spans="2:9" ht="15.6">
      <c r="B46" s="1271" t="s">
        <v>2178</v>
      </c>
      <c r="C46" s="809" t="s">
        <v>7</v>
      </c>
      <c r="D46" s="810">
        <v>50000000</v>
      </c>
      <c r="E46" s="811"/>
      <c r="F46" s="811"/>
      <c r="G46" s="811"/>
      <c r="H46" s="826">
        <f t="shared" si="2"/>
        <v>0</v>
      </c>
      <c r="I46" s="797"/>
    </row>
    <row r="47" spans="2:9" ht="15.6">
      <c r="B47" s="1271"/>
      <c r="C47" s="809" t="s">
        <v>8</v>
      </c>
      <c r="D47" s="810">
        <v>117000000</v>
      </c>
      <c r="E47" s="810">
        <v>35100000</v>
      </c>
      <c r="F47" s="811"/>
      <c r="G47" s="811"/>
      <c r="H47" s="826">
        <f t="shared" si="2"/>
        <v>0</v>
      </c>
      <c r="I47" s="5"/>
    </row>
    <row r="48" spans="2:9">
      <c r="B48" s="1272" t="s">
        <v>616</v>
      </c>
      <c r="C48" s="1272"/>
      <c r="D48" s="818">
        <v>808656009</v>
      </c>
      <c r="E48" s="818">
        <v>171155896</v>
      </c>
      <c r="F48" s="818">
        <v>103157234</v>
      </c>
      <c r="G48" s="818">
        <v>167582939</v>
      </c>
      <c r="H48" s="818">
        <f>+SUM(H37:H47)</f>
        <v>26486800</v>
      </c>
      <c r="I48" s="818">
        <f>+SUM(I37:I47)</f>
        <v>194069739</v>
      </c>
    </row>
    <row r="49" spans="2:9">
      <c r="B49" s="1279" t="s">
        <v>1235</v>
      </c>
      <c r="C49" s="1279"/>
      <c r="D49" s="1279"/>
      <c r="E49" s="1279"/>
      <c r="F49" s="1279"/>
      <c r="G49" s="1279"/>
      <c r="H49" s="825"/>
      <c r="I49" s="825"/>
    </row>
    <row r="50" spans="2:9" ht="15.6">
      <c r="B50" s="1271" t="s">
        <v>29</v>
      </c>
      <c r="C50" s="809" t="s">
        <v>6</v>
      </c>
      <c r="D50" s="810">
        <v>823225000</v>
      </c>
      <c r="E50" s="810">
        <v>187500000</v>
      </c>
      <c r="F50" s="810">
        <v>620295509</v>
      </c>
      <c r="G50" s="810">
        <v>1165874094</v>
      </c>
      <c r="H50" s="810">
        <v>0</v>
      </c>
      <c r="I50" s="5">
        <f>(1045368974+48500000+74113698+32000000+26089072)-(158203136+244643608)</f>
        <v>823225000</v>
      </c>
    </row>
    <row r="51" spans="2:9" ht="15.6">
      <c r="B51" s="1271"/>
      <c r="C51" s="809" t="s">
        <v>7</v>
      </c>
      <c r="D51" s="810">
        <v>225000000</v>
      </c>
      <c r="E51" s="810">
        <v>25000000</v>
      </c>
      <c r="F51" s="810">
        <v>93743496</v>
      </c>
      <c r="G51" s="810">
        <v>93743496</v>
      </c>
      <c r="H51" s="810">
        <f t="shared" ref="H51:H74" si="3">+I51-G51</f>
        <v>64459640</v>
      </c>
      <c r="I51" s="5">
        <v>158203136</v>
      </c>
    </row>
    <row r="52" spans="2:9" ht="15.6">
      <c r="B52" s="819" t="s">
        <v>2179</v>
      </c>
      <c r="C52" s="809" t="s">
        <v>6</v>
      </c>
      <c r="D52" s="810">
        <v>300000000</v>
      </c>
      <c r="E52" s="811"/>
      <c r="F52" s="811"/>
      <c r="G52" s="811"/>
      <c r="H52" s="810">
        <f t="shared" si="3"/>
        <v>0</v>
      </c>
      <c r="I52" s="5"/>
    </row>
    <row r="53" spans="2:9" ht="39.6">
      <c r="B53" s="819" t="s">
        <v>2180</v>
      </c>
      <c r="C53" s="809" t="s">
        <v>6</v>
      </c>
      <c r="D53" s="810">
        <v>34306150</v>
      </c>
      <c r="E53" s="810">
        <v>10000000</v>
      </c>
      <c r="F53" s="810">
        <v>7046335</v>
      </c>
      <c r="G53" s="810">
        <v>7046335</v>
      </c>
      <c r="H53" s="810">
        <f t="shared" si="3"/>
        <v>840160</v>
      </c>
      <c r="I53" s="5">
        <v>7886495</v>
      </c>
    </row>
    <row r="54" spans="2:9" ht="15.6">
      <c r="B54" s="819" t="s">
        <v>2181</v>
      </c>
      <c r="C54" s="809" t="s">
        <v>6</v>
      </c>
      <c r="D54" s="810">
        <v>100000000</v>
      </c>
      <c r="E54" s="811"/>
      <c r="F54" s="810">
        <v>28372000</v>
      </c>
      <c r="G54" s="810">
        <v>54528400</v>
      </c>
      <c r="H54" s="810">
        <f t="shared" si="3"/>
        <v>44006400</v>
      </c>
      <c r="I54" s="5">
        <v>98534800</v>
      </c>
    </row>
    <row r="55" spans="2:9" ht="39.6">
      <c r="B55" s="819" t="s">
        <v>2182</v>
      </c>
      <c r="C55" s="809" t="s">
        <v>6</v>
      </c>
      <c r="D55" s="810">
        <v>25000000</v>
      </c>
      <c r="E55" s="810">
        <v>10000000</v>
      </c>
      <c r="F55" s="810">
        <v>3533392</v>
      </c>
      <c r="G55" s="810">
        <v>10162219</v>
      </c>
      <c r="H55" s="810">
        <f t="shared" si="3"/>
        <v>2016030</v>
      </c>
      <c r="I55" s="5">
        <v>12178249</v>
      </c>
    </row>
    <row r="56" spans="2:9" ht="26.4">
      <c r="B56" s="819" t="s">
        <v>2183</v>
      </c>
      <c r="C56" s="809" t="s">
        <v>6</v>
      </c>
      <c r="D56" s="810">
        <v>35000000</v>
      </c>
      <c r="E56" s="810">
        <v>10000000</v>
      </c>
      <c r="F56" s="810">
        <v>4354071</v>
      </c>
      <c r="G56" s="810">
        <v>8614810</v>
      </c>
      <c r="H56" s="810">
        <f t="shared" si="3"/>
        <v>0</v>
      </c>
      <c r="I56" s="5">
        <v>8614810</v>
      </c>
    </row>
    <row r="57" spans="2:9" ht="52.8">
      <c r="B57" s="819" t="s">
        <v>2184</v>
      </c>
      <c r="C57" s="809" t="s">
        <v>6</v>
      </c>
      <c r="D57" s="810">
        <v>6500000</v>
      </c>
      <c r="E57" s="810">
        <v>1500000</v>
      </c>
      <c r="F57" s="811"/>
      <c r="G57" s="811"/>
      <c r="H57" s="810">
        <f t="shared" si="3"/>
        <v>0</v>
      </c>
      <c r="I57" s="816"/>
    </row>
    <row r="58" spans="2:9">
      <c r="B58" s="1271" t="s">
        <v>2185</v>
      </c>
      <c r="C58" s="809" t="s">
        <v>6</v>
      </c>
      <c r="D58" s="810">
        <v>22500000</v>
      </c>
      <c r="E58" s="810">
        <v>12500000</v>
      </c>
      <c r="F58" s="811"/>
      <c r="G58" s="811"/>
      <c r="H58" s="810">
        <f t="shared" si="3"/>
        <v>0</v>
      </c>
      <c r="I58" s="816"/>
    </row>
    <row r="59" spans="2:9" ht="15.6">
      <c r="B59" s="1271"/>
      <c r="C59" s="809" t="s">
        <v>7</v>
      </c>
      <c r="D59" s="810">
        <v>100000000</v>
      </c>
      <c r="E59" s="811"/>
      <c r="F59" s="811"/>
      <c r="G59" s="811"/>
      <c r="H59" s="810">
        <f t="shared" si="3"/>
        <v>5656000</v>
      </c>
      <c r="I59" s="5">
        <v>5656000</v>
      </c>
    </row>
    <row r="60" spans="2:9" ht="39.6">
      <c r="B60" s="819" t="s">
        <v>2186</v>
      </c>
      <c r="C60" s="809" t="s">
        <v>6</v>
      </c>
      <c r="D60" s="810">
        <v>70000000</v>
      </c>
      <c r="E60" s="810">
        <v>17500000</v>
      </c>
      <c r="F60" s="810">
        <v>42489070</v>
      </c>
      <c r="G60" s="810">
        <v>50399670</v>
      </c>
      <c r="H60" s="810">
        <f t="shared" si="3"/>
        <v>4346442</v>
      </c>
      <c r="I60" s="5">
        <v>54746112</v>
      </c>
    </row>
    <row r="61" spans="2:9" ht="15.6">
      <c r="B61" s="1271" t="s">
        <v>2187</v>
      </c>
      <c r="C61" s="809" t="s">
        <v>7</v>
      </c>
      <c r="D61" s="810">
        <v>150000000</v>
      </c>
      <c r="E61" s="811"/>
      <c r="F61" s="811"/>
      <c r="G61" s="811"/>
      <c r="H61" s="810">
        <f t="shared" si="3"/>
        <v>36059098</v>
      </c>
      <c r="I61" s="5">
        <v>36059098</v>
      </c>
    </row>
    <row r="62" spans="2:9">
      <c r="B62" s="1271"/>
      <c r="C62" s="809" t="s">
        <v>6</v>
      </c>
      <c r="D62" s="811"/>
      <c r="E62" s="811"/>
      <c r="F62" s="811"/>
      <c r="G62" s="811"/>
      <c r="H62" s="810">
        <f t="shared" si="3"/>
        <v>0</v>
      </c>
      <c r="I62" s="816"/>
    </row>
    <row r="63" spans="2:9" ht="15.6">
      <c r="B63" s="1271" t="s">
        <v>2188</v>
      </c>
      <c r="C63" s="809" t="s">
        <v>6</v>
      </c>
      <c r="D63" s="810">
        <v>75000000</v>
      </c>
      <c r="E63" s="810">
        <v>37500000</v>
      </c>
      <c r="F63" s="810">
        <v>1829125</v>
      </c>
      <c r="G63" s="810">
        <v>60930300</v>
      </c>
      <c r="H63" s="810">
        <f t="shared" si="3"/>
        <v>13070651</v>
      </c>
      <c r="I63" s="5">
        <v>74000951</v>
      </c>
    </row>
    <row r="64" spans="2:9" ht="15.6">
      <c r="B64" s="1271"/>
      <c r="C64" s="809" t="s">
        <v>7</v>
      </c>
      <c r="D64" s="810">
        <v>195000000</v>
      </c>
      <c r="E64" s="811"/>
      <c r="F64" s="810">
        <v>28128886</v>
      </c>
      <c r="G64" s="810">
        <v>61280816</v>
      </c>
      <c r="H64" s="810">
        <f t="shared" si="3"/>
        <v>16954239</v>
      </c>
      <c r="I64" s="5">
        <v>78235055</v>
      </c>
    </row>
    <row r="65" spans="2:9" ht="39.6">
      <c r="B65" s="819" t="s">
        <v>2189</v>
      </c>
      <c r="C65" s="809" t="s">
        <v>6</v>
      </c>
      <c r="D65" s="810">
        <v>60000000</v>
      </c>
      <c r="E65" s="810">
        <v>20000000</v>
      </c>
      <c r="F65" s="811"/>
      <c r="G65" s="810">
        <v>1791240</v>
      </c>
      <c r="H65" s="810">
        <f t="shared" si="3"/>
        <v>25321030</v>
      </c>
      <c r="I65" s="5">
        <v>27112270</v>
      </c>
    </row>
    <row r="66" spans="2:9" ht="24.6" customHeight="1">
      <c r="B66" s="1271" t="s">
        <v>2190</v>
      </c>
      <c r="C66" s="809" t="s">
        <v>6</v>
      </c>
      <c r="D66" s="810">
        <v>5000000</v>
      </c>
      <c r="E66" s="810">
        <v>1750000</v>
      </c>
      <c r="F66" s="811"/>
      <c r="G66" s="811"/>
      <c r="H66" s="810">
        <f t="shared" si="3"/>
        <v>0</v>
      </c>
      <c r="I66" s="816"/>
    </row>
    <row r="67" spans="2:9" ht="15.6">
      <c r="B67" s="1271"/>
      <c r="C67" s="809" t="s">
        <v>7</v>
      </c>
      <c r="D67" s="810">
        <v>30000000</v>
      </c>
      <c r="E67" s="811"/>
      <c r="F67" s="810">
        <v>510000</v>
      </c>
      <c r="G67" s="810">
        <v>1200000</v>
      </c>
      <c r="H67" s="810">
        <f t="shared" si="3"/>
        <v>0</v>
      </c>
      <c r="I67" s="5">
        <v>1200000</v>
      </c>
    </row>
    <row r="68" spans="2:9" ht="26.4">
      <c r="B68" s="819" t="s">
        <v>2191</v>
      </c>
      <c r="C68" s="809" t="s">
        <v>7</v>
      </c>
      <c r="D68" s="810">
        <v>327056666</v>
      </c>
      <c r="E68" s="811"/>
      <c r="F68" s="815">
        <v>126263999</v>
      </c>
      <c r="G68" s="815">
        <v>327056666</v>
      </c>
      <c r="H68" s="810">
        <f t="shared" si="3"/>
        <v>0</v>
      </c>
      <c r="I68" s="276">
        <f>+G68</f>
        <v>327056666</v>
      </c>
    </row>
    <row r="69" spans="2:9" ht="15.6">
      <c r="B69" s="819" t="s">
        <v>2192</v>
      </c>
      <c r="C69" s="809" t="s">
        <v>6</v>
      </c>
      <c r="D69" s="810">
        <v>75000000</v>
      </c>
      <c r="E69" s="810">
        <v>37500000</v>
      </c>
      <c r="F69" s="815">
        <v>75000000</v>
      </c>
      <c r="G69" s="815">
        <v>75000000</v>
      </c>
      <c r="H69" s="810">
        <f t="shared" si="3"/>
        <v>0</v>
      </c>
      <c r="I69" s="276">
        <f>+G69</f>
        <v>75000000</v>
      </c>
    </row>
    <row r="70" spans="2:9" ht="15.6">
      <c r="B70" s="819" t="s">
        <v>2193</v>
      </c>
      <c r="C70" s="809" t="s">
        <v>6</v>
      </c>
      <c r="D70" s="810">
        <v>5000000</v>
      </c>
      <c r="E70" s="810">
        <v>2500000</v>
      </c>
      <c r="F70" s="810">
        <v>5088160</v>
      </c>
      <c r="G70" s="810">
        <v>5088160</v>
      </c>
      <c r="H70" s="810">
        <f t="shared" si="3"/>
        <v>0</v>
      </c>
      <c r="I70" s="5">
        <f>+G70</f>
        <v>5088160</v>
      </c>
    </row>
    <row r="71" spans="2:9" ht="26.4">
      <c r="B71" s="819" t="s">
        <v>2194</v>
      </c>
      <c r="C71" s="809" t="s">
        <v>8</v>
      </c>
      <c r="D71" s="810">
        <v>364714000</v>
      </c>
      <c r="E71" s="810">
        <v>182355000</v>
      </c>
      <c r="F71" s="810">
        <v>17645170</v>
      </c>
      <c r="G71" s="810">
        <v>40025471</v>
      </c>
      <c r="H71" s="810">
        <f t="shared" si="3"/>
        <v>266773738</v>
      </c>
      <c r="I71" s="5">
        <f>55488935+6666666+244643608</f>
        <v>306799209</v>
      </c>
    </row>
    <row r="72" spans="2:9" ht="26.4">
      <c r="B72" s="819" t="s">
        <v>2195</v>
      </c>
      <c r="C72" s="809" t="s">
        <v>9</v>
      </c>
      <c r="D72" s="810">
        <v>873365365</v>
      </c>
      <c r="E72" s="811"/>
      <c r="F72" s="811"/>
      <c r="G72" s="810">
        <v>242359591</v>
      </c>
      <c r="H72" s="810">
        <f t="shared" si="3"/>
        <v>0</v>
      </c>
      <c r="I72" s="276">
        <f>+G72</f>
        <v>242359591</v>
      </c>
    </row>
    <row r="73" spans="2:9" ht="15.6">
      <c r="B73" s="1271" t="s">
        <v>2196</v>
      </c>
      <c r="C73" s="809" t="s">
        <v>6</v>
      </c>
      <c r="D73" s="810">
        <v>15000000</v>
      </c>
      <c r="E73" s="811"/>
      <c r="F73" s="811"/>
      <c r="G73" s="811"/>
      <c r="H73" s="810">
        <f t="shared" si="3"/>
        <v>0</v>
      </c>
      <c r="I73" s="5">
        <v>0</v>
      </c>
    </row>
    <row r="74" spans="2:9" ht="15.6">
      <c r="B74" s="1271"/>
      <c r="C74" s="809" t="s">
        <v>7</v>
      </c>
      <c r="D74" s="810">
        <v>27000000</v>
      </c>
      <c r="E74" s="811"/>
      <c r="F74" s="811"/>
      <c r="G74" s="810">
        <v>12000000</v>
      </c>
      <c r="H74" s="810">
        <f t="shared" si="3"/>
        <v>0</v>
      </c>
      <c r="I74" s="5">
        <v>12000000</v>
      </c>
    </row>
    <row r="75" spans="2:9">
      <c r="B75" s="1272" t="s">
        <v>1329</v>
      </c>
      <c r="C75" s="1272"/>
      <c r="D75" s="818">
        <v>3943667181</v>
      </c>
      <c r="E75" s="818">
        <v>555605000</v>
      </c>
      <c r="F75" s="820" t="s">
        <v>2197</v>
      </c>
      <c r="G75" s="818">
        <v>2217101268</v>
      </c>
      <c r="H75" s="818">
        <f>+SUM(H50:H74)</f>
        <v>479503428</v>
      </c>
      <c r="I75" s="818">
        <f>+SUM(I50:I74)</f>
        <v>2353955602</v>
      </c>
    </row>
    <row r="76" spans="2:9">
      <c r="B76" s="1273" t="s">
        <v>1300</v>
      </c>
      <c r="C76" s="1273"/>
      <c r="D76" s="821">
        <v>55262120037</v>
      </c>
      <c r="E76" s="821">
        <v>17002439064</v>
      </c>
      <c r="F76" s="821">
        <v>10922393896</v>
      </c>
      <c r="G76" s="821">
        <v>20176554312</v>
      </c>
      <c r="H76" s="821">
        <f>+H75+H48+H35+H21</f>
        <v>8701692002</v>
      </c>
      <c r="I76" s="821">
        <f>+I75+I48+I35+I21</f>
        <v>28535597220</v>
      </c>
    </row>
  </sheetData>
  <mergeCells count="28">
    <mergeCell ref="B3:B6"/>
    <mergeCell ref="B7:B11"/>
    <mergeCell ref="B12:B15"/>
    <mergeCell ref="B16:B19"/>
    <mergeCell ref="B21:C21"/>
    <mergeCell ref="B44:B45"/>
    <mergeCell ref="B46:B47"/>
    <mergeCell ref="B23:B25"/>
    <mergeCell ref="B26:B28"/>
    <mergeCell ref="B30:B31"/>
    <mergeCell ref="B32:B34"/>
    <mergeCell ref="B35:C35"/>
    <mergeCell ref="B66:B67"/>
    <mergeCell ref="B73:B74"/>
    <mergeCell ref="B75:C75"/>
    <mergeCell ref="B76:C76"/>
    <mergeCell ref="B2:I2"/>
    <mergeCell ref="B22:I22"/>
    <mergeCell ref="B48:C48"/>
    <mergeCell ref="B49:G49"/>
    <mergeCell ref="B50:B51"/>
    <mergeCell ref="B58:B59"/>
    <mergeCell ref="B61:B62"/>
    <mergeCell ref="B63:B64"/>
    <mergeCell ref="B36:G36"/>
    <mergeCell ref="B37:B39"/>
    <mergeCell ref="B40:B41"/>
    <mergeCell ref="B42:B43"/>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D9B0F-19C9-42E3-91AE-98782C843D2E}">
  <sheetPr>
    <tabColor rgb="FF7030A0"/>
  </sheetPr>
  <dimension ref="A1:Q36"/>
  <sheetViews>
    <sheetView workbookViewId="0">
      <pane xSplit="2" ySplit="1" topLeftCell="I2" activePane="bottomRight" state="frozen"/>
      <selection pane="topRight" activeCell="C1" sqref="C1"/>
      <selection pane="bottomLeft" activeCell="A2" sqref="A2"/>
      <selection pane="bottomRight" activeCell="J6" sqref="J6:J13"/>
    </sheetView>
  </sheetViews>
  <sheetFormatPr baseColWidth="10" defaultRowHeight="18"/>
  <cols>
    <col min="1" max="1" width="16.44140625" style="202" customWidth="1"/>
    <col min="2" max="2" width="16.109375" style="202" customWidth="1"/>
    <col min="3" max="3" width="20.21875" style="202" customWidth="1"/>
    <col min="4" max="4" width="16.109375" style="202" customWidth="1"/>
    <col min="5" max="5" width="17.33203125" style="202" customWidth="1"/>
    <col min="6" max="6" width="15.88671875" style="202" customWidth="1"/>
    <col min="7" max="7" width="17.33203125" style="202" customWidth="1"/>
    <col min="8" max="10" width="16.109375" style="202" customWidth="1"/>
    <col min="11" max="11" width="40.5546875" style="560" customWidth="1"/>
    <col min="12" max="12" width="35.88671875" style="560" bestFit="1" customWidth="1"/>
    <col min="13" max="13" width="29.33203125" style="628" customWidth="1"/>
    <col min="14" max="14" width="42.109375" style="629" customWidth="1"/>
    <col min="15" max="15" width="31.5546875" style="560" customWidth="1"/>
    <col min="16" max="16384" width="11.5546875" style="202"/>
  </cols>
  <sheetData>
    <row r="1" spans="1:17" ht="54.6" thickBot="1">
      <c r="A1" s="598" t="s">
        <v>1910</v>
      </c>
      <c r="B1" s="599" t="s">
        <v>1911</v>
      </c>
      <c r="C1" s="600" t="s">
        <v>1912</v>
      </c>
      <c r="D1" s="601" t="s">
        <v>1913</v>
      </c>
      <c r="E1" s="602" t="s">
        <v>1914</v>
      </c>
      <c r="F1" s="603" t="s">
        <v>1915</v>
      </c>
      <c r="G1" s="602" t="s">
        <v>1916</v>
      </c>
      <c r="H1" s="307" t="s">
        <v>1917</v>
      </c>
      <c r="I1" s="307" t="s">
        <v>1918</v>
      </c>
      <c r="J1" s="307" t="s">
        <v>1338</v>
      </c>
      <c r="K1" s="604" t="s">
        <v>1919</v>
      </c>
      <c r="L1" s="604" t="s">
        <v>1920</v>
      </c>
      <c r="M1" s="605" t="s">
        <v>1921</v>
      </c>
      <c r="N1" s="604" t="s">
        <v>1922</v>
      </c>
      <c r="O1" s="604" t="s">
        <v>1923</v>
      </c>
    </row>
    <row r="2" spans="1:17" ht="54">
      <c r="A2" s="606"/>
      <c r="B2" s="1311" t="s">
        <v>1135</v>
      </c>
      <c r="C2" s="1313">
        <v>44155</v>
      </c>
      <c r="D2" s="1314">
        <v>36</v>
      </c>
      <c r="E2" s="1316">
        <v>45231</v>
      </c>
      <c r="F2" s="1302">
        <v>0</v>
      </c>
      <c r="G2" s="607"/>
      <c r="H2" s="1303">
        <v>85520000</v>
      </c>
      <c r="I2" s="1302">
        <v>0</v>
      </c>
      <c r="J2" s="1303">
        <v>85520000</v>
      </c>
      <c r="K2" s="608" t="s">
        <v>1924</v>
      </c>
      <c r="L2" s="609" t="s">
        <v>1925</v>
      </c>
      <c r="M2" s="1304" t="s">
        <v>1926</v>
      </c>
      <c r="N2" s="609" t="s">
        <v>1927</v>
      </c>
      <c r="O2" s="1306" t="s">
        <v>1928</v>
      </c>
    </row>
    <row r="3" spans="1:17" ht="72">
      <c r="A3" s="606"/>
      <c r="B3" s="1312"/>
      <c r="C3" s="1312"/>
      <c r="D3" s="1315"/>
      <c r="E3" s="1302"/>
      <c r="F3" s="1302"/>
      <c r="G3" s="607"/>
      <c r="H3" s="1303"/>
      <c r="I3" s="1302"/>
      <c r="J3" s="1303"/>
      <c r="K3" s="608" t="s">
        <v>1929</v>
      </c>
      <c r="L3" s="609" t="s">
        <v>1930</v>
      </c>
      <c r="M3" s="1305"/>
      <c r="N3" s="609" t="s">
        <v>1931</v>
      </c>
      <c r="O3" s="1307"/>
    </row>
    <row r="4" spans="1:17" ht="72">
      <c r="A4" s="606"/>
      <c r="B4" s="1312"/>
      <c r="C4" s="1312"/>
      <c r="D4" s="1315"/>
      <c r="E4" s="1302"/>
      <c r="F4" s="1302"/>
      <c r="G4" s="607" t="s">
        <v>110</v>
      </c>
      <c r="H4" s="1303"/>
      <c r="I4" s="1302"/>
      <c r="J4" s="1303"/>
      <c r="K4" s="608" t="s">
        <v>1932</v>
      </c>
      <c r="L4" s="610" t="s">
        <v>1933</v>
      </c>
      <c r="M4" s="1305"/>
      <c r="N4" s="611" t="s">
        <v>1934</v>
      </c>
      <c r="O4" s="1307"/>
    </row>
    <row r="5" spans="1:17" ht="36">
      <c r="A5" s="606"/>
      <c r="B5" s="1312"/>
      <c r="C5" s="1312"/>
      <c r="D5" s="1315"/>
      <c r="E5" s="1302"/>
      <c r="F5" s="1302"/>
      <c r="G5" s="607"/>
      <c r="H5" s="1303"/>
      <c r="I5" s="1302"/>
      <c r="J5" s="1303"/>
      <c r="K5" s="611" t="s">
        <v>1935</v>
      </c>
      <c r="L5" s="612" t="s">
        <v>1936</v>
      </c>
      <c r="M5" s="1305"/>
      <c r="N5" s="611" t="s">
        <v>1937</v>
      </c>
      <c r="O5" s="1307"/>
    </row>
    <row r="6" spans="1:17" ht="198">
      <c r="A6" s="606"/>
      <c r="B6" s="1297" t="s">
        <v>1938</v>
      </c>
      <c r="C6" s="1308">
        <v>44084</v>
      </c>
      <c r="D6" s="1309">
        <v>36</v>
      </c>
      <c r="E6" s="1310">
        <v>45170</v>
      </c>
      <c r="F6" s="1297">
        <v>0</v>
      </c>
      <c r="G6" s="1297" t="s">
        <v>110</v>
      </c>
      <c r="H6" s="1296">
        <v>211093000</v>
      </c>
      <c r="I6" s="1297">
        <v>0</v>
      </c>
      <c r="J6" s="1296">
        <v>211093000</v>
      </c>
      <c r="K6" s="613" t="s">
        <v>1939</v>
      </c>
      <c r="L6" s="614" t="s">
        <v>1940</v>
      </c>
      <c r="M6" s="615" t="s">
        <v>1941</v>
      </c>
      <c r="N6" s="616" t="s">
        <v>1942</v>
      </c>
      <c r="O6" s="1298" t="s">
        <v>1943</v>
      </c>
      <c r="P6" s="606"/>
      <c r="Q6" s="606"/>
    </row>
    <row r="7" spans="1:17" ht="72">
      <c r="A7" s="606"/>
      <c r="B7" s="1297"/>
      <c r="C7" s="1297"/>
      <c r="D7" s="1309"/>
      <c r="E7" s="1297"/>
      <c r="F7" s="1297"/>
      <c r="G7" s="1297"/>
      <c r="H7" s="1296"/>
      <c r="I7" s="1297"/>
      <c r="J7" s="1296"/>
      <c r="K7" s="617" t="s">
        <v>1944</v>
      </c>
      <c r="L7" s="614" t="s">
        <v>1945</v>
      </c>
      <c r="M7" s="615" t="s">
        <v>1946</v>
      </c>
      <c r="N7" s="616"/>
      <c r="O7" s="1299"/>
      <c r="P7" s="606"/>
      <c r="Q7" s="606"/>
    </row>
    <row r="8" spans="1:17" ht="54">
      <c r="A8" s="606"/>
      <c r="B8" s="1297"/>
      <c r="C8" s="1297"/>
      <c r="D8" s="1309"/>
      <c r="E8" s="1297"/>
      <c r="F8" s="1297"/>
      <c r="G8" s="1297"/>
      <c r="H8" s="1296"/>
      <c r="I8" s="1297"/>
      <c r="J8" s="1296"/>
      <c r="K8" s="614" t="s">
        <v>1947</v>
      </c>
      <c r="L8" s="614" t="s">
        <v>1948</v>
      </c>
      <c r="M8" s="615" t="s">
        <v>1949</v>
      </c>
      <c r="N8" s="616"/>
      <c r="O8" s="1299"/>
      <c r="P8" s="606"/>
      <c r="Q8" s="606"/>
    </row>
    <row r="9" spans="1:17" ht="90">
      <c r="A9" s="606"/>
      <c r="B9" s="1297"/>
      <c r="C9" s="1297"/>
      <c r="D9" s="1309"/>
      <c r="E9" s="1297"/>
      <c r="F9" s="1297"/>
      <c r="G9" s="1297"/>
      <c r="H9" s="1296"/>
      <c r="I9" s="1297"/>
      <c r="J9" s="1296"/>
      <c r="K9" s="614" t="s">
        <v>1950</v>
      </c>
      <c r="L9" s="614" t="s">
        <v>1951</v>
      </c>
      <c r="M9" s="615" t="s">
        <v>1952</v>
      </c>
      <c r="N9" s="616"/>
      <c r="O9" s="1299"/>
      <c r="P9" s="606"/>
      <c r="Q9" s="606"/>
    </row>
    <row r="10" spans="1:17" ht="126">
      <c r="A10" s="606"/>
      <c r="B10" s="1297"/>
      <c r="C10" s="1297"/>
      <c r="D10" s="1309"/>
      <c r="E10" s="1297"/>
      <c r="F10" s="1297"/>
      <c r="G10" s="1297"/>
      <c r="H10" s="1296"/>
      <c r="I10" s="1297"/>
      <c r="J10" s="1296"/>
      <c r="K10" s="618" t="s">
        <v>1953</v>
      </c>
      <c r="L10" s="614" t="s">
        <v>1954</v>
      </c>
      <c r="M10" s="615" t="s">
        <v>1955</v>
      </c>
      <c r="N10" s="616"/>
      <c r="O10" s="1299"/>
      <c r="P10" s="606"/>
      <c r="Q10" s="606"/>
    </row>
    <row r="11" spans="1:17" ht="72">
      <c r="A11" s="606"/>
      <c r="B11" s="1297"/>
      <c r="C11" s="1297"/>
      <c r="D11" s="1309"/>
      <c r="E11" s="1297"/>
      <c r="F11" s="1297"/>
      <c r="G11" s="1297"/>
      <c r="H11" s="1296"/>
      <c r="I11" s="1297"/>
      <c r="J11" s="1296"/>
      <c r="K11" s="617" t="s">
        <v>1956</v>
      </c>
      <c r="L11" s="614" t="s">
        <v>1957</v>
      </c>
      <c r="M11" s="615" t="s">
        <v>1958</v>
      </c>
      <c r="N11" s="613"/>
      <c r="O11" s="1299"/>
      <c r="P11" s="606"/>
      <c r="Q11" s="606"/>
    </row>
    <row r="12" spans="1:17" ht="36">
      <c r="A12" s="606"/>
      <c r="B12" s="1297"/>
      <c r="C12" s="1297"/>
      <c r="D12" s="1309"/>
      <c r="E12" s="1297"/>
      <c r="F12" s="1297"/>
      <c r="G12" s="1297"/>
      <c r="H12" s="1296"/>
      <c r="I12" s="1297"/>
      <c r="J12" s="1296"/>
      <c r="K12" s="617"/>
      <c r="L12" s="617"/>
      <c r="M12" s="619" t="s">
        <v>1959</v>
      </c>
      <c r="N12" s="613"/>
      <c r="O12" s="1299"/>
      <c r="P12" s="606"/>
      <c r="Q12" s="606"/>
    </row>
    <row r="13" spans="1:17" ht="36">
      <c r="A13" s="606"/>
      <c r="B13" s="1297"/>
      <c r="C13" s="1297"/>
      <c r="D13" s="1309"/>
      <c r="E13" s="1297"/>
      <c r="F13" s="1297"/>
      <c r="G13" s="1297"/>
      <c r="H13" s="1296"/>
      <c r="I13" s="1297"/>
      <c r="J13" s="1296"/>
      <c r="K13" s="617"/>
      <c r="L13" s="617"/>
      <c r="M13" s="618" t="s">
        <v>1960</v>
      </c>
      <c r="N13" s="613"/>
      <c r="O13" s="1299"/>
      <c r="P13" s="606"/>
      <c r="Q13" s="606"/>
    </row>
    <row r="14" spans="1:17" ht="72">
      <c r="A14" s="606"/>
      <c r="B14" s="1294" t="s">
        <v>945</v>
      </c>
      <c r="C14" s="1300" t="s">
        <v>1961</v>
      </c>
      <c r="D14" s="620"/>
      <c r="E14" s="1301">
        <v>45102</v>
      </c>
      <c r="F14" s="1285">
        <v>0</v>
      </c>
      <c r="G14" s="1285" t="s">
        <v>110</v>
      </c>
      <c r="H14" s="1290">
        <v>278904800</v>
      </c>
      <c r="I14" s="1285">
        <v>0</v>
      </c>
      <c r="J14" s="1290">
        <v>278904800</v>
      </c>
      <c r="K14" s="1291" t="s">
        <v>1962</v>
      </c>
      <c r="L14" s="621" t="s">
        <v>1963</v>
      </c>
      <c r="M14" s="622" t="s">
        <v>1964</v>
      </c>
      <c r="N14" s="623" t="s">
        <v>1965</v>
      </c>
      <c r="O14" s="1292" t="s">
        <v>1966</v>
      </c>
      <c r="P14" s="606"/>
      <c r="Q14" s="606"/>
    </row>
    <row r="15" spans="1:17" ht="54">
      <c r="A15" s="606"/>
      <c r="B15" s="1285"/>
      <c r="C15" s="1287"/>
      <c r="D15" s="620"/>
      <c r="E15" s="1285"/>
      <c r="F15" s="1285"/>
      <c r="G15" s="1285"/>
      <c r="H15" s="1285"/>
      <c r="I15" s="1285"/>
      <c r="J15" s="1285"/>
      <c r="K15" s="1291"/>
      <c r="L15" s="621" t="s">
        <v>1967</v>
      </c>
      <c r="M15" s="622" t="s">
        <v>1968</v>
      </c>
      <c r="N15" s="623" t="s">
        <v>1969</v>
      </c>
      <c r="O15" s="1293"/>
      <c r="P15" s="606"/>
      <c r="Q15" s="606"/>
    </row>
    <row r="16" spans="1:17" ht="72">
      <c r="A16" s="606"/>
      <c r="B16" s="1285"/>
      <c r="C16" s="1287"/>
      <c r="D16" s="620"/>
      <c r="E16" s="1285"/>
      <c r="F16" s="1285"/>
      <c r="G16" s="1285"/>
      <c r="H16" s="1285"/>
      <c r="I16" s="1285"/>
      <c r="J16" s="1285"/>
      <c r="K16" s="621" t="s">
        <v>1970</v>
      </c>
      <c r="L16" s="621" t="s">
        <v>1971</v>
      </c>
      <c r="M16" s="622" t="s">
        <v>1972</v>
      </c>
      <c r="N16" s="623"/>
      <c r="O16" s="1293"/>
      <c r="P16" s="606"/>
      <c r="Q16" s="606"/>
    </row>
    <row r="17" spans="1:17" ht="90">
      <c r="A17" s="606"/>
      <c r="B17" s="1285"/>
      <c r="C17" s="1287"/>
      <c r="D17" s="620"/>
      <c r="E17" s="1285"/>
      <c r="F17" s="1285"/>
      <c r="G17" s="1285"/>
      <c r="H17" s="1285"/>
      <c r="I17" s="1285"/>
      <c r="J17" s="1285"/>
      <c r="K17" s="621" t="s">
        <v>1973</v>
      </c>
      <c r="L17" s="621" t="s">
        <v>1974</v>
      </c>
      <c r="M17" s="624" t="s">
        <v>1975</v>
      </c>
      <c r="N17" s="623"/>
      <c r="O17" s="1293"/>
      <c r="P17" s="606"/>
      <c r="Q17" s="606"/>
    </row>
    <row r="18" spans="1:17" ht="72">
      <c r="A18" s="606"/>
      <c r="B18" s="1285"/>
      <c r="C18" s="1287"/>
      <c r="D18" s="620"/>
      <c r="E18" s="1285"/>
      <c r="F18" s="1285"/>
      <c r="G18" s="1285"/>
      <c r="H18" s="1285"/>
      <c r="I18" s="1285"/>
      <c r="J18" s="1285"/>
      <c r="K18" s="621" t="s">
        <v>1976</v>
      </c>
      <c r="L18" s="621" t="s">
        <v>1977</v>
      </c>
      <c r="M18" s="625"/>
      <c r="N18" s="623"/>
      <c r="O18" s="1293"/>
      <c r="P18" s="606"/>
      <c r="Q18" s="606"/>
    </row>
    <row r="19" spans="1:17" ht="36">
      <c r="A19" s="606"/>
      <c r="B19" s="1285"/>
      <c r="C19" s="1287"/>
      <c r="D19" s="620">
        <v>15</v>
      </c>
      <c r="E19" s="1285"/>
      <c r="F19" s="1285"/>
      <c r="G19" s="1285"/>
      <c r="H19" s="1285"/>
      <c r="I19" s="1285"/>
      <c r="J19" s="1285"/>
      <c r="K19" s="621" t="s">
        <v>1978</v>
      </c>
      <c r="L19" s="621" t="s">
        <v>1979</v>
      </c>
      <c r="M19" s="626"/>
      <c r="N19" s="623"/>
      <c r="O19" s="1293"/>
      <c r="P19" s="606"/>
      <c r="Q19" s="606"/>
    </row>
    <row r="20" spans="1:17" ht="54">
      <c r="A20" s="606"/>
      <c r="B20" s="1285"/>
      <c r="C20" s="1287"/>
      <c r="D20" s="620"/>
      <c r="E20" s="1285"/>
      <c r="F20" s="1285"/>
      <c r="G20" s="1285"/>
      <c r="H20" s="1285"/>
      <c r="I20" s="1285"/>
      <c r="J20" s="1285"/>
      <c r="K20" s="621" t="s">
        <v>1980</v>
      </c>
      <c r="L20" s="621" t="s">
        <v>1981</v>
      </c>
      <c r="M20" s="626"/>
      <c r="N20" s="623"/>
      <c r="O20" s="1293"/>
      <c r="P20" s="606"/>
      <c r="Q20" s="606"/>
    </row>
    <row r="21" spans="1:17" ht="72">
      <c r="A21" s="606"/>
      <c r="B21" s="1285"/>
      <c r="C21" s="1287"/>
      <c r="D21" s="620"/>
      <c r="E21" s="1285"/>
      <c r="F21" s="1285"/>
      <c r="G21" s="1285"/>
      <c r="H21" s="1285"/>
      <c r="I21" s="1285"/>
      <c r="J21" s="1285"/>
      <c r="K21" s="621" t="s">
        <v>1982</v>
      </c>
      <c r="L21" s="621" t="s">
        <v>1983</v>
      </c>
      <c r="M21" s="626"/>
      <c r="N21" s="623"/>
      <c r="O21" s="1293"/>
      <c r="P21" s="606"/>
      <c r="Q21" s="606"/>
    </row>
    <row r="22" spans="1:17" ht="54">
      <c r="A22" s="606"/>
      <c r="B22" s="1285"/>
      <c r="C22" s="1294"/>
      <c r="D22" s="620"/>
      <c r="E22" s="1285"/>
      <c r="F22" s="1285"/>
      <c r="G22" s="1285"/>
      <c r="H22" s="1285"/>
      <c r="I22" s="1285"/>
      <c r="J22" s="1285"/>
      <c r="K22" s="621" t="s">
        <v>1984</v>
      </c>
      <c r="L22" s="621" t="s">
        <v>1985</v>
      </c>
      <c r="M22" s="626"/>
      <c r="N22" s="623"/>
      <c r="O22" s="1293"/>
      <c r="P22" s="606"/>
      <c r="Q22" s="606"/>
    </row>
    <row r="23" spans="1:17" s="606" customFormat="1" ht="36">
      <c r="B23" s="1285"/>
      <c r="C23" s="1286"/>
      <c r="D23" s="1288"/>
      <c r="E23" s="1285"/>
      <c r="F23" s="1285"/>
      <c r="G23" s="1285"/>
      <c r="H23" s="1285"/>
      <c r="I23" s="1285"/>
      <c r="J23" s="1285"/>
      <c r="K23" s="621" t="s">
        <v>1986</v>
      </c>
      <c r="L23" s="621" t="s">
        <v>1987</v>
      </c>
      <c r="M23" s="626"/>
      <c r="N23" s="623"/>
      <c r="O23" s="1292"/>
    </row>
    <row r="24" spans="1:17" s="606" customFormat="1" ht="54">
      <c r="B24" s="1285"/>
      <c r="C24" s="1287"/>
      <c r="D24" s="1289"/>
      <c r="E24" s="1285"/>
      <c r="F24" s="1285"/>
      <c r="G24" s="1285"/>
      <c r="H24" s="1285"/>
      <c r="I24" s="1285"/>
      <c r="J24" s="1285"/>
      <c r="K24" s="621" t="s">
        <v>1988</v>
      </c>
      <c r="L24" s="621" t="s">
        <v>1989</v>
      </c>
      <c r="M24" s="626"/>
      <c r="N24" s="623"/>
      <c r="O24" s="1293"/>
    </row>
    <row r="25" spans="1:17" s="606" customFormat="1" ht="90">
      <c r="B25" s="1285"/>
      <c r="C25" s="1287"/>
      <c r="D25" s="1289"/>
      <c r="E25" s="1285"/>
      <c r="F25" s="1285"/>
      <c r="G25" s="1285"/>
      <c r="H25" s="1285"/>
      <c r="I25" s="1285"/>
      <c r="J25" s="1285"/>
      <c r="K25" s="621" t="s">
        <v>1990</v>
      </c>
      <c r="L25" s="621" t="s">
        <v>1991</v>
      </c>
      <c r="M25" s="626"/>
      <c r="N25" s="623"/>
      <c r="O25" s="1293"/>
    </row>
    <row r="26" spans="1:17" s="606" customFormat="1" ht="36">
      <c r="B26" s="1285"/>
      <c r="C26" s="1287"/>
      <c r="D26" s="1289"/>
      <c r="E26" s="1285"/>
      <c r="F26" s="1285"/>
      <c r="G26" s="1285"/>
      <c r="H26" s="1285"/>
      <c r="I26" s="1285"/>
      <c r="J26" s="1285"/>
      <c r="K26" s="621" t="s">
        <v>1992</v>
      </c>
      <c r="L26" s="621" t="s">
        <v>1993</v>
      </c>
      <c r="M26" s="626"/>
      <c r="N26" s="623"/>
      <c r="O26" s="1293"/>
    </row>
    <row r="27" spans="1:17" s="606" customFormat="1" ht="36">
      <c r="B27" s="1285"/>
      <c r="C27" s="1287"/>
      <c r="D27" s="1289"/>
      <c r="E27" s="1285"/>
      <c r="F27" s="1285"/>
      <c r="G27" s="1285"/>
      <c r="H27" s="1285"/>
      <c r="I27" s="1285"/>
      <c r="J27" s="1285"/>
      <c r="K27" s="621" t="s">
        <v>1994</v>
      </c>
      <c r="L27" s="627"/>
      <c r="M27" s="626"/>
      <c r="N27" s="623"/>
      <c r="O27" s="1293"/>
    </row>
    <row r="28" spans="1:17" s="606" customFormat="1" ht="36">
      <c r="B28" s="1285"/>
      <c r="C28" s="1287"/>
      <c r="D28" s="1289"/>
      <c r="E28" s="1285"/>
      <c r="F28" s="1285"/>
      <c r="G28" s="1285"/>
      <c r="H28" s="1285"/>
      <c r="I28" s="1285"/>
      <c r="J28" s="1285"/>
      <c r="K28" s="621" t="s">
        <v>1995</v>
      </c>
      <c r="L28" s="627"/>
      <c r="M28" s="626"/>
      <c r="N28" s="623"/>
      <c r="O28" s="1293"/>
    </row>
    <row r="29" spans="1:17" s="606" customFormat="1" ht="36">
      <c r="B29" s="1285"/>
      <c r="C29" s="1287"/>
      <c r="D29" s="1289"/>
      <c r="E29" s="1285"/>
      <c r="F29" s="1285"/>
      <c r="G29" s="1285"/>
      <c r="H29" s="1285"/>
      <c r="I29" s="1285"/>
      <c r="J29" s="1285"/>
      <c r="K29" s="621" t="s">
        <v>1996</v>
      </c>
      <c r="L29" s="627"/>
      <c r="M29" s="626"/>
      <c r="N29" s="623"/>
      <c r="O29" s="1293"/>
    </row>
    <row r="30" spans="1:17" s="606" customFormat="1" ht="36">
      <c r="B30" s="1285"/>
      <c r="C30" s="1287"/>
      <c r="D30" s="1289"/>
      <c r="E30" s="1285"/>
      <c r="F30" s="1285"/>
      <c r="G30" s="1285"/>
      <c r="H30" s="1285"/>
      <c r="I30" s="1285"/>
      <c r="J30" s="1285"/>
      <c r="K30" s="621" t="s">
        <v>1997</v>
      </c>
      <c r="L30" s="627"/>
      <c r="M30" s="626"/>
      <c r="N30" s="623"/>
      <c r="O30" s="1293"/>
    </row>
    <row r="31" spans="1:17" s="606" customFormat="1" ht="36">
      <c r="B31" s="1285"/>
      <c r="C31" s="1294"/>
      <c r="D31" s="1295"/>
      <c r="E31" s="1285"/>
      <c r="F31" s="1285"/>
      <c r="G31" s="1285"/>
      <c r="H31" s="1285"/>
      <c r="I31" s="1285"/>
      <c r="J31" s="1285"/>
      <c r="K31" s="621" t="s">
        <v>1998</v>
      </c>
      <c r="L31" s="627"/>
      <c r="M31" s="626"/>
      <c r="N31" s="623"/>
      <c r="O31" s="1293"/>
    </row>
    <row r="32" spans="1:17" s="606" customFormat="1" ht="36">
      <c r="B32" s="1285"/>
      <c r="C32" s="1286"/>
      <c r="D32" s="1288"/>
      <c r="E32" s="1285"/>
      <c r="F32" s="1285"/>
      <c r="G32" s="1285"/>
      <c r="H32" s="1285"/>
      <c r="I32" s="1285"/>
      <c r="J32" s="1285"/>
      <c r="K32" s="621" t="s">
        <v>1999</v>
      </c>
      <c r="L32" s="627"/>
      <c r="M32" s="626"/>
      <c r="N32" s="623"/>
      <c r="O32" s="1292"/>
    </row>
    <row r="33" spans="2:15" s="606" customFormat="1" ht="54">
      <c r="B33" s="1285"/>
      <c r="C33" s="1287"/>
      <c r="D33" s="1289"/>
      <c r="E33" s="1285"/>
      <c r="F33" s="1285"/>
      <c r="G33" s="1285"/>
      <c r="H33" s="1285"/>
      <c r="I33" s="1285"/>
      <c r="J33" s="1285"/>
      <c r="K33" s="621" t="s">
        <v>2000</v>
      </c>
      <c r="L33" s="627"/>
      <c r="M33" s="626"/>
      <c r="N33" s="623"/>
      <c r="O33" s="1293"/>
    </row>
    <row r="34" spans="2:15" s="606" customFormat="1" ht="54">
      <c r="B34" s="1285"/>
      <c r="C34" s="1287"/>
      <c r="D34" s="1289"/>
      <c r="E34" s="1285"/>
      <c r="F34" s="1285"/>
      <c r="G34" s="1285"/>
      <c r="H34" s="1285"/>
      <c r="I34" s="1285"/>
      <c r="J34" s="1285"/>
      <c r="K34" s="621" t="s">
        <v>2001</v>
      </c>
      <c r="L34" s="627"/>
      <c r="M34" s="626"/>
      <c r="N34" s="623"/>
      <c r="O34" s="1293"/>
    </row>
    <row r="35" spans="2:15" s="606" customFormat="1">
      <c r="K35" s="560"/>
      <c r="L35" s="560"/>
      <c r="M35" s="628"/>
      <c r="N35" s="629"/>
      <c r="O35" s="560"/>
    </row>
    <row r="36" spans="2:15" s="606" customFormat="1">
      <c r="K36" s="560"/>
      <c r="L36" s="560"/>
      <c r="M36" s="628"/>
      <c r="N36" s="629"/>
      <c r="O36" s="560"/>
    </row>
  </sheetData>
  <mergeCells count="50">
    <mergeCell ref="I2:I5"/>
    <mergeCell ref="J2:J5"/>
    <mergeCell ref="M2:M5"/>
    <mergeCell ref="O2:O5"/>
    <mergeCell ref="B6:B13"/>
    <mergeCell ref="C6:C13"/>
    <mergeCell ref="D6:D13"/>
    <mergeCell ref="E6:E13"/>
    <mergeCell ref="F6:F13"/>
    <mergeCell ref="G6:G13"/>
    <mergeCell ref="B2:B5"/>
    <mergeCell ref="C2:C5"/>
    <mergeCell ref="D2:D5"/>
    <mergeCell ref="E2:E5"/>
    <mergeCell ref="F2:F5"/>
    <mergeCell ref="H2:H5"/>
    <mergeCell ref="H6:H13"/>
    <mergeCell ref="I6:I13"/>
    <mergeCell ref="J6:J13"/>
    <mergeCell ref="O6:O13"/>
    <mergeCell ref="B14:B22"/>
    <mergeCell ref="C14:C22"/>
    <mergeCell ref="E14:E22"/>
    <mergeCell ref="F14:F22"/>
    <mergeCell ref="G14:G22"/>
    <mergeCell ref="H14:H22"/>
    <mergeCell ref="B23:B31"/>
    <mergeCell ref="C23:C31"/>
    <mergeCell ref="D23:D31"/>
    <mergeCell ref="E23:E31"/>
    <mergeCell ref="F23:F31"/>
    <mergeCell ref="G32:G34"/>
    <mergeCell ref="I14:I22"/>
    <mergeCell ref="J14:J22"/>
    <mergeCell ref="K14:K15"/>
    <mergeCell ref="O14:O22"/>
    <mergeCell ref="G23:G31"/>
    <mergeCell ref="H32:H34"/>
    <mergeCell ref="I32:I34"/>
    <mergeCell ref="J32:J34"/>
    <mergeCell ref="O32:O34"/>
    <mergeCell ref="H23:H31"/>
    <mergeCell ref="I23:I31"/>
    <mergeCell ref="J23:J31"/>
    <mergeCell ref="O23:O31"/>
    <mergeCell ref="B32:B34"/>
    <mergeCell ref="C32:C34"/>
    <mergeCell ref="D32:D34"/>
    <mergeCell ref="E32:E34"/>
    <mergeCell ref="F32:F34"/>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CEC74-6678-435B-945E-39293112B51D}">
  <sheetPr>
    <tabColor rgb="FFFFFF00"/>
  </sheetPr>
  <dimension ref="A1:P116"/>
  <sheetViews>
    <sheetView zoomScale="130" zoomScaleNormal="130" workbookViewId="0">
      <pane xSplit="4" ySplit="2" topLeftCell="E22" activePane="bottomRight" state="frozen"/>
      <selection pane="topRight" activeCell="E1" sqref="E1"/>
      <selection pane="bottomLeft" activeCell="A3" sqref="A3"/>
      <selection pane="bottomRight" activeCell="B3" sqref="B3:B28"/>
    </sheetView>
  </sheetViews>
  <sheetFormatPr baseColWidth="10" defaultColWidth="28.88671875" defaultRowHeight="12"/>
  <cols>
    <col min="1" max="1" width="17" style="865" customWidth="1"/>
    <col min="2" max="2" width="10.77734375" style="832" customWidth="1"/>
    <col min="3" max="3" width="17.33203125" style="832" customWidth="1"/>
    <col min="4" max="4" width="29.44140625" style="832" customWidth="1"/>
    <col min="5" max="5" width="12.5546875" style="832" customWidth="1"/>
    <col min="6" max="6" width="14.77734375" style="832" customWidth="1"/>
    <col min="7" max="7" width="60" style="908" customWidth="1"/>
    <col min="8" max="8" width="12.6640625" style="832" customWidth="1"/>
    <col min="9" max="9" width="12.88671875" style="832" customWidth="1"/>
    <col min="10" max="10" width="35.21875" style="832" customWidth="1"/>
    <col min="11" max="11" width="12.6640625" style="832" customWidth="1"/>
    <col min="12" max="12" width="12.88671875" style="832" customWidth="1"/>
    <col min="13" max="13" width="32.6640625" style="832" customWidth="1"/>
    <col min="14" max="14" width="12.6640625" style="832" customWidth="1"/>
    <col min="15" max="15" width="9.77734375" style="832" customWidth="1"/>
    <col min="16" max="16" width="58.33203125" style="832" customWidth="1"/>
    <col min="17" max="16384" width="28.88671875" style="832"/>
  </cols>
  <sheetData>
    <row r="1" spans="2:16" ht="23.4" customHeight="1">
      <c r="B1" s="1341" t="s">
        <v>59</v>
      </c>
      <c r="C1" s="1341" t="s">
        <v>60</v>
      </c>
      <c r="D1" s="1341" t="s">
        <v>2200</v>
      </c>
      <c r="E1" s="1341" t="s">
        <v>61</v>
      </c>
      <c r="F1" s="1341"/>
      <c r="G1" s="1341" t="s">
        <v>1760</v>
      </c>
      <c r="H1" s="1342" t="s">
        <v>1759</v>
      </c>
      <c r="I1" s="1342"/>
      <c r="J1" s="1342"/>
      <c r="K1" s="1336" t="s">
        <v>2068</v>
      </c>
      <c r="L1" s="1336"/>
      <c r="M1" s="1336"/>
      <c r="N1" s="1336" t="s">
        <v>2161</v>
      </c>
      <c r="O1" s="1336"/>
      <c r="P1" s="1336"/>
    </row>
    <row r="2" spans="2:16" ht="38.4" customHeight="1">
      <c r="B2" s="1341"/>
      <c r="C2" s="1341"/>
      <c r="D2" s="1341"/>
      <c r="E2" s="833" t="s">
        <v>1761</v>
      </c>
      <c r="F2" s="833" t="s">
        <v>2392</v>
      </c>
      <c r="G2" s="1341"/>
      <c r="H2" s="834" t="s">
        <v>1761</v>
      </c>
      <c r="I2" s="834" t="s">
        <v>62</v>
      </c>
      <c r="J2" s="834" t="s">
        <v>1758</v>
      </c>
      <c r="K2" s="835" t="s">
        <v>2063</v>
      </c>
      <c r="L2" s="835" t="s">
        <v>62</v>
      </c>
      <c r="M2" s="835" t="s">
        <v>1758</v>
      </c>
      <c r="N2" s="835" t="s">
        <v>2162</v>
      </c>
      <c r="O2" s="835" t="s">
        <v>2163</v>
      </c>
      <c r="P2" s="835" t="s">
        <v>1758</v>
      </c>
    </row>
    <row r="3" spans="2:16" s="920" customFormat="1" ht="39.6">
      <c r="B3" s="1325" t="s">
        <v>2201</v>
      </c>
      <c r="C3" s="921" t="s">
        <v>63</v>
      </c>
      <c r="D3" s="847" t="s">
        <v>2202</v>
      </c>
      <c r="E3" s="846">
        <v>0.35</v>
      </c>
      <c r="F3" s="846">
        <v>0.2</v>
      </c>
      <c r="G3" s="847" t="s">
        <v>2393</v>
      </c>
      <c r="H3" s="846"/>
      <c r="I3" s="846"/>
      <c r="J3" s="847"/>
      <c r="K3" s="851"/>
      <c r="L3" s="851"/>
      <c r="M3" s="922"/>
      <c r="N3" s="851"/>
      <c r="O3" s="851"/>
      <c r="P3" s="922"/>
    </row>
    <row r="4" spans="2:16" ht="13.2">
      <c r="B4" s="1328"/>
      <c r="C4" s="836" t="s">
        <v>65</v>
      </c>
      <c r="D4" s="843"/>
      <c r="E4" s="844"/>
      <c r="F4" s="844"/>
      <c r="G4" s="845"/>
      <c r="H4" s="839"/>
      <c r="I4" s="839"/>
      <c r="J4" s="840"/>
      <c r="K4" s="841"/>
      <c r="L4" s="841"/>
      <c r="M4" s="842"/>
      <c r="N4" s="841"/>
      <c r="O4" s="841"/>
      <c r="P4" s="842"/>
    </row>
    <row r="5" spans="2:16" ht="39.6">
      <c r="B5" s="1328"/>
      <c r="C5" s="1325" t="s">
        <v>66</v>
      </c>
      <c r="D5" s="840" t="s">
        <v>2325</v>
      </c>
      <c r="E5" s="846">
        <v>0.5</v>
      </c>
      <c r="F5" s="846">
        <v>0.15</v>
      </c>
      <c r="G5" s="847" t="s">
        <v>2339</v>
      </c>
      <c r="H5" s="839"/>
      <c r="I5" s="839"/>
      <c r="J5" s="840"/>
      <c r="K5" s="841"/>
      <c r="L5" s="841"/>
      <c r="M5" s="842"/>
      <c r="N5" s="841"/>
      <c r="O5" s="841"/>
      <c r="P5" s="842"/>
    </row>
    <row r="6" spans="2:16" ht="31.8" customHeight="1">
      <c r="B6" s="1328"/>
      <c r="C6" s="1326"/>
      <c r="D6" s="840" t="s">
        <v>2326</v>
      </c>
      <c r="E6" s="839">
        <v>0.5</v>
      </c>
      <c r="F6" s="846">
        <v>0.25</v>
      </c>
      <c r="G6" s="847" t="s">
        <v>2327</v>
      </c>
      <c r="H6" s="839"/>
      <c r="I6" s="839"/>
      <c r="J6" s="848"/>
      <c r="K6" s="841"/>
      <c r="L6" s="841"/>
      <c r="M6" s="842"/>
      <c r="N6" s="841"/>
      <c r="O6" s="841"/>
      <c r="P6" s="842"/>
    </row>
    <row r="7" spans="2:16" ht="89.4" customHeight="1">
      <c r="B7" s="1328"/>
      <c r="C7" s="836" t="s">
        <v>69</v>
      </c>
      <c r="D7" s="840" t="s">
        <v>2205</v>
      </c>
      <c r="E7" s="839">
        <v>0.35</v>
      </c>
      <c r="F7" s="839">
        <v>0.25</v>
      </c>
      <c r="G7" s="840" t="s">
        <v>2203</v>
      </c>
      <c r="H7" s="849"/>
      <c r="I7" s="849"/>
      <c r="J7" s="850"/>
      <c r="K7" s="841"/>
      <c r="L7" s="841"/>
      <c r="M7" s="842"/>
      <c r="N7" s="841"/>
      <c r="O7" s="841"/>
      <c r="P7" s="842"/>
    </row>
    <row r="8" spans="2:16" ht="26.4">
      <c r="B8" s="1328"/>
      <c r="C8" s="836" t="s">
        <v>67</v>
      </c>
      <c r="D8" s="840" t="s">
        <v>2206</v>
      </c>
      <c r="E8" s="839">
        <v>0.2</v>
      </c>
      <c r="F8" s="846">
        <v>0.15</v>
      </c>
      <c r="G8" s="840" t="s">
        <v>2204</v>
      </c>
      <c r="H8" s="839"/>
      <c r="I8" s="846"/>
      <c r="J8" s="842"/>
      <c r="K8" s="841"/>
      <c r="L8" s="851"/>
      <c r="M8" s="842"/>
      <c r="N8" s="841"/>
      <c r="O8" s="851"/>
      <c r="P8" s="842"/>
    </row>
    <row r="9" spans="2:16" ht="39.6">
      <c r="B9" s="1328"/>
      <c r="C9" s="836" t="s">
        <v>2329</v>
      </c>
      <c r="D9" s="840" t="s">
        <v>2328</v>
      </c>
      <c r="E9" s="839">
        <v>0.2</v>
      </c>
      <c r="F9" s="846">
        <v>0.2</v>
      </c>
      <c r="G9" s="840" t="s">
        <v>2331</v>
      </c>
      <c r="H9" s="839"/>
      <c r="I9" s="846"/>
      <c r="J9" s="842"/>
      <c r="K9" s="841"/>
      <c r="L9" s="851"/>
      <c r="M9" s="842"/>
      <c r="N9" s="841"/>
      <c r="O9" s="851"/>
      <c r="P9" s="842"/>
    </row>
    <row r="10" spans="2:16" ht="26.4">
      <c r="B10" s="1328"/>
      <c r="C10" s="852" t="s">
        <v>2137</v>
      </c>
      <c r="D10" s="837" t="s">
        <v>2212</v>
      </c>
      <c r="E10" s="838">
        <v>0.2</v>
      </c>
      <c r="F10" s="838">
        <v>0</v>
      </c>
      <c r="G10" s="837" t="s">
        <v>2213</v>
      </c>
      <c r="H10" s="839"/>
      <c r="I10" s="846"/>
      <c r="J10" s="842"/>
      <c r="K10" s="841"/>
      <c r="L10" s="851"/>
      <c r="M10" s="842"/>
      <c r="N10" s="841"/>
      <c r="O10" s="853"/>
      <c r="P10" s="842"/>
    </row>
    <row r="11" spans="2:16" ht="26.4">
      <c r="B11" s="1328"/>
      <c r="C11" s="1337" t="s">
        <v>2215</v>
      </c>
      <c r="D11" s="840" t="s">
        <v>2391</v>
      </c>
      <c r="E11" s="854"/>
      <c r="F11" s="854"/>
      <c r="G11" s="855" t="s">
        <v>2216</v>
      </c>
      <c r="H11" s="839"/>
      <c r="I11" s="846"/>
      <c r="J11" s="842"/>
      <c r="K11" s="841"/>
      <c r="L11" s="851"/>
      <c r="M11" s="842"/>
      <c r="N11" s="841"/>
      <c r="O11" s="853"/>
      <c r="P11" s="842"/>
    </row>
    <row r="12" spans="2:16" ht="26.4">
      <c r="B12" s="1328"/>
      <c r="C12" s="1338"/>
      <c r="D12" s="840" t="s">
        <v>2217</v>
      </c>
      <c r="E12" s="854"/>
      <c r="F12" s="854"/>
      <c r="G12" s="855" t="s">
        <v>2222</v>
      </c>
      <c r="H12" s="839"/>
      <c r="I12" s="846"/>
      <c r="J12" s="842"/>
      <c r="K12" s="841"/>
      <c r="L12" s="851"/>
      <c r="M12" s="842"/>
      <c r="N12" s="841"/>
      <c r="O12" s="853"/>
      <c r="P12" s="842"/>
    </row>
    <row r="13" spans="2:16" ht="26.4">
      <c r="B13" s="1328"/>
      <c r="C13" s="1338"/>
      <c r="D13" s="840" t="s">
        <v>2218</v>
      </c>
      <c r="E13" s="854"/>
      <c r="F13" s="854"/>
      <c r="G13" s="855" t="s">
        <v>2219</v>
      </c>
      <c r="H13" s="839"/>
      <c r="I13" s="846"/>
      <c r="J13" s="842"/>
      <c r="K13" s="841"/>
      <c r="L13" s="851"/>
      <c r="M13" s="842"/>
      <c r="N13" s="841"/>
      <c r="O13" s="853"/>
      <c r="P13" s="842"/>
    </row>
    <row r="14" spans="2:16" ht="26.4">
      <c r="B14" s="1328"/>
      <c r="C14" s="1338"/>
      <c r="D14" s="840" t="s">
        <v>2220</v>
      </c>
      <c r="E14" s="854"/>
      <c r="F14" s="854"/>
      <c r="G14" s="855" t="s">
        <v>2221</v>
      </c>
      <c r="H14" s="839"/>
      <c r="I14" s="846"/>
      <c r="J14" s="842"/>
      <c r="K14" s="841"/>
      <c r="L14" s="851"/>
      <c r="M14" s="842"/>
      <c r="N14" s="841"/>
      <c r="O14" s="853"/>
      <c r="P14" s="842"/>
    </row>
    <row r="15" spans="2:16" ht="26.4">
      <c r="B15" s="1328"/>
      <c r="C15" s="1339"/>
      <c r="D15" s="840" t="s">
        <v>2223</v>
      </c>
      <c r="E15" s="854"/>
      <c r="F15" s="854"/>
      <c r="G15" s="855" t="s">
        <v>2224</v>
      </c>
      <c r="H15" s="839"/>
      <c r="I15" s="846"/>
      <c r="J15" s="842"/>
      <c r="K15" s="841"/>
      <c r="L15" s="851"/>
      <c r="M15" s="842"/>
      <c r="N15" s="841"/>
      <c r="O15" s="853"/>
      <c r="P15" s="842"/>
    </row>
    <row r="16" spans="2:16" ht="39.6">
      <c r="B16" s="1328"/>
      <c r="C16" s="852" t="s">
        <v>1140</v>
      </c>
      <c r="D16" s="837" t="s">
        <v>2225</v>
      </c>
      <c r="E16" s="838">
        <v>0.25</v>
      </c>
      <c r="F16" s="838">
        <v>0.15</v>
      </c>
      <c r="G16" s="837"/>
      <c r="H16" s="839"/>
      <c r="I16" s="846"/>
      <c r="J16" s="842"/>
      <c r="K16" s="841"/>
      <c r="L16" s="851"/>
      <c r="M16" s="842"/>
      <c r="N16" s="841"/>
      <c r="O16" s="853"/>
      <c r="P16" s="842"/>
    </row>
    <row r="17" spans="2:16" ht="26.4" customHeight="1">
      <c r="B17" s="1328"/>
      <c r="C17" s="1340" t="s">
        <v>2138</v>
      </c>
      <c r="D17" s="840" t="s">
        <v>2226</v>
      </c>
      <c r="E17" s="856"/>
      <c r="F17" s="854"/>
      <c r="G17" s="855" t="s">
        <v>2227</v>
      </c>
      <c r="H17" s="839"/>
      <c r="I17" s="846"/>
      <c r="J17" s="842"/>
      <c r="K17" s="841"/>
      <c r="L17" s="851"/>
      <c r="M17" s="842"/>
      <c r="N17" s="841"/>
      <c r="O17" s="853"/>
      <c r="P17" s="842"/>
    </row>
    <row r="18" spans="2:16" ht="26.4">
      <c r="B18" s="1328"/>
      <c r="C18" s="1340"/>
      <c r="D18" s="840" t="s">
        <v>2228</v>
      </c>
      <c r="E18" s="857"/>
      <c r="F18" s="857"/>
      <c r="G18" s="858" t="s">
        <v>2229</v>
      </c>
      <c r="H18" s="839"/>
      <c r="I18" s="846"/>
      <c r="J18" s="842"/>
      <c r="K18" s="841"/>
      <c r="L18" s="851"/>
      <c r="M18" s="842"/>
      <c r="N18" s="841"/>
      <c r="O18" s="853"/>
      <c r="P18" s="842"/>
    </row>
    <row r="19" spans="2:16" ht="26.4">
      <c r="B19" s="1328"/>
      <c r="C19" s="1340"/>
      <c r="D19" s="837" t="s">
        <v>2230</v>
      </c>
      <c r="E19" s="859">
        <v>0.2</v>
      </c>
      <c r="F19" s="859">
        <v>0</v>
      </c>
      <c r="G19" s="860" t="s">
        <v>2231</v>
      </c>
      <c r="H19" s="839"/>
      <c r="I19" s="846"/>
      <c r="J19" s="842"/>
      <c r="K19" s="841"/>
      <c r="L19" s="851"/>
      <c r="M19" s="842"/>
      <c r="N19" s="841"/>
      <c r="O19" s="853"/>
      <c r="P19" s="842"/>
    </row>
    <row r="20" spans="2:16" ht="39.6">
      <c r="B20" s="1328"/>
      <c r="C20" s="1340"/>
      <c r="D20" s="837" t="s">
        <v>2232</v>
      </c>
      <c r="E20" s="859">
        <v>0.1</v>
      </c>
      <c r="F20" s="859">
        <v>0</v>
      </c>
      <c r="G20" s="860" t="s">
        <v>2233</v>
      </c>
      <c r="H20" s="839"/>
      <c r="I20" s="846"/>
      <c r="J20" s="842"/>
      <c r="K20" s="841"/>
      <c r="L20" s="851"/>
      <c r="M20" s="842"/>
      <c r="N20" s="841"/>
      <c r="O20" s="853"/>
      <c r="P20" s="842"/>
    </row>
    <row r="21" spans="2:16" ht="47.4" customHeight="1">
      <c r="B21" s="1328"/>
      <c r="C21" s="1337" t="s">
        <v>2141</v>
      </c>
      <c r="D21" s="840" t="s">
        <v>2207</v>
      </c>
      <c r="E21" s="861"/>
      <c r="F21" s="861"/>
      <c r="G21" s="840" t="s">
        <v>2208</v>
      </c>
      <c r="H21" s="839"/>
      <c r="I21" s="846"/>
      <c r="J21" s="842"/>
      <c r="K21" s="841"/>
      <c r="L21" s="851"/>
      <c r="M21" s="842"/>
      <c r="N21" s="841"/>
      <c r="O21" s="853"/>
      <c r="P21" s="842"/>
    </row>
    <row r="22" spans="2:16" ht="52.2" customHeight="1">
      <c r="B22" s="1328"/>
      <c r="C22" s="1338"/>
      <c r="D22" s="840" t="s">
        <v>2209</v>
      </c>
      <c r="E22" s="861">
        <v>0.2</v>
      </c>
      <c r="F22" s="861">
        <v>0</v>
      </c>
      <c r="G22" s="840" t="s">
        <v>2340</v>
      </c>
      <c r="H22" s="839"/>
      <c r="I22" s="846"/>
      <c r="J22" s="842"/>
      <c r="K22" s="841"/>
      <c r="L22" s="851"/>
      <c r="M22" s="842"/>
      <c r="N22" s="841"/>
      <c r="O22" s="853"/>
      <c r="P22" s="842"/>
    </row>
    <row r="23" spans="2:16" ht="45.6" customHeight="1">
      <c r="B23" s="1328"/>
      <c r="C23" s="1338"/>
      <c r="D23" s="837" t="s">
        <v>2210</v>
      </c>
      <c r="E23" s="838">
        <v>0.1</v>
      </c>
      <c r="F23" s="838">
        <v>0</v>
      </c>
      <c r="G23" s="837" t="s">
        <v>2335</v>
      </c>
      <c r="H23" s="839"/>
      <c r="I23" s="846"/>
      <c r="J23" s="842"/>
      <c r="K23" s="841"/>
      <c r="L23" s="851"/>
      <c r="M23" s="842"/>
      <c r="N23" s="841"/>
      <c r="O23" s="853"/>
      <c r="P23" s="842"/>
    </row>
    <row r="24" spans="2:16" ht="45.6" customHeight="1">
      <c r="B24" s="1328"/>
      <c r="C24" s="1339"/>
      <c r="D24" s="840" t="s">
        <v>2211</v>
      </c>
      <c r="E24" s="861">
        <v>0.25</v>
      </c>
      <c r="F24" s="861">
        <v>0.25</v>
      </c>
      <c r="G24" s="840" t="s">
        <v>2214</v>
      </c>
      <c r="H24" s="839"/>
      <c r="I24" s="846"/>
      <c r="J24" s="842"/>
      <c r="K24" s="841"/>
      <c r="L24" s="851"/>
      <c r="M24" s="842"/>
      <c r="N24" s="841"/>
      <c r="O24" s="853"/>
      <c r="P24" s="842"/>
    </row>
    <row r="25" spans="2:16" ht="36" customHeight="1">
      <c r="B25" s="1328"/>
      <c r="C25" s="862" t="s">
        <v>2280</v>
      </c>
      <c r="D25" s="863" t="s">
        <v>2277</v>
      </c>
      <c r="E25" s="839">
        <v>0.2</v>
      </c>
      <c r="F25" s="839">
        <v>0.2</v>
      </c>
      <c r="G25" s="840" t="s">
        <v>2279</v>
      </c>
      <c r="H25" s="839"/>
      <c r="I25" s="846"/>
      <c r="J25" s="842"/>
      <c r="K25" s="841"/>
      <c r="L25" s="851"/>
      <c r="M25" s="842"/>
      <c r="N25" s="841"/>
      <c r="O25" s="853"/>
      <c r="P25" s="842"/>
    </row>
    <row r="26" spans="2:16" ht="36" customHeight="1">
      <c r="B26" s="1328"/>
      <c r="C26" s="1325" t="s">
        <v>2193</v>
      </c>
      <c r="D26" s="863" t="s">
        <v>2332</v>
      </c>
      <c r="E26" s="861"/>
      <c r="F26" s="861"/>
      <c r="G26" s="864" t="s">
        <v>2333</v>
      </c>
      <c r="H26" s="839"/>
      <c r="I26" s="846"/>
      <c r="J26" s="842"/>
      <c r="K26" s="841"/>
      <c r="L26" s="851"/>
      <c r="M26" s="842"/>
      <c r="N26" s="841"/>
      <c r="O26" s="853"/>
      <c r="P26" s="842"/>
    </row>
    <row r="27" spans="2:16" ht="36" customHeight="1">
      <c r="B27" s="1328"/>
      <c r="C27" s="1328"/>
      <c r="D27" s="863" t="s">
        <v>2334</v>
      </c>
      <c r="E27" s="839">
        <v>0.25</v>
      </c>
      <c r="F27" s="839"/>
      <c r="G27" s="837" t="s">
        <v>2341</v>
      </c>
      <c r="H27" s="839"/>
      <c r="I27" s="846"/>
      <c r="J27" s="842"/>
      <c r="K27" s="841"/>
      <c r="L27" s="851"/>
      <c r="M27" s="842"/>
      <c r="N27" s="841"/>
      <c r="O27" s="853"/>
      <c r="P27" s="842"/>
    </row>
    <row r="28" spans="2:16" ht="26.4">
      <c r="B28" s="1326"/>
      <c r="C28" s="836" t="s">
        <v>2123</v>
      </c>
      <c r="D28" s="840"/>
      <c r="E28" s="839">
        <v>0.25</v>
      </c>
      <c r="F28" s="846">
        <v>0.25</v>
      </c>
      <c r="G28" s="840"/>
      <c r="H28" s="839"/>
      <c r="I28" s="846"/>
      <c r="J28" s="842"/>
      <c r="K28" s="841"/>
      <c r="L28" s="851"/>
      <c r="M28" s="842"/>
      <c r="N28" s="841"/>
      <c r="O28" s="853"/>
      <c r="P28" s="842"/>
    </row>
    <row r="29" spans="2:16" ht="26.4">
      <c r="B29" s="1325" t="s">
        <v>68</v>
      </c>
      <c r="C29" s="1335" t="s">
        <v>63</v>
      </c>
      <c r="D29" s="840" t="s">
        <v>2235</v>
      </c>
      <c r="E29" s="839">
        <v>1</v>
      </c>
      <c r="F29" s="839">
        <v>0.95</v>
      </c>
      <c r="G29" s="840" t="s">
        <v>2236</v>
      </c>
      <c r="H29" s="839"/>
      <c r="I29" s="839"/>
      <c r="J29" s="840"/>
      <c r="K29" s="841"/>
      <c r="L29" s="841"/>
      <c r="M29" s="842"/>
      <c r="N29" s="841"/>
      <c r="O29" s="841"/>
      <c r="P29" s="842"/>
    </row>
    <row r="30" spans="2:16" ht="26.4">
      <c r="B30" s="1328"/>
      <c r="C30" s="1335"/>
      <c r="D30" s="840" t="s">
        <v>2237</v>
      </c>
      <c r="E30" s="839">
        <v>1</v>
      </c>
      <c r="F30" s="839">
        <v>0.95</v>
      </c>
      <c r="G30" s="840" t="s">
        <v>2236</v>
      </c>
      <c r="H30" s="839"/>
      <c r="I30" s="839"/>
      <c r="J30" s="840"/>
      <c r="K30" s="841"/>
      <c r="L30" s="841"/>
      <c r="M30" s="842"/>
      <c r="N30" s="841"/>
      <c r="O30" s="841"/>
      <c r="P30" s="842"/>
    </row>
    <row r="31" spans="2:16" ht="39.6">
      <c r="B31" s="1328"/>
      <c r="C31" s="1335"/>
      <c r="D31" s="840" t="s">
        <v>2238</v>
      </c>
      <c r="E31" s="839">
        <v>0.4</v>
      </c>
      <c r="F31" s="839">
        <v>0.25</v>
      </c>
      <c r="G31" s="840" t="s">
        <v>2239</v>
      </c>
      <c r="H31" s="839"/>
      <c r="I31" s="839"/>
      <c r="J31" s="840"/>
      <c r="K31" s="841"/>
      <c r="L31" s="841"/>
      <c r="M31" s="842"/>
      <c r="N31" s="841"/>
      <c r="O31" s="841"/>
      <c r="P31" s="842"/>
    </row>
    <row r="32" spans="2:16" ht="26.4">
      <c r="B32" s="1328"/>
      <c r="C32" s="1335"/>
      <c r="D32" s="840" t="s">
        <v>2234</v>
      </c>
      <c r="E32" s="839">
        <v>0.7</v>
      </c>
      <c r="F32" s="839">
        <v>0.6</v>
      </c>
      <c r="G32" s="840" t="s">
        <v>2240</v>
      </c>
      <c r="H32" s="839"/>
      <c r="I32" s="839"/>
      <c r="J32" s="840"/>
      <c r="K32" s="841"/>
      <c r="L32" s="841"/>
      <c r="M32" s="842"/>
      <c r="N32" s="841"/>
      <c r="O32" s="841"/>
      <c r="P32" s="842"/>
    </row>
    <row r="33" spans="1:16" ht="26.4">
      <c r="B33" s="1328"/>
      <c r="C33" s="1325" t="s">
        <v>65</v>
      </c>
      <c r="D33" s="840" t="s">
        <v>2241</v>
      </c>
      <c r="E33" s="839">
        <v>1</v>
      </c>
      <c r="F33" s="839">
        <v>0.8</v>
      </c>
      <c r="G33" s="840" t="s">
        <v>2342</v>
      </c>
      <c r="H33" s="839"/>
      <c r="I33" s="839"/>
      <c r="J33" s="848"/>
      <c r="K33" s="841"/>
      <c r="L33" s="841"/>
      <c r="M33" s="842"/>
      <c r="N33" s="841"/>
      <c r="O33" s="841"/>
      <c r="P33" s="842"/>
    </row>
    <row r="34" spans="1:16" ht="13.2">
      <c r="B34" s="1328"/>
      <c r="C34" s="1328"/>
      <c r="D34" s="840"/>
      <c r="E34" s="839"/>
      <c r="F34" s="839"/>
      <c r="G34" s="840"/>
      <c r="H34" s="839"/>
      <c r="I34" s="839"/>
      <c r="J34" s="848"/>
      <c r="K34" s="841"/>
      <c r="L34" s="841"/>
      <c r="M34" s="842"/>
      <c r="N34" s="841"/>
      <c r="O34" s="841"/>
      <c r="P34" s="842"/>
    </row>
    <row r="35" spans="1:16" ht="26.4" hidden="1">
      <c r="B35" s="1328"/>
      <c r="C35" s="1326"/>
      <c r="D35" s="840" t="s">
        <v>2126</v>
      </c>
      <c r="E35" s="861"/>
      <c r="F35" s="861"/>
      <c r="G35" s="866"/>
      <c r="H35" s="839"/>
      <c r="I35" s="839"/>
      <c r="J35" s="848"/>
      <c r="K35" s="841"/>
      <c r="L35" s="841"/>
      <c r="M35" s="842"/>
      <c r="N35" s="841"/>
      <c r="O35" s="841"/>
      <c r="P35" s="842"/>
    </row>
    <row r="36" spans="1:16" ht="26.4" hidden="1">
      <c r="B36" s="1328"/>
      <c r="C36" s="1334" t="s">
        <v>66</v>
      </c>
      <c r="D36" s="863" t="s">
        <v>2127</v>
      </c>
      <c r="E36" s="861"/>
      <c r="F36" s="861"/>
      <c r="G36" s="840" t="s">
        <v>2243</v>
      </c>
      <c r="H36" s="839"/>
      <c r="I36" s="839"/>
      <c r="J36" s="840"/>
      <c r="K36" s="841"/>
      <c r="L36" s="841"/>
      <c r="M36" s="842"/>
      <c r="N36" s="841"/>
      <c r="O36" s="841"/>
      <c r="P36" s="842"/>
    </row>
    <row r="37" spans="1:16" ht="47.4" customHeight="1">
      <c r="A37" s="867"/>
      <c r="B37" s="1328"/>
      <c r="C37" s="1334"/>
      <c r="D37" s="868" t="s">
        <v>2242</v>
      </c>
      <c r="E37" s="869">
        <v>0.2</v>
      </c>
      <c r="F37" s="870">
        <v>0.2</v>
      </c>
      <c r="G37" s="871" t="s">
        <v>2343</v>
      </c>
      <c r="H37" s="839"/>
      <c r="I37" s="839"/>
      <c r="J37" s="840"/>
      <c r="K37" s="841"/>
      <c r="L37" s="841"/>
      <c r="M37" s="872"/>
      <c r="N37" s="841"/>
      <c r="O37" s="841"/>
      <c r="P37" s="872"/>
    </row>
    <row r="38" spans="1:16" ht="36" customHeight="1">
      <c r="A38" s="867"/>
      <c r="B38" s="1328"/>
      <c r="C38" s="1325" t="s">
        <v>69</v>
      </c>
      <c r="D38" s="863" t="s">
        <v>2244</v>
      </c>
      <c r="E38" s="873">
        <v>0.5</v>
      </c>
      <c r="F38" s="846">
        <v>0.2</v>
      </c>
      <c r="G38" s="874" t="s">
        <v>2247</v>
      </c>
      <c r="H38" s="839"/>
      <c r="I38" s="839"/>
      <c r="J38" s="840"/>
      <c r="K38" s="841"/>
      <c r="L38" s="841"/>
      <c r="M38" s="872"/>
      <c r="N38" s="841"/>
      <c r="O38" s="841"/>
      <c r="P38" s="872"/>
    </row>
    <row r="39" spans="1:16" ht="41.4" customHeight="1">
      <c r="A39" s="867"/>
      <c r="B39" s="1328"/>
      <c r="C39" s="1328"/>
      <c r="D39" s="875" t="s">
        <v>2245</v>
      </c>
      <c r="E39" s="876">
        <v>0.6</v>
      </c>
      <c r="F39" s="877">
        <v>0.52</v>
      </c>
      <c r="G39" s="878" t="s">
        <v>2344</v>
      </c>
      <c r="H39" s="839"/>
      <c r="I39" s="839"/>
      <c r="J39" s="840"/>
      <c r="K39" s="841"/>
      <c r="L39" s="841"/>
      <c r="M39" s="872"/>
      <c r="N39" s="841"/>
      <c r="O39" s="841"/>
      <c r="P39" s="872"/>
    </row>
    <row r="40" spans="1:16" ht="42" customHeight="1">
      <c r="B40" s="1328"/>
      <c r="C40" s="1326"/>
      <c r="D40" s="863" t="s">
        <v>2246</v>
      </c>
      <c r="E40" s="846">
        <v>1</v>
      </c>
      <c r="F40" s="873">
        <v>1</v>
      </c>
      <c r="G40" s="874" t="s">
        <v>2345</v>
      </c>
      <c r="H40" s="839"/>
      <c r="I40" s="839"/>
      <c r="J40" s="840"/>
      <c r="K40" s="841"/>
      <c r="L40" s="841"/>
      <c r="M40" s="842"/>
      <c r="N40" s="841"/>
      <c r="O40" s="841"/>
      <c r="P40" s="842"/>
    </row>
    <row r="41" spans="1:16" ht="39.6">
      <c r="B41" s="1328"/>
      <c r="C41" s="1325" t="s">
        <v>70</v>
      </c>
      <c r="D41" s="879" t="s">
        <v>2248</v>
      </c>
      <c r="E41" s="839">
        <v>0.6</v>
      </c>
      <c r="F41" s="880">
        <v>0.2</v>
      </c>
      <c r="G41" s="840" t="s">
        <v>2247</v>
      </c>
      <c r="H41" s="839"/>
      <c r="I41" s="839"/>
      <c r="J41" s="840"/>
      <c r="K41" s="841"/>
      <c r="L41" s="841"/>
      <c r="M41" s="842"/>
      <c r="N41" s="841"/>
      <c r="O41" s="841"/>
      <c r="P41" s="842"/>
    </row>
    <row r="42" spans="1:16" ht="39.6">
      <c r="B42" s="1328"/>
      <c r="C42" s="1328"/>
      <c r="D42" s="881" t="s">
        <v>2249</v>
      </c>
      <c r="E42" s="877">
        <v>0.8</v>
      </c>
      <c r="F42" s="882">
        <v>0.7</v>
      </c>
      <c r="G42" s="883" t="s">
        <v>2346</v>
      </c>
      <c r="H42" s="839"/>
      <c r="I42" s="839"/>
      <c r="J42" s="840"/>
      <c r="K42" s="841"/>
      <c r="L42" s="841"/>
      <c r="M42" s="842"/>
      <c r="N42" s="841"/>
      <c r="O42" s="841"/>
      <c r="P42" s="842"/>
    </row>
    <row r="43" spans="1:16" ht="39.6">
      <c r="B43" s="1328"/>
      <c r="C43" s="1326"/>
      <c r="D43" s="881" t="s">
        <v>2250</v>
      </c>
      <c r="E43" s="877">
        <v>0.8</v>
      </c>
      <c r="F43" s="882">
        <v>0.78</v>
      </c>
      <c r="G43" s="883" t="s">
        <v>2347</v>
      </c>
      <c r="H43" s="839"/>
      <c r="I43" s="839"/>
      <c r="J43" s="840"/>
      <c r="K43" s="841"/>
      <c r="L43" s="841"/>
      <c r="M43" s="842"/>
      <c r="N43" s="841"/>
      <c r="O43" s="841"/>
      <c r="P43" s="842"/>
    </row>
    <row r="44" spans="1:16" ht="26.4">
      <c r="B44" s="1328"/>
      <c r="C44" s="862" t="s">
        <v>71</v>
      </c>
      <c r="D44" s="884"/>
      <c r="E44" s="885"/>
      <c r="F44" s="885"/>
      <c r="G44" s="886"/>
      <c r="H44" s="839"/>
      <c r="I44" s="839"/>
      <c r="J44" s="887"/>
      <c r="K44" s="841"/>
      <c r="L44" s="841"/>
      <c r="M44" s="888"/>
      <c r="N44" s="841"/>
      <c r="O44" s="841"/>
      <c r="P44" s="888"/>
    </row>
    <row r="45" spans="1:16" ht="62.4" customHeight="1">
      <c r="B45" s="1328"/>
      <c r="C45" s="1325" t="s">
        <v>72</v>
      </c>
      <c r="D45" s="863" t="s">
        <v>2252</v>
      </c>
      <c r="E45" s="873">
        <v>0.4</v>
      </c>
      <c r="F45" s="873">
        <v>0.3</v>
      </c>
      <c r="G45" s="847" t="s">
        <v>2348</v>
      </c>
      <c r="H45" s="839"/>
      <c r="I45" s="839"/>
      <c r="J45" s="887"/>
      <c r="K45" s="841"/>
      <c r="L45" s="841"/>
      <c r="M45" s="888"/>
      <c r="N45" s="841"/>
      <c r="O45" s="841"/>
      <c r="P45" s="888"/>
    </row>
    <row r="46" spans="1:16" ht="46.8" customHeight="1">
      <c r="B46" s="1328"/>
      <c r="C46" s="1328"/>
      <c r="D46" s="863" t="s">
        <v>2251</v>
      </c>
      <c r="E46" s="846">
        <v>0.4</v>
      </c>
      <c r="F46" s="846">
        <v>0.25</v>
      </c>
      <c r="G46" s="847" t="s">
        <v>2330</v>
      </c>
      <c r="H46" s="839"/>
      <c r="I46" s="839"/>
      <c r="J46" s="840"/>
      <c r="K46" s="841"/>
      <c r="L46" s="841"/>
      <c r="M46" s="842"/>
      <c r="N46" s="841"/>
      <c r="O46" s="841"/>
      <c r="P46" s="842"/>
    </row>
    <row r="47" spans="1:16" ht="102.6" customHeight="1">
      <c r="B47" s="1328"/>
      <c r="C47" s="862" t="s">
        <v>73</v>
      </c>
      <c r="D47" s="863" t="s">
        <v>74</v>
      </c>
      <c r="E47" s="839">
        <v>1</v>
      </c>
      <c r="F47" s="839">
        <v>1</v>
      </c>
      <c r="G47" s="848" t="s">
        <v>2253</v>
      </c>
      <c r="H47" s="839"/>
      <c r="I47" s="839"/>
      <c r="J47" s="887"/>
      <c r="K47" s="841"/>
      <c r="L47" s="841"/>
      <c r="M47" s="888"/>
      <c r="N47" s="841"/>
      <c r="O47" s="841"/>
      <c r="P47" s="889"/>
    </row>
    <row r="48" spans="1:16" ht="35.4" customHeight="1">
      <c r="B48" s="1328"/>
      <c r="C48" s="1325" t="s">
        <v>2254</v>
      </c>
      <c r="D48" s="863" t="s">
        <v>2255</v>
      </c>
      <c r="E48" s="839">
        <v>1</v>
      </c>
      <c r="F48" s="839">
        <v>1</v>
      </c>
      <c r="G48" s="848" t="s">
        <v>2258</v>
      </c>
      <c r="H48" s="839"/>
      <c r="I48" s="839"/>
      <c r="J48" s="887"/>
      <c r="K48" s="841"/>
      <c r="L48" s="841"/>
      <c r="M48" s="888"/>
      <c r="N48" s="841"/>
      <c r="O48" s="841"/>
      <c r="P48" s="889"/>
    </row>
    <row r="49" spans="1:16" ht="37.799999999999997" customHeight="1">
      <c r="B49" s="1328"/>
      <c r="C49" s="1328"/>
      <c r="D49" s="863" t="s">
        <v>2256</v>
      </c>
      <c r="E49" s="839">
        <v>1</v>
      </c>
      <c r="F49" s="839">
        <v>0.97</v>
      </c>
      <c r="G49" s="848" t="s">
        <v>2259</v>
      </c>
      <c r="H49" s="839"/>
      <c r="I49" s="839"/>
      <c r="J49" s="887"/>
      <c r="K49" s="841"/>
      <c r="L49" s="841"/>
      <c r="M49" s="888"/>
      <c r="N49" s="841"/>
      <c r="O49" s="841"/>
      <c r="P49" s="889"/>
    </row>
    <row r="50" spans="1:16" ht="49.2" customHeight="1">
      <c r="B50" s="1328"/>
      <c r="C50" s="1326"/>
      <c r="D50" s="890" t="s">
        <v>2257</v>
      </c>
      <c r="E50" s="846">
        <v>0.8</v>
      </c>
      <c r="F50" s="846">
        <v>0.75</v>
      </c>
      <c r="G50" s="874"/>
      <c r="H50" s="839"/>
      <c r="I50" s="839"/>
      <c r="J50" s="891"/>
      <c r="K50" s="841"/>
      <c r="L50" s="841"/>
      <c r="M50" s="889"/>
      <c r="N50" s="841"/>
      <c r="O50" s="841"/>
      <c r="P50" s="889"/>
    </row>
    <row r="51" spans="1:16" ht="43.2" customHeight="1">
      <c r="B51" s="1328"/>
      <c r="C51" s="892" t="s">
        <v>2260</v>
      </c>
      <c r="D51" s="890" t="s">
        <v>2261</v>
      </c>
      <c r="E51" s="893"/>
      <c r="F51" s="893"/>
      <c r="G51" s="874" t="s">
        <v>2262</v>
      </c>
      <c r="H51" s="839"/>
      <c r="I51" s="839"/>
      <c r="J51" s="891"/>
      <c r="K51" s="841"/>
      <c r="L51" s="841"/>
      <c r="M51" s="889"/>
      <c r="N51" s="841"/>
      <c r="O51" s="841"/>
      <c r="P51" s="889"/>
    </row>
    <row r="52" spans="1:16" ht="46.2" customHeight="1">
      <c r="B52" s="1328"/>
      <c r="C52" s="892" t="s">
        <v>27</v>
      </c>
      <c r="D52" s="890" t="s">
        <v>2274</v>
      </c>
      <c r="E52" s="846">
        <v>0.5</v>
      </c>
      <c r="F52" s="846">
        <v>0.2</v>
      </c>
      <c r="G52" s="874" t="s">
        <v>2275</v>
      </c>
      <c r="H52" s="839"/>
      <c r="I52" s="839"/>
      <c r="J52" s="891"/>
      <c r="K52" s="841"/>
      <c r="L52" s="841"/>
      <c r="M52" s="889"/>
      <c r="N52" s="841"/>
      <c r="O52" s="841"/>
      <c r="P52" s="889"/>
    </row>
    <row r="53" spans="1:16" ht="26.4">
      <c r="B53" s="1326"/>
      <c r="C53" s="862" t="s">
        <v>2124</v>
      </c>
      <c r="D53" s="863"/>
      <c r="E53" s="839">
        <v>0.25</v>
      </c>
      <c r="F53" s="839">
        <v>0.25</v>
      </c>
      <c r="G53" s="842"/>
      <c r="H53" s="839"/>
      <c r="I53" s="839"/>
      <c r="J53" s="891"/>
      <c r="K53" s="841"/>
      <c r="L53" s="841"/>
      <c r="M53" s="889"/>
      <c r="N53" s="841"/>
      <c r="O53" s="841"/>
      <c r="P53" s="889"/>
    </row>
    <row r="54" spans="1:16" ht="39.6" customHeight="1">
      <c r="B54" s="1325" t="s">
        <v>76</v>
      </c>
      <c r="C54" s="1324" t="s">
        <v>63</v>
      </c>
      <c r="D54" s="840" t="s">
        <v>2263</v>
      </c>
      <c r="E54" s="839">
        <v>0.05</v>
      </c>
      <c r="F54" s="839">
        <v>0</v>
      </c>
      <c r="G54" s="840" t="s">
        <v>2349</v>
      </c>
      <c r="H54" s="839"/>
      <c r="I54" s="839"/>
      <c r="J54" s="840"/>
      <c r="K54" s="841"/>
      <c r="L54" s="841"/>
      <c r="M54" s="842"/>
      <c r="N54" s="841"/>
      <c r="O54" s="841"/>
      <c r="P54" s="842"/>
    </row>
    <row r="55" spans="1:16" ht="26.4">
      <c r="B55" s="1328"/>
      <c r="C55" s="1324"/>
      <c r="D55" s="840" t="s">
        <v>77</v>
      </c>
      <c r="E55" s="839">
        <v>1</v>
      </c>
      <c r="F55" s="839">
        <v>1</v>
      </c>
      <c r="G55" s="840" t="s">
        <v>2350</v>
      </c>
      <c r="H55" s="839"/>
      <c r="I55" s="839"/>
      <c r="J55" s="840"/>
      <c r="K55" s="841"/>
      <c r="L55" s="841"/>
      <c r="M55" s="842"/>
      <c r="N55" s="841"/>
      <c r="O55" s="841"/>
      <c r="P55" s="842"/>
    </row>
    <row r="56" spans="1:16" ht="26.4">
      <c r="B56" s="1328"/>
      <c r="C56" s="1324"/>
      <c r="D56" s="840" t="s">
        <v>2264</v>
      </c>
      <c r="E56" s="839">
        <v>0.8</v>
      </c>
      <c r="F56" s="839">
        <v>1</v>
      </c>
      <c r="G56" s="840" t="s">
        <v>2350</v>
      </c>
      <c r="H56" s="839"/>
      <c r="I56" s="839"/>
      <c r="J56" s="840"/>
      <c r="K56" s="841"/>
      <c r="L56" s="841"/>
      <c r="M56" s="842"/>
      <c r="N56" s="841"/>
      <c r="O56" s="841"/>
      <c r="P56" s="842"/>
    </row>
    <row r="57" spans="1:16" ht="39.6">
      <c r="A57" s="865">
        <f>33+41.5</f>
        <v>74.5</v>
      </c>
      <c r="B57" s="1328"/>
      <c r="C57" s="1324"/>
      <c r="D57" s="840" t="s">
        <v>2265</v>
      </c>
      <c r="E57" s="839">
        <v>0.4</v>
      </c>
      <c r="F57" s="839">
        <v>0.2</v>
      </c>
      <c r="G57" s="840" t="s">
        <v>2351</v>
      </c>
      <c r="H57" s="839"/>
      <c r="I57" s="839"/>
      <c r="J57" s="840"/>
      <c r="K57" s="841"/>
      <c r="L57" s="841"/>
      <c r="M57" s="842"/>
      <c r="N57" s="841"/>
      <c r="O57" s="841"/>
      <c r="P57" s="842"/>
    </row>
    <row r="58" spans="1:16" ht="39.6">
      <c r="B58" s="1328"/>
      <c r="C58" s="1324"/>
      <c r="D58" s="840" t="s">
        <v>2266</v>
      </c>
      <c r="E58" s="839">
        <v>0.6</v>
      </c>
      <c r="F58" s="839">
        <v>0.32</v>
      </c>
      <c r="G58" s="840" t="s">
        <v>2267</v>
      </c>
      <c r="H58" s="839"/>
      <c r="I58" s="839"/>
      <c r="J58" s="840"/>
      <c r="K58" s="841"/>
      <c r="L58" s="841"/>
      <c r="M58" s="842"/>
      <c r="N58" s="841"/>
      <c r="O58" s="841"/>
      <c r="P58" s="842"/>
    </row>
    <row r="59" spans="1:16" ht="39.6">
      <c r="B59" s="1328"/>
      <c r="C59" s="862" t="s">
        <v>65</v>
      </c>
      <c r="D59" s="863" t="s">
        <v>80</v>
      </c>
      <c r="E59" s="839">
        <v>0.2</v>
      </c>
      <c r="F59" s="839">
        <v>0</v>
      </c>
      <c r="G59" s="840" t="s">
        <v>2352</v>
      </c>
      <c r="H59" s="839"/>
      <c r="I59" s="839"/>
      <c r="J59" s="891"/>
      <c r="K59" s="841"/>
      <c r="L59" s="841"/>
      <c r="M59" s="889"/>
      <c r="N59" s="841"/>
      <c r="O59" s="841"/>
      <c r="P59" s="889"/>
    </row>
    <row r="60" spans="1:16" ht="28.8" customHeight="1">
      <c r="B60" s="1328"/>
      <c r="C60" s="1324" t="s">
        <v>66</v>
      </c>
      <c r="D60" s="863" t="s">
        <v>81</v>
      </c>
      <c r="E60" s="839">
        <v>0.2</v>
      </c>
      <c r="F60" s="839">
        <v>0.2</v>
      </c>
      <c r="G60" s="840" t="s">
        <v>2353</v>
      </c>
      <c r="H60" s="839"/>
      <c r="I60" s="839"/>
      <c r="J60" s="840"/>
      <c r="K60" s="841"/>
      <c r="L60" s="841"/>
      <c r="M60" s="842"/>
      <c r="N60" s="841"/>
      <c r="O60" s="841"/>
      <c r="P60" s="842"/>
    </row>
    <row r="61" spans="1:16" ht="31.8" customHeight="1">
      <c r="B61" s="1328"/>
      <c r="C61" s="1324"/>
      <c r="D61" s="863" t="s">
        <v>2268</v>
      </c>
      <c r="E61" s="839">
        <v>0.4</v>
      </c>
      <c r="F61" s="839">
        <v>0.3</v>
      </c>
      <c r="G61" s="840" t="s">
        <v>2269</v>
      </c>
      <c r="H61" s="839"/>
      <c r="I61" s="839"/>
      <c r="J61" s="840"/>
      <c r="K61" s="841"/>
      <c r="L61" s="841"/>
      <c r="M61" s="842"/>
      <c r="N61" s="841"/>
      <c r="O61" s="841"/>
      <c r="P61" s="842"/>
    </row>
    <row r="62" spans="1:16" ht="52.8">
      <c r="B62" s="1328"/>
      <c r="C62" s="1325" t="s">
        <v>69</v>
      </c>
      <c r="D62" s="863" t="s">
        <v>82</v>
      </c>
      <c r="E62" s="839">
        <v>0.25</v>
      </c>
      <c r="F62" s="839">
        <v>0.2</v>
      </c>
      <c r="G62" s="840" t="s">
        <v>2354</v>
      </c>
      <c r="H62" s="839"/>
      <c r="I62" s="839"/>
      <c r="J62" s="887"/>
      <c r="K62" s="841"/>
      <c r="L62" s="841"/>
      <c r="M62" s="888"/>
      <c r="N62" s="841"/>
      <c r="O62" s="841"/>
      <c r="P62" s="888"/>
    </row>
    <row r="63" spans="1:16" ht="26.4">
      <c r="B63" s="1328"/>
      <c r="C63" s="1328"/>
      <c r="D63" s="894" t="s">
        <v>83</v>
      </c>
      <c r="E63" s="853">
        <v>0.2</v>
      </c>
      <c r="F63" s="853">
        <v>0.1</v>
      </c>
      <c r="G63" s="895" t="s">
        <v>1244</v>
      </c>
      <c r="H63" s="839"/>
      <c r="I63" s="839"/>
      <c r="J63" s="891"/>
      <c r="K63" s="841"/>
      <c r="L63" s="841"/>
      <c r="M63" s="889"/>
      <c r="N63" s="841"/>
      <c r="O63" s="841"/>
      <c r="P63" s="889"/>
    </row>
    <row r="64" spans="1:16" ht="13.2">
      <c r="B64" s="1328"/>
      <c r="C64" s="1328"/>
      <c r="D64" s="894" t="s">
        <v>2270</v>
      </c>
      <c r="E64" s="853"/>
      <c r="F64" s="853"/>
      <c r="G64" s="895"/>
      <c r="H64" s="839"/>
      <c r="I64" s="839"/>
      <c r="J64" s="891"/>
      <c r="K64" s="841"/>
      <c r="L64" s="841"/>
      <c r="M64" s="889"/>
      <c r="N64" s="841"/>
      <c r="O64" s="841"/>
      <c r="P64" s="889"/>
    </row>
    <row r="65" spans="2:16" ht="26.4">
      <c r="B65" s="1328"/>
      <c r="C65" s="1328"/>
      <c r="D65" s="894" t="s">
        <v>2271</v>
      </c>
      <c r="E65" s="853"/>
      <c r="F65" s="853"/>
      <c r="G65" s="895"/>
      <c r="H65" s="839"/>
      <c r="I65" s="839"/>
      <c r="J65" s="891"/>
      <c r="K65" s="841"/>
      <c r="L65" s="841"/>
      <c r="M65" s="889"/>
      <c r="N65" s="841"/>
      <c r="O65" s="841"/>
      <c r="P65" s="889"/>
    </row>
    <row r="66" spans="2:16" ht="13.2">
      <c r="B66" s="1328"/>
      <c r="C66" s="1328"/>
      <c r="D66" s="894" t="s">
        <v>2272</v>
      </c>
      <c r="E66" s="853"/>
      <c r="F66" s="853"/>
      <c r="G66" s="895"/>
      <c r="H66" s="839"/>
      <c r="I66" s="839"/>
      <c r="J66" s="891"/>
      <c r="K66" s="841"/>
      <c r="L66" s="841"/>
      <c r="M66" s="889"/>
      <c r="N66" s="841"/>
      <c r="O66" s="841"/>
      <c r="P66" s="889"/>
    </row>
    <row r="67" spans="2:16" ht="40.799999999999997" hidden="1" customHeight="1">
      <c r="B67" s="1328"/>
      <c r="C67" s="862" t="s">
        <v>984</v>
      </c>
      <c r="D67" s="863" t="s">
        <v>803</v>
      </c>
      <c r="E67" s="893"/>
      <c r="F67" s="893"/>
      <c r="G67" s="840" t="s">
        <v>64</v>
      </c>
      <c r="H67" s="839"/>
      <c r="I67" s="839"/>
      <c r="J67" s="840"/>
      <c r="K67" s="841"/>
      <c r="L67" s="841"/>
      <c r="M67" s="842"/>
      <c r="N67" s="841"/>
      <c r="O67" s="841"/>
      <c r="P67" s="842"/>
    </row>
    <row r="68" spans="2:16" ht="120.6" customHeight="1">
      <c r="B68" s="1328"/>
      <c r="C68" s="1324" t="s">
        <v>71</v>
      </c>
      <c r="D68" s="863" t="s">
        <v>84</v>
      </c>
      <c r="E68" s="839">
        <v>0.35</v>
      </c>
      <c r="F68" s="896">
        <v>0.35</v>
      </c>
      <c r="G68" s="848" t="s">
        <v>2355</v>
      </c>
      <c r="H68" s="839"/>
      <c r="I68" s="839"/>
      <c r="J68" s="887"/>
      <c r="K68" s="841"/>
      <c r="L68" s="841"/>
      <c r="M68" s="888"/>
      <c r="N68" s="841"/>
      <c r="O68" s="841"/>
      <c r="P68" s="888"/>
    </row>
    <row r="69" spans="2:16" ht="39" customHeight="1">
      <c r="B69" s="1328"/>
      <c r="C69" s="1324"/>
      <c r="D69" s="863" t="s">
        <v>85</v>
      </c>
      <c r="E69" s="839">
        <v>0.2</v>
      </c>
      <c r="F69" s="839">
        <v>0.2</v>
      </c>
      <c r="G69" s="840" t="s">
        <v>2356</v>
      </c>
      <c r="H69" s="839"/>
      <c r="I69" s="839"/>
      <c r="J69" s="840"/>
      <c r="K69" s="841"/>
      <c r="L69" s="841"/>
      <c r="M69" s="842"/>
      <c r="N69" s="841"/>
      <c r="O69" s="841"/>
      <c r="P69" s="842"/>
    </row>
    <row r="70" spans="2:16" ht="34.799999999999997" hidden="1" customHeight="1">
      <c r="B70" s="1328"/>
      <c r="C70" s="1334" t="s">
        <v>72</v>
      </c>
      <c r="D70" s="863" t="s">
        <v>86</v>
      </c>
      <c r="E70" s="896">
        <v>1</v>
      </c>
      <c r="F70" s="896">
        <v>1</v>
      </c>
      <c r="G70" s="848" t="s">
        <v>1245</v>
      </c>
      <c r="H70" s="841"/>
      <c r="I70" s="841"/>
      <c r="J70" s="842"/>
      <c r="K70" s="841"/>
      <c r="L70" s="841"/>
      <c r="M70" s="842"/>
      <c r="N70" s="841"/>
      <c r="O70" s="841"/>
      <c r="P70" s="842"/>
    </row>
    <row r="71" spans="2:16" ht="74.400000000000006" customHeight="1">
      <c r="B71" s="1328"/>
      <c r="C71" s="1334"/>
      <c r="D71" s="1329" t="s">
        <v>87</v>
      </c>
      <c r="E71" s="1321">
        <v>0.2</v>
      </c>
      <c r="F71" s="1321">
        <v>0.2</v>
      </c>
      <c r="G71" s="1332" t="s">
        <v>2357</v>
      </c>
      <c r="H71" s="1321"/>
      <c r="I71" s="1321"/>
      <c r="J71" s="840"/>
      <c r="K71" s="1319"/>
      <c r="L71" s="1319"/>
      <c r="M71" s="842"/>
      <c r="N71" s="1319"/>
      <c r="O71" s="1319"/>
      <c r="P71" s="842"/>
    </row>
    <row r="72" spans="2:16" ht="7.8" hidden="1" customHeight="1">
      <c r="B72" s="1328"/>
      <c r="C72" s="1334"/>
      <c r="D72" s="1329"/>
      <c r="E72" s="1321"/>
      <c r="F72" s="1321"/>
      <c r="G72" s="1333"/>
      <c r="H72" s="1321"/>
      <c r="I72" s="1321"/>
      <c r="J72" s="840"/>
      <c r="K72" s="1319"/>
      <c r="L72" s="1319"/>
      <c r="M72" s="842"/>
      <c r="N72" s="1319"/>
      <c r="O72" s="1319"/>
      <c r="P72" s="842"/>
    </row>
    <row r="73" spans="2:16" ht="43.8" customHeight="1">
      <c r="B73" s="1328"/>
      <c r="C73" s="1334"/>
      <c r="D73" s="840" t="s">
        <v>669</v>
      </c>
      <c r="E73" s="853">
        <v>0.1</v>
      </c>
      <c r="F73" s="896">
        <v>0.25</v>
      </c>
      <c r="G73" s="848" t="s">
        <v>1813</v>
      </c>
      <c r="H73" s="839"/>
      <c r="I73" s="841"/>
      <c r="J73" s="842"/>
      <c r="K73" s="841"/>
      <c r="L73" s="841"/>
      <c r="M73" s="842"/>
      <c r="N73" s="841"/>
      <c r="O73" s="841"/>
      <c r="P73" s="842"/>
    </row>
    <row r="74" spans="2:16" ht="26.4">
      <c r="B74" s="1328"/>
      <c r="C74" s="1324" t="s">
        <v>88</v>
      </c>
      <c r="D74" s="863" t="s">
        <v>89</v>
      </c>
      <c r="E74" s="839">
        <v>1</v>
      </c>
      <c r="F74" s="839">
        <v>1</v>
      </c>
      <c r="G74" s="840" t="s">
        <v>90</v>
      </c>
      <c r="H74" s="839"/>
      <c r="I74" s="839"/>
      <c r="J74" s="840"/>
      <c r="K74" s="841"/>
      <c r="L74" s="841"/>
      <c r="M74" s="842"/>
      <c r="N74" s="841"/>
      <c r="O74" s="841"/>
      <c r="P74" s="842"/>
    </row>
    <row r="75" spans="2:16" ht="175.8" customHeight="1">
      <c r="B75" s="1328"/>
      <c r="C75" s="1324"/>
      <c r="D75" s="863" t="s">
        <v>2273</v>
      </c>
      <c r="E75" s="839">
        <v>0.2</v>
      </c>
      <c r="F75" s="839">
        <v>0.2</v>
      </c>
      <c r="G75" s="840" t="s">
        <v>2358</v>
      </c>
      <c r="H75" s="839"/>
      <c r="I75" s="839"/>
      <c r="J75" s="840"/>
      <c r="K75" s="841"/>
      <c r="L75" s="841"/>
      <c r="M75" s="842"/>
      <c r="N75" s="841"/>
      <c r="O75" s="841"/>
      <c r="P75" s="842"/>
    </row>
    <row r="76" spans="2:16" ht="93" customHeight="1">
      <c r="B76" s="1328"/>
      <c r="C76" s="862" t="s">
        <v>20</v>
      </c>
      <c r="D76" s="863" t="s">
        <v>92</v>
      </c>
      <c r="E76" s="839">
        <v>0.2</v>
      </c>
      <c r="F76" s="839">
        <v>0.2</v>
      </c>
      <c r="G76" s="840" t="s">
        <v>2359</v>
      </c>
      <c r="H76" s="839"/>
      <c r="I76" s="839"/>
      <c r="J76" s="840"/>
      <c r="K76" s="841"/>
      <c r="L76" s="841"/>
      <c r="M76" s="842"/>
      <c r="N76" s="841"/>
      <c r="O76" s="841"/>
      <c r="P76" s="842"/>
    </row>
    <row r="77" spans="2:16" ht="70.8" customHeight="1">
      <c r="B77" s="1328"/>
      <c r="C77" s="862" t="s">
        <v>2281</v>
      </c>
      <c r="D77" s="863" t="s">
        <v>2276</v>
      </c>
      <c r="E77" s="839">
        <v>0.2</v>
      </c>
      <c r="F77" s="839">
        <v>0.2</v>
      </c>
      <c r="G77" s="840" t="s">
        <v>2278</v>
      </c>
      <c r="H77" s="839"/>
      <c r="I77" s="839"/>
      <c r="J77" s="840"/>
      <c r="K77" s="841"/>
      <c r="L77" s="841"/>
      <c r="M77" s="842"/>
      <c r="N77" s="841"/>
      <c r="O77" s="841"/>
      <c r="P77" s="842"/>
    </row>
    <row r="78" spans="2:16" ht="44.4" customHeight="1">
      <c r="B78" s="1328"/>
      <c r="C78" s="1325" t="s">
        <v>27</v>
      </c>
      <c r="D78" s="897" t="s">
        <v>2282</v>
      </c>
      <c r="E78" s="838">
        <v>0.2</v>
      </c>
      <c r="F78" s="838">
        <v>0.1</v>
      </c>
      <c r="G78" s="837" t="s">
        <v>2360</v>
      </c>
      <c r="H78" s="839"/>
      <c r="I78" s="839"/>
      <c r="J78" s="840"/>
      <c r="K78" s="841"/>
      <c r="L78" s="841"/>
      <c r="M78" s="842"/>
      <c r="N78" s="841"/>
      <c r="O78" s="841"/>
      <c r="P78" s="842"/>
    </row>
    <row r="79" spans="2:16" ht="37.799999999999997" hidden="1" customHeight="1">
      <c r="B79" s="1328"/>
      <c r="C79" s="1326"/>
      <c r="D79" s="890" t="s">
        <v>2283</v>
      </c>
      <c r="E79" s="861"/>
      <c r="F79" s="861"/>
      <c r="G79" s="847" t="s">
        <v>2361</v>
      </c>
      <c r="H79" s="839"/>
      <c r="I79" s="839"/>
      <c r="J79" s="840"/>
      <c r="K79" s="841"/>
      <c r="L79" s="841"/>
      <c r="M79" s="842"/>
      <c r="N79" s="841"/>
      <c r="O79" s="841"/>
      <c r="P79" s="842"/>
    </row>
    <row r="80" spans="2:16" ht="34.200000000000003" customHeight="1">
      <c r="B80" s="1328"/>
      <c r="C80" s="892" t="s">
        <v>1133</v>
      </c>
      <c r="D80" s="890" t="s">
        <v>2284</v>
      </c>
      <c r="E80" s="846">
        <v>1</v>
      </c>
      <c r="F80" s="870">
        <v>1</v>
      </c>
      <c r="G80" s="847" t="s">
        <v>2362</v>
      </c>
      <c r="H80" s="839"/>
      <c r="I80" s="839"/>
      <c r="J80" s="840"/>
      <c r="K80" s="841"/>
      <c r="L80" s="841"/>
      <c r="M80" s="842"/>
      <c r="N80" s="841"/>
      <c r="O80" s="841"/>
      <c r="P80" s="842"/>
    </row>
    <row r="81" spans="2:16" ht="30.6" customHeight="1">
      <c r="B81" s="1328"/>
      <c r="C81" s="892" t="s">
        <v>1133</v>
      </c>
      <c r="D81" s="890" t="s">
        <v>2285</v>
      </c>
      <c r="E81" s="893">
        <v>0.2</v>
      </c>
      <c r="F81" s="893">
        <v>0.1</v>
      </c>
      <c r="G81" s="847" t="s">
        <v>2363</v>
      </c>
      <c r="H81" s="839"/>
      <c r="I81" s="839"/>
      <c r="J81" s="840"/>
      <c r="K81" s="841"/>
      <c r="L81" s="841"/>
      <c r="M81" s="842"/>
      <c r="N81" s="841"/>
      <c r="O81" s="841"/>
      <c r="P81" s="842"/>
    </row>
    <row r="82" spans="2:16" ht="51" customHeight="1">
      <c r="B82" s="1328"/>
      <c r="C82" s="1325" t="s">
        <v>2137</v>
      </c>
      <c r="D82" s="875" t="s">
        <v>2286</v>
      </c>
      <c r="E82" s="877">
        <v>1</v>
      </c>
      <c r="F82" s="877">
        <v>0.2</v>
      </c>
      <c r="G82" s="878" t="s">
        <v>2356</v>
      </c>
      <c r="H82" s="839"/>
      <c r="I82" s="839"/>
      <c r="J82" s="840"/>
      <c r="K82" s="841"/>
      <c r="L82" s="841"/>
      <c r="M82" s="842"/>
      <c r="N82" s="841"/>
      <c r="O82" s="841"/>
      <c r="P82" s="842"/>
    </row>
    <row r="83" spans="2:16" ht="39.6" customHeight="1">
      <c r="B83" s="1328"/>
      <c r="C83" s="1328"/>
      <c r="D83" s="875" t="s">
        <v>2291</v>
      </c>
      <c r="E83" s="877">
        <v>0.2</v>
      </c>
      <c r="F83" s="877">
        <v>0.2</v>
      </c>
      <c r="G83" s="898" t="s">
        <v>2364</v>
      </c>
      <c r="H83" s="839"/>
      <c r="I83" s="839"/>
      <c r="J83" s="840"/>
      <c r="K83" s="841"/>
      <c r="L83" s="841"/>
      <c r="M83" s="842"/>
      <c r="N83" s="841"/>
      <c r="O83" s="841"/>
      <c r="P83" s="842"/>
    </row>
    <row r="84" spans="2:16" ht="34.799999999999997" customHeight="1">
      <c r="B84" s="1328"/>
      <c r="C84" s="1328"/>
      <c r="D84" s="890" t="s">
        <v>2289</v>
      </c>
      <c r="E84" s="893"/>
      <c r="F84" s="893"/>
      <c r="G84" s="874" t="s">
        <v>2290</v>
      </c>
      <c r="H84" s="839"/>
      <c r="I84" s="839"/>
      <c r="J84" s="840"/>
      <c r="K84" s="841"/>
      <c r="L84" s="841"/>
      <c r="M84" s="842"/>
      <c r="N84" s="841"/>
      <c r="O84" s="841"/>
      <c r="P84" s="842"/>
    </row>
    <row r="85" spans="2:16" ht="33.6" customHeight="1">
      <c r="B85" s="1328"/>
      <c r="C85" s="1326"/>
      <c r="D85" s="897" t="s">
        <v>2287</v>
      </c>
      <c r="E85" s="838">
        <v>0.25</v>
      </c>
      <c r="F85" s="838">
        <v>0</v>
      </c>
      <c r="G85" s="899" t="s">
        <v>2288</v>
      </c>
      <c r="H85" s="839"/>
      <c r="I85" s="839"/>
      <c r="J85" s="840"/>
      <c r="K85" s="841"/>
      <c r="L85" s="841"/>
      <c r="M85" s="842"/>
      <c r="N85" s="841"/>
      <c r="O85" s="841"/>
      <c r="P85" s="842"/>
    </row>
    <row r="86" spans="2:16" ht="40.200000000000003" customHeight="1">
      <c r="B86" s="1328"/>
      <c r="C86" s="892" t="s">
        <v>2260</v>
      </c>
      <c r="D86" s="897" t="s">
        <v>2292</v>
      </c>
      <c r="E86" s="838">
        <v>0.2</v>
      </c>
      <c r="F86" s="838">
        <v>0</v>
      </c>
      <c r="G86" s="899" t="s">
        <v>2324</v>
      </c>
      <c r="H86" s="839"/>
      <c r="I86" s="839"/>
      <c r="J86" s="840"/>
      <c r="K86" s="841"/>
      <c r="L86" s="841"/>
      <c r="M86" s="842"/>
      <c r="N86" s="841"/>
      <c r="O86" s="841"/>
      <c r="P86" s="842"/>
    </row>
    <row r="87" spans="2:16" ht="39" customHeight="1">
      <c r="B87" s="1326"/>
      <c r="C87" s="862" t="s">
        <v>2122</v>
      </c>
      <c r="D87" s="863"/>
      <c r="E87" s="839">
        <v>0.25</v>
      </c>
      <c r="F87" s="839">
        <v>0.25</v>
      </c>
      <c r="G87" s="840"/>
      <c r="H87" s="839"/>
      <c r="I87" s="839"/>
      <c r="J87" s="840"/>
      <c r="K87" s="841"/>
      <c r="L87" s="841"/>
      <c r="M87" s="842"/>
      <c r="N87" s="841"/>
      <c r="O87" s="841"/>
      <c r="P87" s="842"/>
    </row>
    <row r="88" spans="2:16" ht="30" customHeight="1">
      <c r="B88" s="1325" t="s">
        <v>93</v>
      </c>
      <c r="C88" s="1325" t="s">
        <v>63</v>
      </c>
      <c r="D88" s="840" t="s">
        <v>2293</v>
      </c>
      <c r="E88" s="861"/>
      <c r="F88" s="861"/>
      <c r="G88" s="840" t="s">
        <v>2299</v>
      </c>
      <c r="H88" s="839"/>
      <c r="I88" s="839"/>
      <c r="J88" s="840"/>
      <c r="K88" s="841"/>
      <c r="L88" s="841"/>
      <c r="M88" s="842"/>
      <c r="N88" s="841"/>
      <c r="O88" s="849"/>
      <c r="P88" s="842"/>
    </row>
    <row r="89" spans="2:16" ht="38.4" customHeight="1">
      <c r="B89" s="1328"/>
      <c r="C89" s="1328"/>
      <c r="D89" s="837" t="s">
        <v>2297</v>
      </c>
      <c r="E89" s="838">
        <v>0.2</v>
      </c>
      <c r="F89" s="838">
        <v>0.15</v>
      </c>
      <c r="G89" s="837" t="s">
        <v>2338</v>
      </c>
      <c r="H89" s="839"/>
      <c r="I89" s="839"/>
      <c r="J89" s="840"/>
      <c r="K89" s="841"/>
      <c r="L89" s="841"/>
      <c r="M89" s="842"/>
      <c r="N89" s="841"/>
      <c r="O89" s="849"/>
      <c r="P89" s="842"/>
    </row>
    <row r="90" spans="2:16" ht="62.4" customHeight="1">
      <c r="B90" s="1328"/>
      <c r="C90" s="1328"/>
      <c r="D90" s="840" t="s">
        <v>2294</v>
      </c>
      <c r="E90" s="839">
        <v>0.2</v>
      </c>
      <c r="F90" s="839">
        <v>0.2</v>
      </c>
      <c r="G90" s="840" t="s">
        <v>2298</v>
      </c>
      <c r="H90" s="839"/>
      <c r="I90" s="839"/>
      <c r="J90" s="840"/>
      <c r="K90" s="841"/>
      <c r="L90" s="841"/>
      <c r="M90" s="842"/>
      <c r="N90" s="841"/>
      <c r="O90" s="849"/>
      <c r="P90" s="842"/>
    </row>
    <row r="91" spans="2:16" ht="38.4" customHeight="1">
      <c r="B91" s="1328"/>
      <c r="C91" s="1328"/>
      <c r="D91" s="840" t="s">
        <v>2296</v>
      </c>
      <c r="E91" s="861"/>
      <c r="F91" s="861"/>
      <c r="G91" s="840" t="s">
        <v>2300</v>
      </c>
      <c r="H91" s="839"/>
      <c r="I91" s="839"/>
      <c r="J91" s="840"/>
      <c r="K91" s="841"/>
      <c r="L91" s="841"/>
      <c r="M91" s="842"/>
      <c r="N91" s="841"/>
      <c r="O91" s="849"/>
      <c r="P91" s="842"/>
    </row>
    <row r="92" spans="2:16" ht="38.4" customHeight="1">
      <c r="B92" s="1328"/>
      <c r="C92" s="1326"/>
      <c r="D92" s="837" t="s">
        <v>2295</v>
      </c>
      <c r="E92" s="838">
        <v>0.2</v>
      </c>
      <c r="F92" s="838">
        <v>0</v>
      </c>
      <c r="G92" s="837" t="s">
        <v>2337</v>
      </c>
      <c r="H92" s="839"/>
      <c r="I92" s="839"/>
      <c r="J92" s="840"/>
      <c r="K92" s="841"/>
      <c r="L92" s="841"/>
      <c r="M92" s="842"/>
      <c r="N92" s="841"/>
      <c r="O92" s="849"/>
      <c r="P92" s="842"/>
    </row>
    <row r="93" spans="2:16" ht="31.2" customHeight="1">
      <c r="B93" s="1328"/>
      <c r="C93" s="862" t="s">
        <v>65</v>
      </c>
      <c r="D93" s="840" t="s">
        <v>2301</v>
      </c>
      <c r="E93" s="839">
        <v>0.2</v>
      </c>
      <c r="F93" s="839">
        <v>0.2</v>
      </c>
      <c r="G93" s="840" t="s">
        <v>2302</v>
      </c>
      <c r="H93" s="839"/>
      <c r="I93" s="839"/>
      <c r="J93" s="887"/>
      <c r="K93" s="841"/>
      <c r="L93" s="841"/>
      <c r="M93" s="888"/>
      <c r="N93" s="841"/>
      <c r="O93" s="841"/>
      <c r="P93" s="888"/>
    </row>
    <row r="94" spans="2:16" ht="39.6" customHeight="1">
      <c r="B94" s="1328"/>
      <c r="C94" s="1324" t="s">
        <v>66</v>
      </c>
      <c r="D94" s="863" t="s">
        <v>2304</v>
      </c>
      <c r="E94" s="839">
        <v>1</v>
      </c>
      <c r="F94" s="839">
        <v>1</v>
      </c>
      <c r="G94" s="1329" t="s">
        <v>2305</v>
      </c>
      <c r="H94" s="839"/>
      <c r="I94" s="839"/>
      <c r="J94" s="1330"/>
      <c r="K94" s="841"/>
      <c r="L94" s="841"/>
      <c r="M94" s="1322"/>
      <c r="N94" s="841"/>
      <c r="O94" s="841"/>
      <c r="P94" s="1322"/>
    </row>
    <row r="95" spans="2:16" ht="41.4" customHeight="1">
      <c r="B95" s="1328"/>
      <c r="C95" s="1324"/>
      <c r="D95" s="863" t="s">
        <v>2303</v>
      </c>
      <c r="E95" s="839">
        <v>0.2</v>
      </c>
      <c r="F95" s="839">
        <v>0.2</v>
      </c>
      <c r="G95" s="1329"/>
      <c r="H95" s="839"/>
      <c r="I95" s="839"/>
      <c r="J95" s="1331"/>
      <c r="K95" s="841"/>
      <c r="L95" s="841"/>
      <c r="M95" s="1323"/>
      <c r="N95" s="841"/>
      <c r="O95" s="841"/>
      <c r="P95" s="1323"/>
    </row>
    <row r="96" spans="2:16" ht="26.4">
      <c r="B96" s="1328"/>
      <c r="C96" s="1324"/>
      <c r="D96" s="863" t="s">
        <v>2306</v>
      </c>
      <c r="E96" s="839">
        <v>0.66</v>
      </c>
      <c r="F96" s="839">
        <v>0.66</v>
      </c>
      <c r="G96" s="840" t="s">
        <v>2307</v>
      </c>
      <c r="H96" s="839"/>
      <c r="I96" s="839"/>
      <c r="J96" s="900"/>
      <c r="K96" s="841"/>
      <c r="L96" s="841"/>
      <c r="M96" s="901"/>
      <c r="N96" s="841"/>
      <c r="O96" s="841"/>
      <c r="P96" s="901"/>
    </row>
    <row r="97" spans="2:16" ht="52.8">
      <c r="B97" s="1328"/>
      <c r="C97" s="1324"/>
      <c r="D97" s="863" t="s">
        <v>2074</v>
      </c>
      <c r="E97" s="839">
        <v>0.2</v>
      </c>
      <c r="F97" s="839">
        <v>0.2</v>
      </c>
      <c r="G97" s="840" t="s">
        <v>1247</v>
      </c>
      <c r="H97" s="839"/>
      <c r="I97" s="839"/>
      <c r="J97" s="840"/>
      <c r="K97" s="841"/>
      <c r="L97" s="841"/>
      <c r="M97" s="842"/>
      <c r="N97" s="841"/>
      <c r="O97" s="841"/>
      <c r="P97" s="842"/>
    </row>
    <row r="98" spans="2:16" ht="26.4">
      <c r="B98" s="1328"/>
      <c r="C98" s="1324" t="s">
        <v>69</v>
      </c>
      <c r="D98" s="840" t="s">
        <v>2308</v>
      </c>
      <c r="E98" s="839">
        <v>0.25</v>
      </c>
      <c r="F98" s="839">
        <v>0.2</v>
      </c>
      <c r="G98" s="840" t="s">
        <v>1813</v>
      </c>
      <c r="H98" s="839"/>
      <c r="I98" s="839"/>
      <c r="J98" s="840"/>
      <c r="K98" s="841"/>
      <c r="L98" s="841"/>
      <c r="M98" s="842"/>
      <c r="N98" s="841"/>
      <c r="O98" s="841"/>
      <c r="P98" s="842"/>
    </row>
    <row r="99" spans="2:16" ht="26.4">
      <c r="B99" s="1328"/>
      <c r="C99" s="1324"/>
      <c r="D99" s="840" t="s">
        <v>96</v>
      </c>
      <c r="E99" s="839">
        <v>0.2</v>
      </c>
      <c r="F99" s="839">
        <v>0.15</v>
      </c>
      <c r="G99" s="837" t="s">
        <v>2309</v>
      </c>
      <c r="H99" s="839"/>
      <c r="I99" s="839"/>
      <c r="J99" s="840"/>
      <c r="K99" s="841"/>
      <c r="L99" s="841"/>
      <c r="M99" s="842"/>
      <c r="N99" s="841"/>
      <c r="O99" s="841"/>
      <c r="P99" s="842"/>
    </row>
    <row r="100" spans="2:16" ht="56.4" customHeight="1">
      <c r="B100" s="1328"/>
      <c r="C100" s="862" t="s">
        <v>668</v>
      </c>
      <c r="D100" s="840" t="s">
        <v>2310</v>
      </c>
      <c r="E100" s="839">
        <v>0.2</v>
      </c>
      <c r="F100" s="839">
        <v>0.1</v>
      </c>
      <c r="G100" s="837" t="s">
        <v>2336</v>
      </c>
      <c r="H100" s="839"/>
      <c r="I100" s="839"/>
      <c r="J100" s="840"/>
      <c r="K100" s="841"/>
      <c r="L100" s="841"/>
      <c r="M100" s="842"/>
      <c r="N100" s="841"/>
      <c r="O100" s="841"/>
      <c r="P100" s="842"/>
    </row>
    <row r="101" spans="2:16" ht="56.4" customHeight="1">
      <c r="B101" s="1328"/>
      <c r="C101" s="862" t="s">
        <v>27</v>
      </c>
      <c r="D101" s="840" t="s">
        <v>2383</v>
      </c>
      <c r="E101" s="854"/>
      <c r="F101" s="854"/>
      <c r="G101" s="837"/>
      <c r="H101" s="839"/>
      <c r="I101" s="839"/>
      <c r="J101" s="840"/>
      <c r="K101" s="841"/>
      <c r="L101" s="841"/>
      <c r="M101" s="842"/>
      <c r="N101" s="841"/>
      <c r="O101" s="841"/>
      <c r="P101" s="842"/>
    </row>
    <row r="102" spans="2:16" ht="52.8">
      <c r="B102" s="1328"/>
      <c r="C102" s="862" t="s">
        <v>102</v>
      </c>
      <c r="D102" s="863" t="s">
        <v>2311</v>
      </c>
      <c r="E102" s="839">
        <v>0.4</v>
      </c>
      <c r="F102" s="839">
        <v>0.2</v>
      </c>
      <c r="G102" s="840" t="s">
        <v>2164</v>
      </c>
      <c r="H102" s="839"/>
      <c r="I102" s="839"/>
      <c r="J102" s="840"/>
      <c r="K102" s="841"/>
      <c r="L102" s="841"/>
      <c r="M102" s="842"/>
      <c r="N102" s="841"/>
      <c r="O102" s="841"/>
      <c r="P102" s="842"/>
    </row>
    <row r="103" spans="2:16" ht="52.8">
      <c r="B103" s="1328"/>
      <c r="C103" s="1325" t="s">
        <v>1133</v>
      </c>
      <c r="D103" s="863" t="s">
        <v>2312</v>
      </c>
      <c r="E103" s="893"/>
      <c r="F103" s="893"/>
      <c r="G103" s="840" t="s">
        <v>2313</v>
      </c>
      <c r="H103" s="839"/>
      <c r="I103" s="839"/>
      <c r="J103" s="840"/>
      <c r="K103" s="841"/>
      <c r="L103" s="841"/>
      <c r="M103" s="842"/>
      <c r="N103" s="841"/>
      <c r="O103" s="841"/>
      <c r="P103" s="842"/>
    </row>
    <row r="104" spans="2:16" ht="13.2">
      <c r="B104" s="1328"/>
      <c r="C104" s="1326"/>
      <c r="D104" s="863" t="s">
        <v>2314</v>
      </c>
      <c r="E104" s="893"/>
      <c r="F104" s="893"/>
      <c r="G104" s="840" t="s">
        <v>2315</v>
      </c>
      <c r="H104" s="839"/>
      <c r="I104" s="839"/>
      <c r="J104" s="840"/>
      <c r="K104" s="841"/>
      <c r="L104" s="841"/>
      <c r="M104" s="842"/>
      <c r="N104" s="841"/>
      <c r="O104" s="841"/>
      <c r="P104" s="842"/>
    </row>
    <row r="105" spans="2:16" ht="26.4">
      <c r="B105" s="1326"/>
      <c r="C105" s="862" t="s">
        <v>2121</v>
      </c>
      <c r="D105" s="863"/>
      <c r="E105" s="839">
        <v>0.25</v>
      </c>
      <c r="F105" s="839">
        <v>0.25</v>
      </c>
      <c r="G105" s="840"/>
      <c r="H105" s="839"/>
      <c r="I105" s="839"/>
      <c r="J105" s="840"/>
      <c r="K105" s="841"/>
      <c r="L105" s="841"/>
      <c r="M105" s="840"/>
      <c r="N105" s="841"/>
      <c r="O105" s="841"/>
      <c r="P105" s="840"/>
    </row>
    <row r="106" spans="2:16" ht="39.6" customHeight="1">
      <c r="B106" s="1327" t="s">
        <v>98</v>
      </c>
      <c r="C106" s="1324" t="s">
        <v>65</v>
      </c>
      <c r="D106" s="1320" t="s">
        <v>2316</v>
      </c>
      <c r="E106" s="1321">
        <v>0.23</v>
      </c>
      <c r="F106" s="1321">
        <f>0.376923076923077*100%</f>
        <v>0.37692307692307703</v>
      </c>
      <c r="G106" s="902" t="s">
        <v>2318</v>
      </c>
      <c r="H106" s="1321"/>
      <c r="I106" s="1321"/>
      <c r="J106" s="902"/>
      <c r="K106" s="1319"/>
      <c r="L106" s="1319"/>
      <c r="M106" s="903"/>
      <c r="N106" s="1319"/>
      <c r="O106" s="1319"/>
      <c r="P106" s="903"/>
    </row>
    <row r="107" spans="2:16" ht="39.6">
      <c r="B107" s="1327"/>
      <c r="C107" s="1324"/>
      <c r="D107" s="1320"/>
      <c r="E107" s="1321"/>
      <c r="F107" s="1321"/>
      <c r="G107" s="902" t="s">
        <v>2320</v>
      </c>
      <c r="H107" s="1321"/>
      <c r="I107" s="1321"/>
      <c r="J107" s="902"/>
      <c r="K107" s="1319"/>
      <c r="L107" s="1319"/>
      <c r="M107" s="903"/>
      <c r="N107" s="1319"/>
      <c r="O107" s="1319"/>
      <c r="P107" s="903"/>
    </row>
    <row r="108" spans="2:16" ht="13.2">
      <c r="B108" s="1327"/>
      <c r="C108" s="1324"/>
      <c r="D108" s="1320"/>
      <c r="E108" s="1321"/>
      <c r="F108" s="1321"/>
      <c r="G108" s="902" t="s">
        <v>2319</v>
      </c>
      <c r="H108" s="1321"/>
      <c r="I108" s="1321"/>
      <c r="J108" s="902"/>
      <c r="K108" s="1319"/>
      <c r="L108" s="1319"/>
      <c r="M108" s="903"/>
      <c r="N108" s="1319"/>
      <c r="O108" s="1319"/>
      <c r="P108" s="903"/>
    </row>
    <row r="109" spans="2:16" ht="13.2" customHeight="1">
      <c r="B109" s="1327"/>
      <c r="C109" s="1324"/>
      <c r="D109" s="1320" t="s">
        <v>2317</v>
      </c>
      <c r="E109" s="1321">
        <v>0.5</v>
      </c>
      <c r="F109" s="1321">
        <v>0.5</v>
      </c>
      <c r="G109" s="1318" t="s">
        <v>2323</v>
      </c>
      <c r="H109" s="1321"/>
      <c r="I109" s="1321"/>
      <c r="J109" s="1318"/>
      <c r="K109" s="1319"/>
      <c r="L109" s="1319"/>
      <c r="M109" s="1317"/>
      <c r="N109" s="1319"/>
      <c r="O109" s="1319"/>
      <c r="P109" s="1317"/>
    </row>
    <row r="110" spans="2:16" ht="12" customHeight="1">
      <c r="B110" s="1327"/>
      <c r="C110" s="1324"/>
      <c r="D110" s="1320"/>
      <c r="E110" s="1321"/>
      <c r="F110" s="1321"/>
      <c r="G110" s="1318"/>
      <c r="H110" s="1321"/>
      <c r="I110" s="1321"/>
      <c r="J110" s="1318"/>
      <c r="K110" s="1319"/>
      <c r="L110" s="1319"/>
      <c r="M110" s="1317"/>
      <c r="N110" s="1319"/>
      <c r="O110" s="1319"/>
      <c r="P110" s="1317"/>
    </row>
    <row r="111" spans="2:16" ht="13.2">
      <c r="B111" s="1327"/>
      <c r="C111" s="1324"/>
      <c r="D111" s="1320"/>
      <c r="E111" s="1321"/>
      <c r="F111" s="1321"/>
      <c r="G111" s="904" t="s">
        <v>1257</v>
      </c>
      <c r="H111" s="1321"/>
      <c r="I111" s="1321"/>
      <c r="J111" s="904"/>
      <c r="K111" s="1319"/>
      <c r="L111" s="1319"/>
      <c r="M111" s="905"/>
      <c r="N111" s="1319"/>
      <c r="O111" s="1319"/>
      <c r="P111" s="905"/>
    </row>
    <row r="112" spans="2:16" ht="13.2">
      <c r="B112" s="1327"/>
      <c r="C112" s="1324"/>
      <c r="D112" s="1320"/>
      <c r="E112" s="1321"/>
      <c r="F112" s="1321"/>
      <c r="G112" s="904" t="s">
        <v>1258</v>
      </c>
      <c r="H112" s="1321"/>
      <c r="I112" s="1321"/>
      <c r="J112" s="904"/>
      <c r="K112" s="1319"/>
      <c r="L112" s="1319"/>
      <c r="M112" s="905"/>
      <c r="N112" s="1319"/>
      <c r="O112" s="1319"/>
      <c r="P112" s="905"/>
    </row>
    <row r="113" spans="2:16" ht="13.2">
      <c r="B113" s="1327"/>
      <c r="C113" s="1324"/>
      <c r="D113" s="1320"/>
      <c r="E113" s="1321"/>
      <c r="F113" s="1321"/>
      <c r="G113" s="904" t="s">
        <v>2321</v>
      </c>
      <c r="H113" s="1321"/>
      <c r="I113" s="1321"/>
      <c r="J113" s="906"/>
      <c r="K113" s="1319"/>
      <c r="L113" s="1319"/>
      <c r="M113" s="907"/>
      <c r="N113" s="1319"/>
      <c r="O113" s="1319"/>
      <c r="P113" s="907"/>
    </row>
    <row r="114" spans="2:16" ht="13.2">
      <c r="B114" s="1327"/>
      <c r="C114" s="1324"/>
      <c r="D114" s="1320"/>
      <c r="E114" s="1321"/>
      <c r="F114" s="1321"/>
      <c r="G114" s="904" t="s">
        <v>2322</v>
      </c>
      <c r="H114" s="1321"/>
      <c r="I114" s="1321"/>
      <c r="J114" s="904"/>
      <c r="K114" s="1319"/>
      <c r="L114" s="1319"/>
      <c r="M114" s="905"/>
      <c r="N114" s="1319"/>
      <c r="O114" s="1319"/>
      <c r="P114" s="905"/>
    </row>
    <row r="115" spans="2:16" ht="26.4">
      <c r="B115" s="1327"/>
      <c r="C115" s="1324"/>
      <c r="D115" s="1320"/>
      <c r="E115" s="1321"/>
      <c r="F115" s="1321"/>
      <c r="G115" s="904" t="s">
        <v>1259</v>
      </c>
      <c r="H115" s="1321"/>
      <c r="I115" s="1321"/>
      <c r="J115" s="904"/>
      <c r="K115" s="1319"/>
      <c r="L115" s="1319"/>
      <c r="M115" s="905"/>
      <c r="N115" s="1319"/>
      <c r="O115" s="1319"/>
      <c r="P115" s="905"/>
    </row>
    <row r="116" spans="2:16" ht="42.6" customHeight="1">
      <c r="B116" s="1327"/>
      <c r="C116" s="862" t="s">
        <v>2120</v>
      </c>
      <c r="D116" s="863"/>
      <c r="E116" s="839">
        <v>0.25</v>
      </c>
      <c r="F116" s="839">
        <v>0.25</v>
      </c>
      <c r="G116" s="904"/>
      <c r="H116" s="839"/>
      <c r="I116" s="839"/>
      <c r="J116" s="904"/>
      <c r="K116" s="841"/>
      <c r="L116" s="841"/>
      <c r="M116" s="905"/>
      <c r="N116" s="841"/>
      <c r="O116" s="841"/>
      <c r="P116" s="905"/>
    </row>
  </sheetData>
  <mergeCells count="74">
    <mergeCell ref="K1:M1"/>
    <mergeCell ref="N1:P1"/>
    <mergeCell ref="B3:B28"/>
    <mergeCell ref="C5:C6"/>
    <mergeCell ref="C11:C15"/>
    <mergeCell ref="C17:C20"/>
    <mergeCell ref="C21:C24"/>
    <mergeCell ref="C26:C27"/>
    <mergeCell ref="B1:B2"/>
    <mergeCell ref="C1:C2"/>
    <mergeCell ref="D1:D2"/>
    <mergeCell ref="E1:F1"/>
    <mergeCell ref="G1:G2"/>
    <mergeCell ref="H1:J1"/>
    <mergeCell ref="B29:B53"/>
    <mergeCell ref="C29:C32"/>
    <mergeCell ref="C33:C35"/>
    <mergeCell ref="C36:C37"/>
    <mergeCell ref="C38:C40"/>
    <mergeCell ref="C41:C43"/>
    <mergeCell ref="C45:C46"/>
    <mergeCell ref="C48:C50"/>
    <mergeCell ref="B54:B87"/>
    <mergeCell ref="C54:C58"/>
    <mergeCell ref="C60:C61"/>
    <mergeCell ref="C62:C66"/>
    <mergeCell ref="C68:C69"/>
    <mergeCell ref="C70:C73"/>
    <mergeCell ref="C82:C85"/>
    <mergeCell ref="C78:C79"/>
    <mergeCell ref="L71:L72"/>
    <mergeCell ref="N71:N72"/>
    <mergeCell ref="O71:O72"/>
    <mergeCell ref="C74:C75"/>
    <mergeCell ref="H71:H72"/>
    <mergeCell ref="I71:I72"/>
    <mergeCell ref="D71:D72"/>
    <mergeCell ref="E71:E72"/>
    <mergeCell ref="F71:F72"/>
    <mergeCell ref="G71:G72"/>
    <mergeCell ref="K71:K72"/>
    <mergeCell ref="P94:P95"/>
    <mergeCell ref="C98:C99"/>
    <mergeCell ref="C103:C104"/>
    <mergeCell ref="B106:B116"/>
    <mergeCell ref="C106:C115"/>
    <mergeCell ref="D106:D108"/>
    <mergeCell ref="E106:E108"/>
    <mergeCell ref="F106:F108"/>
    <mergeCell ref="H106:H108"/>
    <mergeCell ref="I106:I108"/>
    <mergeCell ref="B88:B105"/>
    <mergeCell ref="C88:C92"/>
    <mergeCell ref="C94:C97"/>
    <mergeCell ref="G94:G95"/>
    <mergeCell ref="J94:J95"/>
    <mergeCell ref="M94:M95"/>
    <mergeCell ref="K106:K108"/>
    <mergeCell ref="L106:L108"/>
    <mergeCell ref="N106:N108"/>
    <mergeCell ref="O106:O108"/>
    <mergeCell ref="D109:D115"/>
    <mergeCell ref="E109:E115"/>
    <mergeCell ref="F109:F115"/>
    <mergeCell ref="G109:G110"/>
    <mergeCell ref="H109:H115"/>
    <mergeCell ref="I109:I115"/>
    <mergeCell ref="P109:P110"/>
    <mergeCell ref="J109:J110"/>
    <mergeCell ref="K109:K115"/>
    <mergeCell ref="L109:L115"/>
    <mergeCell ref="M109:M110"/>
    <mergeCell ref="N109:N115"/>
    <mergeCell ref="O109:O115"/>
  </mergeCell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5B437-E663-4044-9137-52CEFDF32E0F}">
  <dimension ref="A1:D54"/>
  <sheetViews>
    <sheetView workbookViewId="0">
      <selection activeCell="D12" sqref="D12:D15"/>
    </sheetView>
  </sheetViews>
  <sheetFormatPr baseColWidth="10" defaultRowHeight="14.4"/>
  <cols>
    <col min="1" max="1" width="31.6640625" customWidth="1"/>
    <col min="2" max="2" width="33.33203125" customWidth="1"/>
    <col min="3" max="3" width="21.88671875" customWidth="1"/>
    <col min="4" max="4" width="24.77734375" customWidth="1"/>
  </cols>
  <sheetData>
    <row r="1" spans="1:4" ht="16.2" thickBot="1">
      <c r="A1" s="1473" t="s">
        <v>2475</v>
      </c>
      <c r="B1" s="1473"/>
      <c r="C1" s="1473"/>
      <c r="D1" s="1473"/>
    </row>
    <row r="2" spans="1:4" ht="15" thickBot="1">
      <c r="A2" s="1425" t="s">
        <v>60</v>
      </c>
      <c r="B2" s="1426" t="s">
        <v>2417</v>
      </c>
      <c r="C2" s="1426" t="s">
        <v>2418</v>
      </c>
      <c r="D2" s="1426" t="s">
        <v>2419</v>
      </c>
    </row>
    <row r="3" spans="1:4" ht="15" thickBot="1">
      <c r="A3" s="1443" t="s">
        <v>2420</v>
      </c>
      <c r="B3" s="1444"/>
      <c r="C3" s="1444"/>
      <c r="D3" s="1445"/>
    </row>
    <row r="4" spans="1:4" ht="15" thickBot="1">
      <c r="A4" s="1447" t="s">
        <v>2365</v>
      </c>
      <c r="B4" s="1427" t="s">
        <v>2421</v>
      </c>
      <c r="C4" s="1428" t="s">
        <v>2422</v>
      </c>
      <c r="D4" s="1449" t="s">
        <v>2423</v>
      </c>
    </row>
    <row r="5" spans="1:4" ht="15" thickBot="1">
      <c r="A5" s="1446"/>
      <c r="B5" s="1429" t="s">
        <v>2424</v>
      </c>
      <c r="C5" s="1428" t="s">
        <v>2425</v>
      </c>
      <c r="D5" s="1450"/>
    </row>
    <row r="6" spans="1:4" ht="15" thickBot="1">
      <c r="A6" s="1446"/>
      <c r="B6" s="1429" t="s">
        <v>2426</v>
      </c>
      <c r="C6" s="1428" t="s">
        <v>2427</v>
      </c>
      <c r="D6" s="1450"/>
    </row>
    <row r="7" spans="1:4" ht="15" thickBot="1">
      <c r="A7" s="1448"/>
      <c r="B7" s="1429" t="s">
        <v>2428</v>
      </c>
      <c r="C7" s="1428" t="s">
        <v>2429</v>
      </c>
      <c r="D7" s="1451"/>
    </row>
    <row r="8" spans="1:4" ht="15" thickBot="1">
      <c r="A8" s="1447" t="s">
        <v>2366</v>
      </c>
      <c r="B8" s="1427" t="s">
        <v>2421</v>
      </c>
      <c r="C8" s="1430">
        <v>200000000</v>
      </c>
      <c r="D8" s="1449" t="s">
        <v>2430</v>
      </c>
    </row>
    <row r="9" spans="1:4" ht="15" thickBot="1">
      <c r="A9" s="1446"/>
      <c r="B9" s="1429" t="s">
        <v>2426</v>
      </c>
      <c r="C9" s="1428" t="s">
        <v>2431</v>
      </c>
      <c r="D9" s="1450"/>
    </row>
    <row r="10" spans="1:4" ht="15" thickBot="1">
      <c r="A10" s="1446"/>
      <c r="B10" s="1429" t="s">
        <v>2432</v>
      </c>
      <c r="C10" s="1428" t="s">
        <v>2433</v>
      </c>
      <c r="D10" s="1450"/>
    </row>
    <row r="11" spans="1:4" ht="15" thickBot="1">
      <c r="A11" s="1448"/>
      <c r="B11" s="1427" t="s">
        <v>2434</v>
      </c>
      <c r="C11" s="1430">
        <v>9000000000</v>
      </c>
      <c r="D11" s="1451"/>
    </row>
    <row r="12" spans="1:4" ht="15" thickBot="1">
      <c r="A12" s="1447" t="s">
        <v>2367</v>
      </c>
      <c r="B12" s="1427" t="s">
        <v>2421</v>
      </c>
      <c r="C12" s="1430">
        <v>2645082873</v>
      </c>
      <c r="D12" s="1449" t="s">
        <v>2435</v>
      </c>
    </row>
    <row r="13" spans="1:4" ht="15" thickBot="1">
      <c r="A13" s="1446"/>
      <c r="B13" s="1429" t="s">
        <v>2436</v>
      </c>
      <c r="C13" s="1430">
        <v>454807734</v>
      </c>
      <c r="D13" s="1450"/>
    </row>
    <row r="14" spans="1:4" ht="15" thickBot="1">
      <c r="A14" s="1446"/>
      <c r="B14" s="1429" t="s">
        <v>2426</v>
      </c>
      <c r="C14" s="1428" t="s">
        <v>2437</v>
      </c>
      <c r="D14" s="1450"/>
    </row>
    <row r="15" spans="1:4" ht="15" thickBot="1">
      <c r="A15" s="1448"/>
      <c r="B15" s="1429" t="s">
        <v>2432</v>
      </c>
      <c r="C15" s="1428" t="s">
        <v>2438</v>
      </c>
      <c r="D15" s="1451"/>
    </row>
    <row r="16" spans="1:4" ht="15" thickBot="1">
      <c r="A16" s="1447" t="s">
        <v>2368</v>
      </c>
      <c r="B16" s="1427" t="s">
        <v>2421</v>
      </c>
      <c r="C16" s="1430">
        <v>224269520</v>
      </c>
      <c r="D16" s="1449" t="s">
        <v>2439</v>
      </c>
    </row>
    <row r="17" spans="1:4" ht="15" thickBot="1">
      <c r="A17" s="1446"/>
      <c r="B17" s="1429" t="s">
        <v>2436</v>
      </c>
      <c r="C17" s="1428" t="s">
        <v>2440</v>
      </c>
      <c r="D17" s="1450"/>
    </row>
    <row r="18" spans="1:4" ht="15" thickBot="1">
      <c r="A18" s="1446"/>
      <c r="B18" s="1429" t="s">
        <v>2426</v>
      </c>
      <c r="C18" s="1428" t="s">
        <v>2441</v>
      </c>
      <c r="D18" s="1450"/>
    </row>
    <row r="19" spans="1:4" ht="15" thickBot="1">
      <c r="A19" s="1448"/>
      <c r="B19" s="1429" t="s">
        <v>2432</v>
      </c>
      <c r="C19" s="1428" t="s">
        <v>2442</v>
      </c>
      <c r="D19" s="1451"/>
    </row>
    <row r="20" spans="1:4" ht="15" thickBot="1">
      <c r="A20" s="1431" t="s">
        <v>2369</v>
      </c>
      <c r="B20" s="1429" t="s">
        <v>2436</v>
      </c>
      <c r="C20" s="1432" t="s">
        <v>2443</v>
      </c>
      <c r="D20" s="1433">
        <v>1483263032</v>
      </c>
    </row>
    <row r="21" spans="1:4" ht="15" thickBot="1">
      <c r="A21" s="1452" t="s">
        <v>2444</v>
      </c>
      <c r="B21" s="1453"/>
      <c r="C21" s="1454"/>
      <c r="D21" s="1434" t="s">
        <v>2445</v>
      </c>
    </row>
    <row r="22" spans="1:4" ht="15" thickBot="1">
      <c r="A22" s="1455" t="s">
        <v>2446</v>
      </c>
      <c r="B22" s="1456"/>
      <c r="C22" s="1456"/>
      <c r="D22" s="1457"/>
    </row>
    <row r="23" spans="1:4" ht="15" thickBot="1">
      <c r="A23" s="1447" t="s">
        <v>2447</v>
      </c>
      <c r="B23" s="1427" t="s">
        <v>2421</v>
      </c>
      <c r="C23" s="1430">
        <v>251127600</v>
      </c>
      <c r="D23" s="1458">
        <v>950243975</v>
      </c>
    </row>
    <row r="24" spans="1:4" ht="15" thickBot="1">
      <c r="A24" s="1448"/>
      <c r="B24" s="1429" t="s">
        <v>2426</v>
      </c>
      <c r="C24" s="1430">
        <v>699116375</v>
      </c>
      <c r="D24" s="1459"/>
    </row>
    <row r="25" spans="1:4" ht="52.8" customHeight="1" thickBot="1">
      <c r="A25" s="1461" t="s">
        <v>2370</v>
      </c>
      <c r="B25" s="1429" t="s">
        <v>2436</v>
      </c>
      <c r="C25" s="1430">
        <v>797903150</v>
      </c>
      <c r="D25" s="1449" t="s">
        <v>2448</v>
      </c>
    </row>
    <row r="26" spans="1:4" ht="15" thickBot="1">
      <c r="A26" s="1460"/>
      <c r="B26" s="1429" t="s">
        <v>2426</v>
      </c>
      <c r="C26" s="1428" t="s">
        <v>2449</v>
      </c>
      <c r="D26" s="1450"/>
    </row>
    <row r="27" spans="1:4" ht="15" thickBot="1">
      <c r="A27" s="1462"/>
      <c r="B27" s="1429" t="s">
        <v>2432</v>
      </c>
      <c r="C27" s="1430">
        <v>29309715</v>
      </c>
      <c r="D27" s="1451"/>
    </row>
    <row r="28" spans="1:4" ht="39" customHeight="1" thickBot="1">
      <c r="A28" s="1464" t="s">
        <v>2371</v>
      </c>
      <c r="B28" s="1427" t="s">
        <v>2421</v>
      </c>
      <c r="C28" s="1430">
        <v>222487169</v>
      </c>
      <c r="D28" s="1449" t="s">
        <v>2450</v>
      </c>
    </row>
    <row r="29" spans="1:4" ht="15" thickBot="1">
      <c r="A29" s="1463"/>
      <c r="B29" s="1429" t="s">
        <v>2451</v>
      </c>
      <c r="C29" s="1430">
        <v>105599894</v>
      </c>
      <c r="D29" s="1450"/>
    </row>
    <row r="30" spans="1:4" ht="15" thickBot="1">
      <c r="A30" s="1465"/>
      <c r="B30" s="1429" t="s">
        <v>2426</v>
      </c>
      <c r="C30" s="1428" t="s">
        <v>2452</v>
      </c>
      <c r="D30" s="1451"/>
    </row>
    <row r="31" spans="1:4" ht="69.599999999999994" thickBot="1">
      <c r="A31" s="1435" t="s">
        <v>2453</v>
      </c>
      <c r="B31" s="1429" t="s">
        <v>2426</v>
      </c>
      <c r="C31" s="1428" t="s">
        <v>2454</v>
      </c>
      <c r="D31" s="1436" t="s">
        <v>2454</v>
      </c>
    </row>
    <row r="32" spans="1:4" ht="42" thickBot="1">
      <c r="A32" s="1435" t="s">
        <v>2455</v>
      </c>
      <c r="B32" s="1429" t="s">
        <v>2436</v>
      </c>
      <c r="C32" s="1430">
        <v>128399567</v>
      </c>
      <c r="D32" s="1433">
        <v>128399567</v>
      </c>
    </row>
    <row r="33" spans="1:4" ht="39" customHeight="1" thickBot="1">
      <c r="A33" s="1464" t="s">
        <v>2456</v>
      </c>
      <c r="B33" s="1427" t="s">
        <v>2421</v>
      </c>
      <c r="C33" s="1430">
        <v>21955000</v>
      </c>
      <c r="D33" s="1449" t="s">
        <v>2457</v>
      </c>
    </row>
    <row r="34" spans="1:4" ht="15" thickBot="1">
      <c r="A34" s="1463"/>
      <c r="B34" s="1429" t="s">
        <v>2436</v>
      </c>
      <c r="C34" s="1430">
        <v>16525560</v>
      </c>
      <c r="D34" s="1450"/>
    </row>
    <row r="35" spans="1:4" ht="15" thickBot="1">
      <c r="A35" s="1465"/>
      <c r="B35" s="1429" t="s">
        <v>2426</v>
      </c>
      <c r="C35" s="1428" t="s">
        <v>2458</v>
      </c>
      <c r="D35" s="1451"/>
    </row>
    <row r="36" spans="1:4" ht="15" thickBot="1">
      <c r="A36" s="1466" t="s">
        <v>2459</v>
      </c>
      <c r="B36" s="1467"/>
      <c r="C36" s="1468"/>
      <c r="D36" s="1434" t="s">
        <v>2460</v>
      </c>
    </row>
    <row r="37" spans="1:4" ht="15" thickBot="1">
      <c r="A37" s="1455" t="s">
        <v>2461</v>
      </c>
      <c r="B37" s="1456"/>
      <c r="C37" s="1456"/>
      <c r="D37" s="1457"/>
    </row>
    <row r="38" spans="1:4" ht="26.4" customHeight="1" thickBot="1">
      <c r="A38" s="1461" t="s">
        <v>2372</v>
      </c>
      <c r="B38" s="1427" t="s">
        <v>2421</v>
      </c>
      <c r="C38" s="1430">
        <v>10000000</v>
      </c>
      <c r="D38" s="1449" t="s">
        <v>2462</v>
      </c>
    </row>
    <row r="39" spans="1:4" ht="15" thickBot="1">
      <c r="A39" s="1462"/>
      <c r="B39" s="1429" t="s">
        <v>2426</v>
      </c>
      <c r="C39" s="1428" t="s">
        <v>2463</v>
      </c>
      <c r="D39" s="1451"/>
    </row>
    <row r="40" spans="1:4" ht="42" thickBot="1">
      <c r="A40" s="1437" t="s">
        <v>2373</v>
      </c>
      <c r="B40" s="1429" t="s">
        <v>2432</v>
      </c>
      <c r="C40" s="1428" t="s">
        <v>2464</v>
      </c>
      <c r="D40" s="1436" t="s">
        <v>2464</v>
      </c>
    </row>
    <row r="41" spans="1:4" ht="42" thickBot="1">
      <c r="A41" s="1437" t="s">
        <v>2374</v>
      </c>
      <c r="B41" s="1429" t="s">
        <v>2426</v>
      </c>
      <c r="C41" s="1428" t="s">
        <v>2465</v>
      </c>
      <c r="D41" s="1436" t="s">
        <v>2465</v>
      </c>
    </row>
    <row r="42" spans="1:4" ht="28.2" thickBot="1">
      <c r="A42" s="1437" t="s">
        <v>2466</v>
      </c>
      <c r="B42" s="1427" t="s">
        <v>2421</v>
      </c>
      <c r="C42" s="1428" t="s">
        <v>2467</v>
      </c>
      <c r="D42" s="1433">
        <v>54148449</v>
      </c>
    </row>
    <row r="43" spans="1:4" ht="15" thickBot="1">
      <c r="A43" s="1437" t="s">
        <v>2375</v>
      </c>
      <c r="B43" s="1427" t="s">
        <v>2421</v>
      </c>
      <c r="C43" s="197">
        <v>10000000</v>
      </c>
      <c r="D43" s="1433">
        <v>10000000</v>
      </c>
    </row>
    <row r="44" spans="1:4" ht="15" thickBot="1">
      <c r="A44" s="1431" t="s">
        <v>2376</v>
      </c>
      <c r="B44" s="1427" t="s">
        <v>2421</v>
      </c>
      <c r="C44" s="1430">
        <v>72077839</v>
      </c>
      <c r="D44" s="1433">
        <v>72077839</v>
      </c>
    </row>
    <row r="45" spans="1:4" ht="15" thickBot="1">
      <c r="A45" s="1452" t="s">
        <v>2377</v>
      </c>
      <c r="B45" s="1453"/>
      <c r="C45" s="1454"/>
      <c r="D45" s="1434" t="s">
        <v>2468</v>
      </c>
    </row>
    <row r="46" spans="1:4" ht="15" thickBot="1">
      <c r="A46" s="1455" t="s">
        <v>1235</v>
      </c>
      <c r="B46" s="1456"/>
      <c r="C46" s="1456"/>
      <c r="D46" s="1457"/>
    </row>
    <row r="47" spans="1:4" ht="40.200000000000003" customHeight="1" thickBot="1">
      <c r="A47" s="1461" t="s">
        <v>2469</v>
      </c>
      <c r="B47" s="1427" t="s">
        <v>2421</v>
      </c>
      <c r="C47" s="1430">
        <v>17000000</v>
      </c>
      <c r="D47" s="1449" t="s">
        <v>2470</v>
      </c>
    </row>
    <row r="48" spans="1:4" ht="15" thickBot="1">
      <c r="A48" s="1462"/>
      <c r="B48" s="1429" t="s">
        <v>2436</v>
      </c>
      <c r="C48" s="1428" t="s">
        <v>2471</v>
      </c>
      <c r="D48" s="1451"/>
    </row>
    <row r="49" spans="1:4" ht="15" thickBot="1">
      <c r="A49" s="1437" t="s">
        <v>2378</v>
      </c>
      <c r="B49" s="1427" t="s">
        <v>2472</v>
      </c>
      <c r="C49" s="1430">
        <v>12000000</v>
      </c>
      <c r="D49" s="1433">
        <v>12000000</v>
      </c>
    </row>
    <row r="50" spans="1:4" ht="15" thickBot="1">
      <c r="A50" s="1461" t="s">
        <v>2379</v>
      </c>
      <c r="B50" s="1427" t="s">
        <v>2472</v>
      </c>
      <c r="C50" s="1430">
        <v>1000000000</v>
      </c>
      <c r="D50" s="1458">
        <v>2070786884</v>
      </c>
    </row>
    <row r="51" spans="1:4" ht="15" thickBot="1">
      <c r="A51" s="1460"/>
      <c r="B51" s="1429" t="s">
        <v>2436</v>
      </c>
      <c r="C51" s="1430">
        <v>419000000</v>
      </c>
      <c r="D51" s="1469"/>
    </row>
    <row r="52" spans="1:4" ht="15" thickBot="1">
      <c r="A52" s="1462"/>
      <c r="B52" s="1429" t="s">
        <v>2426</v>
      </c>
      <c r="C52" s="1430">
        <v>651786884</v>
      </c>
      <c r="D52" s="1459"/>
    </row>
    <row r="53" spans="1:4" ht="28.2" thickBot="1">
      <c r="A53" s="1438" t="s">
        <v>2380</v>
      </c>
      <c r="B53" s="1439"/>
      <c r="C53" s="1440"/>
      <c r="D53" s="1441">
        <v>2154786884</v>
      </c>
    </row>
    <row r="54" spans="1:4" ht="15" thickBot="1">
      <c r="A54" s="1470" t="s">
        <v>2474</v>
      </c>
      <c r="B54" s="1471"/>
      <c r="C54" s="1472"/>
      <c r="D54" s="1442" t="s">
        <v>2473</v>
      </c>
    </row>
  </sheetData>
  <mergeCells count="31">
    <mergeCell ref="A47:A48"/>
    <mergeCell ref="D47:D48"/>
    <mergeCell ref="A50:A52"/>
    <mergeCell ref="D50:D52"/>
    <mergeCell ref="A54:C54"/>
    <mergeCell ref="A1:D1"/>
    <mergeCell ref="A36:C36"/>
    <mergeCell ref="A37:D37"/>
    <mergeCell ref="A38:A39"/>
    <mergeCell ref="D38:D39"/>
    <mergeCell ref="A45:C45"/>
    <mergeCell ref="A46:D46"/>
    <mergeCell ref="A25:A27"/>
    <mergeCell ref="D25:D27"/>
    <mergeCell ref="A28:A30"/>
    <mergeCell ref="D28:D30"/>
    <mergeCell ref="A33:A35"/>
    <mergeCell ref="D33:D35"/>
    <mergeCell ref="A16:A19"/>
    <mergeCell ref="D16:D19"/>
    <mergeCell ref="A21:C21"/>
    <mergeCell ref="A22:D22"/>
    <mergeCell ref="A23:A24"/>
    <mergeCell ref="D23:D24"/>
    <mergeCell ref="A3:D3"/>
    <mergeCell ref="A4:A7"/>
    <mergeCell ref="D4:D7"/>
    <mergeCell ref="A8:A11"/>
    <mergeCell ref="D8:D11"/>
    <mergeCell ref="A12:A15"/>
    <mergeCell ref="D12:D15"/>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4387D-9E3F-4522-B05E-2B10CD0C6FAD}">
  <dimension ref="A1:K12"/>
  <sheetViews>
    <sheetView workbookViewId="0">
      <selection activeCell="C12" sqref="C12"/>
    </sheetView>
  </sheetViews>
  <sheetFormatPr baseColWidth="10" defaultRowHeight="14.4"/>
  <cols>
    <col min="1" max="1" width="28" customWidth="1"/>
    <col min="3" max="3" width="17.5546875" customWidth="1"/>
    <col min="8" max="8" width="11.88671875" bestFit="1" customWidth="1"/>
  </cols>
  <sheetData>
    <row r="1" spans="1:11">
      <c r="A1" t="s">
        <v>2760</v>
      </c>
    </row>
    <row r="2" spans="1:11" ht="15" thickBot="1"/>
    <row r="3" spans="1:11" ht="26.4">
      <c r="A3" s="1607" t="s">
        <v>104</v>
      </c>
      <c r="B3" s="1622" t="s">
        <v>49</v>
      </c>
      <c r="C3" s="1608" t="s">
        <v>2750</v>
      </c>
      <c r="D3" s="1608" t="s">
        <v>2754</v>
      </c>
      <c r="E3" s="1608" t="s">
        <v>2751</v>
      </c>
      <c r="F3" s="1608" t="s">
        <v>2755</v>
      </c>
      <c r="G3" s="1608" t="s">
        <v>2751</v>
      </c>
      <c r="H3" s="1608" t="s">
        <v>2756</v>
      </c>
      <c r="I3" s="1608" t="s">
        <v>2751</v>
      </c>
      <c r="J3" s="1608" t="s">
        <v>2757</v>
      </c>
      <c r="K3" s="1608" t="s">
        <v>2751</v>
      </c>
    </row>
    <row r="4" spans="1:11" ht="15" thickBot="1">
      <c r="A4" s="1609" t="s">
        <v>2752</v>
      </c>
      <c r="B4" s="1610" t="s">
        <v>51</v>
      </c>
      <c r="C4" s="1611">
        <v>5000000000</v>
      </c>
      <c r="D4" s="1611">
        <v>273548125</v>
      </c>
      <c r="E4" s="1613">
        <f>+_ftnref1/C4</f>
        <v>5.4709624999999998E-2</v>
      </c>
      <c r="F4" s="1611">
        <f>_ftnref1+256315241</f>
        <v>529863366</v>
      </c>
      <c r="G4" s="1623">
        <f>+F4/C4</f>
        <v>0.10597267320000001</v>
      </c>
      <c r="H4" s="1611">
        <f>+F4+2563254112</f>
        <v>3093117478</v>
      </c>
      <c r="I4" s="1613">
        <f>+H4/C4</f>
        <v>0.61862349559999996</v>
      </c>
      <c r="J4" s="1611">
        <f>+H4+56321485</f>
        <v>3149438963</v>
      </c>
      <c r="K4" s="1613">
        <f>+J4/C4</f>
        <v>0.62988779260000005</v>
      </c>
    </row>
    <row r="5" spans="1:11" ht="15" thickBot="1">
      <c r="A5" s="1609" t="s">
        <v>784</v>
      </c>
      <c r="B5" s="1610" t="s">
        <v>7</v>
      </c>
      <c r="C5" s="1611">
        <v>5715595470</v>
      </c>
      <c r="D5" s="1612">
        <v>23727679</v>
      </c>
      <c r="E5" s="1613">
        <v>4.0000000000000001E-3</v>
      </c>
      <c r="F5" s="1611">
        <f>+D5+2563145</f>
        <v>26290824</v>
      </c>
      <c r="G5" s="1623">
        <f t="shared" ref="G5:G8" si="0">+F5/C5</f>
        <v>4.5998398833498972E-3</v>
      </c>
      <c r="H5" s="1611">
        <f>+F5+256325410</f>
        <v>282616234</v>
      </c>
      <c r="I5" s="1613">
        <f t="shared" ref="I5:I9" si="1">+H5/C5</f>
        <v>4.9446507452004823E-2</v>
      </c>
      <c r="J5" s="1611">
        <f t="shared" ref="J5:J8" si="2">+H5+56321485</f>
        <v>338937719</v>
      </c>
      <c r="K5" s="1613">
        <f t="shared" ref="K5:K9" si="3">+J5/C5</f>
        <v>5.930050871847304E-2</v>
      </c>
    </row>
    <row r="6" spans="1:11" ht="15" thickBot="1">
      <c r="A6" s="1609" t="s">
        <v>2065</v>
      </c>
      <c r="B6" s="1610" t="s">
        <v>8</v>
      </c>
      <c r="C6" s="1611">
        <v>9118488485</v>
      </c>
      <c r="D6" s="1612">
        <v>232083106</v>
      </c>
      <c r="E6" s="1613">
        <v>2.5000000000000001E-2</v>
      </c>
      <c r="F6" s="1611">
        <f>+D6+25631524</f>
        <v>257714630</v>
      </c>
      <c r="G6" s="1623">
        <f t="shared" si="0"/>
        <v>2.8262867296914726E-2</v>
      </c>
      <c r="H6" s="1611">
        <f t="shared" ref="H5:H8" si="4">+F6+25632541</f>
        <v>283347171</v>
      </c>
      <c r="I6" s="1613">
        <f t="shared" si="1"/>
        <v>3.1073918826141942E-2</v>
      </c>
      <c r="J6" s="1611">
        <f t="shared" si="2"/>
        <v>339668656</v>
      </c>
      <c r="K6" s="1613">
        <f t="shared" si="3"/>
        <v>3.7250543942535887E-2</v>
      </c>
    </row>
    <row r="7" spans="1:11" ht="15" thickBot="1">
      <c r="A7" s="1609" t="s">
        <v>2066</v>
      </c>
      <c r="B7" s="1614" t="s">
        <v>9</v>
      </c>
      <c r="C7" s="1611">
        <v>5176589987</v>
      </c>
      <c r="D7" s="1612">
        <v>160204280</v>
      </c>
      <c r="E7" s="1613">
        <v>3.1E-2</v>
      </c>
      <c r="F7" s="1611">
        <f>+D7+25631524</f>
        <v>185835804</v>
      </c>
      <c r="G7" s="1623">
        <f t="shared" si="0"/>
        <v>3.5899270459258031E-2</v>
      </c>
      <c r="H7" s="1611">
        <f t="shared" si="4"/>
        <v>211468345</v>
      </c>
      <c r="I7" s="1613">
        <f t="shared" si="1"/>
        <v>4.085089712166922E-2</v>
      </c>
      <c r="J7" s="1611">
        <f t="shared" si="2"/>
        <v>267789830</v>
      </c>
      <c r="K7" s="1613">
        <f t="shared" si="3"/>
        <v>5.1730933041346162E-2</v>
      </c>
    </row>
    <row r="8" spans="1:11" ht="15" thickBot="1">
      <c r="A8" s="1609" t="s">
        <v>2753</v>
      </c>
      <c r="B8" s="1614" t="s">
        <v>51</v>
      </c>
      <c r="C8" s="1611">
        <v>9000000000</v>
      </c>
      <c r="D8" s="1612"/>
      <c r="E8" s="1615"/>
      <c r="F8" s="1611"/>
      <c r="G8" s="1623">
        <v>0</v>
      </c>
      <c r="H8" s="1611">
        <v>256398741</v>
      </c>
      <c r="I8" s="1613">
        <f>+H8/C8</f>
        <v>2.8488749000000001E-2</v>
      </c>
      <c r="J8" s="1611">
        <f t="shared" si="2"/>
        <v>312720226</v>
      </c>
      <c r="K8" s="1613">
        <f t="shared" si="3"/>
        <v>3.4746691777777776E-2</v>
      </c>
    </row>
    <row r="9" spans="1:11" ht="15" thickBot="1">
      <c r="A9" s="1619" t="s">
        <v>2381</v>
      </c>
      <c r="B9" s="1620"/>
      <c r="C9" s="1616">
        <v>34010673942</v>
      </c>
      <c r="D9" s="1617">
        <f>+_ftnref1+D5+D6+D7</f>
        <v>689563190</v>
      </c>
      <c r="E9" s="1618">
        <f>+D9/C9</f>
        <v>2.0274905201112584E-2</v>
      </c>
      <c r="F9" s="1617">
        <f>+F7+F6+F5+F4</f>
        <v>999704624</v>
      </c>
      <c r="G9" s="1618">
        <f>+F9/C9</f>
        <v>2.9393849286986882E-2</v>
      </c>
      <c r="H9" s="1617">
        <f>+H7+H6+H5+H4</f>
        <v>3870549228</v>
      </c>
      <c r="I9" s="1618">
        <f t="shared" si="1"/>
        <v>0.11380395562289149</v>
      </c>
      <c r="J9" s="1617">
        <f>+J7+J6+J5+J4</f>
        <v>4095835168</v>
      </c>
      <c r="K9" s="1618">
        <f>+J9/C9</f>
        <v>0.1204279331537158</v>
      </c>
    </row>
    <row r="12" spans="1:11">
      <c r="A12" s="1621"/>
    </row>
  </sheetData>
  <mergeCells count="1">
    <mergeCell ref="A9:B9"/>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7D594-A73E-4F94-9865-CB5F4B47D0BC}">
  <dimension ref="A1:H20"/>
  <sheetViews>
    <sheetView topLeftCell="B1" workbookViewId="0">
      <selection activeCell="J15" sqref="J15"/>
    </sheetView>
  </sheetViews>
  <sheetFormatPr baseColWidth="10" defaultRowHeight="14.4"/>
  <cols>
    <col min="1" max="1" width="33.6640625" customWidth="1"/>
    <col min="2" max="2" width="19.6640625" customWidth="1"/>
    <col min="3" max="3" width="26.109375" customWidth="1"/>
    <col min="4" max="4" width="17.88671875" customWidth="1"/>
    <col min="5" max="8" width="25.109375" customWidth="1"/>
  </cols>
  <sheetData>
    <row r="1" spans="1:8">
      <c r="A1" s="1349" t="s">
        <v>48</v>
      </c>
      <c r="B1" s="1351" t="s">
        <v>49</v>
      </c>
      <c r="C1" s="1349" t="s">
        <v>2384</v>
      </c>
      <c r="D1" s="909" t="s">
        <v>50</v>
      </c>
      <c r="E1" s="196" t="s">
        <v>50</v>
      </c>
      <c r="F1" s="196" t="s">
        <v>50</v>
      </c>
      <c r="G1" s="196" t="s">
        <v>50</v>
      </c>
      <c r="H1" s="196" t="s">
        <v>50</v>
      </c>
    </row>
    <row r="2" spans="1:8" ht="28.2" thickBot="1">
      <c r="A2" s="1350"/>
      <c r="B2" s="1352"/>
      <c r="C2" s="1350"/>
      <c r="D2" s="910" t="s">
        <v>2725</v>
      </c>
      <c r="E2" s="25" t="s">
        <v>2726</v>
      </c>
      <c r="F2" s="25" t="s">
        <v>2398</v>
      </c>
      <c r="G2" s="25" t="s">
        <v>2398</v>
      </c>
      <c r="H2" s="25" t="s">
        <v>2727</v>
      </c>
    </row>
    <row r="3" spans="1:8" ht="15" thickBot="1">
      <c r="A3" s="1353" t="s">
        <v>987</v>
      </c>
      <c r="B3" s="911" t="s">
        <v>7</v>
      </c>
      <c r="C3" s="912">
        <v>33600000000</v>
      </c>
      <c r="D3" s="912">
        <v>20573515169</v>
      </c>
      <c r="E3" s="913">
        <f>+D3+253698745123</f>
        <v>274272260292</v>
      </c>
      <c r="F3" s="913">
        <f>+E3+253698745123</f>
        <v>527971005415</v>
      </c>
      <c r="G3" s="913">
        <f>+F3+253698745123</f>
        <v>781669750538</v>
      </c>
      <c r="H3" s="913">
        <f>+G3+253698745123</f>
        <v>1035368495661</v>
      </c>
    </row>
    <row r="4" spans="1:8" ht="15" thickBot="1">
      <c r="A4" s="1354"/>
      <c r="B4" s="911" t="s">
        <v>51</v>
      </c>
      <c r="C4" s="912">
        <v>1780800000</v>
      </c>
      <c r="D4" s="915">
        <v>173568232</v>
      </c>
      <c r="E4" s="913">
        <f>+D4+253698745123</f>
        <v>253872313355</v>
      </c>
      <c r="F4" s="913">
        <f>+E4+253698745123</f>
        <v>507571058478</v>
      </c>
      <c r="G4" s="913">
        <f>+F4+253698745123</f>
        <v>761269803601</v>
      </c>
      <c r="H4" s="913">
        <f>+G4+253698745123</f>
        <v>1014968548724</v>
      </c>
    </row>
    <row r="5" spans="1:8" ht="15" thickBot="1">
      <c r="A5" s="1355"/>
      <c r="B5" s="911" t="s">
        <v>52</v>
      </c>
      <c r="C5" s="912">
        <v>1075200000</v>
      </c>
      <c r="D5" s="914" t="s">
        <v>56</v>
      </c>
      <c r="E5" s="913"/>
      <c r="F5" s="913"/>
      <c r="G5" s="913"/>
      <c r="H5" s="913"/>
    </row>
    <row r="6" spans="1:8" ht="15" thickBot="1">
      <c r="A6" s="1343" t="s">
        <v>57</v>
      </c>
      <c r="B6" s="1344"/>
      <c r="C6" s="916">
        <v>36456000000</v>
      </c>
      <c r="D6" s="916">
        <v>20747083401</v>
      </c>
      <c r="E6" s="913">
        <f t="shared" ref="E5:F14" si="0">+D6+253698745123</f>
        <v>274445828524</v>
      </c>
      <c r="F6" s="913">
        <f t="shared" si="0"/>
        <v>528144573647</v>
      </c>
      <c r="G6" s="913">
        <f t="shared" ref="G6:H6" si="1">+F6+253698745123</f>
        <v>781843318770</v>
      </c>
      <c r="H6" s="913">
        <f t="shared" si="1"/>
        <v>1035542063893</v>
      </c>
    </row>
    <row r="7" spans="1:8" ht="15" thickBot="1">
      <c r="A7" s="1345" t="s">
        <v>53</v>
      </c>
      <c r="B7" s="911" t="s">
        <v>8</v>
      </c>
      <c r="C7" s="912">
        <v>39357420001</v>
      </c>
      <c r="D7" s="912">
        <v>11628884394</v>
      </c>
      <c r="E7" s="913">
        <f t="shared" si="0"/>
        <v>265327629517</v>
      </c>
      <c r="F7" s="913">
        <f t="shared" si="0"/>
        <v>519026374640</v>
      </c>
      <c r="G7" s="913">
        <f t="shared" ref="G7:H7" si="2">+F7+253698745123</f>
        <v>772725119763</v>
      </c>
      <c r="H7" s="913">
        <f t="shared" si="2"/>
        <v>1026423864886</v>
      </c>
    </row>
    <row r="8" spans="1:8" ht="15" thickBot="1">
      <c r="A8" s="1346"/>
      <c r="B8" s="911" t="s">
        <v>51</v>
      </c>
      <c r="C8" s="912">
        <v>5922302324</v>
      </c>
      <c r="D8" s="915">
        <v>1943004648</v>
      </c>
      <c r="E8" s="913">
        <f t="shared" si="0"/>
        <v>255641749771</v>
      </c>
      <c r="F8" s="913">
        <f t="shared" si="0"/>
        <v>509340494894</v>
      </c>
      <c r="G8" s="913">
        <f t="shared" ref="G8:H8" si="3">+F8+253698745123</f>
        <v>763039240017</v>
      </c>
      <c r="H8" s="913">
        <f t="shared" si="3"/>
        <v>1016737985140</v>
      </c>
    </row>
    <row r="9" spans="1:8" ht="15" thickBot="1">
      <c r="A9" s="1343" t="s">
        <v>58</v>
      </c>
      <c r="B9" s="1344"/>
      <c r="C9" s="916">
        <v>45279722325</v>
      </c>
      <c r="D9" s="916">
        <v>13571889042</v>
      </c>
      <c r="E9" s="913">
        <f t="shared" si="0"/>
        <v>267270634165</v>
      </c>
      <c r="F9" s="913">
        <f t="shared" si="0"/>
        <v>520969379288</v>
      </c>
      <c r="G9" s="913">
        <f t="shared" ref="G9:H9" si="4">+F9+253698745123</f>
        <v>774668124411</v>
      </c>
      <c r="H9" s="913">
        <f t="shared" si="4"/>
        <v>1028366869534</v>
      </c>
    </row>
    <row r="10" spans="1:8" ht="15" thickBot="1">
      <c r="A10" s="1347" t="s">
        <v>54</v>
      </c>
      <c r="B10" s="917" t="s">
        <v>9</v>
      </c>
      <c r="C10" s="912">
        <v>22077591695</v>
      </c>
      <c r="D10" s="915">
        <v>3304894409</v>
      </c>
      <c r="E10" s="913">
        <f t="shared" si="0"/>
        <v>257003639532</v>
      </c>
      <c r="F10" s="913">
        <f t="shared" si="0"/>
        <v>510702384655</v>
      </c>
      <c r="G10" s="913">
        <f t="shared" ref="G10:H10" si="5">+F10+253698745123</f>
        <v>764401129778</v>
      </c>
      <c r="H10" s="913">
        <f t="shared" si="5"/>
        <v>1018099874901</v>
      </c>
    </row>
    <row r="11" spans="1:8" ht="15" thickBot="1">
      <c r="A11" s="1348"/>
      <c r="B11" s="917" t="s">
        <v>51</v>
      </c>
      <c r="C11" s="912">
        <v>2058560586</v>
      </c>
      <c r="D11" s="912">
        <v>604526693</v>
      </c>
      <c r="E11" s="913">
        <f t="shared" si="0"/>
        <v>254303271816</v>
      </c>
      <c r="F11" s="913">
        <f t="shared" si="0"/>
        <v>508002016939</v>
      </c>
      <c r="G11" s="913">
        <f t="shared" ref="G11:H11" si="6">+F11+253698745123</f>
        <v>761700762062</v>
      </c>
      <c r="H11" s="913">
        <f t="shared" si="6"/>
        <v>1015399507185</v>
      </c>
    </row>
    <row r="12" spans="1:8" ht="15" thickBot="1">
      <c r="A12" s="1343" t="s">
        <v>2385</v>
      </c>
      <c r="B12" s="1344"/>
      <c r="C12" s="916">
        <v>24136152281</v>
      </c>
      <c r="D12" s="916">
        <v>3909421102</v>
      </c>
      <c r="E12" s="913">
        <f t="shared" si="0"/>
        <v>257608166225</v>
      </c>
      <c r="F12" s="913">
        <f t="shared" si="0"/>
        <v>511306911348</v>
      </c>
      <c r="G12" s="913">
        <f t="shared" ref="G12:H12" si="7">+F12+253698745123</f>
        <v>765005656471</v>
      </c>
      <c r="H12" s="913">
        <f t="shared" si="7"/>
        <v>1018704401594</v>
      </c>
    </row>
    <row r="13" spans="1:8" ht="15" thickBot="1">
      <c r="A13" s="918" t="s">
        <v>55</v>
      </c>
      <c r="B13" s="917" t="s">
        <v>51</v>
      </c>
      <c r="C13" s="912">
        <v>168762121244</v>
      </c>
      <c r="D13" s="912">
        <v>30801218441</v>
      </c>
      <c r="E13" s="913">
        <f t="shared" si="0"/>
        <v>284499963564</v>
      </c>
      <c r="F13" s="913">
        <f t="shared" si="0"/>
        <v>538198708687</v>
      </c>
      <c r="G13" s="913">
        <f t="shared" ref="G13:H13" si="8">+F13+253698745123</f>
        <v>791897453810</v>
      </c>
      <c r="H13" s="913">
        <f t="shared" si="8"/>
        <v>1045596198933</v>
      </c>
    </row>
    <row r="14" spans="1:8" ht="15" thickBot="1">
      <c r="A14" s="1343" t="s">
        <v>988</v>
      </c>
      <c r="B14" s="1344"/>
      <c r="C14" s="916">
        <v>168762121244</v>
      </c>
      <c r="D14" s="916">
        <v>30801218441</v>
      </c>
      <c r="E14" s="913">
        <f t="shared" si="0"/>
        <v>284499963564</v>
      </c>
      <c r="F14" s="913">
        <f t="shared" si="0"/>
        <v>538198708687</v>
      </c>
      <c r="G14" s="913">
        <f t="shared" ref="G14:H14" si="9">+F14+253698745123</f>
        <v>791897453810</v>
      </c>
      <c r="H14" s="913">
        <f t="shared" si="9"/>
        <v>1045596198933</v>
      </c>
    </row>
    <row r="20" spans="3:3">
      <c r="C20" s="919"/>
    </row>
  </sheetData>
  <mergeCells count="10">
    <mergeCell ref="A1:A2"/>
    <mergeCell ref="B1:B2"/>
    <mergeCell ref="C1:C2"/>
    <mergeCell ref="A3:A5"/>
    <mergeCell ref="A6:B6"/>
    <mergeCell ref="A14:B14"/>
    <mergeCell ref="A7:A8"/>
    <mergeCell ref="A9:B9"/>
    <mergeCell ref="A10:A11"/>
    <mergeCell ref="A12:B1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8D968-BD46-4D21-9C4B-C20BF85E45EC}">
  <sheetPr>
    <tabColor rgb="FFFFFF00"/>
  </sheetPr>
  <dimension ref="A1:J51"/>
  <sheetViews>
    <sheetView workbookViewId="0">
      <pane xSplit="1" ySplit="3" topLeftCell="B4" activePane="bottomRight" state="frozen"/>
      <selection pane="topRight" activeCell="B1" sqref="B1"/>
      <selection pane="bottomLeft" activeCell="A2" sqref="A2"/>
      <selection pane="bottomRight" activeCell="N10" sqref="N10"/>
    </sheetView>
  </sheetViews>
  <sheetFormatPr baseColWidth="10" defaultRowHeight="14.4"/>
  <cols>
    <col min="1" max="1" width="17" style="15" customWidth="1"/>
    <col min="2" max="2" width="27.44140625" style="12" bestFit="1" customWidth="1"/>
    <col min="3" max="3" width="11.88671875" style="12" customWidth="1"/>
    <col min="4" max="4" width="12.88671875" style="12" customWidth="1"/>
    <col min="5" max="5" width="11.88671875" style="12" customWidth="1"/>
    <col min="6" max="6" width="13.6640625" style="12" customWidth="1"/>
    <col min="7" max="7" width="11.88671875" style="12" customWidth="1"/>
    <col min="8" max="8" width="15.109375" style="12" customWidth="1"/>
    <col min="9" max="9" width="11.88671875" style="12" customWidth="1"/>
    <col min="10" max="10" width="13.88671875" style="12" customWidth="1"/>
  </cols>
  <sheetData>
    <row r="1" spans="1:10" ht="15.6">
      <c r="A1" s="1474" t="s">
        <v>2759</v>
      </c>
      <c r="B1" s="1474"/>
      <c r="C1" s="1474"/>
      <c r="D1" s="1474"/>
      <c r="E1" s="1474"/>
      <c r="F1" s="1474"/>
      <c r="G1" s="1474"/>
      <c r="H1" s="1474"/>
      <c r="I1" s="1474"/>
      <c r="J1" s="1474"/>
    </row>
    <row r="3" spans="1:10" ht="33" customHeight="1">
      <c r="A3" s="770" t="s">
        <v>887</v>
      </c>
      <c r="B3" s="633" t="s">
        <v>60</v>
      </c>
      <c r="C3" s="633" t="s">
        <v>2396</v>
      </c>
      <c r="D3" s="633" t="s">
        <v>2397</v>
      </c>
      <c r="E3" s="633" t="s">
        <v>2399</v>
      </c>
      <c r="F3" s="633" t="s">
        <v>2400</v>
      </c>
      <c r="G3" s="633" t="s">
        <v>2401</v>
      </c>
      <c r="H3" s="633" t="s">
        <v>2402</v>
      </c>
      <c r="I3" s="633" t="s">
        <v>2403</v>
      </c>
      <c r="J3" s="633" t="s">
        <v>2404</v>
      </c>
    </row>
    <row r="4" spans="1:10">
      <c r="A4" s="1356" t="s">
        <v>2747</v>
      </c>
      <c r="B4" s="16" t="s">
        <v>63</v>
      </c>
      <c r="C4" s="720">
        <v>0.3</v>
      </c>
      <c r="D4" s="720">
        <v>0.2</v>
      </c>
      <c r="E4" s="720">
        <v>0.4</v>
      </c>
      <c r="F4" s="720">
        <v>0.26</v>
      </c>
      <c r="G4" s="720">
        <v>0.5</v>
      </c>
      <c r="H4" s="720">
        <v>0.3</v>
      </c>
      <c r="I4" s="720">
        <v>0.7</v>
      </c>
      <c r="J4" s="720">
        <v>0.5</v>
      </c>
    </row>
    <row r="5" spans="1:10">
      <c r="A5" s="1357"/>
      <c r="B5" s="16" t="s">
        <v>66</v>
      </c>
      <c r="C5" s="720">
        <v>0.75</v>
      </c>
      <c r="D5" s="720">
        <v>0.58333333333333337</v>
      </c>
      <c r="E5" s="720">
        <v>0.8</v>
      </c>
      <c r="F5" s="720">
        <v>0.6</v>
      </c>
      <c r="G5" s="720">
        <v>0.85</v>
      </c>
      <c r="H5" s="720">
        <v>0.65</v>
      </c>
      <c r="I5" s="720">
        <v>0.9</v>
      </c>
      <c r="J5" s="720">
        <v>0.65</v>
      </c>
    </row>
    <row r="6" spans="1:10">
      <c r="A6" s="1357"/>
      <c r="B6" s="16" t="s">
        <v>69</v>
      </c>
      <c r="C6" s="720">
        <v>0.45</v>
      </c>
      <c r="D6" s="720">
        <v>0.4</v>
      </c>
      <c r="E6" s="720">
        <v>0.5</v>
      </c>
      <c r="F6" s="720">
        <v>0.45</v>
      </c>
      <c r="G6" s="720">
        <v>0.55000000000000004</v>
      </c>
      <c r="H6" s="720">
        <v>0.5</v>
      </c>
      <c r="I6" s="720">
        <v>0.6</v>
      </c>
      <c r="J6" s="720">
        <v>0.6</v>
      </c>
    </row>
    <row r="7" spans="1:10">
      <c r="A7" s="1357"/>
      <c r="B7" s="16" t="s">
        <v>67</v>
      </c>
      <c r="C7" s="720">
        <v>0.4</v>
      </c>
      <c r="D7" s="720">
        <v>0.25</v>
      </c>
      <c r="E7" s="720">
        <v>0.45</v>
      </c>
      <c r="F7" s="720">
        <v>0.3</v>
      </c>
      <c r="G7" s="720">
        <v>0.5</v>
      </c>
      <c r="H7" s="720">
        <v>0.4</v>
      </c>
      <c r="I7" s="720">
        <v>0.55000000000000004</v>
      </c>
      <c r="J7" s="720">
        <v>0.4</v>
      </c>
    </row>
    <row r="8" spans="1:10">
      <c r="A8" s="1357"/>
      <c r="B8" s="16" t="s">
        <v>2137</v>
      </c>
      <c r="C8" s="720">
        <v>0.5</v>
      </c>
      <c r="D8" s="720">
        <v>0.5</v>
      </c>
      <c r="E8" s="720">
        <v>0.56000000000000005</v>
      </c>
      <c r="F8" s="720">
        <v>0.6</v>
      </c>
      <c r="G8" s="720">
        <v>0.6</v>
      </c>
      <c r="H8" s="720">
        <v>0.65</v>
      </c>
      <c r="I8" s="720">
        <v>0.7</v>
      </c>
      <c r="J8" s="720">
        <v>0.65</v>
      </c>
    </row>
    <row r="9" spans="1:10">
      <c r="A9" s="1357"/>
      <c r="B9" s="16" t="s">
        <v>1140</v>
      </c>
      <c r="C9" s="720">
        <v>0.75</v>
      </c>
      <c r="D9" s="720">
        <v>0.75</v>
      </c>
      <c r="E9" s="720">
        <v>0.8</v>
      </c>
      <c r="F9" s="720">
        <v>0.75</v>
      </c>
      <c r="G9" s="720">
        <v>0.85</v>
      </c>
      <c r="H9" s="720">
        <v>0.75</v>
      </c>
      <c r="I9" s="720">
        <v>0.9</v>
      </c>
      <c r="J9" s="720">
        <v>0.8</v>
      </c>
    </row>
    <row r="10" spans="1:10">
      <c r="A10" s="1357"/>
      <c r="B10" s="16" t="s">
        <v>2138</v>
      </c>
      <c r="C10" s="720">
        <v>0.625</v>
      </c>
      <c r="D10" s="720">
        <v>0.39999999999999997</v>
      </c>
      <c r="E10" s="720">
        <v>0.7</v>
      </c>
      <c r="F10" s="720">
        <v>0.45</v>
      </c>
      <c r="G10" s="720">
        <v>0.75</v>
      </c>
      <c r="H10" s="720">
        <v>0.5</v>
      </c>
      <c r="I10" s="720">
        <v>0.8</v>
      </c>
      <c r="J10" s="720">
        <v>0.54</v>
      </c>
    </row>
    <row r="11" spans="1:10">
      <c r="A11" s="1357"/>
      <c r="B11" s="16" t="s">
        <v>2395</v>
      </c>
      <c r="C11" s="720">
        <v>0.5</v>
      </c>
      <c r="D11" s="720">
        <v>0.19999999999999998</v>
      </c>
      <c r="E11" s="720">
        <v>0.55000000000000004</v>
      </c>
      <c r="F11" s="720">
        <v>0.25</v>
      </c>
      <c r="G11" s="720">
        <v>0.6</v>
      </c>
      <c r="H11" s="720">
        <v>0.3</v>
      </c>
      <c r="I11" s="720">
        <v>0.7</v>
      </c>
      <c r="J11" s="720">
        <v>0.4</v>
      </c>
    </row>
    <row r="12" spans="1:10">
      <c r="A12" s="1357"/>
      <c r="B12" s="16" t="s">
        <v>2405</v>
      </c>
      <c r="C12" s="720">
        <v>0.4</v>
      </c>
      <c r="D12" s="720">
        <v>0.25</v>
      </c>
      <c r="E12" s="720">
        <v>0.45</v>
      </c>
      <c r="F12" s="720">
        <v>0.3</v>
      </c>
      <c r="G12" s="720">
        <v>0.5</v>
      </c>
      <c r="H12" s="720">
        <v>0.35</v>
      </c>
      <c r="I12" s="720">
        <v>0.6</v>
      </c>
      <c r="J12" s="720">
        <v>0.35</v>
      </c>
    </row>
    <row r="13" spans="1:10">
      <c r="A13" s="1357"/>
      <c r="B13" s="763" t="s">
        <v>2141</v>
      </c>
      <c r="C13" s="720">
        <v>0.5625</v>
      </c>
      <c r="D13" s="720">
        <v>0.33750000000000002</v>
      </c>
      <c r="E13" s="720">
        <v>0.6</v>
      </c>
      <c r="F13" s="720">
        <v>0.4</v>
      </c>
      <c r="G13" s="720">
        <v>0.65</v>
      </c>
      <c r="H13" s="720">
        <v>0.4</v>
      </c>
      <c r="I13" s="720">
        <v>0.7</v>
      </c>
      <c r="J13" s="720">
        <v>0.4</v>
      </c>
    </row>
    <row r="14" spans="1:10">
      <c r="A14" s="1357"/>
      <c r="B14" s="763" t="s">
        <v>2193</v>
      </c>
      <c r="C14" s="720">
        <v>0.66666666666666663</v>
      </c>
      <c r="D14" s="720">
        <v>0.5</v>
      </c>
      <c r="E14" s="720">
        <v>0.7</v>
      </c>
      <c r="F14" s="720">
        <v>0.55000000000000004</v>
      </c>
      <c r="G14" s="720">
        <v>0.8</v>
      </c>
      <c r="H14" s="720">
        <v>0.6</v>
      </c>
      <c r="I14" s="720">
        <v>0.9</v>
      </c>
      <c r="J14" s="720">
        <v>0.6</v>
      </c>
    </row>
    <row r="15" spans="1:10">
      <c r="A15" s="1357"/>
      <c r="B15" s="763" t="s">
        <v>27</v>
      </c>
      <c r="C15" s="720">
        <v>0.5</v>
      </c>
      <c r="D15" s="720">
        <v>0.2</v>
      </c>
      <c r="E15" s="720">
        <v>0.56000000000000005</v>
      </c>
      <c r="F15" s="720">
        <v>0.25</v>
      </c>
      <c r="G15" s="720">
        <v>0.6</v>
      </c>
      <c r="H15" s="720">
        <v>0.4</v>
      </c>
      <c r="I15" s="720">
        <v>0.7</v>
      </c>
      <c r="J15" s="720">
        <v>0.4</v>
      </c>
    </row>
    <row r="16" spans="1:10" ht="26.4">
      <c r="A16" s="1357"/>
      <c r="B16" s="763" t="s">
        <v>2394</v>
      </c>
      <c r="C16" s="720">
        <v>0.35</v>
      </c>
      <c r="D16" s="720">
        <v>0.2</v>
      </c>
      <c r="E16" s="720">
        <v>0.4</v>
      </c>
      <c r="F16" s="720">
        <v>0.25</v>
      </c>
      <c r="G16" s="720">
        <v>0.4</v>
      </c>
      <c r="H16" s="720">
        <v>0.35</v>
      </c>
      <c r="I16" s="720">
        <v>0.5</v>
      </c>
      <c r="J16" s="720">
        <v>0.35</v>
      </c>
    </row>
    <row r="17" spans="1:10">
      <c r="A17" s="1358"/>
      <c r="B17" s="16" t="s">
        <v>2123</v>
      </c>
      <c r="C17" s="720">
        <v>0.25</v>
      </c>
      <c r="D17" s="720">
        <v>0.25</v>
      </c>
      <c r="E17" s="720">
        <v>0.5</v>
      </c>
      <c r="F17" s="720">
        <v>0.5</v>
      </c>
      <c r="G17" s="720">
        <v>0.75</v>
      </c>
      <c r="H17" s="720">
        <v>0.75</v>
      </c>
      <c r="I17" s="720">
        <v>1</v>
      </c>
      <c r="J17" s="720">
        <v>1</v>
      </c>
    </row>
    <row r="18" spans="1:10">
      <c r="A18" s="1356" t="s">
        <v>2388</v>
      </c>
      <c r="B18" s="16" t="s">
        <v>63</v>
      </c>
      <c r="C18" s="1421">
        <v>0.95</v>
      </c>
      <c r="D18" s="1421">
        <v>0.9</v>
      </c>
      <c r="E18" s="1421">
        <v>1</v>
      </c>
      <c r="F18" s="1421">
        <v>0.9</v>
      </c>
      <c r="G18" s="1421">
        <v>1</v>
      </c>
      <c r="H18" s="1421">
        <v>0.95</v>
      </c>
      <c r="I18" s="1421">
        <v>1</v>
      </c>
      <c r="J18" s="1421">
        <v>0.95</v>
      </c>
    </row>
    <row r="19" spans="1:10">
      <c r="A19" s="1357"/>
      <c r="B19" s="16" t="s">
        <v>65</v>
      </c>
      <c r="C19" s="1422">
        <v>1</v>
      </c>
      <c r="D19" s="1422">
        <v>0.95</v>
      </c>
      <c r="E19" s="1422">
        <v>1</v>
      </c>
      <c r="F19" s="1422">
        <v>0.95</v>
      </c>
      <c r="G19" s="1422">
        <v>1</v>
      </c>
      <c r="H19" s="1422">
        <v>0.95</v>
      </c>
      <c r="I19" s="1422">
        <v>1</v>
      </c>
      <c r="J19" s="1422">
        <v>0.95</v>
      </c>
    </row>
    <row r="20" spans="1:10">
      <c r="A20" s="1357"/>
      <c r="B20" s="16" t="s">
        <v>66</v>
      </c>
      <c r="C20" s="1422">
        <v>0.38</v>
      </c>
      <c r="D20" s="1422">
        <v>0.75</v>
      </c>
      <c r="E20" s="1422">
        <v>0.5</v>
      </c>
      <c r="F20" s="1422">
        <v>0.75</v>
      </c>
      <c r="G20" s="1422">
        <v>0.7</v>
      </c>
      <c r="H20" s="1422">
        <v>0.8</v>
      </c>
      <c r="I20" s="1422">
        <v>1</v>
      </c>
      <c r="J20" s="1422">
        <v>0.8</v>
      </c>
    </row>
    <row r="21" spans="1:10">
      <c r="A21" s="1357"/>
      <c r="B21" s="16" t="s">
        <v>69</v>
      </c>
      <c r="C21" s="1422">
        <v>0.6166666666666667</v>
      </c>
      <c r="D21" s="1422">
        <v>0.58666666666666667</v>
      </c>
      <c r="E21" s="1422">
        <v>0.7</v>
      </c>
      <c r="F21" s="1422">
        <v>0.6</v>
      </c>
      <c r="G21" s="1422">
        <v>0.8</v>
      </c>
      <c r="H21" s="1422">
        <v>0.65</v>
      </c>
      <c r="I21" s="1422">
        <v>0.9</v>
      </c>
      <c r="J21" s="1422">
        <v>0.7</v>
      </c>
    </row>
    <row r="22" spans="1:10">
      <c r="A22" s="1357"/>
      <c r="B22" s="17" t="s">
        <v>70</v>
      </c>
      <c r="C22" s="1422">
        <v>0.6166666666666667</v>
      </c>
      <c r="D22" s="1422">
        <v>0.57666666666666666</v>
      </c>
      <c r="E22" s="1422">
        <v>0.65</v>
      </c>
      <c r="F22" s="1422">
        <v>0.6</v>
      </c>
      <c r="G22" s="1422">
        <v>0.7</v>
      </c>
      <c r="H22" s="1422">
        <v>0.6</v>
      </c>
      <c r="I22" s="1422">
        <v>0.8</v>
      </c>
      <c r="J22" s="1422">
        <v>0.7</v>
      </c>
    </row>
    <row r="23" spans="1:10">
      <c r="A23" s="1357"/>
      <c r="B23" s="17" t="s">
        <v>27</v>
      </c>
      <c r="C23" s="1422">
        <v>0.5</v>
      </c>
      <c r="D23" s="1422">
        <v>0.2</v>
      </c>
      <c r="E23" s="1422">
        <v>0.55000000000000004</v>
      </c>
      <c r="F23" s="1422">
        <v>0.35</v>
      </c>
      <c r="G23" s="1422">
        <v>0.6</v>
      </c>
      <c r="H23" s="1422">
        <v>0.4</v>
      </c>
      <c r="I23" s="1422">
        <v>0.7</v>
      </c>
      <c r="J23" s="1422">
        <v>0.5</v>
      </c>
    </row>
    <row r="24" spans="1:10">
      <c r="A24" s="1357"/>
      <c r="B24" s="17" t="s">
        <v>72</v>
      </c>
      <c r="C24" s="1422">
        <v>0.42499999999999999</v>
      </c>
      <c r="D24" s="1422">
        <v>0.39</v>
      </c>
      <c r="E24" s="1422">
        <v>0.5</v>
      </c>
      <c r="F24" s="1422">
        <v>0.45</v>
      </c>
      <c r="G24" s="1422">
        <v>0.6</v>
      </c>
      <c r="H24" s="1422">
        <v>0.45</v>
      </c>
      <c r="I24" s="1422">
        <v>0.8</v>
      </c>
      <c r="J24" s="1422">
        <v>0.45</v>
      </c>
    </row>
    <row r="25" spans="1:10">
      <c r="A25" s="1357"/>
      <c r="B25" s="17" t="s">
        <v>73</v>
      </c>
      <c r="C25" s="1422">
        <v>1</v>
      </c>
      <c r="D25" s="1422">
        <v>1</v>
      </c>
      <c r="E25" s="1422">
        <v>1</v>
      </c>
      <c r="F25" s="1422">
        <v>1</v>
      </c>
      <c r="G25" s="1422">
        <v>1</v>
      </c>
      <c r="H25" s="1422">
        <v>1</v>
      </c>
      <c r="I25" s="1422">
        <v>1</v>
      </c>
      <c r="J25" s="1422">
        <v>1</v>
      </c>
    </row>
    <row r="26" spans="1:10" ht="26.4">
      <c r="A26" s="1357"/>
      <c r="B26" s="17" t="s">
        <v>88</v>
      </c>
      <c r="C26" s="1422">
        <v>1</v>
      </c>
      <c r="D26" s="1422">
        <v>1</v>
      </c>
      <c r="E26" s="1422">
        <v>1</v>
      </c>
      <c r="F26" s="1422">
        <v>1</v>
      </c>
      <c r="G26" s="1422">
        <v>1</v>
      </c>
      <c r="H26" s="1422">
        <v>1</v>
      </c>
      <c r="I26" s="1422">
        <v>1</v>
      </c>
      <c r="J26" s="1422">
        <v>1</v>
      </c>
    </row>
    <row r="27" spans="1:10">
      <c r="A27" s="1358"/>
      <c r="B27" s="16" t="s">
        <v>2125</v>
      </c>
      <c r="C27" s="1422">
        <v>0.25</v>
      </c>
      <c r="D27" s="1422">
        <v>0.25</v>
      </c>
      <c r="E27" s="1422">
        <v>0.5</v>
      </c>
      <c r="F27" s="1422">
        <v>0.5</v>
      </c>
      <c r="G27" s="1422">
        <v>0.75</v>
      </c>
      <c r="H27" s="1422">
        <v>0.75</v>
      </c>
      <c r="I27" s="1422">
        <v>1</v>
      </c>
      <c r="J27" s="1422">
        <v>1</v>
      </c>
    </row>
    <row r="28" spans="1:10">
      <c r="A28" s="1356" t="s">
        <v>2389</v>
      </c>
      <c r="B28" s="18" t="s">
        <v>63</v>
      </c>
      <c r="C28" s="1423">
        <v>0.6399999999999999</v>
      </c>
      <c r="D28" s="1423">
        <v>0.628</v>
      </c>
      <c r="E28" s="1423">
        <v>0.7</v>
      </c>
      <c r="F28" s="1423">
        <v>0.65</v>
      </c>
      <c r="G28" s="1423">
        <v>0.8</v>
      </c>
      <c r="H28" s="1423">
        <v>0.7</v>
      </c>
      <c r="I28" s="1423">
        <v>1</v>
      </c>
      <c r="J28" s="1423">
        <v>0.75</v>
      </c>
    </row>
    <row r="29" spans="1:10">
      <c r="A29" s="1357"/>
      <c r="B29" s="18" t="s">
        <v>65</v>
      </c>
      <c r="C29" s="1423">
        <v>0.2</v>
      </c>
      <c r="D29" s="1423">
        <v>0.1</v>
      </c>
      <c r="E29" s="1423">
        <v>0.25</v>
      </c>
      <c r="F29" s="1423">
        <v>0.1</v>
      </c>
      <c r="G29" s="1423">
        <v>0.4</v>
      </c>
      <c r="H29" s="1423">
        <v>0.1</v>
      </c>
      <c r="I29" s="1423">
        <v>0.55000000000000004</v>
      </c>
      <c r="J29" s="1423">
        <v>0.15</v>
      </c>
    </row>
    <row r="30" spans="1:10">
      <c r="A30" s="1357"/>
      <c r="B30" s="18" t="s">
        <v>66</v>
      </c>
      <c r="C30" s="1423">
        <v>0.7</v>
      </c>
      <c r="D30" s="1423">
        <v>0.6</v>
      </c>
      <c r="E30" s="1423">
        <v>0.75</v>
      </c>
      <c r="F30" s="1423">
        <v>0.65</v>
      </c>
      <c r="G30" s="1423">
        <v>0.8</v>
      </c>
      <c r="H30" s="1423">
        <v>0.67</v>
      </c>
      <c r="I30" s="1423">
        <v>1</v>
      </c>
      <c r="J30" s="1423">
        <v>0.7</v>
      </c>
    </row>
    <row r="31" spans="1:10">
      <c r="A31" s="1357"/>
      <c r="B31" s="18" t="s">
        <v>69</v>
      </c>
      <c r="C31" s="1423">
        <v>0.40000000000000008</v>
      </c>
      <c r="D31" s="1423">
        <v>0.21666666666666667</v>
      </c>
      <c r="E31" s="1423">
        <v>0.5</v>
      </c>
      <c r="F31" s="1423">
        <v>0.25</v>
      </c>
      <c r="G31" s="1423">
        <v>0.55000000000000004</v>
      </c>
      <c r="H31" s="1423">
        <v>0.45</v>
      </c>
      <c r="I31" s="1423">
        <v>0.6</v>
      </c>
      <c r="J31" s="1423">
        <v>0.45</v>
      </c>
    </row>
    <row r="32" spans="1:10">
      <c r="A32" s="1357"/>
      <c r="B32" s="18" t="s">
        <v>71</v>
      </c>
      <c r="C32" s="1423">
        <v>0.44999999999999996</v>
      </c>
      <c r="D32" s="1423">
        <v>0.32499999999999996</v>
      </c>
      <c r="E32" s="1423">
        <v>0.5</v>
      </c>
      <c r="F32" s="1423">
        <v>0.35</v>
      </c>
      <c r="G32" s="1423">
        <v>0.6</v>
      </c>
      <c r="H32" s="1423">
        <v>0.4</v>
      </c>
      <c r="I32" s="1423">
        <v>0.65</v>
      </c>
      <c r="J32" s="1423">
        <v>0.5</v>
      </c>
    </row>
    <row r="33" spans="1:10">
      <c r="A33" s="1357"/>
      <c r="B33" s="18" t="s">
        <v>72</v>
      </c>
      <c r="C33" s="1423">
        <v>0.55000000000000004</v>
      </c>
      <c r="D33" s="1423">
        <v>0.42500000000000004</v>
      </c>
      <c r="E33" s="1423">
        <v>0.7</v>
      </c>
      <c r="F33" s="1423">
        <v>0.42500000000000004</v>
      </c>
      <c r="G33" s="1423">
        <v>0.7</v>
      </c>
      <c r="H33" s="1423">
        <v>0.5</v>
      </c>
      <c r="I33" s="1423">
        <v>0.7</v>
      </c>
      <c r="J33" s="1423">
        <v>0.55000000000000004</v>
      </c>
    </row>
    <row r="34" spans="1:10" ht="26.4">
      <c r="A34" s="1357"/>
      <c r="B34" s="18" t="s">
        <v>88</v>
      </c>
      <c r="C34" s="1423">
        <v>0.35</v>
      </c>
      <c r="D34" s="1423">
        <v>0.25</v>
      </c>
      <c r="E34" s="1423">
        <v>0.45</v>
      </c>
      <c r="F34" s="1423">
        <v>0.3</v>
      </c>
      <c r="G34" s="1423">
        <v>0.5</v>
      </c>
      <c r="H34" s="1423">
        <v>0.35</v>
      </c>
      <c r="I34" s="1423">
        <v>0.6</v>
      </c>
      <c r="J34" s="1423">
        <v>0.55000000000000004</v>
      </c>
    </row>
    <row r="35" spans="1:10">
      <c r="A35" s="1357"/>
      <c r="B35" s="18" t="s">
        <v>20</v>
      </c>
      <c r="C35" s="1423">
        <v>0.3</v>
      </c>
      <c r="D35" s="1423">
        <v>0.25</v>
      </c>
      <c r="E35" s="1423">
        <v>0.4</v>
      </c>
      <c r="F35" s="1423">
        <v>0.3</v>
      </c>
      <c r="G35" s="1423">
        <v>0.45</v>
      </c>
      <c r="H35" s="1423">
        <v>0.35</v>
      </c>
      <c r="I35" s="1423">
        <v>0.5</v>
      </c>
      <c r="J35" s="1423">
        <v>0.4</v>
      </c>
    </row>
    <row r="36" spans="1:10">
      <c r="A36" s="1357"/>
      <c r="B36" s="18" t="s">
        <v>27</v>
      </c>
      <c r="C36" s="1423">
        <v>0.28333333333333338</v>
      </c>
      <c r="D36" s="1423">
        <v>0.18333333333333335</v>
      </c>
      <c r="E36" s="1423">
        <v>0.35</v>
      </c>
      <c r="F36" s="1423">
        <v>0.18333333333333335</v>
      </c>
      <c r="G36" s="1423">
        <v>0.4</v>
      </c>
      <c r="H36" s="1423">
        <v>0.18333333333333335</v>
      </c>
      <c r="I36" s="1423">
        <v>0.45</v>
      </c>
      <c r="J36" s="1423">
        <v>0.18333333333333335</v>
      </c>
    </row>
    <row r="37" spans="1:10">
      <c r="A37" s="1357"/>
      <c r="B37" s="18" t="s">
        <v>2137</v>
      </c>
      <c r="C37" s="1423">
        <v>0.625</v>
      </c>
      <c r="D37" s="1423">
        <v>0.22499999999999998</v>
      </c>
      <c r="E37" s="1423">
        <v>0.7</v>
      </c>
      <c r="F37" s="1423">
        <v>0.23</v>
      </c>
      <c r="G37" s="1423">
        <v>0.75</v>
      </c>
      <c r="H37" s="1423">
        <v>0.25</v>
      </c>
      <c r="I37" s="1423">
        <v>1</v>
      </c>
      <c r="J37" s="1423">
        <v>0.25</v>
      </c>
    </row>
    <row r="38" spans="1:10">
      <c r="A38" s="1357"/>
      <c r="B38" s="763" t="s">
        <v>2141</v>
      </c>
      <c r="C38" s="1423">
        <v>0.75</v>
      </c>
      <c r="D38" s="1423">
        <v>0.65</v>
      </c>
      <c r="E38" s="1423">
        <v>0.75</v>
      </c>
      <c r="F38" s="1423">
        <v>0.65</v>
      </c>
      <c r="G38" s="1423">
        <v>0.8</v>
      </c>
      <c r="H38" s="1423">
        <v>0.7</v>
      </c>
      <c r="I38" s="1423">
        <v>0.8</v>
      </c>
      <c r="J38" s="1423">
        <v>0.75</v>
      </c>
    </row>
    <row r="39" spans="1:10">
      <c r="A39" s="1358"/>
      <c r="B39" s="21" t="s">
        <v>2139</v>
      </c>
      <c r="C39" s="1423">
        <v>0.25</v>
      </c>
      <c r="D39" s="1423">
        <v>0.25</v>
      </c>
      <c r="E39" s="1423">
        <v>0.5</v>
      </c>
      <c r="F39" s="1423">
        <v>0.5</v>
      </c>
      <c r="G39" s="1423">
        <v>0.75</v>
      </c>
      <c r="H39" s="1423">
        <v>0.75</v>
      </c>
      <c r="I39" s="1423">
        <v>1</v>
      </c>
      <c r="J39" s="1423">
        <v>1</v>
      </c>
    </row>
    <row r="40" spans="1:10">
      <c r="A40" s="1356" t="s">
        <v>2390</v>
      </c>
      <c r="B40" s="17" t="s">
        <v>63</v>
      </c>
      <c r="C40" s="1424">
        <v>0.38</v>
      </c>
      <c r="D40" s="1424">
        <v>0.31880000000000003</v>
      </c>
      <c r="E40" s="1424">
        <v>0.45</v>
      </c>
      <c r="F40" s="1424">
        <v>0.35</v>
      </c>
      <c r="G40" s="1424">
        <v>0.5</v>
      </c>
      <c r="H40" s="1424">
        <v>0.4</v>
      </c>
      <c r="I40" s="1424">
        <v>0.75</v>
      </c>
      <c r="J40" s="1424">
        <v>0.45</v>
      </c>
    </row>
    <row r="41" spans="1:10">
      <c r="A41" s="1357"/>
      <c r="B41" s="17" t="s">
        <v>65</v>
      </c>
      <c r="C41" s="1424">
        <v>0.5</v>
      </c>
      <c r="D41" s="1424">
        <v>0.3</v>
      </c>
      <c r="E41" s="1424">
        <v>0.55000000000000004</v>
      </c>
      <c r="F41" s="1424">
        <v>0.35</v>
      </c>
      <c r="G41" s="1424">
        <v>0.6</v>
      </c>
      <c r="H41" s="1424">
        <v>0.35</v>
      </c>
      <c r="I41" s="1424">
        <v>0.65</v>
      </c>
      <c r="J41" s="1424">
        <v>0.4</v>
      </c>
    </row>
    <row r="42" spans="1:10">
      <c r="A42" s="1357"/>
      <c r="B42" s="17" t="s">
        <v>66</v>
      </c>
      <c r="C42" s="1424">
        <v>0.73333333333333339</v>
      </c>
      <c r="D42" s="1424">
        <v>0.58333333333333337</v>
      </c>
      <c r="E42" s="1424">
        <v>0.73333333333333339</v>
      </c>
      <c r="F42" s="1424">
        <v>0.65</v>
      </c>
      <c r="G42" s="1424">
        <v>0.75</v>
      </c>
      <c r="H42" s="1424">
        <v>0.75</v>
      </c>
      <c r="I42" s="1424">
        <v>1</v>
      </c>
      <c r="J42" s="1424">
        <v>0.75</v>
      </c>
    </row>
    <row r="43" spans="1:10">
      <c r="A43" s="1357"/>
      <c r="B43" s="17" t="s">
        <v>69</v>
      </c>
      <c r="C43" s="1424">
        <v>0.25</v>
      </c>
      <c r="D43" s="1424">
        <v>0.2</v>
      </c>
      <c r="E43" s="1424">
        <v>0.3</v>
      </c>
      <c r="F43" s="1424">
        <v>0.25</v>
      </c>
      <c r="G43" s="1424">
        <v>0.35</v>
      </c>
      <c r="H43" s="1424">
        <v>0.35</v>
      </c>
      <c r="I43" s="1424">
        <v>1</v>
      </c>
      <c r="J43" s="1424">
        <v>0.35</v>
      </c>
    </row>
    <row r="44" spans="1:10" ht="26.4">
      <c r="A44" s="1357"/>
      <c r="B44" s="17" t="s">
        <v>88</v>
      </c>
      <c r="C44" s="1424">
        <v>0.3</v>
      </c>
      <c r="D44" s="1424">
        <v>0.15</v>
      </c>
      <c r="E44" s="1424">
        <v>0.35</v>
      </c>
      <c r="F44" s="1424">
        <v>0.15</v>
      </c>
      <c r="G44" s="1424">
        <v>0.4</v>
      </c>
      <c r="H44" s="1424">
        <v>0.15</v>
      </c>
      <c r="I44" s="1424">
        <v>0.5</v>
      </c>
      <c r="J44" s="1424">
        <v>0.15</v>
      </c>
    </row>
    <row r="45" spans="1:10">
      <c r="A45" s="1357"/>
      <c r="B45" s="763" t="s">
        <v>2382</v>
      </c>
      <c r="C45" s="1424">
        <v>0.5</v>
      </c>
      <c r="D45" s="1424">
        <v>0.4</v>
      </c>
      <c r="E45" s="1424">
        <v>0.55000000000000004</v>
      </c>
      <c r="F45" s="1424">
        <v>0.45</v>
      </c>
      <c r="G45" s="1424">
        <v>0.6</v>
      </c>
      <c r="H45" s="1424">
        <v>0.5</v>
      </c>
      <c r="I45" s="1424">
        <v>0.65</v>
      </c>
      <c r="J45" s="1424">
        <v>0.6</v>
      </c>
    </row>
    <row r="46" spans="1:10">
      <c r="A46" s="1357"/>
      <c r="B46" s="763" t="s">
        <v>27</v>
      </c>
      <c r="C46" s="1424">
        <v>0.1</v>
      </c>
      <c r="D46" s="1424">
        <v>0.05</v>
      </c>
      <c r="E46" s="1424">
        <v>0.15</v>
      </c>
      <c r="F46" s="1424">
        <v>0.05</v>
      </c>
      <c r="G46" s="1424">
        <v>0.2</v>
      </c>
      <c r="H46" s="1424">
        <v>0.05</v>
      </c>
      <c r="I46" s="1424">
        <v>0.3</v>
      </c>
      <c r="J46" s="1424">
        <v>0.05</v>
      </c>
    </row>
    <row r="47" spans="1:10">
      <c r="A47" s="1357"/>
      <c r="B47" s="763" t="s">
        <v>1133</v>
      </c>
      <c r="C47" s="1424">
        <v>0.35</v>
      </c>
      <c r="D47" s="1424">
        <v>0.22500000000000001</v>
      </c>
      <c r="E47" s="1424">
        <v>0.5</v>
      </c>
      <c r="F47" s="1424">
        <v>0.25</v>
      </c>
      <c r="G47" s="1424">
        <v>0.55000000000000004</v>
      </c>
      <c r="H47" s="1424">
        <v>0.3</v>
      </c>
      <c r="I47" s="1424">
        <v>0.75</v>
      </c>
      <c r="J47" s="1424">
        <v>0.35</v>
      </c>
    </row>
    <row r="48" spans="1:10">
      <c r="A48" s="1358"/>
      <c r="B48" s="763" t="s">
        <v>2140</v>
      </c>
      <c r="C48" s="1424">
        <v>0.25</v>
      </c>
      <c r="D48" s="1424">
        <v>0.25</v>
      </c>
      <c r="E48" s="1424">
        <v>0.5</v>
      </c>
      <c r="F48" s="1424">
        <v>0.5</v>
      </c>
      <c r="G48" s="1424">
        <v>0.75</v>
      </c>
      <c r="H48" s="1424">
        <v>0.75</v>
      </c>
      <c r="I48" s="1424">
        <v>1</v>
      </c>
      <c r="J48" s="1424">
        <v>1</v>
      </c>
    </row>
    <row r="49" spans="1:10" ht="14.4" customHeight="1">
      <c r="A49" s="1359" t="s">
        <v>113</v>
      </c>
      <c r="B49" s="16" t="s">
        <v>100</v>
      </c>
      <c r="C49" s="720">
        <v>0.81</v>
      </c>
      <c r="D49" s="720">
        <v>0.84</v>
      </c>
      <c r="E49" s="720">
        <v>0.85</v>
      </c>
      <c r="F49" s="720">
        <v>0.84</v>
      </c>
      <c r="G49" s="720">
        <v>0.9</v>
      </c>
      <c r="H49" s="720">
        <v>0.95</v>
      </c>
      <c r="I49" s="720">
        <v>1</v>
      </c>
      <c r="J49" s="720">
        <v>1.2</v>
      </c>
    </row>
    <row r="50" spans="1:10">
      <c r="A50" s="1359"/>
      <c r="B50" s="16" t="s">
        <v>101</v>
      </c>
      <c r="C50" s="720">
        <v>0.7</v>
      </c>
      <c r="D50" s="720">
        <v>0.67</v>
      </c>
      <c r="E50" s="720">
        <v>0.75</v>
      </c>
      <c r="F50" s="720">
        <v>0.7</v>
      </c>
      <c r="G50" s="720">
        <v>0.8</v>
      </c>
      <c r="H50" s="720">
        <v>0.75</v>
      </c>
      <c r="I50" s="720">
        <v>1</v>
      </c>
      <c r="J50" s="720">
        <v>0.75</v>
      </c>
    </row>
    <row r="51" spans="1:10" ht="26.4">
      <c r="A51" s="1359"/>
      <c r="B51" s="763" t="s">
        <v>2142</v>
      </c>
      <c r="C51" s="720">
        <v>0.25</v>
      </c>
      <c r="D51" s="720">
        <v>0.25</v>
      </c>
      <c r="E51" s="720">
        <v>0.5</v>
      </c>
      <c r="F51" s="720">
        <v>0.5</v>
      </c>
      <c r="G51" s="720">
        <v>0.75</v>
      </c>
      <c r="H51" s="720">
        <v>0.75</v>
      </c>
      <c r="I51" s="720">
        <v>0.75</v>
      </c>
      <c r="J51" s="720">
        <v>0.75</v>
      </c>
    </row>
  </sheetData>
  <mergeCells count="6">
    <mergeCell ref="A1:J1"/>
    <mergeCell ref="A4:A17"/>
    <mergeCell ref="A18:A27"/>
    <mergeCell ref="A28:A39"/>
    <mergeCell ref="A40:A48"/>
    <mergeCell ref="A49:A5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8D8A7-0BEC-428B-B98F-8472CB7754F6}">
  <sheetPr>
    <tabColor rgb="FFFFFF00"/>
  </sheetPr>
  <dimension ref="B1:G48"/>
  <sheetViews>
    <sheetView workbookViewId="0">
      <selection activeCell="D2" sqref="D2"/>
    </sheetView>
  </sheetViews>
  <sheetFormatPr baseColWidth="10" defaultRowHeight="14.4"/>
  <cols>
    <col min="2" max="2" width="17" customWidth="1"/>
    <col min="3" max="3" width="28.5546875" customWidth="1"/>
    <col min="4" max="4" width="10.6640625" customWidth="1"/>
    <col min="5" max="5" width="13.5546875" customWidth="1"/>
    <col min="6" max="6" width="15.6640625" bestFit="1" customWidth="1"/>
    <col min="7" max="7" width="19.109375" customWidth="1"/>
    <col min="8" max="8" width="15.88671875" customWidth="1"/>
  </cols>
  <sheetData>
    <row r="1" spans="2:7" ht="26.4">
      <c r="B1" s="770" t="s">
        <v>887</v>
      </c>
      <c r="C1" s="633" t="s">
        <v>60</v>
      </c>
      <c r="D1" s="633" t="s">
        <v>1763</v>
      </c>
      <c r="E1" s="633" t="s">
        <v>2157</v>
      </c>
      <c r="F1" s="633" t="s">
        <v>2158</v>
      </c>
      <c r="G1" s="633" t="s">
        <v>2159</v>
      </c>
    </row>
    <row r="2" spans="2:7">
      <c r="B2" s="1356" t="s">
        <v>112</v>
      </c>
      <c r="C2" s="16" t="s">
        <v>2149</v>
      </c>
      <c r="D2" s="720" t="e">
        <f>+#REF!</f>
        <v>#REF!</v>
      </c>
    </row>
    <row r="3" spans="2:7">
      <c r="B3" s="1357"/>
      <c r="C3" s="16" t="s">
        <v>65</v>
      </c>
      <c r="D3" s="720" t="e">
        <f>+#REF!</f>
        <v>#REF!</v>
      </c>
    </row>
    <row r="4" spans="2:7">
      <c r="B4" s="1357"/>
      <c r="C4" s="16" t="s">
        <v>66</v>
      </c>
      <c r="D4" s="720" t="e">
        <f>+#REF!</f>
        <v>#REF!</v>
      </c>
    </row>
    <row r="5" spans="2:7">
      <c r="B5" s="1357"/>
      <c r="C5" s="16" t="s">
        <v>69</v>
      </c>
      <c r="D5" s="720" t="e">
        <f>+#REF!</f>
        <v>#REF!</v>
      </c>
    </row>
    <row r="6" spans="2:7">
      <c r="B6" s="1357"/>
      <c r="C6" s="16" t="s">
        <v>67</v>
      </c>
      <c r="D6" s="720" t="e">
        <f>+#REF!</f>
        <v>#REF!</v>
      </c>
    </row>
    <row r="7" spans="2:7">
      <c r="B7" s="1357"/>
      <c r="C7" s="16" t="s">
        <v>2137</v>
      </c>
      <c r="D7" s="720">
        <v>0.6</v>
      </c>
    </row>
    <row r="8" spans="2:7">
      <c r="B8" s="1357"/>
      <c r="C8" s="16" t="s">
        <v>2138</v>
      </c>
      <c r="D8" s="720">
        <v>0.6</v>
      </c>
    </row>
    <row r="9" spans="2:7">
      <c r="B9" s="1357"/>
      <c r="C9" s="763" t="s">
        <v>2141</v>
      </c>
      <c r="D9" s="720">
        <v>0.6</v>
      </c>
    </row>
    <row r="10" spans="2:7">
      <c r="B10" s="1358"/>
      <c r="C10" s="16" t="s">
        <v>2123</v>
      </c>
      <c r="D10" s="720" t="e">
        <f>+#REF!</f>
        <v>#REF!</v>
      </c>
    </row>
    <row r="11" spans="2:7">
      <c r="B11" s="1356" t="s">
        <v>68</v>
      </c>
      <c r="C11" s="16" t="s">
        <v>2149</v>
      </c>
      <c r="D11" s="721">
        <v>0.77</v>
      </c>
      <c r="E11" s="779">
        <v>0.2</v>
      </c>
      <c r="F11" s="1360">
        <f>+SUM(E11:E20)</f>
        <v>1</v>
      </c>
      <c r="G11" s="1361" t="e">
        <f>+SUMPRODUCT(D11:D20,E11:E20)/SUM(E11:E20)</f>
        <v>#REF!</v>
      </c>
    </row>
    <row r="12" spans="2:7">
      <c r="B12" s="1357"/>
      <c r="C12" s="16" t="s">
        <v>1322</v>
      </c>
      <c r="D12" s="778">
        <v>0.89</v>
      </c>
      <c r="E12" s="779">
        <v>0.2</v>
      </c>
      <c r="F12" s="1360"/>
      <c r="G12" s="1361"/>
    </row>
    <row r="13" spans="2:7">
      <c r="B13" s="1357"/>
      <c r="C13" s="16" t="s">
        <v>66</v>
      </c>
      <c r="D13" s="720">
        <v>0.82</v>
      </c>
      <c r="E13" s="779">
        <v>0.2</v>
      </c>
      <c r="F13" s="1360"/>
      <c r="G13" s="1361"/>
    </row>
    <row r="14" spans="2:7">
      <c r="B14" s="1357"/>
      <c r="C14" s="16" t="s">
        <v>2155</v>
      </c>
      <c r="D14" s="720" t="e">
        <f>+#REF!</f>
        <v>#REF!</v>
      </c>
      <c r="E14" s="779">
        <v>0.15</v>
      </c>
      <c r="F14" s="1360"/>
      <c r="G14" s="1361"/>
    </row>
    <row r="15" spans="2:7">
      <c r="B15" s="1357"/>
      <c r="C15" s="763" t="s">
        <v>2154</v>
      </c>
      <c r="D15" s="720" t="e">
        <f>+AVERAGE(#REF!)</f>
        <v>#REF!</v>
      </c>
      <c r="E15" s="779">
        <v>0.1</v>
      </c>
      <c r="F15" s="1360"/>
      <c r="G15" s="1361"/>
    </row>
    <row r="16" spans="2:7">
      <c r="B16" s="1357"/>
      <c r="C16" s="763" t="s">
        <v>2153</v>
      </c>
      <c r="D16" s="720" t="e">
        <f>+#REF!</f>
        <v>#REF!</v>
      </c>
      <c r="E16" s="779">
        <v>0.1</v>
      </c>
      <c r="F16" s="1360"/>
      <c r="G16" s="1361"/>
    </row>
    <row r="17" spans="2:7">
      <c r="B17" s="1357"/>
      <c r="C17" s="763" t="s">
        <v>2152</v>
      </c>
      <c r="D17" s="720" t="e">
        <f>+AVERAGE(#REF!)</f>
        <v>#REF!</v>
      </c>
      <c r="E17" s="780">
        <v>1.4999999999999999E-2</v>
      </c>
      <c r="F17" s="1360"/>
      <c r="G17" s="1361"/>
    </row>
    <row r="18" spans="2:7">
      <c r="B18" s="1357"/>
      <c r="C18" s="763" t="s">
        <v>2151</v>
      </c>
      <c r="D18" s="720" t="e">
        <f>+#REF!</f>
        <v>#REF!</v>
      </c>
      <c r="E18" s="780">
        <v>1.4999999999999999E-2</v>
      </c>
      <c r="F18" s="1360"/>
      <c r="G18" s="1361"/>
    </row>
    <row r="19" spans="2:7">
      <c r="B19" s="1357"/>
      <c r="C19" s="763" t="s">
        <v>2150</v>
      </c>
      <c r="D19" s="720" t="e">
        <f>+#REF!</f>
        <v>#REF!</v>
      </c>
      <c r="E19" s="780">
        <v>1.4999999999999999E-2</v>
      </c>
      <c r="F19" s="1360"/>
      <c r="G19" s="1361"/>
    </row>
    <row r="20" spans="2:7">
      <c r="B20" s="1358"/>
      <c r="C20" s="16" t="s">
        <v>2156</v>
      </c>
      <c r="D20" s="720" t="e">
        <f>+#REF!</f>
        <v>#REF!</v>
      </c>
      <c r="E20" s="780">
        <v>5.0000000000000001E-3</v>
      </c>
      <c r="F20" s="1362"/>
      <c r="G20" s="1361"/>
    </row>
    <row r="21" spans="2:7">
      <c r="B21" s="1356" t="s">
        <v>76</v>
      </c>
      <c r="C21" s="769" t="s">
        <v>63</v>
      </c>
      <c r="D21" s="720" t="e">
        <f>+AVERAGE(#REF!)</f>
        <v>#REF!</v>
      </c>
      <c r="E21" s="781">
        <v>0.2</v>
      </c>
      <c r="F21" s="1363">
        <f>+SUM(E21:E34)</f>
        <v>1.0000000000000002</v>
      </c>
      <c r="G21" s="1361" t="e">
        <f>+SUMPRODUCT(D21:D34,E21:E34)/SUM(E21:E34)</f>
        <v>#REF!</v>
      </c>
    </row>
    <row r="22" spans="2:7">
      <c r="B22" s="1357"/>
      <c r="C22" s="769" t="s">
        <v>65</v>
      </c>
      <c r="D22" s="720" t="e">
        <f>+#REF!</f>
        <v>#REF!</v>
      </c>
      <c r="E22" s="781">
        <v>0.2</v>
      </c>
      <c r="F22" s="1363"/>
      <c r="G22" s="1361"/>
    </row>
    <row r="23" spans="2:7">
      <c r="B23" s="1357"/>
      <c r="C23" s="769" t="s">
        <v>66</v>
      </c>
      <c r="D23" s="720" t="e">
        <f>+AVERAGE(#REF!)</f>
        <v>#REF!</v>
      </c>
      <c r="E23" s="781">
        <v>0.2</v>
      </c>
      <c r="F23" s="1363"/>
      <c r="G23" s="1361"/>
    </row>
    <row r="24" spans="2:7">
      <c r="B24" s="1357"/>
      <c r="C24" s="769" t="s">
        <v>69</v>
      </c>
      <c r="D24" s="720" t="e">
        <f>+AVERAGE(#REF!)</f>
        <v>#REF!</v>
      </c>
      <c r="E24" s="781">
        <v>0.15</v>
      </c>
      <c r="F24" s="1363"/>
      <c r="G24" s="1361"/>
    </row>
    <row r="25" spans="2:7">
      <c r="B25" s="1357"/>
      <c r="C25" s="769" t="s">
        <v>804</v>
      </c>
      <c r="D25" s="720">
        <v>0</v>
      </c>
      <c r="E25" s="781">
        <v>5.0000000000000001E-3</v>
      </c>
      <c r="F25" s="1363"/>
      <c r="G25" s="1361"/>
    </row>
    <row r="26" spans="2:7">
      <c r="B26" s="1357"/>
      <c r="C26" s="769" t="s">
        <v>71</v>
      </c>
      <c r="D26" s="720">
        <v>0.43</v>
      </c>
      <c r="E26" s="781">
        <v>0.1</v>
      </c>
      <c r="F26" s="1363"/>
      <c r="G26" s="1361"/>
    </row>
    <row r="27" spans="2:7">
      <c r="B27" s="1357"/>
      <c r="C27" s="769" t="s">
        <v>72</v>
      </c>
      <c r="D27" s="720" t="e">
        <f>+AVERAGE(#REF!)</f>
        <v>#REF!</v>
      </c>
      <c r="E27" s="781">
        <v>2.5000000000000001E-2</v>
      </c>
      <c r="F27" s="1363"/>
      <c r="G27" s="1361"/>
    </row>
    <row r="28" spans="2:7" ht="26.4">
      <c r="B28" s="1357"/>
      <c r="C28" s="769" t="s">
        <v>88</v>
      </c>
      <c r="D28" s="720" t="e">
        <f>+AVERAGE(#REF!)</f>
        <v>#REF!</v>
      </c>
      <c r="E28" s="781">
        <v>2.5000000000000001E-2</v>
      </c>
      <c r="F28" s="1363"/>
      <c r="G28" s="1361"/>
    </row>
    <row r="29" spans="2:7">
      <c r="B29" s="1357"/>
      <c r="C29" s="769" t="s">
        <v>20</v>
      </c>
      <c r="D29" s="720" t="e">
        <f>+#REF!</f>
        <v>#REF!</v>
      </c>
      <c r="E29" s="781">
        <v>2.5000000000000001E-2</v>
      </c>
      <c r="F29" s="1363"/>
      <c r="G29" s="1361"/>
    </row>
    <row r="30" spans="2:7">
      <c r="B30" s="1357"/>
      <c r="C30" s="769" t="s">
        <v>27</v>
      </c>
      <c r="D30" s="720" t="e">
        <f>+#REF!</f>
        <v>#REF!</v>
      </c>
      <c r="E30" s="781">
        <v>0.01</v>
      </c>
      <c r="F30" s="1363"/>
      <c r="G30" s="1361"/>
    </row>
    <row r="31" spans="2:7">
      <c r="B31" s="1357"/>
      <c r="C31" s="769" t="s">
        <v>2137</v>
      </c>
      <c r="D31" s="720">
        <v>0.75</v>
      </c>
      <c r="E31" s="781">
        <v>0.02</v>
      </c>
      <c r="F31" s="1363"/>
      <c r="G31" s="1361"/>
    </row>
    <row r="32" spans="2:7">
      <c r="B32" s="1357"/>
      <c r="C32" s="763" t="s">
        <v>2141</v>
      </c>
      <c r="D32" s="720">
        <v>0.75</v>
      </c>
      <c r="E32" s="781">
        <v>0.02</v>
      </c>
      <c r="F32" s="1363"/>
      <c r="G32" s="1361"/>
    </row>
    <row r="33" spans="2:7">
      <c r="B33" s="1357"/>
      <c r="C33" s="769" t="s">
        <v>2138</v>
      </c>
      <c r="D33" s="720">
        <v>0.57999999999999996</v>
      </c>
      <c r="E33" s="781">
        <v>5.0000000000000001E-3</v>
      </c>
      <c r="F33" s="1363"/>
      <c r="G33" s="1361"/>
    </row>
    <row r="34" spans="2:7">
      <c r="B34" s="1358"/>
      <c r="C34" s="21" t="s">
        <v>2139</v>
      </c>
      <c r="D34" s="720">
        <v>0.75</v>
      </c>
      <c r="E34" s="781">
        <v>1.4999999999999999E-2</v>
      </c>
      <c r="F34" s="1363"/>
      <c r="G34" s="1361"/>
    </row>
    <row r="35" spans="2:7">
      <c r="B35" s="1359" t="s">
        <v>93</v>
      </c>
      <c r="C35" s="763" t="s">
        <v>63</v>
      </c>
      <c r="D35" s="720" t="e">
        <f>+#REF!</f>
        <v>#REF!</v>
      </c>
      <c r="E35" s="780">
        <v>0.3</v>
      </c>
      <c r="F35" s="1360">
        <f>+SUM(E35:E42)</f>
        <v>0.99999999999999989</v>
      </c>
      <c r="G35" s="1364" t="e">
        <f>+SUMPRODUCT(D35:D42,E35:E42)/SUM(E35:E42)</f>
        <v>#REF!</v>
      </c>
    </row>
    <row r="36" spans="2:7">
      <c r="B36" s="1359"/>
      <c r="C36" s="763" t="s">
        <v>65</v>
      </c>
      <c r="D36" s="720" t="e">
        <f>+#REF!</f>
        <v>#REF!</v>
      </c>
      <c r="E36" s="780">
        <v>0.3</v>
      </c>
      <c r="F36" s="1360"/>
      <c r="G36" s="1365"/>
    </row>
    <row r="37" spans="2:7">
      <c r="B37" s="1359"/>
      <c r="C37" s="763" t="s">
        <v>66</v>
      </c>
      <c r="D37" s="720" t="e">
        <f>+AVERAGE(#REF!)</f>
        <v>#REF!</v>
      </c>
      <c r="E37" s="780">
        <v>0.1</v>
      </c>
      <c r="F37" s="1360"/>
      <c r="G37" s="1365"/>
    </row>
    <row r="38" spans="2:7">
      <c r="B38" s="1359"/>
      <c r="C38" s="763" t="s">
        <v>69</v>
      </c>
      <c r="D38" s="720" t="e">
        <f>+AVERAGE(#REF!)</f>
        <v>#REF!</v>
      </c>
      <c r="E38" s="783">
        <v>0.2</v>
      </c>
      <c r="F38" s="1360"/>
      <c r="G38" s="1365"/>
    </row>
    <row r="39" spans="2:7" ht="26.4">
      <c r="B39" s="1359"/>
      <c r="C39" s="763" t="s">
        <v>88</v>
      </c>
      <c r="D39" s="720" t="e">
        <f>+AVERAGE(#REF!)</f>
        <v>#REF!</v>
      </c>
      <c r="E39" s="780">
        <v>0.04</v>
      </c>
      <c r="F39" s="1360"/>
      <c r="G39" s="1365"/>
    </row>
    <row r="40" spans="2:7">
      <c r="B40" s="1359"/>
      <c r="C40" s="763" t="s">
        <v>99</v>
      </c>
      <c r="D40" s="720" t="e">
        <f>+#REF!</f>
        <v>#REF!</v>
      </c>
      <c r="E40" s="780">
        <v>3.5000000000000003E-2</v>
      </c>
      <c r="F40" s="1360"/>
      <c r="G40" s="1365"/>
    </row>
    <row r="41" spans="2:7">
      <c r="B41" s="1359"/>
      <c r="C41" s="763" t="s">
        <v>2141</v>
      </c>
      <c r="D41" s="720">
        <v>0.25</v>
      </c>
      <c r="E41" s="781">
        <v>1.2500000000000001E-2</v>
      </c>
      <c r="F41" s="1360"/>
      <c r="G41" s="1365"/>
    </row>
    <row r="42" spans="2:7">
      <c r="B42" s="1359"/>
      <c r="C42" s="763" t="s">
        <v>2140</v>
      </c>
      <c r="D42" s="720">
        <v>0.75</v>
      </c>
      <c r="E42" s="781">
        <v>1.2500000000000001E-2</v>
      </c>
      <c r="F42" s="1360"/>
      <c r="G42" s="1366"/>
    </row>
    <row r="43" spans="2:7">
      <c r="B43" s="1358" t="s">
        <v>113</v>
      </c>
      <c r="C43" s="782" t="s">
        <v>100</v>
      </c>
      <c r="D43" s="721">
        <v>0.36</v>
      </c>
      <c r="E43" s="779">
        <v>0.8</v>
      </c>
      <c r="F43" s="1360">
        <f>+SUM(E43:E45)</f>
        <v>1</v>
      </c>
      <c r="G43" s="1361">
        <f>+SUMPRODUCT(D43:D45,E43:E45)/SUM(E43:E45)</f>
        <v>0.45749999999999996</v>
      </c>
    </row>
    <row r="44" spans="2:7">
      <c r="B44" s="1359"/>
      <c r="C44" s="16" t="s">
        <v>101</v>
      </c>
      <c r="D44" s="720">
        <v>0.85</v>
      </c>
      <c r="E44" s="779">
        <v>0.19500000000000001</v>
      </c>
      <c r="F44" s="1360"/>
      <c r="G44" s="1361"/>
    </row>
    <row r="45" spans="2:7">
      <c r="B45" s="1359"/>
      <c r="C45" s="763" t="s">
        <v>2142</v>
      </c>
      <c r="D45" s="720">
        <v>0.75</v>
      </c>
      <c r="E45" s="781">
        <v>5.0000000000000001E-3</v>
      </c>
      <c r="F45" s="1360"/>
      <c r="G45" s="1361"/>
    </row>
    <row r="47" spans="2:7">
      <c r="D47" s="632"/>
    </row>
    <row r="48" spans="2:7">
      <c r="D48" s="632"/>
    </row>
  </sheetData>
  <mergeCells count="13">
    <mergeCell ref="F43:F45"/>
    <mergeCell ref="G43:G45"/>
    <mergeCell ref="B2:B10"/>
    <mergeCell ref="B11:B20"/>
    <mergeCell ref="B21:B34"/>
    <mergeCell ref="B35:B42"/>
    <mergeCell ref="B43:B45"/>
    <mergeCell ref="F11:F20"/>
    <mergeCell ref="G11:G20"/>
    <mergeCell ref="F21:F34"/>
    <mergeCell ref="G21:G34"/>
    <mergeCell ref="F35:F42"/>
    <mergeCell ref="G35:G42"/>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3BC07-4F92-4308-9180-2BEC708C5CBD}">
  <dimension ref="A1:G107"/>
  <sheetViews>
    <sheetView tabSelected="1" topLeftCell="A42" workbookViewId="0">
      <selection activeCell="F51" sqref="F51"/>
    </sheetView>
  </sheetViews>
  <sheetFormatPr baseColWidth="10" defaultRowHeight="14.4"/>
  <cols>
    <col min="2" max="2" width="17.77734375" customWidth="1"/>
    <col min="3" max="3" width="36.21875" customWidth="1"/>
    <col min="4" max="4" width="17.6640625" customWidth="1"/>
    <col min="5" max="5" width="21" customWidth="1"/>
    <col min="6" max="6" width="67.33203125" customWidth="1"/>
  </cols>
  <sheetData>
    <row r="1" spans="1:7" ht="15" thickBot="1">
      <c r="B1" t="s">
        <v>2758</v>
      </c>
    </row>
    <row r="2" spans="1:7" ht="20.399999999999999" customHeight="1" thickBot="1">
      <c r="A2" s="1497" t="s">
        <v>59</v>
      </c>
      <c r="B2" s="1497" t="s">
        <v>60</v>
      </c>
      <c r="C2" s="1497" t="s">
        <v>2476</v>
      </c>
      <c r="D2" s="1499" t="s">
        <v>61</v>
      </c>
      <c r="E2" s="1500"/>
      <c r="F2" s="1497" t="s">
        <v>3</v>
      </c>
      <c r="G2" s="1475"/>
    </row>
    <row r="3" spans="1:7" ht="15" thickBot="1">
      <c r="A3" s="1498"/>
      <c r="B3" s="1498"/>
      <c r="C3" s="1498"/>
      <c r="D3" s="1476" t="s">
        <v>2724</v>
      </c>
      <c r="E3" s="1476" t="s">
        <v>2477</v>
      </c>
      <c r="F3" s="1498"/>
      <c r="G3" s="1475"/>
    </row>
    <row r="4" spans="1:7" ht="75.599999999999994" customHeight="1" thickBot="1">
      <c r="A4" s="1502" t="s">
        <v>2478</v>
      </c>
      <c r="B4" s="1477" t="s">
        <v>63</v>
      </c>
      <c r="C4" s="1478" t="s">
        <v>2479</v>
      </c>
      <c r="D4" s="1479">
        <v>0.2</v>
      </c>
      <c r="E4" s="1479">
        <v>0.2</v>
      </c>
      <c r="F4" s="1478" t="s">
        <v>2480</v>
      </c>
      <c r="G4" s="1475"/>
    </row>
    <row r="5" spans="1:7" ht="43.8" customHeight="1" thickBot="1">
      <c r="A5" s="1501"/>
      <c r="B5" s="1502" t="s">
        <v>66</v>
      </c>
      <c r="C5" s="1478" t="s">
        <v>2481</v>
      </c>
      <c r="D5" s="1479">
        <v>0.57999999999999996</v>
      </c>
      <c r="E5" s="1479">
        <v>0.62</v>
      </c>
      <c r="F5" s="1481" t="s">
        <v>2608</v>
      </c>
      <c r="G5" s="1475"/>
    </row>
    <row r="6" spans="1:7" ht="34.799999999999997" customHeight="1" thickBot="1">
      <c r="A6" s="1501"/>
      <c r="B6" s="1501"/>
      <c r="C6" s="1478" t="s">
        <v>2482</v>
      </c>
      <c r="D6" s="1479">
        <v>0.5</v>
      </c>
      <c r="E6" s="1479">
        <v>0.65</v>
      </c>
      <c r="F6" s="1481" t="s">
        <v>2483</v>
      </c>
      <c r="G6" s="1475"/>
    </row>
    <row r="7" spans="1:7" ht="41.4" customHeight="1" thickBot="1">
      <c r="A7" s="1501"/>
      <c r="B7" s="1503"/>
      <c r="C7" s="1478" t="s">
        <v>2484</v>
      </c>
      <c r="D7" s="1479">
        <v>0.65</v>
      </c>
      <c r="E7" s="1479">
        <v>0.36</v>
      </c>
      <c r="F7" s="1481" t="s">
        <v>2609</v>
      </c>
      <c r="G7" s="1475"/>
    </row>
    <row r="8" spans="1:7" ht="55.8" customHeight="1" thickBot="1">
      <c r="A8" s="1501"/>
      <c r="B8" s="1477" t="s">
        <v>69</v>
      </c>
      <c r="C8" s="1478" t="s">
        <v>2485</v>
      </c>
      <c r="D8" s="1479">
        <v>0.75</v>
      </c>
      <c r="E8" s="1479">
        <v>0.75</v>
      </c>
      <c r="F8" s="1478" t="s">
        <v>2610</v>
      </c>
      <c r="G8" s="1475"/>
    </row>
    <row r="9" spans="1:7" ht="22.8" customHeight="1">
      <c r="A9" s="1501"/>
      <c r="B9" s="1502" t="s">
        <v>67</v>
      </c>
      <c r="C9" s="1504" t="s">
        <v>2486</v>
      </c>
      <c r="D9" s="1506">
        <v>0.3</v>
      </c>
      <c r="E9" s="1506">
        <v>0.4</v>
      </c>
      <c r="F9" s="1482" t="s">
        <v>2487</v>
      </c>
      <c r="G9" s="1508"/>
    </row>
    <row r="10" spans="1:7" ht="43.2" customHeight="1" thickBot="1">
      <c r="A10" s="1501"/>
      <c r="B10" s="1503"/>
      <c r="C10" s="1505"/>
      <c r="D10" s="1507"/>
      <c r="E10" s="1507"/>
      <c r="F10" s="1478" t="s">
        <v>2611</v>
      </c>
      <c r="G10" s="1508"/>
    </row>
    <row r="11" spans="1:7" ht="28.2" customHeight="1">
      <c r="A11" s="1501"/>
      <c r="B11" s="1502" t="s">
        <v>2329</v>
      </c>
      <c r="C11" s="1504" t="s">
        <v>2488</v>
      </c>
      <c r="D11" s="1510">
        <v>0.5</v>
      </c>
      <c r="E11" s="1510">
        <v>0.5</v>
      </c>
      <c r="F11" s="1483" t="s">
        <v>2489</v>
      </c>
      <c r="G11" s="1508"/>
    </row>
    <row r="12" spans="1:7" ht="22.2" customHeight="1">
      <c r="A12" s="1501"/>
      <c r="B12" s="1501"/>
      <c r="C12" s="1509"/>
      <c r="D12" s="1511"/>
      <c r="E12" s="1511"/>
      <c r="F12" s="1483" t="s">
        <v>2612</v>
      </c>
      <c r="G12" s="1508"/>
    </row>
    <row r="13" spans="1:7" ht="28.2" customHeight="1" thickBot="1">
      <c r="A13" s="1501"/>
      <c r="B13" s="1503"/>
      <c r="C13" s="1505"/>
      <c r="D13" s="1512"/>
      <c r="E13" s="1512"/>
      <c r="F13" s="1484" t="s">
        <v>2490</v>
      </c>
      <c r="G13" s="1508"/>
    </row>
    <row r="14" spans="1:7" s="1529" customFormat="1" ht="42.6" customHeight="1" thickBot="1">
      <c r="A14" s="1501"/>
      <c r="B14" s="1524" t="s">
        <v>532</v>
      </c>
      <c r="C14" s="1525" t="s">
        <v>2491</v>
      </c>
      <c r="D14" s="1526">
        <v>1</v>
      </c>
      <c r="E14" s="1526">
        <v>1</v>
      </c>
      <c r="F14" s="1527" t="s">
        <v>2492</v>
      </c>
      <c r="G14" s="1528"/>
    </row>
    <row r="15" spans="1:7" ht="43.2" customHeight="1" thickBot="1">
      <c r="A15" s="1501"/>
      <c r="B15" s="1502" t="s">
        <v>2493</v>
      </c>
      <c r="C15" s="1478" t="s">
        <v>2494</v>
      </c>
      <c r="D15" s="1479">
        <v>0.33</v>
      </c>
      <c r="E15" s="1479">
        <v>0.15</v>
      </c>
      <c r="F15" s="1543" t="s">
        <v>2495</v>
      </c>
      <c r="G15" s="1475"/>
    </row>
    <row r="16" spans="1:7" ht="43.2" customHeight="1" thickBot="1">
      <c r="A16" s="1501"/>
      <c r="B16" s="1501"/>
      <c r="C16" s="1478" t="s">
        <v>2613</v>
      </c>
      <c r="D16" s="1479"/>
      <c r="E16" s="1479"/>
      <c r="F16" s="1481" t="s">
        <v>2614</v>
      </c>
      <c r="G16" s="1475"/>
    </row>
    <row r="17" spans="1:7" ht="52.8" customHeight="1" thickBot="1">
      <c r="A17" s="1501"/>
      <c r="B17" s="1501"/>
      <c r="C17" s="1478" t="s">
        <v>2615</v>
      </c>
      <c r="D17" s="1479"/>
      <c r="E17" s="1479"/>
      <c r="F17" s="1481" t="s">
        <v>2616</v>
      </c>
      <c r="G17" s="1475"/>
    </row>
    <row r="18" spans="1:7" ht="48" customHeight="1" thickBot="1">
      <c r="A18" s="1501"/>
      <c r="B18" s="1503"/>
      <c r="C18" s="1478" t="s">
        <v>2496</v>
      </c>
      <c r="D18" s="1479">
        <v>0.2</v>
      </c>
      <c r="E18" s="1479">
        <v>0</v>
      </c>
      <c r="F18" s="1530" t="s">
        <v>2497</v>
      </c>
      <c r="G18" s="1475"/>
    </row>
    <row r="19" spans="1:7" ht="47.4" customHeight="1" thickBot="1">
      <c r="A19" s="1501"/>
      <c r="B19" s="1477" t="s">
        <v>2138</v>
      </c>
      <c r="C19" s="1478" t="s">
        <v>2498</v>
      </c>
      <c r="D19" s="1479">
        <v>0.2</v>
      </c>
      <c r="E19" s="1479">
        <v>0.15</v>
      </c>
      <c r="F19" s="1530" t="s">
        <v>2499</v>
      </c>
      <c r="G19" s="1475"/>
    </row>
    <row r="20" spans="1:7" ht="65.400000000000006" customHeight="1" thickBot="1">
      <c r="A20" s="1501"/>
      <c r="B20" s="1477" t="s">
        <v>1140</v>
      </c>
      <c r="C20" s="1478" t="s">
        <v>2500</v>
      </c>
      <c r="D20" s="1479">
        <v>0.25</v>
      </c>
      <c r="E20" s="1479">
        <v>0.25</v>
      </c>
      <c r="F20" s="1478" t="s">
        <v>2501</v>
      </c>
      <c r="G20" s="1475"/>
    </row>
    <row r="21" spans="1:7" ht="37.799999999999997" customHeight="1" thickBot="1">
      <c r="A21" s="1501"/>
      <c r="B21" s="1502" t="s">
        <v>2502</v>
      </c>
      <c r="C21" s="1478" t="s">
        <v>2503</v>
      </c>
      <c r="D21" s="1479">
        <v>1</v>
      </c>
      <c r="E21" s="1479">
        <v>1</v>
      </c>
      <c r="F21" s="1481" t="s">
        <v>2504</v>
      </c>
      <c r="G21" s="1475"/>
    </row>
    <row r="22" spans="1:7" ht="42" customHeight="1" thickBot="1">
      <c r="A22" s="1501"/>
      <c r="B22" s="1501"/>
      <c r="C22" s="1478" t="s">
        <v>2505</v>
      </c>
      <c r="D22" s="1479">
        <v>1</v>
      </c>
      <c r="E22" s="1479">
        <v>0.5</v>
      </c>
      <c r="F22" s="1481" t="s">
        <v>2506</v>
      </c>
      <c r="G22" s="1475"/>
    </row>
    <row r="23" spans="1:7" ht="35.4" customHeight="1" thickBot="1">
      <c r="A23" s="1501"/>
      <c r="B23" s="1501"/>
      <c r="C23" s="1478" t="s">
        <v>2507</v>
      </c>
      <c r="D23" s="1479">
        <v>1</v>
      </c>
      <c r="E23" s="1479">
        <v>1</v>
      </c>
      <c r="F23" s="1481" t="s">
        <v>2508</v>
      </c>
      <c r="G23" s="1475"/>
    </row>
    <row r="24" spans="1:7" ht="44.4" customHeight="1" thickBot="1">
      <c r="A24" s="1503"/>
      <c r="B24" s="1503"/>
      <c r="C24" s="1478" t="s">
        <v>2509</v>
      </c>
      <c r="D24" s="1479">
        <v>0.2</v>
      </c>
      <c r="E24" s="1479">
        <v>0.1</v>
      </c>
      <c r="F24" s="1530" t="s">
        <v>2510</v>
      </c>
      <c r="G24" s="1475"/>
    </row>
    <row r="25" spans="1:7">
      <c r="A25" s="1502" t="s">
        <v>68</v>
      </c>
      <c r="B25" s="1502" t="s">
        <v>63</v>
      </c>
      <c r="C25" s="1504" t="s">
        <v>2511</v>
      </c>
      <c r="D25" s="1513">
        <v>1</v>
      </c>
      <c r="E25" s="1531">
        <v>0.95</v>
      </c>
      <c r="F25" s="1485" t="s">
        <v>2512</v>
      </c>
      <c r="G25" s="1508"/>
    </row>
    <row r="26" spans="1:7">
      <c r="A26" s="1501"/>
      <c r="B26" s="1501"/>
      <c r="C26" s="1509"/>
      <c r="D26" s="1514"/>
      <c r="E26" s="1532"/>
      <c r="F26" s="1486" t="s">
        <v>2617</v>
      </c>
      <c r="G26" s="1508"/>
    </row>
    <row r="27" spans="1:7" ht="40.200000000000003" thickBot="1">
      <c r="A27" s="1501"/>
      <c r="B27" s="1501"/>
      <c r="C27" s="1509"/>
      <c r="D27" s="1514"/>
      <c r="E27" s="1532"/>
      <c r="F27" s="1486" t="s">
        <v>2618</v>
      </c>
      <c r="G27" s="1508"/>
    </row>
    <row r="28" spans="1:7">
      <c r="A28" s="1501"/>
      <c r="B28" s="1501"/>
      <c r="C28" s="1504" t="s">
        <v>2513</v>
      </c>
      <c r="D28" s="1513">
        <v>0.7</v>
      </c>
      <c r="E28" s="1513">
        <v>0.65</v>
      </c>
      <c r="F28" s="1486" t="s">
        <v>2514</v>
      </c>
      <c r="G28" s="1508"/>
    </row>
    <row r="29" spans="1:7" ht="47.4" customHeight="1">
      <c r="A29" s="1501"/>
      <c r="B29" s="1501"/>
      <c r="C29" s="1509"/>
      <c r="D29" s="1514"/>
      <c r="E29" s="1514"/>
      <c r="F29" s="1486" t="s">
        <v>2619</v>
      </c>
      <c r="G29" s="1508"/>
    </row>
    <row r="30" spans="1:7" ht="49.8" customHeight="1" thickBot="1">
      <c r="A30" s="1501"/>
      <c r="B30" s="1477" t="s">
        <v>66</v>
      </c>
      <c r="C30" s="1478" t="s">
        <v>2515</v>
      </c>
      <c r="D30" s="1479">
        <v>0.4</v>
      </c>
      <c r="E30" s="1479">
        <v>0.1</v>
      </c>
      <c r="F30" s="1543" t="s">
        <v>2516</v>
      </c>
      <c r="G30" s="1475"/>
    </row>
    <row r="31" spans="1:7" ht="61.2" customHeight="1" thickBot="1">
      <c r="A31" s="1501"/>
      <c r="B31" s="1502" t="s">
        <v>69</v>
      </c>
      <c r="C31" s="1478" t="s">
        <v>2517</v>
      </c>
      <c r="D31" s="1479">
        <v>0.65</v>
      </c>
      <c r="E31" s="1479">
        <v>0.45</v>
      </c>
      <c r="F31" s="1481" t="s">
        <v>2620</v>
      </c>
      <c r="G31" s="1475"/>
    </row>
    <row r="32" spans="1:7" ht="26.4" customHeight="1">
      <c r="A32" s="1501"/>
      <c r="B32" s="1501"/>
      <c r="C32" s="1504" t="s">
        <v>2518</v>
      </c>
      <c r="D32" s="1506">
        <v>0.5</v>
      </c>
      <c r="E32" s="1506">
        <v>0.55000000000000004</v>
      </c>
      <c r="F32" s="1533" t="s">
        <v>2621</v>
      </c>
      <c r="G32" s="1508"/>
    </row>
    <row r="33" spans="1:7" ht="36.6" customHeight="1" thickBot="1">
      <c r="A33" s="1501"/>
      <c r="B33" s="1501"/>
      <c r="C33" s="1509"/>
      <c r="D33" s="1515"/>
      <c r="E33" s="1515"/>
      <c r="F33" s="1534"/>
      <c r="G33" s="1508"/>
    </row>
    <row r="34" spans="1:7" ht="47.4" customHeight="1" thickBot="1">
      <c r="A34" s="1501"/>
      <c r="B34" s="1501"/>
      <c r="C34" s="1482" t="s">
        <v>2622</v>
      </c>
      <c r="D34" s="1535">
        <v>0.3</v>
      </c>
      <c r="E34" s="1535">
        <v>0.99</v>
      </c>
      <c r="F34" s="1482" t="s">
        <v>2623</v>
      </c>
      <c r="G34" s="1536"/>
    </row>
    <row r="35" spans="1:7" ht="42" thickBot="1">
      <c r="A35" s="1501"/>
      <c r="B35" s="1502" t="s">
        <v>70</v>
      </c>
      <c r="C35" s="1537" t="s">
        <v>2519</v>
      </c>
      <c r="D35" s="1535">
        <v>0.6</v>
      </c>
      <c r="E35" s="1535">
        <v>0.25</v>
      </c>
      <c r="F35" s="1624" t="s">
        <v>2624</v>
      </c>
      <c r="G35" s="1536"/>
    </row>
    <row r="36" spans="1:7" ht="31.2" customHeight="1" thickBot="1">
      <c r="A36" s="1501"/>
      <c r="B36" s="1501"/>
      <c r="C36" s="1537" t="s">
        <v>2520</v>
      </c>
      <c r="D36" s="1538">
        <v>0.75</v>
      </c>
      <c r="E36" s="1538">
        <v>0.7</v>
      </c>
      <c r="F36" s="1482" t="s">
        <v>2625</v>
      </c>
      <c r="G36" s="1536"/>
    </row>
    <row r="37" spans="1:7" ht="36.6" customHeight="1" thickBot="1">
      <c r="A37" s="1501"/>
      <c r="B37" s="1501"/>
      <c r="C37" s="1537" t="s">
        <v>2521</v>
      </c>
      <c r="D37" s="1535">
        <v>0.8</v>
      </c>
      <c r="E37" s="1539">
        <v>0.78</v>
      </c>
      <c r="F37" s="1487" t="s">
        <v>2626</v>
      </c>
      <c r="G37" s="1536"/>
    </row>
    <row r="38" spans="1:7" ht="41.4" customHeight="1" thickBot="1">
      <c r="A38" s="1501"/>
      <c r="B38" s="1502" t="s">
        <v>72</v>
      </c>
      <c r="C38" s="1478" t="s">
        <v>2522</v>
      </c>
      <c r="D38" s="1479">
        <v>0.4</v>
      </c>
      <c r="E38" s="1479">
        <v>0.69</v>
      </c>
      <c r="F38" s="1490" t="s">
        <v>2523</v>
      </c>
      <c r="G38" s="1475"/>
    </row>
    <row r="39" spans="1:7" ht="46.8" customHeight="1" thickBot="1">
      <c r="A39" s="1501"/>
      <c r="B39" s="1503"/>
      <c r="C39" s="1478" t="s">
        <v>2524</v>
      </c>
      <c r="D39" s="1479">
        <v>0.4</v>
      </c>
      <c r="E39" s="1479">
        <v>0.3</v>
      </c>
      <c r="F39" s="1490" t="s">
        <v>2525</v>
      </c>
      <c r="G39" s="1475"/>
    </row>
    <row r="40" spans="1:7" ht="43.8" customHeight="1" thickBot="1">
      <c r="A40" s="1501"/>
      <c r="B40" s="1477" t="s">
        <v>19</v>
      </c>
      <c r="C40" s="1478" t="s">
        <v>2526</v>
      </c>
      <c r="D40" s="1491">
        <v>0.3</v>
      </c>
      <c r="E40" s="1491">
        <v>0.2</v>
      </c>
      <c r="F40" s="1492" t="s">
        <v>2527</v>
      </c>
      <c r="G40" s="1475"/>
    </row>
    <row r="41" spans="1:7" ht="36.6" customHeight="1" thickBot="1">
      <c r="A41" s="1503"/>
      <c r="B41" s="1477" t="s">
        <v>2260</v>
      </c>
      <c r="C41" s="1478" t="s">
        <v>2528</v>
      </c>
      <c r="D41" s="1493">
        <v>0.45</v>
      </c>
      <c r="E41" s="1493">
        <v>0.45</v>
      </c>
      <c r="F41" s="1478" t="s">
        <v>2627</v>
      </c>
      <c r="G41" s="1475"/>
    </row>
    <row r="42" spans="1:7" ht="39" customHeight="1" thickBot="1">
      <c r="A42" s="1502" t="s">
        <v>2529</v>
      </c>
      <c r="B42" s="1502" t="s">
        <v>63</v>
      </c>
      <c r="C42" s="1481" t="s">
        <v>2530</v>
      </c>
      <c r="D42" s="1479">
        <v>0.25</v>
      </c>
      <c r="E42" s="1479">
        <v>0.3</v>
      </c>
      <c r="F42" s="1478" t="s">
        <v>2628</v>
      </c>
      <c r="G42" s="1475"/>
    </row>
    <row r="43" spans="1:7" ht="54.6" customHeight="1" thickBot="1">
      <c r="A43" s="1501"/>
      <c r="B43" s="1503"/>
      <c r="C43" s="1481" t="s">
        <v>2531</v>
      </c>
      <c r="D43" s="1479">
        <v>0.2</v>
      </c>
      <c r="E43" s="1479">
        <v>0.2</v>
      </c>
      <c r="F43" s="1478" t="s">
        <v>2532</v>
      </c>
      <c r="G43" s="1475"/>
    </row>
    <row r="44" spans="1:7" ht="77.400000000000006" customHeight="1" thickBot="1">
      <c r="A44" s="1501"/>
      <c r="B44" s="1540" t="s">
        <v>65</v>
      </c>
      <c r="C44" s="1537" t="s">
        <v>2533</v>
      </c>
      <c r="D44" s="1535">
        <v>0.2</v>
      </c>
      <c r="E44" s="1535">
        <v>0.2</v>
      </c>
      <c r="F44" s="1482" t="s">
        <v>2629</v>
      </c>
      <c r="G44" s="1536"/>
    </row>
    <row r="45" spans="1:7" ht="42" thickBot="1">
      <c r="A45" s="1501"/>
      <c r="B45" s="1540" t="s">
        <v>66</v>
      </c>
      <c r="C45" s="1537" t="s">
        <v>2534</v>
      </c>
      <c r="D45" s="1541">
        <v>0.3</v>
      </c>
      <c r="E45" s="1541">
        <v>0.2</v>
      </c>
      <c r="F45" s="1487" t="s">
        <v>2630</v>
      </c>
      <c r="G45" s="1536"/>
    </row>
    <row r="46" spans="1:7">
      <c r="A46" s="1501"/>
      <c r="B46" s="1502" t="s">
        <v>69</v>
      </c>
      <c r="C46" s="1504" t="s">
        <v>2535</v>
      </c>
      <c r="D46" s="1506">
        <v>0.7</v>
      </c>
      <c r="E46" s="1506">
        <v>0.66</v>
      </c>
      <c r="F46" s="1487" t="s">
        <v>2536</v>
      </c>
      <c r="G46" s="1508"/>
    </row>
    <row r="47" spans="1:7">
      <c r="A47" s="1501"/>
      <c r="B47" s="1501"/>
      <c r="C47" s="1509"/>
      <c r="D47" s="1515"/>
      <c r="E47" s="1515"/>
      <c r="F47" s="1488" t="s">
        <v>2631</v>
      </c>
      <c r="G47" s="1508"/>
    </row>
    <row r="48" spans="1:7">
      <c r="A48" s="1501"/>
      <c r="B48" s="1501"/>
      <c r="C48" s="1509"/>
      <c r="D48" s="1515"/>
      <c r="E48" s="1515"/>
      <c r="F48" s="1488" t="s">
        <v>2632</v>
      </c>
      <c r="G48" s="1508"/>
    </row>
    <row r="49" spans="1:7">
      <c r="A49" s="1501"/>
      <c r="B49" s="1501"/>
      <c r="C49" s="1509"/>
      <c r="D49" s="1515"/>
      <c r="E49" s="1515"/>
      <c r="F49" s="1488" t="s">
        <v>2633</v>
      </c>
      <c r="G49" s="1508"/>
    </row>
    <row r="50" spans="1:7" ht="15" thickBot="1">
      <c r="A50" s="1501"/>
      <c r="B50" s="1501"/>
      <c r="C50" s="1505"/>
      <c r="D50" s="1507"/>
      <c r="E50" s="1507"/>
      <c r="F50" s="1495" t="s">
        <v>2634</v>
      </c>
      <c r="G50" s="1508"/>
    </row>
    <row r="51" spans="1:7" ht="54" customHeight="1" thickBot="1">
      <c r="A51" s="1501"/>
      <c r="B51" s="1503"/>
      <c r="C51" s="1478" t="s">
        <v>2537</v>
      </c>
      <c r="D51" s="1479">
        <v>0.2</v>
      </c>
      <c r="E51" s="1479">
        <v>0.2</v>
      </c>
      <c r="F51" s="1478" t="s">
        <v>2635</v>
      </c>
      <c r="G51" s="1475"/>
    </row>
    <row r="52" spans="1:7" ht="46.2" customHeight="1" thickBot="1">
      <c r="A52" s="1501"/>
      <c r="B52" s="1502" t="s">
        <v>71</v>
      </c>
      <c r="C52" s="1478" t="s">
        <v>2538</v>
      </c>
      <c r="D52" s="1479">
        <v>1</v>
      </c>
      <c r="E52" s="1479">
        <v>0.95</v>
      </c>
      <c r="F52" s="1481" t="s">
        <v>2539</v>
      </c>
      <c r="G52" s="1475"/>
    </row>
    <row r="53" spans="1:7" ht="36" customHeight="1" thickBot="1">
      <c r="A53" s="1501"/>
      <c r="B53" s="1503"/>
      <c r="C53" s="1478" t="s">
        <v>85</v>
      </c>
      <c r="D53" s="1479">
        <v>0.2</v>
      </c>
      <c r="E53" s="1479">
        <v>0.2</v>
      </c>
      <c r="F53" s="1478" t="s">
        <v>2540</v>
      </c>
      <c r="G53" s="1475"/>
    </row>
    <row r="54" spans="1:7" ht="45.6" customHeight="1">
      <c r="A54" s="1501"/>
      <c r="B54" s="1502" t="s">
        <v>72</v>
      </c>
      <c r="C54" s="1504" t="s">
        <v>2541</v>
      </c>
      <c r="D54" s="1506">
        <v>0.25</v>
      </c>
      <c r="E54" s="1506">
        <v>0.3</v>
      </c>
      <c r="F54" s="1488" t="s">
        <v>2542</v>
      </c>
      <c r="G54" s="1508"/>
    </row>
    <row r="55" spans="1:7" ht="26.4" customHeight="1">
      <c r="A55" s="1501"/>
      <c r="B55" s="1501"/>
      <c r="C55" s="1509"/>
      <c r="D55" s="1515"/>
      <c r="E55" s="1515"/>
      <c r="F55" s="1488" t="s">
        <v>2543</v>
      </c>
      <c r="G55" s="1508"/>
    </row>
    <row r="56" spans="1:7" ht="18" customHeight="1" thickBot="1">
      <c r="A56" s="1501"/>
      <c r="B56" s="1501"/>
      <c r="C56" s="1505"/>
      <c r="D56" s="1507"/>
      <c r="E56" s="1507"/>
      <c r="F56" s="1495" t="s">
        <v>2544</v>
      </c>
      <c r="G56" s="1508"/>
    </row>
    <row r="57" spans="1:7" ht="40.799999999999997" customHeight="1" thickBot="1">
      <c r="A57" s="1501"/>
      <c r="B57" s="1501"/>
      <c r="C57" s="1537" t="s">
        <v>2545</v>
      </c>
      <c r="D57" s="1535">
        <v>0.45</v>
      </c>
      <c r="E57" s="1535">
        <v>0.45</v>
      </c>
      <c r="F57" s="1482" t="s">
        <v>2636</v>
      </c>
      <c r="G57" s="1536"/>
    </row>
    <row r="58" spans="1:7">
      <c r="A58" s="1501"/>
      <c r="B58" s="1502" t="s">
        <v>88</v>
      </c>
      <c r="C58" s="1504" t="s">
        <v>2546</v>
      </c>
      <c r="D58" s="1506">
        <v>0.35</v>
      </c>
      <c r="E58" s="1506">
        <v>0.32</v>
      </c>
      <c r="F58" s="1482" t="s">
        <v>2547</v>
      </c>
      <c r="G58" s="1508"/>
    </row>
    <row r="59" spans="1:7" ht="28.2" thickBot="1">
      <c r="A59" s="1501"/>
      <c r="B59" s="1503"/>
      <c r="C59" s="1505"/>
      <c r="D59" s="1507"/>
      <c r="E59" s="1507"/>
      <c r="F59" s="1478" t="s">
        <v>2637</v>
      </c>
      <c r="G59" s="1508"/>
    </row>
    <row r="60" spans="1:7" ht="48" customHeight="1" thickBot="1">
      <c r="A60" s="1501"/>
      <c r="B60" s="1502" t="s">
        <v>27</v>
      </c>
      <c r="C60" s="1478" t="s">
        <v>2548</v>
      </c>
      <c r="D60" s="1493">
        <v>0.2</v>
      </c>
      <c r="E60" s="1493">
        <v>0.1</v>
      </c>
      <c r="F60" s="1543" t="s">
        <v>2549</v>
      </c>
      <c r="G60" s="1475"/>
    </row>
    <row r="61" spans="1:7" ht="51" customHeight="1" thickBot="1">
      <c r="A61" s="1501"/>
      <c r="B61" s="1503"/>
      <c r="C61" s="1478" t="s">
        <v>2550</v>
      </c>
      <c r="D61" s="1493">
        <v>0.2</v>
      </c>
      <c r="E61" s="1493">
        <v>0</v>
      </c>
      <c r="F61" s="1543" t="s">
        <v>64</v>
      </c>
      <c r="G61" s="1475"/>
    </row>
    <row r="62" spans="1:7" ht="69.599999999999994" customHeight="1" thickBot="1">
      <c r="A62" s="1501"/>
      <c r="B62" s="1502" t="s">
        <v>1133</v>
      </c>
      <c r="C62" s="1478" t="s">
        <v>2551</v>
      </c>
      <c r="D62" s="1479">
        <v>1</v>
      </c>
      <c r="E62" s="1479">
        <v>1</v>
      </c>
      <c r="F62" s="1478" t="s">
        <v>2638</v>
      </c>
      <c r="G62" s="1475"/>
    </row>
    <row r="63" spans="1:7" ht="33" customHeight="1" thickBot="1">
      <c r="A63" s="1501"/>
      <c r="B63" s="1501"/>
      <c r="C63" s="1481" t="s">
        <v>2552</v>
      </c>
      <c r="D63" s="1493">
        <v>0.25</v>
      </c>
      <c r="E63" s="1493">
        <v>0</v>
      </c>
      <c r="F63" s="1530" t="s">
        <v>2553</v>
      </c>
      <c r="G63" s="1475"/>
    </row>
    <row r="64" spans="1:7" ht="27.6" customHeight="1" thickBot="1">
      <c r="A64" s="1501"/>
      <c r="B64" s="1503"/>
      <c r="C64" s="1481" t="s">
        <v>2554</v>
      </c>
      <c r="D64" s="1493">
        <v>1</v>
      </c>
      <c r="E64" s="1493">
        <v>0.25</v>
      </c>
      <c r="F64" s="1478" t="s">
        <v>2555</v>
      </c>
      <c r="G64" s="1475"/>
    </row>
    <row r="65" spans="1:7" ht="44.4" customHeight="1" thickBot="1">
      <c r="A65" s="1501"/>
      <c r="B65" s="1502" t="s">
        <v>2137</v>
      </c>
      <c r="C65" s="1545" t="s">
        <v>2556</v>
      </c>
      <c r="D65" s="1546">
        <v>1</v>
      </c>
      <c r="E65" s="1546">
        <v>0.35</v>
      </c>
      <c r="F65" s="1547" t="s">
        <v>2639</v>
      </c>
      <c r="G65" s="1536"/>
    </row>
    <row r="66" spans="1:7" ht="28.2" thickBot="1">
      <c r="A66" s="1501"/>
      <c r="B66" s="1501"/>
      <c r="C66" s="1537" t="s">
        <v>2557</v>
      </c>
      <c r="D66" s="1535">
        <v>0.2</v>
      </c>
      <c r="E66" s="1535">
        <v>0.2</v>
      </c>
      <c r="F66" s="1482" t="s">
        <v>2640</v>
      </c>
      <c r="G66" s="1536"/>
    </row>
    <row r="67" spans="1:7" ht="27.6">
      <c r="A67" s="1501"/>
      <c r="B67" s="1502"/>
      <c r="C67" s="1504" t="s">
        <v>2558</v>
      </c>
      <c r="D67" s="1518">
        <v>0.25</v>
      </c>
      <c r="E67" s="1518">
        <v>1</v>
      </c>
      <c r="F67" s="1488" t="s">
        <v>2559</v>
      </c>
      <c r="G67" s="1508"/>
    </row>
    <row r="68" spans="1:7" ht="34.799999999999997" customHeight="1" thickBot="1">
      <c r="A68" s="1503"/>
      <c r="B68" s="1503"/>
      <c r="C68" s="1505"/>
      <c r="D68" s="1519"/>
      <c r="E68" s="1519"/>
      <c r="F68" s="1495" t="s">
        <v>2560</v>
      </c>
      <c r="G68" s="1508"/>
    </row>
    <row r="69" spans="1:7">
      <c r="A69" s="1502" t="s">
        <v>694</v>
      </c>
      <c r="B69" s="1502" t="s">
        <v>63</v>
      </c>
      <c r="C69" s="1520" t="s">
        <v>2561</v>
      </c>
      <c r="D69" s="1506">
        <v>1</v>
      </c>
      <c r="E69" s="1506">
        <v>0.89</v>
      </c>
      <c r="F69" s="1480" t="s">
        <v>2562</v>
      </c>
      <c r="G69" s="1508"/>
    </row>
    <row r="70" spans="1:7" ht="36" customHeight="1">
      <c r="A70" s="1501"/>
      <c r="B70" s="1501"/>
      <c r="C70" s="1521"/>
      <c r="D70" s="1515"/>
      <c r="E70" s="1515"/>
      <c r="F70" s="1548" t="s">
        <v>2641</v>
      </c>
      <c r="G70" s="1508"/>
    </row>
    <row r="71" spans="1:7" ht="25.2" customHeight="1">
      <c r="A71" s="1501"/>
      <c r="B71" s="1501"/>
      <c r="C71" s="1521"/>
      <c r="D71" s="1515"/>
      <c r="E71" s="1515"/>
      <c r="F71" s="1488" t="s">
        <v>2642</v>
      </c>
      <c r="G71" s="1508"/>
    </row>
    <row r="72" spans="1:7" ht="24" customHeight="1" thickBot="1">
      <c r="A72" s="1501"/>
      <c r="B72" s="1501"/>
      <c r="C72" s="1522"/>
      <c r="D72" s="1507"/>
      <c r="E72" s="1507"/>
      <c r="F72" s="1495" t="s">
        <v>2563</v>
      </c>
      <c r="G72" s="1508"/>
    </row>
    <row r="73" spans="1:7">
      <c r="A73" s="1501"/>
      <c r="B73" s="1501"/>
      <c r="C73" s="1504" t="s">
        <v>2564</v>
      </c>
      <c r="D73" s="1506">
        <v>0.6</v>
      </c>
      <c r="E73" s="1506">
        <v>0.54</v>
      </c>
      <c r="F73" s="1480" t="s">
        <v>2565</v>
      </c>
      <c r="G73" s="1508"/>
    </row>
    <row r="74" spans="1:7" ht="27" customHeight="1">
      <c r="A74" s="1501"/>
      <c r="B74" s="1501"/>
      <c r="C74" s="1509"/>
      <c r="D74" s="1515"/>
      <c r="E74" s="1515"/>
      <c r="F74" s="1548" t="s">
        <v>2643</v>
      </c>
      <c r="G74" s="1508"/>
    </row>
    <row r="75" spans="1:7" ht="33.6" customHeight="1">
      <c r="A75" s="1501"/>
      <c r="B75" s="1501"/>
      <c r="C75" s="1509"/>
      <c r="D75" s="1515"/>
      <c r="E75" s="1515"/>
      <c r="F75" s="1488" t="s">
        <v>2566</v>
      </c>
      <c r="G75" s="1508"/>
    </row>
    <row r="76" spans="1:7" ht="25.8" customHeight="1">
      <c r="A76" s="1501"/>
      <c r="B76" s="1501"/>
      <c r="C76" s="1509"/>
      <c r="D76" s="1515"/>
      <c r="E76" s="1515"/>
      <c r="F76" s="1488" t="s">
        <v>2644</v>
      </c>
      <c r="G76" s="1508"/>
    </row>
    <row r="77" spans="1:7" ht="23.4" customHeight="1">
      <c r="A77" s="1501"/>
      <c r="B77" s="1501"/>
      <c r="C77" s="1509"/>
      <c r="D77" s="1515"/>
      <c r="E77" s="1515"/>
      <c r="F77" s="1488" t="s">
        <v>2567</v>
      </c>
      <c r="G77" s="1508"/>
    </row>
    <row r="78" spans="1:7" ht="69" customHeight="1" thickBot="1">
      <c r="A78" s="1501"/>
      <c r="B78" s="1501"/>
      <c r="C78" s="1505"/>
      <c r="D78" s="1507"/>
      <c r="E78" s="1507"/>
      <c r="F78" s="1495" t="s">
        <v>2568</v>
      </c>
      <c r="G78" s="1508"/>
    </row>
    <row r="79" spans="1:7" ht="18.600000000000001" customHeight="1">
      <c r="A79" s="1501"/>
      <c r="B79" s="1501"/>
      <c r="C79" s="1504" t="s">
        <v>2569</v>
      </c>
      <c r="D79" s="1506">
        <v>0.65</v>
      </c>
      <c r="E79" s="1506">
        <v>0.49</v>
      </c>
      <c r="F79" s="1480" t="s">
        <v>2570</v>
      </c>
      <c r="G79" s="1508"/>
    </row>
    <row r="80" spans="1:7" ht="49.8" customHeight="1" thickBot="1">
      <c r="A80" s="1501"/>
      <c r="B80" s="1501"/>
      <c r="C80" s="1505"/>
      <c r="D80" s="1507"/>
      <c r="E80" s="1507"/>
      <c r="F80" s="1477" t="s">
        <v>2571</v>
      </c>
      <c r="G80" s="1508"/>
    </row>
    <row r="81" spans="1:7" ht="22.2" customHeight="1">
      <c r="A81" s="1501"/>
      <c r="B81" s="1501"/>
      <c r="C81" s="1504" t="s">
        <v>2572</v>
      </c>
      <c r="D81" s="1506">
        <v>0.2</v>
      </c>
      <c r="E81" s="1506">
        <v>0.7</v>
      </c>
      <c r="F81" s="1480" t="s">
        <v>2645</v>
      </c>
      <c r="G81" s="1508"/>
    </row>
    <row r="82" spans="1:7" ht="51.6" customHeight="1">
      <c r="A82" s="1501"/>
      <c r="B82" s="1501"/>
      <c r="C82" s="1509"/>
      <c r="D82" s="1515"/>
      <c r="E82" s="1515"/>
      <c r="F82" s="1496" t="s">
        <v>2573</v>
      </c>
      <c r="G82" s="1508"/>
    </row>
    <row r="83" spans="1:7" ht="55.2">
      <c r="A83" s="1501"/>
      <c r="B83" s="1501"/>
      <c r="C83" s="1509"/>
      <c r="D83" s="1515"/>
      <c r="E83" s="1515"/>
      <c r="F83" s="1496" t="s">
        <v>2574</v>
      </c>
      <c r="G83" s="1508"/>
    </row>
    <row r="84" spans="1:7" ht="34.799999999999997" customHeight="1" thickBot="1">
      <c r="A84" s="1501"/>
      <c r="B84" s="1501"/>
      <c r="C84" s="1505"/>
      <c r="D84" s="1507"/>
      <c r="E84" s="1507"/>
      <c r="F84" s="1489" t="s">
        <v>2575</v>
      </c>
      <c r="G84" s="1508"/>
    </row>
    <row r="85" spans="1:7" ht="29.4" customHeight="1">
      <c r="A85" s="1501"/>
      <c r="B85" s="1501"/>
      <c r="C85" s="1504" t="s">
        <v>2576</v>
      </c>
      <c r="D85" s="1506">
        <v>0.2</v>
      </c>
      <c r="E85" s="1506">
        <v>0.31</v>
      </c>
      <c r="F85" s="1480" t="s">
        <v>2577</v>
      </c>
      <c r="G85" s="1508"/>
    </row>
    <row r="86" spans="1:7" ht="28.2" thickBot="1">
      <c r="A86" s="1501"/>
      <c r="B86" s="1501"/>
      <c r="C86" s="1505"/>
      <c r="D86" s="1507"/>
      <c r="E86" s="1507"/>
      <c r="F86" s="1494" t="s">
        <v>2578</v>
      </c>
      <c r="G86" s="1508"/>
    </row>
    <row r="87" spans="1:7" ht="24" customHeight="1">
      <c r="A87" s="1501"/>
      <c r="B87" s="1501"/>
      <c r="C87" s="1504" t="s">
        <v>2579</v>
      </c>
      <c r="D87" s="1506">
        <v>0.2</v>
      </c>
      <c r="E87" s="1506">
        <v>0.2</v>
      </c>
      <c r="F87" s="1480" t="s">
        <v>2580</v>
      </c>
      <c r="G87" s="1508"/>
    </row>
    <row r="88" spans="1:7" ht="55.8" thickBot="1">
      <c r="A88" s="1501"/>
      <c r="B88" s="1503"/>
      <c r="C88" s="1505"/>
      <c r="D88" s="1507"/>
      <c r="E88" s="1507"/>
      <c r="F88" s="1494" t="s">
        <v>2581</v>
      </c>
      <c r="G88" s="1508"/>
    </row>
    <row r="89" spans="1:7" ht="36.6" customHeight="1" thickBot="1">
      <c r="A89" s="1501"/>
      <c r="B89" s="1477" t="s">
        <v>65</v>
      </c>
      <c r="C89" s="1478" t="s">
        <v>2582</v>
      </c>
      <c r="D89" s="1479">
        <v>0.65</v>
      </c>
      <c r="E89" s="1479">
        <v>0.4</v>
      </c>
      <c r="F89" s="1481" t="s">
        <v>2583</v>
      </c>
      <c r="G89" s="1475"/>
    </row>
    <row r="90" spans="1:7" ht="25.2" customHeight="1">
      <c r="A90" s="1501"/>
      <c r="B90" s="1502" t="s">
        <v>66</v>
      </c>
      <c r="C90" s="1504" t="s">
        <v>2646</v>
      </c>
      <c r="D90" s="1506">
        <v>1</v>
      </c>
      <c r="E90" s="1506">
        <v>0.9</v>
      </c>
      <c r="F90" s="1482" t="s">
        <v>2584</v>
      </c>
      <c r="G90" s="1508"/>
    </row>
    <row r="91" spans="1:7" ht="28.2" customHeight="1">
      <c r="A91" s="1501"/>
      <c r="B91" s="1501"/>
      <c r="C91" s="1509"/>
      <c r="D91" s="1515"/>
      <c r="E91" s="1515"/>
      <c r="F91" s="1482" t="s">
        <v>2585</v>
      </c>
      <c r="G91" s="1508"/>
    </row>
    <row r="92" spans="1:7" ht="37.200000000000003" customHeight="1" thickBot="1">
      <c r="A92" s="1501"/>
      <c r="B92" s="1501"/>
      <c r="C92" s="1505"/>
      <c r="D92" s="1507"/>
      <c r="E92" s="1507"/>
      <c r="F92" s="1542" t="s">
        <v>2586</v>
      </c>
      <c r="G92" s="1508"/>
    </row>
    <row r="93" spans="1:7" ht="23.4" customHeight="1">
      <c r="A93" s="1501"/>
      <c r="B93" s="1501"/>
      <c r="C93" s="1504" t="s">
        <v>2587</v>
      </c>
      <c r="D93" s="1506">
        <v>0.5</v>
      </c>
      <c r="E93" s="1506">
        <v>0.7</v>
      </c>
      <c r="F93" s="1482" t="s">
        <v>2588</v>
      </c>
      <c r="G93" s="1508"/>
    </row>
    <row r="94" spans="1:7" ht="26.4" customHeight="1" thickBot="1">
      <c r="A94" s="1501"/>
      <c r="B94" s="1503"/>
      <c r="C94" s="1505"/>
      <c r="D94" s="1507"/>
      <c r="E94" s="1507"/>
      <c r="F94" s="1478" t="s">
        <v>2647</v>
      </c>
      <c r="G94" s="1508"/>
    </row>
    <row r="95" spans="1:7" ht="59.4" customHeight="1" thickBot="1">
      <c r="A95" s="1501"/>
      <c r="B95" s="1502" t="s">
        <v>69</v>
      </c>
      <c r="C95" s="1481" t="s">
        <v>2589</v>
      </c>
      <c r="D95" s="1479">
        <v>0.2</v>
      </c>
      <c r="E95" s="1479">
        <v>0.2</v>
      </c>
      <c r="F95" s="1481" t="s">
        <v>2648</v>
      </c>
      <c r="G95" s="1475"/>
    </row>
    <row r="96" spans="1:7" ht="48.6" customHeight="1">
      <c r="A96" s="1501"/>
      <c r="B96" s="1501"/>
      <c r="C96" s="1516" t="s">
        <v>2590</v>
      </c>
      <c r="D96" s="1506">
        <v>0.2</v>
      </c>
      <c r="E96" s="1506">
        <v>0.15</v>
      </c>
      <c r="F96" s="1488" t="s">
        <v>2591</v>
      </c>
      <c r="G96" s="1508"/>
    </row>
    <row r="97" spans="1:7" ht="42" customHeight="1" thickBot="1">
      <c r="A97" s="1501"/>
      <c r="B97" s="1501"/>
      <c r="C97" s="1517"/>
      <c r="D97" s="1507"/>
      <c r="E97" s="1507"/>
      <c r="F97" s="1495" t="s">
        <v>2592</v>
      </c>
      <c r="G97" s="1508"/>
    </row>
    <row r="98" spans="1:7" ht="32.4" customHeight="1" thickBot="1">
      <c r="A98" s="1501"/>
      <c r="B98" s="1503"/>
      <c r="C98" s="1481" t="s">
        <v>2537</v>
      </c>
      <c r="D98" s="1479">
        <v>0.2</v>
      </c>
      <c r="E98" s="1479">
        <v>0.2</v>
      </c>
      <c r="F98" s="1544" t="s">
        <v>2593</v>
      </c>
      <c r="G98" s="1475"/>
    </row>
    <row r="99" spans="1:7" ht="55.8" customHeight="1" thickBot="1">
      <c r="A99" s="1501"/>
      <c r="B99" s="1502" t="s">
        <v>668</v>
      </c>
      <c r="C99" s="1478" t="s">
        <v>2594</v>
      </c>
      <c r="D99" s="1479">
        <v>0.2</v>
      </c>
      <c r="E99" s="1479">
        <v>0.15</v>
      </c>
      <c r="F99" s="1478" t="s">
        <v>2595</v>
      </c>
      <c r="G99" s="1475"/>
    </row>
    <row r="100" spans="1:7" ht="45.6" customHeight="1" thickBot="1">
      <c r="A100" s="1501"/>
      <c r="B100" s="1503"/>
      <c r="C100" s="1478" t="s">
        <v>2596</v>
      </c>
      <c r="D100" s="1479">
        <v>0.1</v>
      </c>
      <c r="E100" s="1479">
        <v>0.1</v>
      </c>
      <c r="F100" s="1478" t="s">
        <v>2597</v>
      </c>
      <c r="G100" s="1475"/>
    </row>
    <row r="101" spans="1:7">
      <c r="A101" s="1501"/>
      <c r="B101" s="1502" t="s">
        <v>102</v>
      </c>
      <c r="C101" s="1516" t="s">
        <v>2598</v>
      </c>
      <c r="D101" s="1506">
        <v>1</v>
      </c>
      <c r="E101" s="1506">
        <v>0.4</v>
      </c>
      <c r="F101" s="1480" t="s">
        <v>2599</v>
      </c>
      <c r="G101" s="1508"/>
    </row>
    <row r="102" spans="1:7" ht="25.2" customHeight="1">
      <c r="A102" s="1501"/>
      <c r="B102" s="1501"/>
      <c r="C102" s="1523"/>
      <c r="D102" s="1515"/>
      <c r="E102" s="1515"/>
      <c r="F102" s="1549" t="s">
        <v>2649</v>
      </c>
      <c r="G102" s="1508"/>
    </row>
    <row r="103" spans="1:7" ht="17.399999999999999" customHeight="1" thickBot="1">
      <c r="A103" s="1503"/>
      <c r="B103" s="1503"/>
      <c r="C103" s="1517"/>
      <c r="D103" s="1507"/>
      <c r="E103" s="1507"/>
      <c r="F103" s="1550" t="s">
        <v>2650</v>
      </c>
      <c r="G103" s="1508"/>
    </row>
    <row r="104" spans="1:7" ht="28.8" customHeight="1">
      <c r="A104" s="1502" t="s">
        <v>2600</v>
      </c>
      <c r="B104" s="1502" t="s">
        <v>100</v>
      </c>
      <c r="C104" s="1504" t="s">
        <v>2601</v>
      </c>
      <c r="D104" s="1506">
        <v>0.2</v>
      </c>
      <c r="E104" s="1506">
        <v>0.53</v>
      </c>
      <c r="F104" s="1482" t="s">
        <v>2602</v>
      </c>
      <c r="G104" s="1508"/>
    </row>
    <row r="105" spans="1:7" ht="43.8" customHeight="1" thickBot="1">
      <c r="A105" s="1501"/>
      <c r="B105" s="1503"/>
      <c r="C105" s="1505"/>
      <c r="D105" s="1507"/>
      <c r="E105" s="1507"/>
      <c r="F105" s="1478" t="s">
        <v>2603</v>
      </c>
      <c r="G105" s="1508"/>
    </row>
    <row r="106" spans="1:7" ht="37.200000000000003" customHeight="1">
      <c r="A106" s="1501"/>
      <c r="B106" s="1502" t="s">
        <v>2604</v>
      </c>
      <c r="C106" s="1504" t="s">
        <v>2605</v>
      </c>
      <c r="D106" s="1506">
        <v>1</v>
      </c>
      <c r="E106" s="1506">
        <v>0.7</v>
      </c>
      <c r="F106" s="1482" t="s">
        <v>2606</v>
      </c>
      <c r="G106" s="1475"/>
    </row>
    <row r="107" spans="1:7" ht="29.4" customHeight="1" thickBot="1">
      <c r="A107" s="1503"/>
      <c r="B107" s="1503"/>
      <c r="C107" s="1505"/>
      <c r="D107" s="1507"/>
      <c r="E107" s="1507"/>
      <c r="F107" s="1478" t="s">
        <v>2607</v>
      </c>
      <c r="G107" s="1475"/>
    </row>
  </sheetData>
  <mergeCells count="119">
    <mergeCell ref="G104:G105"/>
    <mergeCell ref="B106:B107"/>
    <mergeCell ref="C106:C107"/>
    <mergeCell ref="D106:D107"/>
    <mergeCell ref="E106:E107"/>
    <mergeCell ref="B101:B103"/>
    <mergeCell ref="C101:C103"/>
    <mergeCell ref="D101:D103"/>
    <mergeCell ref="E101:E103"/>
    <mergeCell ref="G101:G103"/>
    <mergeCell ref="A104:A107"/>
    <mergeCell ref="B104:B105"/>
    <mergeCell ref="C104:C105"/>
    <mergeCell ref="D104:D105"/>
    <mergeCell ref="E104:E105"/>
    <mergeCell ref="B95:B98"/>
    <mergeCell ref="C96:C97"/>
    <mergeCell ref="D96:D97"/>
    <mergeCell ref="E96:E97"/>
    <mergeCell ref="G96:G97"/>
    <mergeCell ref="B99:B100"/>
    <mergeCell ref="B90:B94"/>
    <mergeCell ref="C90:C92"/>
    <mergeCell ref="D90:D92"/>
    <mergeCell ref="E90:E92"/>
    <mergeCell ref="G90:G92"/>
    <mergeCell ref="C93:C94"/>
    <mergeCell ref="D93:D94"/>
    <mergeCell ref="E93:E94"/>
    <mergeCell ref="G93:G94"/>
    <mergeCell ref="C85:C86"/>
    <mergeCell ref="D85:D86"/>
    <mergeCell ref="E85:E86"/>
    <mergeCell ref="G85:G86"/>
    <mergeCell ref="C87:C88"/>
    <mergeCell ref="D87:D88"/>
    <mergeCell ref="E87:E88"/>
    <mergeCell ref="G87:G88"/>
    <mergeCell ref="G73:G78"/>
    <mergeCell ref="C79:C80"/>
    <mergeCell ref="D79:D80"/>
    <mergeCell ref="E79:E80"/>
    <mergeCell ref="G79:G80"/>
    <mergeCell ref="C81:C84"/>
    <mergeCell ref="D81:D84"/>
    <mergeCell ref="E81:E84"/>
    <mergeCell ref="G81:G84"/>
    <mergeCell ref="G67:G68"/>
    <mergeCell ref="A69:A103"/>
    <mergeCell ref="B69:B88"/>
    <mergeCell ref="C69:C72"/>
    <mergeCell ref="D69:D72"/>
    <mergeCell ref="E69:E72"/>
    <mergeCell ref="G69:G72"/>
    <mergeCell ref="C73:C78"/>
    <mergeCell ref="D73:D78"/>
    <mergeCell ref="E73:E78"/>
    <mergeCell ref="B62:B64"/>
    <mergeCell ref="B65:B66"/>
    <mergeCell ref="B67:B68"/>
    <mergeCell ref="C67:C68"/>
    <mergeCell ref="D67:D68"/>
    <mergeCell ref="E67:E68"/>
    <mergeCell ref="B58:B59"/>
    <mergeCell ref="C58:C59"/>
    <mergeCell ref="D58:D59"/>
    <mergeCell ref="E58:E59"/>
    <mergeCell ref="G58:G59"/>
    <mergeCell ref="B60:B61"/>
    <mergeCell ref="E46:E50"/>
    <mergeCell ref="G46:G50"/>
    <mergeCell ref="B52:B53"/>
    <mergeCell ref="B54:B57"/>
    <mergeCell ref="C54:C56"/>
    <mergeCell ref="D54:D56"/>
    <mergeCell ref="E54:E56"/>
    <mergeCell ref="G54:G56"/>
    <mergeCell ref="E32:E33"/>
    <mergeCell ref="F32:F33"/>
    <mergeCell ref="G32:G33"/>
    <mergeCell ref="B35:B37"/>
    <mergeCell ref="B38:B39"/>
    <mergeCell ref="A42:A68"/>
    <mergeCell ref="B42:B43"/>
    <mergeCell ref="B46:B51"/>
    <mergeCell ref="C46:C50"/>
    <mergeCell ref="D46:D50"/>
    <mergeCell ref="E25:E27"/>
    <mergeCell ref="G25:G27"/>
    <mergeCell ref="C28:C29"/>
    <mergeCell ref="D28:D29"/>
    <mergeCell ref="E28:E29"/>
    <mergeCell ref="G28:G29"/>
    <mergeCell ref="B15:B18"/>
    <mergeCell ref="B21:B24"/>
    <mergeCell ref="A25:A41"/>
    <mergeCell ref="B25:B29"/>
    <mergeCell ref="C25:C27"/>
    <mergeCell ref="D25:D27"/>
    <mergeCell ref="B31:B34"/>
    <mergeCell ref="C32:C33"/>
    <mergeCell ref="D32:D33"/>
    <mergeCell ref="E9:E10"/>
    <mergeCell ref="G9:G10"/>
    <mergeCell ref="B11:B13"/>
    <mergeCell ref="C11:C13"/>
    <mergeCell ref="D11:D13"/>
    <mergeCell ref="E11:E13"/>
    <mergeCell ref="G11:G13"/>
    <mergeCell ref="A2:A3"/>
    <mergeCell ref="B2:B3"/>
    <mergeCell ref="C2:C3"/>
    <mergeCell ref="D2:E2"/>
    <mergeCell ref="F2:F3"/>
    <mergeCell ref="A4:A24"/>
    <mergeCell ref="B5:B7"/>
    <mergeCell ref="B9:B10"/>
    <mergeCell ref="C9:C10"/>
    <mergeCell ref="D9:D1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546E8-130C-4348-9DD4-9352C507EB25}">
  <dimension ref="B1:C22"/>
  <sheetViews>
    <sheetView workbookViewId="0">
      <selection activeCell="C3" sqref="C3"/>
    </sheetView>
  </sheetViews>
  <sheetFormatPr baseColWidth="10" defaultRowHeight="18"/>
  <cols>
    <col min="1" max="1" width="1.88671875" style="12" customWidth="1"/>
    <col min="2" max="2" width="3.21875" style="560" bestFit="1" customWidth="1"/>
    <col min="3" max="3" width="72.109375" style="560" customWidth="1"/>
    <col min="4" max="16384" width="11.5546875" style="12"/>
  </cols>
  <sheetData>
    <row r="1" spans="2:3" ht="6.6" customHeight="1" thickBot="1"/>
    <row r="2" spans="2:3" ht="15" thickBot="1">
      <c r="B2" s="923" t="s">
        <v>1764</v>
      </c>
      <c r="C2" s="924"/>
    </row>
    <row r="3" spans="2:3" ht="16.2" thickBot="1">
      <c r="B3" s="562">
        <v>1</v>
      </c>
      <c r="C3" s="561" t="s">
        <v>2118</v>
      </c>
    </row>
    <row r="4" spans="2:3" ht="16.2" thickBot="1">
      <c r="B4" s="562">
        <v>2</v>
      </c>
      <c r="C4" s="561" t="s">
        <v>1897</v>
      </c>
    </row>
    <row r="5" spans="2:3" ht="16.2" thickBot="1">
      <c r="B5" s="562">
        <v>3</v>
      </c>
      <c r="C5" s="561" t="s">
        <v>1765</v>
      </c>
    </row>
    <row r="6" spans="2:3" ht="16.2" thickBot="1">
      <c r="B6" s="562">
        <v>4</v>
      </c>
      <c r="C6" s="561" t="s">
        <v>1766</v>
      </c>
    </row>
    <row r="7" spans="2:3" ht="16.2" thickBot="1">
      <c r="B7" s="562">
        <v>5</v>
      </c>
      <c r="C7" s="564" t="s">
        <v>1767</v>
      </c>
    </row>
    <row r="8" spans="2:3" ht="16.2" thickBot="1">
      <c r="B8" s="562">
        <v>6</v>
      </c>
      <c r="C8" s="564" t="s">
        <v>1768</v>
      </c>
    </row>
    <row r="9" spans="2:3" ht="16.2" thickBot="1">
      <c r="B9" s="562">
        <v>7</v>
      </c>
      <c r="C9" s="564" t="s">
        <v>1769</v>
      </c>
    </row>
    <row r="10" spans="2:3" ht="16.2" thickBot="1">
      <c r="B10" s="562">
        <v>8</v>
      </c>
      <c r="C10" s="564" t="s">
        <v>1770</v>
      </c>
    </row>
    <row r="11" spans="2:3" ht="16.2" thickBot="1">
      <c r="B11" s="562">
        <v>9</v>
      </c>
      <c r="C11" s="564" t="s">
        <v>1771</v>
      </c>
    </row>
    <row r="12" spans="2:3" ht="16.2" thickBot="1">
      <c r="B12" s="562">
        <v>10</v>
      </c>
      <c r="C12" s="564" t="s">
        <v>1772</v>
      </c>
    </row>
    <row r="13" spans="2:3" ht="16.2" thickBot="1">
      <c r="B13" s="562">
        <v>11</v>
      </c>
      <c r="C13" s="564" t="s">
        <v>1773</v>
      </c>
    </row>
    <row r="14" spans="2:3" ht="16.2" thickBot="1">
      <c r="B14" s="562">
        <v>12</v>
      </c>
      <c r="C14" s="564" t="s">
        <v>1774</v>
      </c>
    </row>
    <row r="15" spans="2:3" ht="16.2" thickBot="1">
      <c r="B15" s="562">
        <v>13</v>
      </c>
      <c r="C15" s="564" t="s">
        <v>1775</v>
      </c>
    </row>
    <row r="16" spans="2:3" ht="16.2" thickBot="1">
      <c r="B16" s="562">
        <v>14</v>
      </c>
      <c r="C16" s="561" t="s">
        <v>1776</v>
      </c>
    </row>
    <row r="17" spans="2:3" ht="16.2" thickBot="1">
      <c r="B17" s="562">
        <v>15</v>
      </c>
      <c r="C17" s="561" t="s">
        <v>1777</v>
      </c>
    </row>
    <row r="18" spans="2:3" ht="16.2" thickBot="1">
      <c r="B18" s="562">
        <v>16</v>
      </c>
      <c r="C18" s="561" t="s">
        <v>1778</v>
      </c>
    </row>
    <row r="19" spans="2:3" ht="16.2" thickBot="1">
      <c r="B19" s="562">
        <v>17</v>
      </c>
      <c r="C19" s="561" t="s">
        <v>1779</v>
      </c>
    </row>
    <row r="20" spans="2:3" ht="16.2" thickBot="1">
      <c r="B20" s="562">
        <v>18</v>
      </c>
      <c r="C20" s="561" t="s">
        <v>1780</v>
      </c>
    </row>
    <row r="21" spans="2:3" ht="16.2" thickBot="1">
      <c r="B21" s="562">
        <v>19</v>
      </c>
      <c r="C21" s="561" t="s">
        <v>1781</v>
      </c>
    </row>
    <row r="22" spans="2:3" ht="16.2" thickBot="1">
      <c r="B22" s="562">
        <v>20</v>
      </c>
      <c r="C22" s="564" t="s">
        <v>1782</v>
      </c>
    </row>
  </sheetData>
  <mergeCells count="1">
    <mergeCell ref="B2:C2"/>
  </mergeCells>
  <hyperlinks>
    <hyperlink ref="C3" location="'AGENDA ATELIER BILAN MiPa'!A1" display="AGENDA" xr:uid="{D03F90E6-DC4B-4C6A-8855-DD0791FA2286}"/>
    <hyperlink ref="C4" location="'EXECUTION PHYSIQUE'!A1" display="EXECUTION PHYSIQUE" xr:uid="{D85FBDD4-C9B8-42DC-9663-A18DB2351677}"/>
    <hyperlink ref="C5" location="'MATRICE COORDINATION MENSUELLE'!A1" display="MATRICE DE COORDINATION MENSUELLE" xr:uid="{980D42AD-A17B-477C-A7ED-7EE188B15077}"/>
    <hyperlink ref="C6" location="'PTBA 2023'!A1" display="PTBA 2023" xr:uid="{EF643B9D-90EE-48A8-8941-FFEDA2E35DB2}"/>
    <hyperlink ref="C7" location="'AVANCEMENT TECHNIQUE'!A1" display="AVANCEMENT TECHNIQUE" xr:uid="{C1C327CF-FA08-4846-9CAE-EA00F4EACACE}"/>
    <hyperlink ref="C8" location="'PERFORMANCE GLOBALE'!A1" display="PERFORMANCE GLOBALE" xr:uid="{414387E6-0B56-47FB-B32C-8AE8713D7A6F}"/>
    <hyperlink ref="C9" location="'DETAILS DECAISSEMENTS'!A1" display="DETAILS DECAISSEMENTS" xr:uid="{20094445-0CBC-4D76-911E-713B043E6295}"/>
    <hyperlink ref="C10" location="'DECAISSEMENTS GLOBAUX'!A1" display="DECAISSEMENTS GLOBAUX" xr:uid="{68523995-1D86-4D5D-B978-4CF741087F25}"/>
    <hyperlink ref="C11" location="PPM!A1" display="PERFORMANCE EN PPM" xr:uid="{F208031E-6AF6-4FAE-899D-017FC27B659D}"/>
    <hyperlink ref="C12" location="'Graphique Global'!A1" display="GRAPHIQUE GLOBAL" xr:uid="{590EB4CB-B8D3-4901-8B41-2E063BC15051}"/>
    <hyperlink ref="C13" location="'Analyse par Projet'!A1" display="ANALYSE PAR PROJET" xr:uid="{6E18617B-71C1-4A49-8263-F05B4D02451D}"/>
    <hyperlink ref="C14" location="'TEC. BUDGETAIRE. PPM '!A1" display="GRAPHYQUE GLOBAL EXECUTION TECHNIQUE-BUDGETAIRE-PPM" xr:uid="{9A79338A-7803-4447-A3EA-30DDC10EEC54}"/>
    <hyperlink ref="C15" location="'analyse par  volet'!A1" display="ANALYSE PAR VOLET" xr:uid="{7491A7CE-A011-4BCF-A987-4B5DF9B6E764}"/>
    <hyperlink ref="C16" location="IS!A1" display="SYNTHESE IS" xr:uid="{2BB28264-0FCC-4F27-B101-B600EF44944C}"/>
    <hyperlink ref="C17" location="SE!A1" display="SYNTHESE PLANIFICATION&amp;SE" xr:uid="{3DA93510-52D3-410F-9B8F-EF88949FAC4F}"/>
    <hyperlink ref="C18" location="ENV!A1" display="SYNTHESE EVIRONNEMENT ET ECONOMIE VERTE" xr:uid="{85BABD97-157E-41D2-BA7E-BB8F0F28616D}"/>
    <hyperlink ref="C19" location="SIG!A1" display="SYNTHESE SIG" xr:uid="{8DA11AD9-C8F2-4E7C-849E-0B345262E50A}"/>
    <hyperlink ref="C20" location="'GENRE ET ESE'!A1" display="GENRE ET ETUDE SOCIO-ECONOMIQUE" xr:uid="{540ECCBD-0CF2-434F-944D-D84559EDCDA4}"/>
    <hyperlink ref="C21" location="'ESTMATIONS EMPLOIS'!A1" display="EMPLOIS - ESTIMATION" xr:uid="{A367EC4B-6E5D-4034-B070-164C37235922}"/>
    <hyperlink ref="C22" location="'PERSPECTIVE TRIM 3'!A1" display="PERSPECTIVES TRIM 3" xr:uid="{7EC3EF0F-D8DF-4B32-B6C3-B3D6FBEEB9C3}"/>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90F30-67A5-4BF3-B95B-A7367788FEFD}">
  <sheetPr>
    <tabColor rgb="FFFFFF00"/>
  </sheetPr>
  <dimension ref="A1:I23"/>
  <sheetViews>
    <sheetView workbookViewId="0">
      <pane xSplit="1" ySplit="1" topLeftCell="B3" activePane="bottomRight" state="frozen"/>
      <selection pane="topRight" activeCell="B1" sqref="B1"/>
      <selection pane="bottomLeft" activeCell="A2" sqref="A2"/>
      <selection pane="bottomRight" activeCell="G16" sqref="G16"/>
    </sheetView>
  </sheetViews>
  <sheetFormatPr baseColWidth="10" defaultColWidth="28.88671875" defaultRowHeight="14.4"/>
  <cols>
    <col min="1" max="1" width="21.44140625" style="12" customWidth="1"/>
    <col min="2" max="2" width="14.44140625" style="12" bestFit="1" customWidth="1"/>
    <col min="3" max="3" width="16.33203125" style="12" bestFit="1" customWidth="1"/>
    <col min="4" max="5" width="28.88671875" style="12"/>
    <col min="6" max="6" width="14.109375" style="12" customWidth="1"/>
    <col min="7" max="7" width="13.33203125" style="12" customWidth="1"/>
    <col min="8" max="8" width="19.88671875" style="12" customWidth="1"/>
    <col min="9" max="9" width="14" style="12" customWidth="1"/>
    <col min="10" max="16384" width="28.88671875" style="12"/>
  </cols>
  <sheetData>
    <row r="1" spans="1:9" ht="34.799999999999997" customHeight="1">
      <c r="A1" s="1367" t="s">
        <v>103</v>
      </c>
      <c r="B1" s="1367"/>
      <c r="C1" s="1367"/>
    </row>
    <row r="2" spans="1:9">
      <c r="A2" s="23" t="s">
        <v>48</v>
      </c>
      <c r="B2" s="19" t="s">
        <v>1762</v>
      </c>
      <c r="C2" s="19" t="s">
        <v>1763</v>
      </c>
      <c r="D2" s="19" t="s">
        <v>1762</v>
      </c>
      <c r="E2" s="19" t="s">
        <v>1763</v>
      </c>
      <c r="F2" s="19" t="s">
        <v>1762</v>
      </c>
      <c r="G2" s="19" t="s">
        <v>1763</v>
      </c>
      <c r="H2" s="19" t="s">
        <v>1762</v>
      </c>
      <c r="I2" s="19" t="s">
        <v>1763</v>
      </c>
    </row>
    <row r="3" spans="1:9">
      <c r="A3" s="17" t="s">
        <v>2748</v>
      </c>
      <c r="B3" s="777">
        <v>0.25</v>
      </c>
      <c r="C3" s="777">
        <v>0.22</v>
      </c>
      <c r="D3" s="777">
        <v>0.4</v>
      </c>
      <c r="E3" s="777">
        <v>0.3</v>
      </c>
      <c r="F3" s="777">
        <v>0.55000000000000004</v>
      </c>
      <c r="G3" s="777">
        <v>0.45</v>
      </c>
      <c r="H3" s="777">
        <v>1</v>
      </c>
      <c r="I3" s="777">
        <v>0.9</v>
      </c>
    </row>
    <row r="4" spans="1:9">
      <c r="A4" s="17" t="s">
        <v>68</v>
      </c>
      <c r="B4" s="777">
        <v>0.3</v>
      </c>
      <c r="C4" s="777">
        <v>0.25</v>
      </c>
      <c r="D4" s="777">
        <v>0.45</v>
      </c>
      <c r="E4" s="777">
        <v>0.4</v>
      </c>
      <c r="F4" s="777">
        <v>0.6</v>
      </c>
      <c r="G4" s="777">
        <v>0.56000000000000005</v>
      </c>
      <c r="H4" s="777">
        <v>0.95</v>
      </c>
      <c r="I4" s="777">
        <v>0.8</v>
      </c>
    </row>
    <row r="5" spans="1:9">
      <c r="A5" s="17" t="s">
        <v>76</v>
      </c>
      <c r="B5" s="777">
        <v>0.35</v>
      </c>
      <c r="C5" s="777">
        <v>0.3</v>
      </c>
      <c r="D5" s="777">
        <v>0.5</v>
      </c>
      <c r="E5" s="777">
        <v>0.45</v>
      </c>
      <c r="F5" s="777">
        <v>0.65</v>
      </c>
      <c r="G5" s="777">
        <v>0.68</v>
      </c>
      <c r="H5" s="777">
        <v>0.8</v>
      </c>
      <c r="I5" s="777">
        <v>0.76</v>
      </c>
    </row>
    <row r="6" spans="1:9">
      <c r="A6" s="17" t="s">
        <v>93</v>
      </c>
      <c r="B6" s="777">
        <v>0.25</v>
      </c>
      <c r="C6" s="777">
        <v>0.24</v>
      </c>
      <c r="D6" s="777">
        <v>0.5</v>
      </c>
      <c r="E6" s="777">
        <v>0.55000000000000004</v>
      </c>
      <c r="F6" s="777">
        <v>0.7</v>
      </c>
      <c r="G6" s="777">
        <v>0.55000000000000004</v>
      </c>
      <c r="H6" s="777">
        <v>0.85</v>
      </c>
      <c r="I6" s="777">
        <v>0.84</v>
      </c>
    </row>
    <row r="7" spans="1:9" ht="26.4">
      <c r="A7" s="17" t="s">
        <v>98</v>
      </c>
      <c r="B7" s="777">
        <v>0.35</v>
      </c>
      <c r="C7" s="777">
        <v>0.3</v>
      </c>
      <c r="D7" s="777">
        <v>0.4</v>
      </c>
      <c r="E7" s="777">
        <v>0.45</v>
      </c>
      <c r="F7" s="777">
        <v>0.75</v>
      </c>
      <c r="G7" s="777">
        <v>0.8</v>
      </c>
      <c r="H7" s="777">
        <v>1</v>
      </c>
      <c r="I7" s="777">
        <v>1.05</v>
      </c>
    </row>
    <row r="9" spans="1:9" ht="15.6">
      <c r="A9" s="1367" t="s">
        <v>109</v>
      </c>
      <c r="B9" s="1367"/>
      <c r="C9" s="1367"/>
    </row>
    <row r="10" spans="1:9">
      <c r="A10" s="24" t="s">
        <v>104</v>
      </c>
      <c r="B10" s="19" t="s">
        <v>1762</v>
      </c>
      <c r="C10" s="19" t="s">
        <v>1763</v>
      </c>
      <c r="D10" s="19" t="s">
        <v>1762</v>
      </c>
      <c r="E10" s="19" t="s">
        <v>1763</v>
      </c>
      <c r="F10" s="19" t="s">
        <v>1762</v>
      </c>
      <c r="G10" s="19" t="s">
        <v>1763</v>
      </c>
      <c r="H10" s="19" t="s">
        <v>1762</v>
      </c>
      <c r="I10" s="19" t="s">
        <v>1763</v>
      </c>
    </row>
    <row r="11" spans="1:9">
      <c r="A11" s="763" t="s">
        <v>2748</v>
      </c>
      <c r="B11" s="777">
        <v>0.3</v>
      </c>
      <c r="C11" s="777">
        <v>0.1</v>
      </c>
      <c r="D11" s="777">
        <v>0.4</v>
      </c>
      <c r="E11" s="777">
        <v>0.35</v>
      </c>
      <c r="F11" s="777">
        <v>0.6</v>
      </c>
      <c r="G11" s="777">
        <v>0.55000000000000004</v>
      </c>
      <c r="H11" s="777">
        <v>0.7</v>
      </c>
      <c r="I11" s="777">
        <v>0.75</v>
      </c>
    </row>
    <row r="12" spans="1:9">
      <c r="A12" s="763" t="s">
        <v>68</v>
      </c>
      <c r="B12" s="777">
        <v>0.35</v>
      </c>
      <c r="C12" s="777">
        <v>0.2</v>
      </c>
      <c r="D12" s="777">
        <v>0.45</v>
      </c>
      <c r="E12" s="777">
        <v>0.4</v>
      </c>
      <c r="F12" s="777">
        <v>0.5</v>
      </c>
      <c r="G12" s="777">
        <v>0.45</v>
      </c>
      <c r="H12" s="777">
        <v>0.55000000000000004</v>
      </c>
      <c r="I12" s="777">
        <v>0.5</v>
      </c>
    </row>
    <row r="13" spans="1:9">
      <c r="A13" s="763" t="s">
        <v>76</v>
      </c>
      <c r="B13" s="777">
        <v>0.25</v>
      </c>
      <c r="C13" s="777">
        <v>0.15</v>
      </c>
      <c r="D13" s="777">
        <v>0.46</v>
      </c>
      <c r="E13" s="777">
        <v>0.4</v>
      </c>
      <c r="F13" s="777">
        <v>0.62</v>
      </c>
      <c r="G13" s="777">
        <v>0.6</v>
      </c>
      <c r="H13" s="777">
        <v>0.7</v>
      </c>
      <c r="I13" s="777">
        <v>0.65</v>
      </c>
    </row>
    <row r="14" spans="1:9">
      <c r="A14" s="763" t="s">
        <v>93</v>
      </c>
      <c r="B14" s="777">
        <v>0.3</v>
      </c>
      <c r="C14" s="777">
        <v>0.2</v>
      </c>
      <c r="D14" s="777">
        <v>0.5</v>
      </c>
      <c r="E14" s="777">
        <v>0.45</v>
      </c>
      <c r="F14" s="777">
        <v>0.7</v>
      </c>
      <c r="G14" s="777">
        <v>0.65</v>
      </c>
      <c r="H14" s="777">
        <v>0.7</v>
      </c>
      <c r="I14" s="777">
        <v>0.65</v>
      </c>
    </row>
    <row r="15" spans="1:9" ht="26.4">
      <c r="A15" s="763" t="s">
        <v>98</v>
      </c>
      <c r="B15" s="777">
        <v>0.35</v>
      </c>
      <c r="C15" s="777">
        <v>0.3</v>
      </c>
      <c r="D15" s="777">
        <v>0.55000000000000004</v>
      </c>
      <c r="E15" s="777">
        <v>0.35</v>
      </c>
      <c r="F15" s="777">
        <v>0.75</v>
      </c>
      <c r="G15" s="777">
        <v>0.4</v>
      </c>
      <c r="H15" s="777">
        <v>0.75</v>
      </c>
      <c r="I15" s="777">
        <v>0.4</v>
      </c>
    </row>
    <row r="17" spans="1:5" ht="16.2" thickBot="1">
      <c r="A17" s="1367" t="s">
        <v>2746</v>
      </c>
      <c r="B17" s="1367"/>
    </row>
    <row r="18" spans="1:5" ht="27.6">
      <c r="A18" s="26" t="s">
        <v>48</v>
      </c>
      <c r="B18" s="27" t="s">
        <v>2406</v>
      </c>
      <c r="C18" s="27" t="s">
        <v>2407</v>
      </c>
      <c r="D18" s="27" t="s">
        <v>2408</v>
      </c>
      <c r="E18" s="27" t="s">
        <v>2409</v>
      </c>
    </row>
    <row r="19" spans="1:5">
      <c r="A19" s="763" t="s">
        <v>2748</v>
      </c>
      <c r="B19" s="789">
        <v>0.25</v>
      </c>
      <c r="C19" s="789">
        <v>0.3</v>
      </c>
      <c r="D19" s="789">
        <v>0.4</v>
      </c>
      <c r="E19" s="789">
        <v>0.55000000000000004</v>
      </c>
    </row>
    <row r="20" spans="1:5">
      <c r="A20" s="763" t="s">
        <v>68</v>
      </c>
      <c r="B20" s="789">
        <v>0.33</v>
      </c>
      <c r="C20" s="789">
        <v>0.5</v>
      </c>
      <c r="D20" s="789">
        <v>0.6</v>
      </c>
      <c r="E20" s="789">
        <v>0.7</v>
      </c>
    </row>
    <row r="21" spans="1:5">
      <c r="A21" s="763" t="s">
        <v>76</v>
      </c>
      <c r="B21" s="789">
        <v>0.28000000000000003</v>
      </c>
      <c r="C21" s="789">
        <v>0.55000000000000004</v>
      </c>
      <c r="D21" s="789">
        <v>0.55000000000000004</v>
      </c>
      <c r="E21" s="789">
        <v>1</v>
      </c>
    </row>
    <row r="22" spans="1:5">
      <c r="A22" s="763" t="s">
        <v>93</v>
      </c>
      <c r="B22" s="789">
        <v>0.5</v>
      </c>
      <c r="C22" s="789">
        <v>0.52</v>
      </c>
      <c r="D22" s="789">
        <v>0.6</v>
      </c>
      <c r="E22" s="789">
        <v>1</v>
      </c>
    </row>
    <row r="23" spans="1:5" ht="26.4">
      <c r="A23" s="763" t="s">
        <v>98</v>
      </c>
      <c r="B23" s="21" t="s">
        <v>2410</v>
      </c>
      <c r="C23" s="21" t="s">
        <v>2410</v>
      </c>
      <c r="D23" s="21" t="s">
        <v>2410</v>
      </c>
      <c r="E23" s="21" t="s">
        <v>2410</v>
      </c>
    </row>
  </sheetData>
  <mergeCells count="3">
    <mergeCell ref="A1:C1"/>
    <mergeCell ref="A9:C9"/>
    <mergeCell ref="A17:B17"/>
  </mergeCell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C7660-D956-4689-978E-C9ED1E8D2F9C}">
  <sheetPr>
    <tabColor rgb="FFFFFF00"/>
  </sheetPr>
  <dimension ref="A1:J20"/>
  <sheetViews>
    <sheetView workbookViewId="0">
      <pane xSplit="1" ySplit="2" topLeftCell="B3" activePane="bottomRight" state="frozen"/>
      <selection pane="topRight" activeCell="C1" sqref="C1"/>
      <selection pane="bottomLeft" activeCell="A2" sqref="A2"/>
      <selection pane="bottomRight" activeCell="E13" sqref="E13"/>
    </sheetView>
  </sheetViews>
  <sheetFormatPr baseColWidth="10" defaultRowHeight="14.4"/>
  <cols>
    <col min="1" max="1" width="22" style="12" bestFit="1" customWidth="1"/>
    <col min="2" max="2" width="22" style="12" customWidth="1"/>
    <col min="3" max="3" width="22" style="12" bestFit="1" customWidth="1"/>
    <col min="4" max="4" width="16.77734375" style="12" bestFit="1" customWidth="1"/>
    <col min="5" max="5" width="15.21875" style="12" customWidth="1"/>
    <col min="6" max="6" width="18.109375" style="12" customWidth="1"/>
    <col min="7" max="7" width="16.6640625" style="12" customWidth="1"/>
    <col min="8" max="8" width="19.77734375" style="12" customWidth="1"/>
    <col min="9" max="9" width="18.44140625" style="12" customWidth="1"/>
    <col min="10" max="10" width="18.5546875" style="12" customWidth="1"/>
    <col min="11" max="16384" width="11.5546875" style="12"/>
  </cols>
  <sheetData>
    <row r="1" spans="1:10">
      <c r="A1" s="1606" t="s">
        <v>2749</v>
      </c>
      <c r="B1" s="1606"/>
      <c r="C1" s="1606"/>
      <c r="D1" s="1606"/>
      <c r="E1" s="1606"/>
      <c r="F1" s="1606"/>
      <c r="G1" s="1606"/>
      <c r="H1" s="1606"/>
      <c r="I1" s="1606"/>
      <c r="J1" s="1606"/>
    </row>
    <row r="2" spans="1:10" ht="34.799999999999997" customHeight="1">
      <c r="C2" s="19" t="s">
        <v>2386</v>
      </c>
      <c r="D2" s="19" t="s">
        <v>2387</v>
      </c>
      <c r="E2" s="19" t="s">
        <v>2411</v>
      </c>
      <c r="F2" s="19" t="s">
        <v>2412</v>
      </c>
      <c r="G2" s="19" t="s">
        <v>2413</v>
      </c>
      <c r="H2" s="19" t="s">
        <v>2414</v>
      </c>
      <c r="I2" s="19" t="s">
        <v>2415</v>
      </c>
      <c r="J2" s="19" t="s">
        <v>2416</v>
      </c>
    </row>
    <row r="3" spans="1:10">
      <c r="A3" s="1368" t="s">
        <v>2748</v>
      </c>
      <c r="B3" s="559" t="s">
        <v>986</v>
      </c>
      <c r="C3" s="777">
        <v>0.25</v>
      </c>
      <c r="D3" s="777">
        <v>0.22</v>
      </c>
      <c r="E3" s="777">
        <v>0.4</v>
      </c>
      <c r="F3" s="777">
        <v>0.3</v>
      </c>
      <c r="G3" s="777">
        <v>0.55000000000000004</v>
      </c>
      <c r="H3" s="777">
        <v>0.45</v>
      </c>
      <c r="I3" s="777">
        <v>1</v>
      </c>
      <c r="J3" s="777">
        <v>0.9</v>
      </c>
    </row>
    <row r="4" spans="1:10">
      <c r="A4" s="1368"/>
      <c r="B4" s="559" t="s">
        <v>985</v>
      </c>
      <c r="C4" s="777">
        <v>0.3</v>
      </c>
      <c r="D4" s="777">
        <v>0.1</v>
      </c>
      <c r="E4" s="777">
        <v>0.4</v>
      </c>
      <c r="F4" s="777">
        <v>0.35</v>
      </c>
      <c r="G4" s="777">
        <v>0.6</v>
      </c>
      <c r="H4" s="777">
        <v>0.55000000000000004</v>
      </c>
      <c r="I4" s="777">
        <v>0.7</v>
      </c>
      <c r="J4" s="777">
        <v>0.75</v>
      </c>
    </row>
    <row r="5" spans="1:10">
      <c r="A5" s="1368"/>
      <c r="B5" s="559" t="s">
        <v>114</v>
      </c>
      <c r="C5" s="789"/>
      <c r="D5" s="789">
        <v>0.3</v>
      </c>
      <c r="E5" s="789"/>
      <c r="F5" s="789">
        <v>0.35</v>
      </c>
      <c r="G5" s="789"/>
      <c r="H5" s="789">
        <v>0.75</v>
      </c>
      <c r="I5" s="788"/>
      <c r="J5" s="789">
        <v>0.55000000000000004</v>
      </c>
    </row>
    <row r="6" spans="1:10">
      <c r="A6" s="1368" t="s">
        <v>2388</v>
      </c>
      <c r="B6" s="559" t="s">
        <v>986</v>
      </c>
      <c r="C6" s="777">
        <v>0.3</v>
      </c>
      <c r="D6" s="777">
        <v>0.25</v>
      </c>
      <c r="E6" s="777">
        <v>0.45</v>
      </c>
      <c r="F6" s="777">
        <v>0.4</v>
      </c>
      <c r="G6" s="777">
        <v>0.6</v>
      </c>
      <c r="H6" s="777">
        <v>0.56000000000000005</v>
      </c>
      <c r="I6" s="777">
        <v>0.95</v>
      </c>
      <c r="J6" s="777">
        <v>0.8</v>
      </c>
    </row>
    <row r="7" spans="1:10">
      <c r="A7" s="1368"/>
      <c r="B7" s="559" t="s">
        <v>985</v>
      </c>
      <c r="C7" s="777">
        <v>0.35</v>
      </c>
      <c r="D7" s="777">
        <v>0.2</v>
      </c>
      <c r="E7" s="777">
        <v>0.45</v>
      </c>
      <c r="F7" s="777">
        <v>0.4</v>
      </c>
      <c r="G7" s="777">
        <v>0.5</v>
      </c>
      <c r="H7" s="777">
        <v>0.45</v>
      </c>
      <c r="I7" s="777">
        <v>0.55000000000000004</v>
      </c>
      <c r="J7" s="777">
        <v>0.5</v>
      </c>
    </row>
    <row r="8" spans="1:10">
      <c r="A8" s="1368"/>
      <c r="B8" s="559" t="s">
        <v>114</v>
      </c>
      <c r="C8" s="789"/>
      <c r="D8" s="789">
        <v>0.35</v>
      </c>
      <c r="E8" s="789"/>
      <c r="F8" s="789">
        <v>0.45</v>
      </c>
      <c r="G8" s="789"/>
      <c r="H8" s="789">
        <v>0.5</v>
      </c>
      <c r="I8" s="788"/>
      <c r="J8" s="789">
        <v>0.75</v>
      </c>
    </row>
    <row r="9" spans="1:10">
      <c r="A9" s="1368" t="s">
        <v>2389</v>
      </c>
      <c r="B9" s="559" t="s">
        <v>986</v>
      </c>
      <c r="C9" s="777">
        <v>0.35</v>
      </c>
      <c r="D9" s="777">
        <v>0.3</v>
      </c>
      <c r="E9" s="777">
        <v>0.5</v>
      </c>
      <c r="F9" s="777">
        <v>0.45</v>
      </c>
      <c r="G9" s="777">
        <v>0.65</v>
      </c>
      <c r="H9" s="777">
        <v>0.68</v>
      </c>
      <c r="I9" s="777">
        <v>0.8</v>
      </c>
      <c r="J9" s="777">
        <v>0.76</v>
      </c>
    </row>
    <row r="10" spans="1:10">
      <c r="A10" s="1368"/>
      <c r="B10" s="559" t="s">
        <v>985</v>
      </c>
      <c r="C10" s="777">
        <v>0.25</v>
      </c>
      <c r="D10" s="777">
        <v>0.15</v>
      </c>
      <c r="E10" s="777">
        <v>0.46</v>
      </c>
      <c r="F10" s="777">
        <v>0.4</v>
      </c>
      <c r="G10" s="777">
        <v>0.62</v>
      </c>
      <c r="H10" s="777">
        <v>0.6</v>
      </c>
      <c r="I10" s="777">
        <v>0.7</v>
      </c>
      <c r="J10" s="777">
        <v>0.65</v>
      </c>
    </row>
    <row r="11" spans="1:10">
      <c r="A11" s="1368"/>
      <c r="B11" s="559" t="s">
        <v>114</v>
      </c>
      <c r="C11" s="789"/>
      <c r="D11" s="789">
        <v>0.3</v>
      </c>
      <c r="E11" s="789"/>
      <c r="F11" s="789">
        <v>0.5</v>
      </c>
      <c r="G11" s="789"/>
      <c r="H11" s="789">
        <v>0.75</v>
      </c>
      <c r="I11" s="788"/>
      <c r="J11" s="789">
        <v>0.8</v>
      </c>
    </row>
    <row r="12" spans="1:10">
      <c r="A12" s="1368" t="s">
        <v>2390</v>
      </c>
      <c r="B12" s="559" t="s">
        <v>986</v>
      </c>
      <c r="C12" s="777">
        <v>0.25</v>
      </c>
      <c r="D12" s="777">
        <v>0.24</v>
      </c>
      <c r="E12" s="777">
        <v>0.5</v>
      </c>
      <c r="F12" s="777">
        <v>0.55000000000000004</v>
      </c>
      <c r="G12" s="777">
        <v>0.7</v>
      </c>
      <c r="H12" s="777">
        <v>0.55000000000000004</v>
      </c>
      <c r="I12" s="777">
        <v>0.85</v>
      </c>
      <c r="J12" s="777">
        <v>0.84</v>
      </c>
    </row>
    <row r="13" spans="1:10">
      <c r="A13" s="1368"/>
      <c r="B13" s="559" t="s">
        <v>985</v>
      </c>
      <c r="C13" s="777">
        <v>0.3</v>
      </c>
      <c r="D13" s="777">
        <v>0.2</v>
      </c>
      <c r="E13" s="777">
        <v>0.5</v>
      </c>
      <c r="F13" s="777">
        <v>0.45</v>
      </c>
      <c r="G13" s="777">
        <v>0.7</v>
      </c>
      <c r="H13" s="777">
        <v>0.65</v>
      </c>
      <c r="I13" s="777">
        <v>0.7</v>
      </c>
      <c r="J13" s="777">
        <v>0.65</v>
      </c>
    </row>
    <row r="14" spans="1:10">
      <c r="A14" s="1368"/>
      <c r="B14" s="559" t="s">
        <v>114</v>
      </c>
      <c r="C14" s="789"/>
      <c r="D14" s="789">
        <v>0.35</v>
      </c>
      <c r="E14" s="789"/>
      <c r="F14" s="789">
        <v>0.39</v>
      </c>
      <c r="G14" s="789"/>
      <c r="H14" s="789">
        <v>0.5</v>
      </c>
      <c r="I14" s="788"/>
      <c r="J14" s="789">
        <v>0.75</v>
      </c>
    </row>
    <row r="15" spans="1:10">
      <c r="A15" s="1368" t="s">
        <v>2015</v>
      </c>
      <c r="B15" s="559" t="s">
        <v>986</v>
      </c>
      <c r="C15" s="777">
        <v>0.35</v>
      </c>
      <c r="D15" s="777">
        <v>0.3</v>
      </c>
      <c r="E15" s="777">
        <v>0.4</v>
      </c>
      <c r="F15" s="777">
        <v>0.45</v>
      </c>
      <c r="G15" s="777">
        <v>0.75</v>
      </c>
      <c r="H15" s="777">
        <v>0.8</v>
      </c>
      <c r="I15" s="777">
        <v>1</v>
      </c>
      <c r="J15" s="777">
        <v>1.05</v>
      </c>
    </row>
    <row r="16" spans="1:10">
      <c r="A16" s="1368"/>
      <c r="B16" s="559" t="s">
        <v>985</v>
      </c>
      <c r="C16" s="777">
        <v>0.35</v>
      </c>
      <c r="D16" s="777">
        <v>0.3</v>
      </c>
      <c r="E16" s="777">
        <v>0.55000000000000004</v>
      </c>
      <c r="F16" s="777">
        <v>0.35</v>
      </c>
      <c r="G16" s="777">
        <v>0.75</v>
      </c>
      <c r="H16" s="777">
        <v>0.4</v>
      </c>
      <c r="I16" s="777">
        <v>0.75</v>
      </c>
      <c r="J16" s="777">
        <v>0.4</v>
      </c>
    </row>
    <row r="19" spans="3:10">
      <c r="C19" s="22"/>
      <c r="D19" s="22"/>
      <c r="E19" s="22"/>
      <c r="F19" s="22"/>
      <c r="G19" s="22"/>
      <c r="H19" s="22"/>
      <c r="I19" s="22"/>
      <c r="J19" s="22"/>
    </row>
    <row r="20" spans="3:10">
      <c r="C20" s="22"/>
      <c r="D20" s="22"/>
    </row>
  </sheetData>
  <mergeCells count="6">
    <mergeCell ref="A1:J1"/>
    <mergeCell ref="A9:A11"/>
    <mergeCell ref="A12:A14"/>
    <mergeCell ref="A15:A16"/>
    <mergeCell ref="A3:A5"/>
    <mergeCell ref="A6:A8"/>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4B80B-79B1-493D-B7F7-CB8A13B5E47F}">
  <sheetPr>
    <tabColor rgb="FF00B050"/>
  </sheetPr>
  <dimension ref="A1:O59"/>
  <sheetViews>
    <sheetView zoomScale="90" zoomScaleNormal="90" workbookViewId="0">
      <pane ySplit="2" topLeftCell="A3" activePane="bottomLeft" state="frozen"/>
      <selection pane="bottomLeft" activeCell="H6" sqref="H6"/>
    </sheetView>
  </sheetViews>
  <sheetFormatPr baseColWidth="10" defaultRowHeight="10.199999999999999"/>
  <cols>
    <col min="1" max="1" width="36" style="1603" bestFit="1" customWidth="1"/>
    <col min="2" max="2" width="10.77734375" style="700" customWidth="1"/>
    <col min="3" max="3" width="15.88671875" style="299" customWidth="1"/>
    <col min="4" max="5" width="11.109375" style="700" customWidth="1"/>
    <col min="6" max="7" width="15.44140625" style="700" customWidth="1"/>
    <col min="8" max="8" width="19.5546875" style="700" customWidth="1"/>
    <col min="9" max="9" width="13.5546875" style="700" customWidth="1"/>
    <col min="10" max="10" width="18.21875" style="700" customWidth="1"/>
    <col min="11" max="11" width="9.77734375" style="700" customWidth="1"/>
    <col min="12" max="12" width="62.5546875" style="700" customWidth="1"/>
    <col min="13" max="16384" width="11.5546875" style="530"/>
  </cols>
  <sheetData>
    <row r="1" spans="1:14" s="700" customFormat="1" ht="25.2" customHeight="1">
      <c r="A1" s="1551" t="s">
        <v>989</v>
      </c>
      <c r="B1" s="1551" t="s">
        <v>1243</v>
      </c>
      <c r="C1" s="1551" t="s">
        <v>980</v>
      </c>
      <c r="D1" s="1551" t="s">
        <v>2728</v>
      </c>
      <c r="E1" s="1551" t="s">
        <v>2729</v>
      </c>
      <c r="F1" s="1551" t="s">
        <v>2731</v>
      </c>
      <c r="G1" s="1551" t="s">
        <v>2732</v>
      </c>
      <c r="H1" s="1604" t="s">
        <v>2745</v>
      </c>
      <c r="I1" s="1552" t="s">
        <v>2730</v>
      </c>
      <c r="J1" s="1552" t="s">
        <v>2651</v>
      </c>
      <c r="K1" s="1552" t="s">
        <v>2733</v>
      </c>
      <c r="L1" s="1552" t="s">
        <v>2652</v>
      </c>
    </row>
    <row r="2" spans="1:14" s="700" customFormat="1" ht="10.199999999999999" customHeight="1">
      <c r="A2" s="1551"/>
      <c r="B2" s="1551"/>
      <c r="C2" s="1551"/>
      <c r="D2" s="1551"/>
      <c r="E2" s="1551"/>
      <c r="F2" s="1551"/>
      <c r="G2" s="1551"/>
      <c r="H2" s="1605"/>
      <c r="I2" s="1552"/>
      <c r="J2" s="1552"/>
      <c r="K2" s="1552"/>
      <c r="L2" s="1552"/>
    </row>
    <row r="3" spans="1:14" ht="21.6" customHeight="1">
      <c r="A3" s="1553" t="s">
        <v>5</v>
      </c>
      <c r="B3" s="1553"/>
      <c r="C3" s="1553"/>
      <c r="D3" s="1554"/>
      <c r="E3" s="1554"/>
      <c r="F3" s="1554"/>
      <c r="G3" s="1554"/>
      <c r="H3" s="1554"/>
      <c r="I3" s="1554"/>
      <c r="J3" s="1554"/>
      <c r="K3" s="1554"/>
      <c r="L3" s="1554"/>
    </row>
    <row r="4" spans="1:14" ht="106.2" customHeight="1">
      <c r="A4" s="1555" t="s">
        <v>1169</v>
      </c>
      <c r="B4" s="1556">
        <f>+SUM(E4:E6)+E7</f>
        <v>790</v>
      </c>
      <c r="C4" s="1557" t="s">
        <v>7</v>
      </c>
      <c r="D4" s="1557">
        <v>200</v>
      </c>
      <c r="E4" s="1557">
        <v>200</v>
      </c>
      <c r="F4" s="1557">
        <v>90</v>
      </c>
      <c r="G4" s="1557">
        <f>28.5+21+56.12</f>
        <v>105.62</v>
      </c>
      <c r="H4" s="1596" t="s">
        <v>2734</v>
      </c>
      <c r="I4" s="1558">
        <v>166.42</v>
      </c>
      <c r="J4" s="1559" t="s">
        <v>2653</v>
      </c>
      <c r="K4" s="1560">
        <f>+I4/E4</f>
        <v>0.83209999999999995</v>
      </c>
      <c r="L4" s="1561" t="s">
        <v>2654</v>
      </c>
    </row>
    <row r="5" spans="1:14" ht="59.4" customHeight="1">
      <c r="A5" s="1555"/>
      <c r="B5" s="1556"/>
      <c r="C5" s="1557" t="s">
        <v>8</v>
      </c>
      <c r="D5" s="1557">
        <v>300</v>
      </c>
      <c r="E5" s="1557">
        <v>300</v>
      </c>
      <c r="F5" s="1557">
        <v>98</v>
      </c>
      <c r="G5" s="1557">
        <f>41.5+33</f>
        <v>74.5</v>
      </c>
      <c r="H5" s="1559" t="s">
        <v>2735</v>
      </c>
      <c r="I5" s="1558">
        <v>159.5</v>
      </c>
      <c r="J5" s="1559" t="s">
        <v>2655</v>
      </c>
      <c r="K5" s="1560">
        <f>+I5/E5</f>
        <v>0.53166666666666662</v>
      </c>
      <c r="L5" s="1561" t="s">
        <v>2656</v>
      </c>
    </row>
    <row r="6" spans="1:14" ht="179.4">
      <c r="A6" s="1555"/>
      <c r="B6" s="1556"/>
      <c r="C6" s="1557" t="s">
        <v>9</v>
      </c>
      <c r="D6" s="1557">
        <v>256</v>
      </c>
      <c r="E6" s="1557">
        <v>256</v>
      </c>
      <c r="F6" s="1557">
        <v>45</v>
      </c>
      <c r="G6" s="1557">
        <v>0</v>
      </c>
      <c r="H6" s="1557"/>
      <c r="I6" s="1558">
        <v>0</v>
      </c>
      <c r="J6" s="1562" t="s">
        <v>2657</v>
      </c>
      <c r="K6" s="1563">
        <v>0</v>
      </c>
      <c r="L6" s="1564" t="s">
        <v>2658</v>
      </c>
    </row>
    <row r="7" spans="1:14" ht="51" customHeight="1">
      <c r="A7" s="1555"/>
      <c r="B7" s="1556"/>
      <c r="C7" s="1557" t="s">
        <v>6</v>
      </c>
      <c r="D7" s="1557">
        <v>34</v>
      </c>
      <c r="E7" s="1557">
        <v>34</v>
      </c>
      <c r="F7" s="1557">
        <v>34</v>
      </c>
      <c r="G7" s="1557">
        <v>0</v>
      </c>
      <c r="H7" s="1557"/>
      <c r="I7" s="1558">
        <v>0</v>
      </c>
      <c r="J7" s="1562"/>
      <c r="K7" s="1563">
        <v>0</v>
      </c>
      <c r="L7" s="1559" t="s">
        <v>2659</v>
      </c>
    </row>
    <row r="8" spans="1:14" ht="19.2" customHeight="1">
      <c r="A8" s="1565" t="s">
        <v>699</v>
      </c>
      <c r="B8" s="1565"/>
      <c r="C8" s="1565"/>
      <c r="D8" s="1554"/>
      <c r="E8" s="1554"/>
      <c r="F8" s="1554"/>
      <c r="G8" s="1554"/>
      <c r="H8" s="1554"/>
      <c r="I8" s="1554"/>
      <c r="J8" s="1554"/>
      <c r="K8" s="1554"/>
      <c r="L8" s="1554"/>
    </row>
    <row r="9" spans="1:14" ht="58.2" customHeight="1">
      <c r="A9" s="1566" t="s">
        <v>1170</v>
      </c>
      <c r="B9" s="1567">
        <f>+E9+E10+E11+E12</f>
        <v>2092</v>
      </c>
      <c r="C9" s="1557" t="s">
        <v>2660</v>
      </c>
      <c r="D9" s="1557">
        <v>42</v>
      </c>
      <c r="E9" s="1557">
        <v>42</v>
      </c>
      <c r="F9" s="1557" t="s">
        <v>2410</v>
      </c>
      <c r="G9" s="1557" t="s">
        <v>2410</v>
      </c>
      <c r="H9" s="1557"/>
      <c r="I9" s="1558">
        <v>42</v>
      </c>
      <c r="J9" s="1559" t="s">
        <v>2661</v>
      </c>
      <c r="K9" s="1560">
        <f>+I9/E9</f>
        <v>1</v>
      </c>
      <c r="L9" s="1568" t="s">
        <v>2662</v>
      </c>
    </row>
    <row r="10" spans="1:14" ht="122.4" customHeight="1">
      <c r="A10" s="1566"/>
      <c r="B10" s="1567"/>
      <c r="C10" s="1557" t="s">
        <v>8</v>
      </c>
      <c r="D10" s="1557">
        <v>180</v>
      </c>
      <c r="E10" s="1557">
        <v>26</v>
      </c>
      <c r="F10" s="1557">
        <v>7</v>
      </c>
      <c r="G10" s="1557">
        <v>2</v>
      </c>
      <c r="H10" s="1596" t="s">
        <v>2736</v>
      </c>
      <c r="I10" s="1558">
        <v>0</v>
      </c>
      <c r="J10" s="1569"/>
      <c r="K10" s="1560">
        <f>+I10/E10</f>
        <v>0</v>
      </c>
      <c r="L10" s="1570" t="s">
        <v>2663</v>
      </c>
    </row>
    <row r="11" spans="1:14" ht="54.6" customHeight="1">
      <c r="A11" s="1566"/>
      <c r="B11" s="1567"/>
      <c r="C11" s="1557" t="s">
        <v>9</v>
      </c>
      <c r="D11" s="1557">
        <v>49</v>
      </c>
      <c r="E11" s="1557">
        <v>24</v>
      </c>
      <c r="F11" s="1557">
        <v>19</v>
      </c>
      <c r="G11" s="1557">
        <v>5</v>
      </c>
      <c r="H11" s="1596" t="s">
        <v>2737</v>
      </c>
      <c r="I11" s="1558">
        <v>0</v>
      </c>
      <c r="J11" s="1569"/>
      <c r="K11" s="1560">
        <f>+I11/E11</f>
        <v>0</v>
      </c>
      <c r="L11" s="1570" t="s">
        <v>2664</v>
      </c>
    </row>
    <row r="12" spans="1:14" ht="159" customHeight="1">
      <c r="A12" s="1566"/>
      <c r="B12" s="1567"/>
      <c r="C12" s="1557" t="s">
        <v>11</v>
      </c>
      <c r="D12" s="1557">
        <v>2000</v>
      </c>
      <c r="E12" s="1557">
        <v>2000</v>
      </c>
      <c r="F12" s="1557">
        <v>150</v>
      </c>
      <c r="G12" s="1557">
        <f>22+5+15+52+40+10+52+4+1+5</f>
        <v>206</v>
      </c>
      <c r="H12" s="1559" t="s">
        <v>2738</v>
      </c>
      <c r="I12" s="1558">
        <v>844</v>
      </c>
      <c r="J12" s="1562"/>
      <c r="K12" s="1560">
        <f>+I12/E12</f>
        <v>0.42199999999999999</v>
      </c>
      <c r="L12" s="1571" t="s">
        <v>2665</v>
      </c>
    </row>
    <row r="13" spans="1:14" s="708" customFormat="1" ht="96.6">
      <c r="A13" s="1572" t="s">
        <v>1171</v>
      </c>
      <c r="B13" s="1573">
        <f>187+25+17+53+56</f>
        <v>338</v>
      </c>
      <c r="C13" s="1557" t="s">
        <v>11</v>
      </c>
      <c r="D13" s="1557">
        <v>338</v>
      </c>
      <c r="E13" s="1557">
        <v>338</v>
      </c>
      <c r="F13" s="1557">
        <v>54</v>
      </c>
      <c r="G13" s="1557">
        <v>0</v>
      </c>
      <c r="H13" s="1557"/>
      <c r="I13" s="1558">
        <v>282</v>
      </c>
      <c r="J13" s="1562"/>
      <c r="K13" s="1560">
        <v>0.83</v>
      </c>
      <c r="L13" s="1571" t="s">
        <v>2666</v>
      </c>
    </row>
    <row r="14" spans="1:14" ht="21" customHeight="1">
      <c r="A14" s="1574" t="s">
        <v>996</v>
      </c>
      <c r="B14" s="1574"/>
      <c r="C14" s="1574"/>
      <c r="D14" s="1554"/>
      <c r="E14" s="1554"/>
      <c r="F14" s="1554"/>
      <c r="G14" s="1554"/>
      <c r="H14" s="1554"/>
      <c r="I14" s="1554"/>
      <c r="J14" s="1554"/>
      <c r="K14" s="1554"/>
      <c r="L14" s="1554"/>
    </row>
    <row r="15" spans="1:14" ht="45" customHeight="1">
      <c r="A15" s="1575" t="s">
        <v>1172</v>
      </c>
      <c r="B15" s="1556">
        <f>+E15+E16</f>
        <v>35</v>
      </c>
      <c r="C15" s="1557" t="s">
        <v>7</v>
      </c>
      <c r="D15" s="1557">
        <v>25</v>
      </c>
      <c r="E15" s="1557">
        <v>25</v>
      </c>
      <c r="F15" s="1557">
        <v>11</v>
      </c>
      <c r="G15" s="1557">
        <v>6</v>
      </c>
      <c r="H15" s="1557" t="s">
        <v>2739</v>
      </c>
      <c r="I15" s="1558">
        <v>20</v>
      </c>
      <c r="J15" s="1559" t="s">
        <v>2667</v>
      </c>
      <c r="K15" s="1560">
        <f>+I15/E15</f>
        <v>0.8</v>
      </c>
      <c r="L15" s="1561" t="s">
        <v>2668</v>
      </c>
      <c r="N15" s="709"/>
    </row>
    <row r="16" spans="1:14" ht="33.6" customHeight="1">
      <c r="A16" s="1575"/>
      <c r="B16" s="1556"/>
      <c r="C16" s="1557" t="s">
        <v>9</v>
      </c>
      <c r="D16" s="1557">
        <v>10</v>
      </c>
      <c r="E16" s="1557">
        <v>10</v>
      </c>
      <c r="F16" s="1557">
        <v>2</v>
      </c>
      <c r="G16" s="1557">
        <v>2</v>
      </c>
      <c r="H16" s="1557" t="s">
        <v>2740</v>
      </c>
      <c r="I16" s="1558">
        <v>10</v>
      </c>
      <c r="J16" s="1559" t="s">
        <v>2669</v>
      </c>
      <c r="K16" s="1560">
        <f>+I16/E16</f>
        <v>1</v>
      </c>
      <c r="L16" s="1561" t="s">
        <v>2670</v>
      </c>
    </row>
    <row r="17" spans="1:12" ht="87.6" customHeight="1">
      <c r="A17" s="1575" t="s">
        <v>1173</v>
      </c>
      <c r="B17" s="1576">
        <f>+SUM(E17:E19)+E20</f>
        <v>118</v>
      </c>
      <c r="C17" s="1557" t="s">
        <v>7</v>
      </c>
      <c r="D17" s="1557">
        <v>30</v>
      </c>
      <c r="E17" s="1557">
        <v>30</v>
      </c>
      <c r="F17" s="1557" t="s">
        <v>2410</v>
      </c>
      <c r="G17" s="1557" t="s">
        <v>2410</v>
      </c>
      <c r="H17" s="1557"/>
      <c r="I17" s="1558">
        <v>33</v>
      </c>
      <c r="J17" s="1559" t="s">
        <v>2671</v>
      </c>
      <c r="K17" s="1560">
        <f>+I17/E17</f>
        <v>1.1000000000000001</v>
      </c>
      <c r="L17" s="1577"/>
    </row>
    <row r="18" spans="1:12" ht="119.4" customHeight="1">
      <c r="A18" s="1575"/>
      <c r="B18" s="1576"/>
      <c r="C18" s="1557" t="s">
        <v>8</v>
      </c>
      <c r="D18" s="1557">
        <v>40</v>
      </c>
      <c r="E18" s="1557">
        <v>40</v>
      </c>
      <c r="F18" s="1557">
        <v>9</v>
      </c>
      <c r="G18" s="1557">
        <v>0</v>
      </c>
      <c r="H18" s="1557"/>
      <c r="I18" s="1558">
        <v>31</v>
      </c>
      <c r="J18" s="1559" t="s">
        <v>2672</v>
      </c>
      <c r="K18" s="1560">
        <f>+I18/E18</f>
        <v>0.77500000000000002</v>
      </c>
      <c r="L18" s="1578" t="s">
        <v>2673</v>
      </c>
    </row>
    <row r="19" spans="1:12" ht="72" customHeight="1">
      <c r="A19" s="1575"/>
      <c r="B19" s="1576"/>
      <c r="C19" s="1557" t="s">
        <v>9</v>
      </c>
      <c r="D19" s="1557">
        <v>6</v>
      </c>
      <c r="E19" s="1557">
        <v>12</v>
      </c>
      <c r="F19" s="1557" t="s">
        <v>2410</v>
      </c>
      <c r="G19" s="1557" t="s">
        <v>2410</v>
      </c>
      <c r="H19" s="1557"/>
      <c r="I19" s="1558">
        <v>12</v>
      </c>
      <c r="J19" s="1559" t="s">
        <v>2674</v>
      </c>
      <c r="K19" s="1560">
        <f>+I19/E19</f>
        <v>1</v>
      </c>
      <c r="L19" s="1577"/>
    </row>
    <row r="20" spans="1:12" ht="117.6" customHeight="1">
      <c r="A20" s="1575"/>
      <c r="B20" s="1576"/>
      <c r="C20" s="1557" t="s">
        <v>6</v>
      </c>
      <c r="D20" s="1557">
        <f>20+16</f>
        <v>36</v>
      </c>
      <c r="E20" s="1557">
        <v>36</v>
      </c>
      <c r="F20" s="1557">
        <v>15</v>
      </c>
      <c r="G20" s="1557">
        <v>10</v>
      </c>
      <c r="H20" s="1596" t="s">
        <v>2741</v>
      </c>
      <c r="I20" s="1558">
        <f>16+11</f>
        <v>27</v>
      </c>
      <c r="J20" s="1559" t="s">
        <v>2675</v>
      </c>
      <c r="K20" s="1560">
        <f>+I20/E20</f>
        <v>0.75</v>
      </c>
      <c r="L20" s="1579" t="s">
        <v>2676</v>
      </c>
    </row>
    <row r="21" spans="1:12" ht="67.8" customHeight="1">
      <c r="A21" s="1575" t="s">
        <v>1174</v>
      </c>
      <c r="B21" s="1576">
        <f>+SUM(E21:E23)+E24</f>
        <v>91</v>
      </c>
      <c r="C21" s="1557" t="s">
        <v>7</v>
      </c>
      <c r="D21" s="1557">
        <v>29</v>
      </c>
      <c r="E21" s="1557">
        <v>29</v>
      </c>
      <c r="F21" s="1557" t="s">
        <v>2410</v>
      </c>
      <c r="G21" s="1557" t="s">
        <v>2410</v>
      </c>
      <c r="H21" s="1557"/>
      <c r="I21" s="1558">
        <v>29</v>
      </c>
      <c r="J21" s="1559" t="s">
        <v>2677</v>
      </c>
      <c r="K21" s="1560">
        <f>+I21/E21</f>
        <v>1</v>
      </c>
      <c r="L21" s="1577"/>
    </row>
    <row r="22" spans="1:12" ht="96.6">
      <c r="A22" s="1575"/>
      <c r="B22" s="1576"/>
      <c r="C22" s="1557" t="s">
        <v>8</v>
      </c>
      <c r="D22" s="1557">
        <v>40</v>
      </c>
      <c r="E22" s="1557">
        <v>40</v>
      </c>
      <c r="F22" s="1557">
        <v>9</v>
      </c>
      <c r="G22" s="1557">
        <v>0</v>
      </c>
      <c r="H22" s="1557"/>
      <c r="I22" s="1558">
        <v>31</v>
      </c>
      <c r="J22" s="1559" t="s">
        <v>2672</v>
      </c>
      <c r="K22" s="1560">
        <f>+I22/E22</f>
        <v>0.77500000000000002</v>
      </c>
      <c r="L22" s="1578" t="s">
        <v>2678</v>
      </c>
    </row>
    <row r="23" spans="1:12" ht="32.4" customHeight="1">
      <c r="A23" s="1575"/>
      <c r="B23" s="1576"/>
      <c r="C23" s="1557" t="s">
        <v>9</v>
      </c>
      <c r="D23" s="1557">
        <v>6</v>
      </c>
      <c r="E23" s="1557">
        <v>6</v>
      </c>
      <c r="F23" s="1557">
        <v>6</v>
      </c>
      <c r="G23" s="1557">
        <v>1</v>
      </c>
      <c r="H23" s="1557" t="s">
        <v>2742</v>
      </c>
      <c r="I23" s="1558">
        <v>1</v>
      </c>
      <c r="J23" s="1559" t="s">
        <v>2679</v>
      </c>
      <c r="K23" s="1560">
        <f>+I23/E23</f>
        <v>0.16666666666666666</v>
      </c>
      <c r="L23" s="1559" t="s">
        <v>2680</v>
      </c>
    </row>
    <row r="24" spans="1:12" ht="96" customHeight="1">
      <c r="A24" s="1575"/>
      <c r="B24" s="1576"/>
      <c r="C24" s="1557" t="s">
        <v>6</v>
      </c>
      <c r="D24" s="1557">
        <v>16</v>
      </c>
      <c r="E24" s="1557">
        <v>16</v>
      </c>
      <c r="F24" s="1557">
        <v>10</v>
      </c>
      <c r="G24" s="1557">
        <v>0</v>
      </c>
      <c r="H24" s="1557"/>
      <c r="I24" s="1558">
        <v>4</v>
      </c>
      <c r="J24" s="1559" t="s">
        <v>2681</v>
      </c>
      <c r="K24" s="1560">
        <f>+I24/E24</f>
        <v>0.25</v>
      </c>
      <c r="L24" s="1579" t="s">
        <v>2682</v>
      </c>
    </row>
    <row r="25" spans="1:12" ht="55.2">
      <c r="A25" s="1580" t="s">
        <v>1175</v>
      </c>
      <c r="B25" s="1581">
        <f>+E25+E26+E27+E28</f>
        <v>91</v>
      </c>
      <c r="C25" s="1557" t="s">
        <v>7</v>
      </c>
      <c r="D25" s="1557">
        <v>29</v>
      </c>
      <c r="E25" s="1557">
        <v>29</v>
      </c>
      <c r="F25" s="1557">
        <v>2</v>
      </c>
      <c r="G25" s="1557">
        <v>0</v>
      </c>
      <c r="H25" s="1557"/>
      <c r="I25" s="1558">
        <v>27</v>
      </c>
      <c r="J25" s="1559" t="s">
        <v>2683</v>
      </c>
      <c r="K25" s="1560">
        <f>+I25/E25</f>
        <v>0.93103448275862066</v>
      </c>
      <c r="L25" s="1579" t="s">
        <v>2684</v>
      </c>
    </row>
    <row r="26" spans="1:12" ht="96.6">
      <c r="A26" s="1580"/>
      <c r="B26" s="1581"/>
      <c r="C26" s="1557" t="s">
        <v>8</v>
      </c>
      <c r="D26" s="1557">
        <v>40</v>
      </c>
      <c r="E26" s="1557">
        <v>40</v>
      </c>
      <c r="F26" s="1557">
        <v>9</v>
      </c>
      <c r="G26" s="1557">
        <v>0</v>
      </c>
      <c r="H26" s="1557"/>
      <c r="I26" s="1558">
        <v>31</v>
      </c>
      <c r="J26" s="1559" t="s">
        <v>2672</v>
      </c>
      <c r="K26" s="1560">
        <f>+I26/E26</f>
        <v>0.77500000000000002</v>
      </c>
      <c r="L26" s="1579" t="s">
        <v>2685</v>
      </c>
    </row>
    <row r="27" spans="1:12" ht="82.8">
      <c r="A27" s="1580"/>
      <c r="B27" s="1581"/>
      <c r="C27" s="1557" t="s">
        <v>9</v>
      </c>
      <c r="D27" s="1557">
        <v>10</v>
      </c>
      <c r="E27" s="1557">
        <v>6</v>
      </c>
      <c r="F27" s="1557">
        <v>6</v>
      </c>
      <c r="G27" s="1557">
        <v>1</v>
      </c>
      <c r="H27" s="1557" t="s">
        <v>2742</v>
      </c>
      <c r="I27" s="1558">
        <v>1</v>
      </c>
      <c r="J27" s="1562"/>
      <c r="K27" s="1560">
        <v>0</v>
      </c>
      <c r="L27" s="1579" t="s">
        <v>2686</v>
      </c>
    </row>
    <row r="28" spans="1:12" ht="165.6">
      <c r="A28" s="1580"/>
      <c r="B28" s="1581"/>
      <c r="C28" s="1557" t="s">
        <v>6</v>
      </c>
      <c r="D28" s="1557">
        <v>16</v>
      </c>
      <c r="E28" s="1557">
        <v>16</v>
      </c>
      <c r="F28" s="1557">
        <v>12</v>
      </c>
      <c r="G28" s="1557">
        <v>0</v>
      </c>
      <c r="H28" s="1557"/>
      <c r="I28" s="1558">
        <v>3</v>
      </c>
      <c r="J28" s="1559" t="s">
        <v>2687</v>
      </c>
      <c r="K28" s="1560">
        <f>+I28/E28</f>
        <v>0.1875</v>
      </c>
      <c r="L28" s="1561" t="s">
        <v>2688</v>
      </c>
    </row>
    <row r="29" spans="1:12" ht="18.600000000000001" customHeight="1">
      <c r="A29" s="1574" t="s">
        <v>1002</v>
      </c>
      <c r="B29" s="1574"/>
      <c r="C29" s="1574"/>
      <c r="D29" s="1554"/>
      <c r="E29" s="1554"/>
      <c r="F29" s="1554"/>
      <c r="G29" s="1554"/>
      <c r="H29" s="1554"/>
      <c r="I29" s="1554"/>
      <c r="J29" s="1554"/>
      <c r="K29" s="1554"/>
      <c r="L29" s="1554"/>
    </row>
    <row r="30" spans="1:12" ht="165.6">
      <c r="A30" s="1582" t="s">
        <v>1176</v>
      </c>
      <c r="B30" s="1557">
        <v>21</v>
      </c>
      <c r="C30" s="1557" t="s">
        <v>7</v>
      </c>
      <c r="D30" s="1557">
        <v>21</v>
      </c>
      <c r="E30" s="1557">
        <v>17</v>
      </c>
      <c r="F30" s="1557">
        <v>17</v>
      </c>
      <c r="G30" s="1557">
        <v>0</v>
      </c>
      <c r="H30" s="1557"/>
      <c r="I30" s="1558">
        <v>0</v>
      </c>
      <c r="J30" s="1558"/>
      <c r="K30" s="1563">
        <v>0</v>
      </c>
      <c r="L30" s="1583" t="s">
        <v>2689</v>
      </c>
    </row>
    <row r="31" spans="1:12" ht="66.599999999999994" customHeight="1">
      <c r="A31" s="1584" t="s">
        <v>1177</v>
      </c>
      <c r="B31" s="1585"/>
      <c r="C31" s="1557" t="s">
        <v>8</v>
      </c>
      <c r="D31" s="1557">
        <v>40</v>
      </c>
      <c r="E31" s="1557">
        <v>40</v>
      </c>
      <c r="F31" s="1557" t="s">
        <v>2410</v>
      </c>
      <c r="G31" s="1557" t="s">
        <v>2410</v>
      </c>
      <c r="H31" s="1557"/>
      <c r="I31" s="1558">
        <v>0</v>
      </c>
      <c r="J31" s="1558"/>
      <c r="K31" s="1563">
        <v>0</v>
      </c>
      <c r="L31" s="1583" t="s">
        <v>2690</v>
      </c>
    </row>
    <row r="32" spans="1:12" ht="22.2" customHeight="1">
      <c r="A32" s="1574" t="s">
        <v>1005</v>
      </c>
      <c r="B32" s="1574"/>
      <c r="C32" s="1574"/>
      <c r="D32" s="1554"/>
      <c r="E32" s="1554"/>
      <c r="F32" s="1554"/>
      <c r="G32" s="1554"/>
      <c r="H32" s="1554"/>
      <c r="I32" s="1554"/>
      <c r="J32" s="1554"/>
      <c r="K32" s="1554"/>
      <c r="L32" s="1554"/>
    </row>
    <row r="33" spans="1:15" ht="96.6">
      <c r="A33" s="1586" t="s">
        <v>1178</v>
      </c>
      <c r="B33" s="1556">
        <f>+E33+E34+E36+E35</f>
        <v>61</v>
      </c>
      <c r="C33" s="1557" t="s">
        <v>7</v>
      </c>
      <c r="D33" s="1557">
        <v>20</v>
      </c>
      <c r="E33" s="1557">
        <v>19</v>
      </c>
      <c r="F33" s="1557">
        <v>14</v>
      </c>
      <c r="G33" s="1557">
        <v>0</v>
      </c>
      <c r="H33" s="1557"/>
      <c r="I33" s="1558">
        <v>5</v>
      </c>
      <c r="J33" s="1558" t="s">
        <v>2691</v>
      </c>
      <c r="K33" s="1563">
        <f>+I33/E33</f>
        <v>0.26315789473684209</v>
      </c>
      <c r="L33" s="1583" t="s">
        <v>2692</v>
      </c>
    </row>
    <row r="34" spans="1:15" ht="93" customHeight="1">
      <c r="A34" s="1586"/>
      <c r="B34" s="1556"/>
      <c r="C34" s="1557" t="s">
        <v>8</v>
      </c>
      <c r="D34" s="1557">
        <v>20</v>
      </c>
      <c r="E34" s="1557">
        <v>20</v>
      </c>
      <c r="F34" s="1557">
        <v>20</v>
      </c>
      <c r="G34" s="1557">
        <v>0</v>
      </c>
      <c r="H34" s="1557"/>
      <c r="I34" s="1558">
        <v>0</v>
      </c>
      <c r="J34" s="1562"/>
      <c r="K34" s="1563">
        <v>0</v>
      </c>
      <c r="L34" s="1583" t="s">
        <v>2693</v>
      </c>
    </row>
    <row r="35" spans="1:15" ht="66" customHeight="1">
      <c r="A35" s="1586"/>
      <c r="B35" s="1556"/>
      <c r="C35" s="1557" t="s">
        <v>6</v>
      </c>
      <c r="D35" s="1557">
        <v>2</v>
      </c>
      <c r="E35" s="1557">
        <v>2</v>
      </c>
      <c r="F35" s="1557">
        <v>2</v>
      </c>
      <c r="G35" s="1557">
        <v>0</v>
      </c>
      <c r="H35" s="1557"/>
      <c r="I35" s="1558">
        <v>0</v>
      </c>
      <c r="J35" s="1562"/>
      <c r="K35" s="1563">
        <v>0</v>
      </c>
      <c r="L35" s="1563" t="s">
        <v>2694</v>
      </c>
    </row>
    <row r="36" spans="1:15" ht="161.4" customHeight="1">
      <c r="A36" s="1586"/>
      <c r="B36" s="1556"/>
      <c r="C36" s="1557" t="s">
        <v>9</v>
      </c>
      <c r="D36" s="1557">
        <v>20</v>
      </c>
      <c r="E36" s="1557">
        <v>20</v>
      </c>
      <c r="F36" s="1557">
        <v>15</v>
      </c>
      <c r="G36" s="1557">
        <v>0</v>
      </c>
      <c r="H36" s="1557"/>
      <c r="I36" s="1558">
        <v>0</v>
      </c>
      <c r="J36" s="1562"/>
      <c r="K36" s="1563">
        <v>0</v>
      </c>
      <c r="L36" s="1564" t="s">
        <v>2695</v>
      </c>
    </row>
    <row r="37" spans="1:15" ht="19.2" customHeight="1">
      <c r="A37" s="1574" t="s">
        <v>1007</v>
      </c>
      <c r="B37" s="1574"/>
      <c r="C37" s="1574"/>
      <c r="D37" s="1554"/>
      <c r="E37" s="1554"/>
      <c r="F37" s="1554"/>
      <c r="G37" s="1554"/>
      <c r="H37" s="1554"/>
      <c r="I37" s="1554"/>
      <c r="J37" s="1554"/>
      <c r="K37" s="1554"/>
      <c r="L37" s="1554"/>
    </row>
    <row r="38" spans="1:15" ht="28.2" customHeight="1">
      <c r="A38" s="1586" t="s">
        <v>2696</v>
      </c>
      <c r="B38" s="1556">
        <f>+E38+E39+E40</f>
        <v>907</v>
      </c>
      <c r="C38" s="1557" t="s">
        <v>7</v>
      </c>
      <c r="D38" s="1557">
        <v>284</v>
      </c>
      <c r="E38" s="1557">
        <v>284</v>
      </c>
      <c r="F38" s="1557" t="s">
        <v>2410</v>
      </c>
      <c r="G38" s="1557" t="s">
        <v>2410</v>
      </c>
      <c r="H38" s="1557"/>
      <c r="I38" s="1558">
        <v>284</v>
      </c>
      <c r="J38" s="1559" t="s">
        <v>2697</v>
      </c>
      <c r="K38" s="1560">
        <f>+I38/E38</f>
        <v>1</v>
      </c>
      <c r="L38" s="1561" t="s">
        <v>2698</v>
      </c>
    </row>
    <row r="39" spans="1:15" ht="110.4">
      <c r="A39" s="1586"/>
      <c r="B39" s="1556"/>
      <c r="C39" s="1557" t="s">
        <v>8</v>
      </c>
      <c r="D39" s="1557">
        <v>448</v>
      </c>
      <c r="E39" s="1557">
        <v>448</v>
      </c>
      <c r="F39" s="1557">
        <v>350</v>
      </c>
      <c r="G39" s="1557">
        <f>60+96+84</f>
        <v>240</v>
      </c>
      <c r="H39" s="1559" t="s">
        <v>2743</v>
      </c>
      <c r="I39" s="1558">
        <v>250</v>
      </c>
      <c r="J39" s="1559" t="s">
        <v>2699</v>
      </c>
      <c r="K39" s="1563">
        <f>+I39/E39</f>
        <v>0.5580357142857143</v>
      </c>
      <c r="L39" s="1587" t="s">
        <v>2700</v>
      </c>
    </row>
    <row r="40" spans="1:15" ht="93.6" customHeight="1">
      <c r="A40" s="1586"/>
      <c r="B40" s="1556"/>
      <c r="C40" s="1557" t="s">
        <v>6</v>
      </c>
      <c r="D40" s="1557">
        <v>175</v>
      </c>
      <c r="E40" s="1557">
        <v>175</v>
      </c>
      <c r="F40" s="1557">
        <v>175</v>
      </c>
      <c r="G40" s="1557">
        <v>0</v>
      </c>
      <c r="H40" s="1557"/>
      <c r="I40" s="1557">
        <v>0</v>
      </c>
      <c r="J40" s="1557"/>
      <c r="K40" s="1588">
        <f>+I40/E40</f>
        <v>0</v>
      </c>
      <c r="L40" s="1587" t="s">
        <v>2701</v>
      </c>
    </row>
    <row r="41" spans="1:15" ht="17.399999999999999" customHeight="1">
      <c r="A41" s="1574" t="s">
        <v>1181</v>
      </c>
      <c r="B41" s="1574"/>
      <c r="C41" s="1574"/>
      <c r="D41" s="1589"/>
      <c r="E41" s="1589"/>
      <c r="F41" s="1589"/>
      <c r="G41" s="1589"/>
      <c r="H41" s="1589"/>
      <c r="I41" s="1589"/>
      <c r="J41" s="1589"/>
      <c r="K41" s="1589"/>
      <c r="L41" s="1589"/>
    </row>
    <row r="42" spans="1:15" ht="106.8" customHeight="1">
      <c r="A42" s="1580" t="s">
        <v>1179</v>
      </c>
      <c r="B42" s="1590">
        <f>+E42+E43+E44</f>
        <v>28</v>
      </c>
      <c r="C42" s="1557" t="s">
        <v>7</v>
      </c>
      <c r="D42" s="1591">
        <v>3</v>
      </c>
      <c r="E42" s="1591">
        <v>3</v>
      </c>
      <c r="F42" s="1591" t="s">
        <v>2410</v>
      </c>
      <c r="G42" s="1591" t="s">
        <v>2410</v>
      </c>
      <c r="H42" s="1591"/>
      <c r="I42" s="1592">
        <v>3</v>
      </c>
      <c r="J42" s="1593" t="s">
        <v>2702</v>
      </c>
      <c r="K42" s="1594">
        <v>1</v>
      </c>
      <c r="L42" s="1564" t="s">
        <v>2703</v>
      </c>
    </row>
    <row r="43" spans="1:15" ht="151.80000000000001">
      <c r="A43" s="1580"/>
      <c r="B43" s="1590"/>
      <c r="C43" s="1557" t="s">
        <v>8</v>
      </c>
      <c r="D43" s="1557">
        <v>25</v>
      </c>
      <c r="E43" s="1557">
        <v>10</v>
      </c>
      <c r="F43" s="1557">
        <v>10</v>
      </c>
      <c r="G43" s="1557">
        <v>0</v>
      </c>
      <c r="H43" s="1557"/>
      <c r="I43" s="1558">
        <v>0</v>
      </c>
      <c r="J43" s="1558"/>
      <c r="K43" s="1563">
        <v>0</v>
      </c>
      <c r="L43" s="1583" t="s">
        <v>2704</v>
      </c>
    </row>
    <row r="44" spans="1:15" ht="123.6" customHeight="1">
      <c r="A44" s="1580"/>
      <c r="B44" s="1590"/>
      <c r="C44" s="1557" t="s">
        <v>9</v>
      </c>
      <c r="D44" s="1557">
        <v>15</v>
      </c>
      <c r="E44" s="1557">
        <v>15</v>
      </c>
      <c r="F44" s="1557">
        <v>15</v>
      </c>
      <c r="G44" s="1557">
        <v>0</v>
      </c>
      <c r="H44" s="1557"/>
      <c r="I44" s="1558">
        <v>0</v>
      </c>
      <c r="J44" s="1558"/>
      <c r="K44" s="1563">
        <v>0</v>
      </c>
      <c r="L44" s="1564" t="s">
        <v>2705</v>
      </c>
      <c r="O44" s="708"/>
    </row>
    <row r="45" spans="1:15" ht="206.4" customHeight="1">
      <c r="A45" s="1586" t="s">
        <v>2706</v>
      </c>
      <c r="B45" s="1595">
        <f>+E45+E46+E47</f>
        <v>85</v>
      </c>
      <c r="C45" s="1557" t="s">
        <v>7</v>
      </c>
      <c r="D45" s="1557">
        <f>15+35</f>
        <v>50</v>
      </c>
      <c r="E45" s="1557">
        <f>15+35</f>
        <v>50</v>
      </c>
      <c r="F45" s="1557">
        <v>24</v>
      </c>
      <c r="G45" s="1557">
        <v>0</v>
      </c>
      <c r="H45" s="1557"/>
      <c r="I45" s="1558">
        <v>15</v>
      </c>
      <c r="J45" s="1559" t="s">
        <v>2707</v>
      </c>
      <c r="K45" s="1560">
        <f>+I45/E45</f>
        <v>0.3</v>
      </c>
      <c r="L45" s="1579" t="s">
        <v>2708</v>
      </c>
    </row>
    <row r="46" spans="1:15" ht="136.80000000000001" customHeight="1">
      <c r="A46" s="1586"/>
      <c r="B46" s="1595"/>
      <c r="C46" s="1557" t="s">
        <v>8</v>
      </c>
      <c r="D46" s="1557">
        <v>23</v>
      </c>
      <c r="E46" s="1557">
        <v>23</v>
      </c>
      <c r="F46" s="1557">
        <v>23</v>
      </c>
      <c r="G46" s="1557">
        <v>6</v>
      </c>
      <c r="H46" s="1557"/>
      <c r="I46" s="1558">
        <v>4</v>
      </c>
      <c r="J46" s="1562"/>
      <c r="K46" s="1563">
        <f>+I46/E46</f>
        <v>0.17391304347826086</v>
      </c>
      <c r="L46" s="1583" t="s">
        <v>2709</v>
      </c>
    </row>
    <row r="47" spans="1:15" ht="145.80000000000001" customHeight="1">
      <c r="A47" s="1586"/>
      <c r="B47" s="1595"/>
      <c r="C47" s="1557" t="s">
        <v>6</v>
      </c>
      <c r="D47" s="1557">
        <v>12</v>
      </c>
      <c r="E47" s="1557">
        <v>12</v>
      </c>
      <c r="F47" s="1557">
        <v>12</v>
      </c>
      <c r="G47" s="1557">
        <v>0</v>
      </c>
      <c r="H47" s="1557"/>
      <c r="I47" s="1558">
        <v>0</v>
      </c>
      <c r="J47" s="1562"/>
      <c r="K47" s="1563">
        <v>0</v>
      </c>
      <c r="L47" s="1583" t="s">
        <v>2710</v>
      </c>
    </row>
    <row r="48" spans="1:15" ht="121.8" customHeight="1">
      <c r="A48" s="1584" t="s">
        <v>1182</v>
      </c>
      <c r="B48" s="1557">
        <v>31</v>
      </c>
      <c r="C48" s="1557" t="s">
        <v>8</v>
      </c>
      <c r="D48" s="1557">
        <v>31</v>
      </c>
      <c r="E48" s="1557">
        <v>31</v>
      </c>
      <c r="F48" s="1557">
        <v>10</v>
      </c>
      <c r="G48" s="1557">
        <v>0</v>
      </c>
      <c r="H48" s="1557"/>
      <c r="I48" s="1557">
        <v>20</v>
      </c>
      <c r="J48" s="1596" t="s">
        <v>2711</v>
      </c>
      <c r="K48" s="1597">
        <f>+I48/E48</f>
        <v>0.64516129032258063</v>
      </c>
      <c r="L48" s="1598" t="s">
        <v>2712</v>
      </c>
    </row>
    <row r="49" spans="1:12" ht="18.600000000000001" customHeight="1">
      <c r="A49" s="1574" t="s">
        <v>2713</v>
      </c>
      <c r="B49" s="1574"/>
      <c r="C49" s="1574"/>
      <c r="D49" s="1554"/>
      <c r="E49" s="1554"/>
      <c r="F49" s="1554"/>
      <c r="G49" s="1554"/>
      <c r="H49" s="1554"/>
      <c r="I49" s="1554"/>
      <c r="J49" s="1554"/>
      <c r="K49" s="1554"/>
      <c r="L49" s="1554"/>
    </row>
    <row r="50" spans="1:12" s="317" customFormat="1" ht="31.2" customHeight="1">
      <c r="A50" s="1599" t="s">
        <v>1184</v>
      </c>
      <c r="B50" s="1585">
        <v>8</v>
      </c>
      <c r="C50" s="1557" t="s">
        <v>7</v>
      </c>
      <c r="D50" s="1557">
        <v>8</v>
      </c>
      <c r="E50" s="1557">
        <v>8</v>
      </c>
      <c r="F50" s="1557" t="s">
        <v>2410</v>
      </c>
      <c r="G50" s="1557" t="s">
        <v>2410</v>
      </c>
      <c r="H50" s="1557"/>
      <c r="I50" s="1558">
        <v>8</v>
      </c>
      <c r="J50" s="1559" t="s">
        <v>2714</v>
      </c>
      <c r="K50" s="1563">
        <v>1</v>
      </c>
      <c r="L50" s="1600"/>
    </row>
    <row r="51" spans="1:12" ht="18" customHeight="1">
      <c r="A51" s="1565" t="s">
        <v>27</v>
      </c>
      <c r="B51" s="1565"/>
      <c r="C51" s="1565"/>
      <c r="D51" s="1554"/>
      <c r="E51" s="1554"/>
      <c r="F51" s="1554"/>
      <c r="G51" s="1554"/>
      <c r="H51" s="1554"/>
      <c r="I51" s="1554"/>
      <c r="J51" s="1554"/>
      <c r="K51" s="1554"/>
      <c r="L51" s="1554"/>
    </row>
    <row r="52" spans="1:12" ht="22.8" customHeight="1">
      <c r="A52" s="1601" t="s">
        <v>1185</v>
      </c>
      <c r="B52" s="1558">
        <v>2250</v>
      </c>
      <c r="C52" s="1558" t="s">
        <v>8</v>
      </c>
      <c r="D52" s="1558">
        <v>2250</v>
      </c>
      <c r="E52" s="1558">
        <v>2250</v>
      </c>
      <c r="F52" s="1558" t="s">
        <v>2410</v>
      </c>
      <c r="G52" s="1558" t="s">
        <v>2410</v>
      </c>
      <c r="H52" s="1558"/>
      <c r="I52" s="1558">
        <v>0</v>
      </c>
      <c r="J52" s="1558"/>
      <c r="K52" s="1563">
        <v>0</v>
      </c>
      <c r="L52" s="1563"/>
    </row>
    <row r="53" spans="1:12" ht="22.2" customHeight="1">
      <c r="A53" s="1574" t="s">
        <v>2715</v>
      </c>
      <c r="B53" s="1574"/>
      <c r="C53" s="1574"/>
      <c r="D53" s="1554"/>
      <c r="E53" s="1554"/>
      <c r="F53" s="1554"/>
      <c r="G53" s="1554"/>
      <c r="H53" s="1554"/>
      <c r="I53" s="1554"/>
      <c r="J53" s="1554"/>
      <c r="K53" s="1554"/>
      <c r="L53" s="1554"/>
    </row>
    <row r="54" spans="1:12" ht="82.8" customHeight="1">
      <c r="A54" s="1602" t="s">
        <v>1242</v>
      </c>
      <c r="B54" s="1558">
        <v>25</v>
      </c>
      <c r="C54" s="1558" t="s">
        <v>9</v>
      </c>
      <c r="D54" s="1558">
        <v>25</v>
      </c>
      <c r="E54" s="1558">
        <v>25</v>
      </c>
      <c r="F54" s="1558">
        <v>25</v>
      </c>
      <c r="G54" s="1558">
        <v>0</v>
      </c>
      <c r="H54" s="1558"/>
      <c r="I54" s="1558">
        <v>0</v>
      </c>
      <c r="J54" s="1559" t="s">
        <v>2716</v>
      </c>
      <c r="K54" s="1563">
        <v>0</v>
      </c>
      <c r="L54" s="1583" t="s">
        <v>2717</v>
      </c>
    </row>
    <row r="55" spans="1:12" ht="55.2" customHeight="1">
      <c r="A55" s="1570" t="s">
        <v>2718</v>
      </c>
      <c r="B55" s="1594">
        <v>1</v>
      </c>
      <c r="C55" s="1558" t="s">
        <v>8</v>
      </c>
      <c r="D55" s="1594">
        <v>1</v>
      </c>
      <c r="E55" s="1594">
        <v>1</v>
      </c>
      <c r="F55" s="1594">
        <v>1</v>
      </c>
      <c r="G55" s="1594">
        <v>1</v>
      </c>
      <c r="H55" s="1594"/>
      <c r="I55" s="1594">
        <v>1</v>
      </c>
      <c r="J55" s="1592" t="s">
        <v>110</v>
      </c>
      <c r="K55" s="1594">
        <v>1</v>
      </c>
      <c r="L55" s="1593" t="s">
        <v>2719</v>
      </c>
    </row>
    <row r="56" spans="1:12" ht="55.2" customHeight="1">
      <c r="A56" s="1570" t="s">
        <v>2720</v>
      </c>
      <c r="B56" s="1583">
        <v>1</v>
      </c>
      <c r="C56" s="1559" t="s">
        <v>8</v>
      </c>
      <c r="D56" s="1583">
        <v>1</v>
      </c>
      <c r="E56" s="1583">
        <v>1</v>
      </c>
      <c r="F56" s="1583">
        <v>1</v>
      </c>
      <c r="G56" s="1583">
        <v>1</v>
      </c>
      <c r="H56" s="1583"/>
      <c r="I56" s="1583">
        <v>0.8</v>
      </c>
      <c r="J56" s="1559" t="s">
        <v>110</v>
      </c>
      <c r="K56" s="1559" t="s">
        <v>108</v>
      </c>
      <c r="L56" s="1570"/>
    </row>
    <row r="57" spans="1:12" ht="55.2" customHeight="1">
      <c r="A57" s="1570" t="s">
        <v>2721</v>
      </c>
      <c r="B57" s="1583">
        <v>1</v>
      </c>
      <c r="C57" s="1559" t="s">
        <v>8</v>
      </c>
      <c r="D57" s="1583">
        <v>1</v>
      </c>
      <c r="E57" s="1583">
        <v>1</v>
      </c>
      <c r="F57" s="1583">
        <v>1</v>
      </c>
      <c r="G57" s="1583">
        <v>1</v>
      </c>
      <c r="H57" s="1583"/>
      <c r="I57" s="1583" t="s">
        <v>108</v>
      </c>
      <c r="J57" s="1559" t="s">
        <v>110</v>
      </c>
      <c r="K57" s="1559" t="s">
        <v>108</v>
      </c>
      <c r="L57" s="1570"/>
    </row>
    <row r="58" spans="1:12" ht="162.6" customHeight="1">
      <c r="A58" s="1570" t="s">
        <v>2722</v>
      </c>
      <c r="B58" s="1559">
        <v>300</v>
      </c>
      <c r="C58" s="1559" t="s">
        <v>8</v>
      </c>
      <c r="D58" s="1559">
        <v>300</v>
      </c>
      <c r="E58" s="1559">
        <v>300</v>
      </c>
      <c r="F58" s="1559">
        <v>160</v>
      </c>
      <c r="G58" s="1559">
        <v>100</v>
      </c>
      <c r="H58" s="1559"/>
      <c r="I58" s="1559">
        <v>428.6</v>
      </c>
      <c r="J58" s="1559" t="s">
        <v>110</v>
      </c>
      <c r="K58" s="1579">
        <f>+I58/B58</f>
        <v>1.4286666666666668</v>
      </c>
      <c r="L58" s="1570" t="s">
        <v>2723</v>
      </c>
    </row>
    <row r="59" spans="1:12" ht="55.2" customHeight="1">
      <c r="A59" s="1570" t="s">
        <v>2613</v>
      </c>
      <c r="B59" s="1559">
        <v>750</v>
      </c>
      <c r="C59" s="1559" t="s">
        <v>8</v>
      </c>
      <c r="D59" s="1559">
        <v>750</v>
      </c>
      <c r="E59" s="1559">
        <v>750</v>
      </c>
      <c r="F59" s="1559">
        <v>100</v>
      </c>
      <c r="G59" s="1559">
        <v>30</v>
      </c>
      <c r="H59" s="1559" t="s">
        <v>2744</v>
      </c>
      <c r="I59" s="1559">
        <v>160</v>
      </c>
      <c r="J59" s="1559" t="s">
        <v>110</v>
      </c>
      <c r="K59" s="1579">
        <f>+I59/B59</f>
        <v>0.21333333333333335</v>
      </c>
      <c r="L59" s="1570"/>
    </row>
  </sheetData>
  <mergeCells count="42">
    <mergeCell ref="A51:C51"/>
    <mergeCell ref="A53:C53"/>
    <mergeCell ref="F1:F2"/>
    <mergeCell ref="G1:G2"/>
    <mergeCell ref="H1:H2"/>
    <mergeCell ref="A41:C41"/>
    <mergeCell ref="A42:A44"/>
    <mergeCell ref="B42:B44"/>
    <mergeCell ref="A45:A47"/>
    <mergeCell ref="B45:B47"/>
    <mergeCell ref="A49:C49"/>
    <mergeCell ref="A29:C29"/>
    <mergeCell ref="A32:C32"/>
    <mergeCell ref="A33:A36"/>
    <mergeCell ref="B33:B36"/>
    <mergeCell ref="A37:C37"/>
    <mergeCell ref="A38:A40"/>
    <mergeCell ref="B38:B40"/>
    <mergeCell ref="A17:A20"/>
    <mergeCell ref="B17:B20"/>
    <mergeCell ref="A21:A24"/>
    <mergeCell ref="B21:B24"/>
    <mergeCell ref="A25:A28"/>
    <mergeCell ref="B25:B28"/>
    <mergeCell ref="A8:C8"/>
    <mergeCell ref="A9:A12"/>
    <mergeCell ref="B9:B12"/>
    <mergeCell ref="A14:C14"/>
    <mergeCell ref="A15:A16"/>
    <mergeCell ref="B15:B16"/>
    <mergeCell ref="J1:J2"/>
    <mergeCell ref="K1:K2"/>
    <mergeCell ref="L1:L2"/>
    <mergeCell ref="A3:C3"/>
    <mergeCell ref="A4:A7"/>
    <mergeCell ref="B4:B7"/>
    <mergeCell ref="A1:A2"/>
    <mergeCell ref="B1:B2"/>
    <mergeCell ref="C1:C2"/>
    <mergeCell ref="D1:D2"/>
    <mergeCell ref="E1:E2"/>
    <mergeCell ref="I1:I2"/>
  </mergeCells>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B728C-143C-4036-A4E5-B052900F6212}">
  <dimension ref="A1:BW197"/>
  <sheetViews>
    <sheetView topLeftCell="AI1" zoomScale="60" zoomScaleNormal="60" workbookViewId="0">
      <selection activeCell="V4" sqref="V4:AE11"/>
    </sheetView>
  </sheetViews>
  <sheetFormatPr baseColWidth="10" defaultColWidth="11.5546875" defaultRowHeight="21"/>
  <cols>
    <col min="1" max="1" width="8.44140625" style="86" customWidth="1"/>
    <col min="2" max="2" width="55.44140625" style="166" customWidth="1"/>
    <col min="3" max="3" width="25.5546875" style="166" customWidth="1"/>
    <col min="4" max="4" width="19.21875" style="166" customWidth="1"/>
    <col min="5" max="5" width="27.6640625" style="93" customWidth="1"/>
    <col min="6" max="7" width="27" style="93" customWidth="1"/>
    <col min="8" max="8" width="44" style="93" customWidth="1"/>
    <col min="9" max="9" width="22.109375" style="88" bestFit="1" customWidth="1"/>
    <col min="10" max="10" width="33.88671875" style="88" bestFit="1" customWidth="1"/>
    <col min="11" max="11" width="20" style="88" customWidth="1"/>
    <col min="12" max="12" width="18.21875" style="88" customWidth="1"/>
    <col min="13" max="13" width="45.33203125" style="88" customWidth="1"/>
    <col min="14" max="14" width="31.44140625" style="93" bestFit="1" customWidth="1"/>
    <col min="15" max="15" width="34.5546875" style="93" customWidth="1"/>
    <col min="16" max="16" width="39.6640625" style="167" customWidth="1"/>
    <col min="17" max="17" width="36.44140625" style="168" customWidth="1"/>
    <col min="18" max="18" width="9.33203125" style="167" hidden="1" customWidth="1"/>
    <col min="19" max="19" width="43.33203125" style="90" customWidth="1"/>
    <col min="20" max="20" width="53" style="93" customWidth="1"/>
    <col min="21" max="30" width="11.5546875" style="91"/>
    <col min="31" max="31" width="50.6640625" style="91" customWidth="1"/>
    <col min="32" max="32" width="11.5546875" style="91"/>
    <col min="33" max="33" width="11.6640625" style="91" bestFit="1" customWidth="1"/>
    <col min="34" max="34" width="24.88671875" style="91" customWidth="1"/>
    <col min="35" max="35" width="28.21875" style="91" customWidth="1"/>
    <col min="36" max="36" width="54.88671875" style="91" customWidth="1"/>
    <col min="37" max="38" width="25" style="91" bestFit="1" customWidth="1"/>
    <col min="39" max="39" width="10.5546875" style="91" customWidth="1"/>
    <col min="40" max="41" width="11.5546875" style="91"/>
    <col min="42" max="42" width="22.88671875" style="91" customWidth="1"/>
    <col min="43" max="46" width="11.5546875" style="91"/>
    <col min="47" max="47" width="53.5546875" style="91" customWidth="1"/>
    <col min="48" max="72" width="11.5546875" style="169"/>
    <col min="73" max="75" width="11.5546875" style="170"/>
    <col min="76" max="16384" width="11.5546875" style="93"/>
  </cols>
  <sheetData>
    <row r="1" spans="1:75" s="86" customFormat="1">
      <c r="B1" s="87"/>
      <c r="C1" s="87"/>
      <c r="D1" s="87"/>
      <c r="I1" s="88"/>
      <c r="J1" s="88"/>
      <c r="K1" s="88"/>
      <c r="L1" s="88"/>
      <c r="M1" s="88"/>
      <c r="Q1" s="89"/>
      <c r="S1" s="90"/>
      <c r="U1" s="91"/>
      <c r="V1" s="91"/>
      <c r="W1" s="91"/>
      <c r="X1" s="91"/>
      <c r="Y1" s="91"/>
      <c r="Z1" s="91"/>
      <c r="AA1" s="91"/>
      <c r="AB1" s="91"/>
      <c r="AC1" s="91"/>
      <c r="AD1" s="91"/>
      <c r="AE1" s="91"/>
      <c r="AF1" s="91"/>
      <c r="AG1" s="91"/>
      <c r="AH1" s="91"/>
      <c r="AI1" s="91"/>
      <c r="AJ1" s="91"/>
      <c r="AK1" s="91"/>
      <c r="AL1" s="91"/>
      <c r="AM1" s="91"/>
      <c r="AN1" s="91"/>
      <c r="AO1" s="91"/>
      <c r="AP1" s="91"/>
      <c r="AQ1" s="91"/>
      <c r="AR1" s="91"/>
      <c r="AS1" s="91"/>
      <c r="AT1" s="91"/>
      <c r="AU1" s="91"/>
      <c r="AV1" s="169"/>
      <c r="AW1" s="169"/>
      <c r="AX1" s="169"/>
      <c r="AY1" s="169"/>
      <c r="AZ1" s="169"/>
      <c r="BA1" s="169"/>
      <c r="BB1" s="169"/>
      <c r="BC1" s="169"/>
      <c r="BD1" s="169"/>
      <c r="BE1" s="169"/>
      <c r="BF1" s="169"/>
      <c r="BG1" s="169"/>
      <c r="BH1" s="169"/>
      <c r="BI1" s="169"/>
      <c r="BJ1" s="169"/>
      <c r="BK1" s="169"/>
      <c r="BL1" s="169"/>
      <c r="BM1" s="169"/>
      <c r="BN1" s="169"/>
      <c r="BO1" s="169"/>
      <c r="BP1" s="169"/>
      <c r="BQ1" s="169"/>
      <c r="BR1" s="169"/>
      <c r="BS1" s="169"/>
      <c r="BT1" s="169"/>
      <c r="BU1" s="170"/>
      <c r="BV1" s="170"/>
      <c r="BW1" s="170"/>
    </row>
    <row r="2" spans="1:75" ht="15.6" customHeight="1">
      <c r="B2" s="1409" t="s">
        <v>806</v>
      </c>
      <c r="C2" s="1409"/>
      <c r="D2" s="1409"/>
      <c r="E2" s="1409"/>
      <c r="F2" s="1409"/>
      <c r="G2" s="1409"/>
      <c r="H2" s="1409"/>
      <c r="I2" s="1409"/>
      <c r="J2" s="1409"/>
      <c r="K2" s="1409"/>
      <c r="L2" s="1409"/>
      <c r="M2" s="1409"/>
      <c r="N2" s="1410" t="s">
        <v>807</v>
      </c>
      <c r="O2" s="1410"/>
      <c r="P2" s="1410"/>
      <c r="Q2" s="1410"/>
      <c r="R2" s="1410"/>
      <c r="S2" s="1410"/>
      <c r="T2" s="1410"/>
      <c r="V2" s="1411" t="s">
        <v>808</v>
      </c>
      <c r="W2" s="1411"/>
      <c r="X2" s="1411"/>
      <c r="Y2" s="1411"/>
      <c r="Z2" s="1411"/>
      <c r="AA2" s="1411"/>
      <c r="AB2" s="1411"/>
      <c r="AC2" s="1411"/>
      <c r="AD2" s="1411"/>
      <c r="AE2" s="1411"/>
      <c r="AG2" s="1412" t="s">
        <v>809</v>
      </c>
      <c r="AH2" s="1413"/>
      <c r="AI2" s="1413"/>
      <c r="AJ2" s="1413"/>
      <c r="AK2" s="1413"/>
      <c r="AL2" s="1414"/>
      <c r="AM2" s="92"/>
      <c r="AN2" s="1398" t="s">
        <v>810</v>
      </c>
      <c r="AO2" s="1399"/>
      <c r="AP2" s="1399"/>
      <c r="AQ2" s="1399"/>
      <c r="AR2" s="1399"/>
      <c r="AS2" s="1399"/>
      <c r="AT2" s="1399"/>
      <c r="AU2" s="1400"/>
    </row>
    <row r="3" spans="1:75" ht="21.6" thickBot="1">
      <c r="B3" s="1409"/>
      <c r="C3" s="1409"/>
      <c r="D3" s="1409"/>
      <c r="E3" s="1409"/>
      <c r="F3" s="1409"/>
      <c r="G3" s="1409"/>
      <c r="H3" s="1409"/>
      <c r="I3" s="1409"/>
      <c r="J3" s="1409"/>
      <c r="K3" s="1409"/>
      <c r="L3" s="1409"/>
      <c r="M3" s="1409"/>
      <c r="N3" s="1410"/>
      <c r="O3" s="1410"/>
      <c r="P3" s="1410"/>
      <c r="Q3" s="1410"/>
      <c r="R3" s="1410"/>
      <c r="S3" s="1410"/>
      <c r="T3" s="1410"/>
      <c r="V3" s="1411"/>
      <c r="W3" s="1411"/>
      <c r="X3" s="1411"/>
      <c r="Y3" s="1411"/>
      <c r="Z3" s="1411"/>
      <c r="AA3" s="1411"/>
      <c r="AB3" s="1411"/>
      <c r="AC3" s="1411"/>
      <c r="AD3" s="1411"/>
      <c r="AE3" s="1411"/>
      <c r="AG3" s="1415"/>
      <c r="AH3" s="1416"/>
      <c r="AI3" s="1416"/>
      <c r="AJ3" s="1416"/>
      <c r="AK3" s="1416"/>
      <c r="AL3" s="1417"/>
      <c r="AM3" s="94"/>
      <c r="AN3" s="1401"/>
      <c r="AO3" s="1402"/>
      <c r="AP3" s="1402"/>
      <c r="AQ3" s="1402"/>
      <c r="AR3" s="1402"/>
      <c r="AS3" s="1402"/>
      <c r="AT3" s="1402"/>
      <c r="AU3" s="1403"/>
    </row>
    <row r="4" spans="1:75" s="105" customFormat="1" ht="84.6" thickTop="1">
      <c r="A4" s="95"/>
      <c r="B4" s="1404" t="s">
        <v>811</v>
      </c>
      <c r="C4" s="1404" t="s">
        <v>812</v>
      </c>
      <c r="D4" s="1404" t="s">
        <v>813</v>
      </c>
      <c r="E4" s="1404" t="s">
        <v>814</v>
      </c>
      <c r="F4" s="1404" t="s">
        <v>815</v>
      </c>
      <c r="G4" s="1404" t="s">
        <v>816</v>
      </c>
      <c r="H4" s="1404" t="s">
        <v>817</v>
      </c>
      <c r="I4" s="1404" t="s">
        <v>818</v>
      </c>
      <c r="J4" s="1418" t="s">
        <v>819</v>
      </c>
      <c r="K4" s="1418"/>
      <c r="L4" s="1418"/>
      <c r="M4" s="1419" t="s">
        <v>820</v>
      </c>
      <c r="N4" s="1406" t="s">
        <v>821</v>
      </c>
      <c r="O4" s="1407"/>
      <c r="P4" s="1408"/>
      <c r="Q4" s="96" t="s">
        <v>822</v>
      </c>
      <c r="R4" s="96" t="s">
        <v>823</v>
      </c>
      <c r="S4" s="97" t="s">
        <v>824</v>
      </c>
      <c r="T4" s="98" t="s">
        <v>825</v>
      </c>
      <c r="U4" s="99"/>
      <c r="V4" s="1383" t="s">
        <v>878</v>
      </c>
      <c r="W4" s="1383"/>
      <c r="X4" s="1383"/>
      <c r="Y4" s="1383"/>
      <c r="Z4" s="1383"/>
      <c r="AA4" s="1383"/>
      <c r="AB4" s="1383"/>
      <c r="AC4" s="1383"/>
      <c r="AD4" s="1383"/>
      <c r="AE4" s="1383"/>
      <c r="AF4" s="99"/>
      <c r="AG4" s="100" t="s">
        <v>826</v>
      </c>
      <c r="AH4" s="101" t="s">
        <v>827</v>
      </c>
      <c r="AI4" s="101" t="s">
        <v>828</v>
      </c>
      <c r="AJ4" s="101" t="s">
        <v>829</v>
      </c>
      <c r="AK4" s="102" t="s">
        <v>830</v>
      </c>
      <c r="AL4" s="103" t="s">
        <v>831</v>
      </c>
      <c r="AM4" s="104"/>
      <c r="AN4" s="1386" t="s">
        <v>832</v>
      </c>
      <c r="AO4" s="1387"/>
      <c r="AP4" s="1387"/>
      <c r="AQ4" s="1387"/>
      <c r="AR4" s="1387"/>
      <c r="AS4" s="1387"/>
      <c r="AT4" s="1387"/>
      <c r="AU4" s="1388"/>
      <c r="AV4" s="171"/>
      <c r="AW4" s="171"/>
      <c r="AX4" s="171"/>
      <c r="AY4" s="171"/>
      <c r="AZ4" s="171"/>
      <c r="BA4" s="171"/>
      <c r="BB4" s="171"/>
      <c r="BC4" s="171"/>
      <c r="BD4" s="171"/>
      <c r="BE4" s="171"/>
      <c r="BF4" s="171"/>
      <c r="BG4" s="171"/>
      <c r="BH4" s="171"/>
      <c r="BI4" s="171"/>
      <c r="BJ4" s="171"/>
      <c r="BK4" s="171"/>
      <c r="BL4" s="171"/>
      <c r="BM4" s="171"/>
      <c r="BN4" s="171"/>
      <c r="BO4" s="171"/>
      <c r="BP4" s="171"/>
      <c r="BQ4" s="171"/>
      <c r="BR4" s="171"/>
      <c r="BS4" s="171"/>
      <c r="BT4" s="171"/>
      <c r="BU4" s="172"/>
      <c r="BV4" s="172"/>
      <c r="BW4" s="172"/>
    </row>
    <row r="5" spans="1:75" s="105" customFormat="1" ht="63">
      <c r="A5" s="95"/>
      <c r="B5" s="1405"/>
      <c r="C5" s="1405"/>
      <c r="D5" s="1405"/>
      <c r="E5" s="1405"/>
      <c r="F5" s="1405"/>
      <c r="G5" s="1405"/>
      <c r="H5" s="1405"/>
      <c r="I5" s="1405"/>
      <c r="J5" s="106" t="s">
        <v>833</v>
      </c>
      <c r="K5" s="106" t="s">
        <v>834</v>
      </c>
      <c r="L5" s="106" t="s">
        <v>835</v>
      </c>
      <c r="M5" s="1420"/>
      <c r="N5" s="107" t="s">
        <v>836</v>
      </c>
      <c r="O5" s="107" t="s">
        <v>837</v>
      </c>
      <c r="P5" s="107" t="s">
        <v>838</v>
      </c>
      <c r="Q5" s="107" t="s">
        <v>836</v>
      </c>
      <c r="R5" s="108"/>
      <c r="S5" s="97" t="s">
        <v>836</v>
      </c>
      <c r="T5" s="109"/>
      <c r="U5" s="99"/>
      <c r="V5" s="1384"/>
      <c r="W5" s="1384"/>
      <c r="X5" s="1384"/>
      <c r="Y5" s="1384"/>
      <c r="Z5" s="1384"/>
      <c r="AA5" s="1384"/>
      <c r="AB5" s="1384"/>
      <c r="AC5" s="1384"/>
      <c r="AD5" s="1384"/>
      <c r="AE5" s="1384"/>
      <c r="AF5" s="99"/>
      <c r="AG5" s="1379">
        <v>1</v>
      </c>
      <c r="AH5" s="1395" t="s">
        <v>839</v>
      </c>
      <c r="AI5" s="1381" t="s">
        <v>879</v>
      </c>
      <c r="AJ5" s="110" t="s">
        <v>840</v>
      </c>
      <c r="AK5" s="111">
        <v>5099949263</v>
      </c>
      <c r="AL5" s="1396">
        <f>+AK5+AK6</f>
        <v>5623788973</v>
      </c>
      <c r="AM5" s="112"/>
      <c r="AN5" s="1389"/>
      <c r="AO5" s="1390"/>
      <c r="AP5" s="1390"/>
      <c r="AQ5" s="1390"/>
      <c r="AR5" s="1390"/>
      <c r="AS5" s="1390"/>
      <c r="AT5" s="1390"/>
      <c r="AU5" s="1391"/>
      <c r="AV5" s="171"/>
      <c r="AW5" s="171"/>
      <c r="AX5" s="171"/>
      <c r="AY5" s="171"/>
      <c r="AZ5" s="171"/>
      <c r="BA5" s="171"/>
      <c r="BB5" s="171"/>
      <c r="BC5" s="171"/>
      <c r="BD5" s="171"/>
      <c r="BE5" s="171"/>
      <c r="BF5" s="171"/>
      <c r="BG5" s="171"/>
      <c r="BH5" s="171"/>
      <c r="BI5" s="171"/>
      <c r="BJ5" s="171"/>
      <c r="BK5" s="171"/>
      <c r="BL5" s="171"/>
      <c r="BM5" s="171"/>
      <c r="BN5" s="171"/>
      <c r="BO5" s="171"/>
      <c r="BP5" s="171"/>
      <c r="BQ5" s="171"/>
      <c r="BR5" s="171"/>
      <c r="BS5" s="171"/>
      <c r="BT5" s="171"/>
      <c r="BU5" s="172"/>
      <c r="BV5" s="172"/>
      <c r="BW5" s="172"/>
    </row>
    <row r="6" spans="1:75" s="129" customFormat="1" ht="63">
      <c r="A6" s="113"/>
      <c r="B6" s="114" t="s">
        <v>841</v>
      </c>
      <c r="C6" s="1369" t="s">
        <v>9</v>
      </c>
      <c r="D6" s="115" t="s">
        <v>842</v>
      </c>
      <c r="E6" s="116" t="s">
        <v>843</v>
      </c>
      <c r="F6" s="117" t="s">
        <v>844</v>
      </c>
      <c r="G6" s="118">
        <v>44818</v>
      </c>
      <c r="H6" s="116" t="s">
        <v>845</v>
      </c>
      <c r="I6" s="119" t="s">
        <v>846</v>
      </c>
      <c r="J6" s="120" t="s">
        <v>847</v>
      </c>
      <c r="K6" s="120" t="s">
        <v>847</v>
      </c>
      <c r="L6" s="121" t="s">
        <v>848</v>
      </c>
      <c r="M6" s="1372" t="s">
        <v>849</v>
      </c>
      <c r="N6" s="122">
        <f>695792678/1.18</f>
        <v>589654811.86440682</v>
      </c>
      <c r="O6" s="123">
        <f>+N6*18%</f>
        <v>106137866.13559322</v>
      </c>
      <c r="P6" s="124">
        <f>+N6+O6</f>
        <v>695792678</v>
      </c>
      <c r="Q6" s="1375">
        <f>SUM(N6:N11)</f>
        <v>3619097439.3050847</v>
      </c>
      <c r="R6" s="1377" t="e">
        <f>#REF!-Q6</f>
        <v>#REF!</v>
      </c>
      <c r="S6" s="125">
        <f>20%*N6</f>
        <v>117930962.37288137</v>
      </c>
      <c r="T6" s="126" t="s">
        <v>880</v>
      </c>
      <c r="U6" s="127"/>
      <c r="V6" s="1384"/>
      <c r="W6" s="1384"/>
      <c r="X6" s="1384"/>
      <c r="Y6" s="1384"/>
      <c r="Z6" s="1384"/>
      <c r="AA6" s="1384"/>
      <c r="AB6" s="1384"/>
      <c r="AC6" s="1384"/>
      <c r="AD6" s="1384"/>
      <c r="AE6" s="1384"/>
      <c r="AF6" s="127"/>
      <c r="AG6" s="1380"/>
      <c r="AH6" s="1395"/>
      <c r="AI6" s="1382"/>
      <c r="AJ6" s="110" t="s">
        <v>881</v>
      </c>
      <c r="AK6" s="111">
        <v>523839710</v>
      </c>
      <c r="AL6" s="1397"/>
      <c r="AM6" s="128"/>
      <c r="AN6" s="1389"/>
      <c r="AO6" s="1390"/>
      <c r="AP6" s="1390"/>
      <c r="AQ6" s="1390"/>
      <c r="AR6" s="1390"/>
      <c r="AS6" s="1390"/>
      <c r="AT6" s="1390"/>
      <c r="AU6" s="1391"/>
      <c r="AV6" s="173"/>
      <c r="AW6" s="173"/>
      <c r="AX6" s="173"/>
      <c r="AY6" s="173"/>
      <c r="AZ6" s="173"/>
      <c r="BA6" s="173"/>
      <c r="BB6" s="173"/>
      <c r="BC6" s="173"/>
      <c r="BD6" s="173"/>
      <c r="BE6" s="173"/>
      <c r="BF6" s="173"/>
      <c r="BG6" s="173"/>
      <c r="BH6" s="173"/>
      <c r="BI6" s="173"/>
      <c r="BJ6" s="173"/>
      <c r="BK6" s="173"/>
      <c r="BL6" s="173"/>
      <c r="BM6" s="173"/>
      <c r="BN6" s="173"/>
      <c r="BO6" s="173"/>
      <c r="BP6" s="173"/>
      <c r="BQ6" s="173"/>
      <c r="BR6" s="173"/>
      <c r="BS6" s="173"/>
      <c r="BT6" s="173"/>
      <c r="BU6" s="174"/>
      <c r="BV6" s="174"/>
      <c r="BW6" s="174"/>
    </row>
    <row r="7" spans="1:75" s="129" customFormat="1" ht="63">
      <c r="A7" s="113"/>
      <c r="B7" s="114" t="s">
        <v>850</v>
      </c>
      <c r="C7" s="1370"/>
      <c r="D7" s="115" t="s">
        <v>851</v>
      </c>
      <c r="E7" s="116" t="s">
        <v>843</v>
      </c>
      <c r="F7" s="117" t="s">
        <v>852</v>
      </c>
      <c r="G7" s="118">
        <v>44818</v>
      </c>
      <c r="H7" s="116" t="s">
        <v>853</v>
      </c>
      <c r="I7" s="119" t="s">
        <v>846</v>
      </c>
      <c r="J7" s="120" t="s">
        <v>847</v>
      </c>
      <c r="K7" s="120" t="s">
        <v>847</v>
      </c>
      <c r="L7" s="121" t="s">
        <v>848</v>
      </c>
      <c r="M7" s="1373"/>
      <c r="N7" s="122">
        <f>698872252/1.18</f>
        <v>592264620.33898306</v>
      </c>
      <c r="O7" s="123">
        <f>+N7*18%</f>
        <v>106607631.66101694</v>
      </c>
      <c r="P7" s="124">
        <f>+N7+O7</f>
        <v>698872252</v>
      </c>
      <c r="Q7" s="1376"/>
      <c r="R7" s="1378"/>
      <c r="S7" s="125">
        <f>20%*N7</f>
        <v>118452924.06779662</v>
      </c>
      <c r="T7" s="126" t="s">
        <v>882</v>
      </c>
      <c r="U7" s="127"/>
      <c r="V7" s="1384"/>
      <c r="W7" s="1384"/>
      <c r="X7" s="1384"/>
      <c r="Y7" s="1384"/>
      <c r="Z7" s="1384"/>
      <c r="AA7" s="1384"/>
      <c r="AB7" s="1384"/>
      <c r="AC7" s="1384"/>
      <c r="AD7" s="1384"/>
      <c r="AE7" s="1384"/>
      <c r="AF7" s="127"/>
      <c r="AG7" s="1379">
        <v>2</v>
      </c>
      <c r="AH7" s="1395"/>
      <c r="AI7" s="1381" t="s">
        <v>883</v>
      </c>
      <c r="AJ7" s="110" t="s">
        <v>854</v>
      </c>
      <c r="AK7" s="130">
        <v>3703483106</v>
      </c>
      <c r="AL7" s="1396">
        <f>+AK8+AK7</f>
        <v>5050953372</v>
      </c>
      <c r="AM7" s="112"/>
      <c r="AN7" s="1389"/>
      <c r="AO7" s="1390"/>
      <c r="AP7" s="1390"/>
      <c r="AQ7" s="1390"/>
      <c r="AR7" s="1390"/>
      <c r="AS7" s="1390"/>
      <c r="AT7" s="1390"/>
      <c r="AU7" s="1391"/>
      <c r="AV7" s="173"/>
      <c r="AW7" s="173"/>
      <c r="AX7" s="173"/>
      <c r="AY7" s="173"/>
      <c r="AZ7" s="173"/>
      <c r="BA7" s="173"/>
      <c r="BB7" s="173"/>
      <c r="BC7" s="173"/>
      <c r="BD7" s="173"/>
      <c r="BE7" s="173"/>
      <c r="BF7" s="173"/>
      <c r="BG7" s="173"/>
      <c r="BH7" s="173"/>
      <c r="BI7" s="173"/>
      <c r="BJ7" s="173"/>
      <c r="BK7" s="173"/>
      <c r="BL7" s="173"/>
      <c r="BM7" s="173"/>
      <c r="BN7" s="173"/>
      <c r="BO7" s="173"/>
      <c r="BP7" s="173"/>
      <c r="BQ7" s="173"/>
      <c r="BR7" s="173"/>
      <c r="BS7" s="173"/>
      <c r="BT7" s="173"/>
      <c r="BU7" s="174"/>
      <c r="BV7" s="174"/>
      <c r="BW7" s="174"/>
    </row>
    <row r="8" spans="1:75" s="129" customFormat="1" ht="105">
      <c r="A8" s="113"/>
      <c r="B8" s="114" t="s">
        <v>855</v>
      </c>
      <c r="C8" s="1370"/>
      <c r="D8" s="115" t="s">
        <v>856</v>
      </c>
      <c r="E8" s="116" t="s">
        <v>857</v>
      </c>
      <c r="F8" s="117" t="s">
        <v>858</v>
      </c>
      <c r="G8" s="118">
        <v>44818</v>
      </c>
      <c r="H8" s="116" t="s">
        <v>859</v>
      </c>
      <c r="I8" s="119" t="s">
        <v>846</v>
      </c>
      <c r="J8" s="120" t="s">
        <v>847</v>
      </c>
      <c r="K8" s="120" t="s">
        <v>847</v>
      </c>
      <c r="L8" s="121" t="s">
        <v>848</v>
      </c>
      <c r="M8" s="1373"/>
      <c r="N8" s="122">
        <f>911721237/1.18</f>
        <v>772645116.10169494</v>
      </c>
      <c r="O8" s="123">
        <f>+N8*18%</f>
        <v>139076120.89830509</v>
      </c>
      <c r="P8" s="124">
        <f>+N8+O8</f>
        <v>911721237</v>
      </c>
      <c r="Q8" s="1376"/>
      <c r="R8" s="1378"/>
      <c r="S8" s="125">
        <f>20%*N8</f>
        <v>154529023.220339</v>
      </c>
      <c r="T8" s="126" t="s">
        <v>882</v>
      </c>
      <c r="U8" s="127"/>
      <c r="V8" s="1384"/>
      <c r="W8" s="1384"/>
      <c r="X8" s="1384"/>
      <c r="Y8" s="1384"/>
      <c r="Z8" s="1384"/>
      <c r="AA8" s="1384"/>
      <c r="AB8" s="1384"/>
      <c r="AC8" s="1384"/>
      <c r="AD8" s="1384"/>
      <c r="AE8" s="1384"/>
      <c r="AF8" s="127"/>
      <c r="AG8" s="1380"/>
      <c r="AH8" s="1395"/>
      <c r="AI8" s="1382"/>
      <c r="AJ8" s="110" t="s">
        <v>884</v>
      </c>
      <c r="AK8" s="130">
        <v>1347470266</v>
      </c>
      <c r="AL8" s="1397"/>
      <c r="AM8" s="131"/>
      <c r="AN8" s="1392"/>
      <c r="AO8" s="1393"/>
      <c r="AP8" s="1393"/>
      <c r="AQ8" s="1393"/>
      <c r="AR8" s="1393"/>
      <c r="AS8" s="1393"/>
      <c r="AT8" s="1393"/>
      <c r="AU8" s="1394"/>
      <c r="AV8" s="173"/>
      <c r="AW8" s="173"/>
      <c r="AX8" s="173"/>
      <c r="AY8" s="173"/>
      <c r="AZ8" s="173"/>
      <c r="BA8" s="173"/>
      <c r="BB8" s="173"/>
      <c r="BC8" s="173"/>
      <c r="BD8" s="173"/>
      <c r="BE8" s="173"/>
      <c r="BF8" s="173"/>
      <c r="BG8" s="173"/>
      <c r="BH8" s="173"/>
      <c r="BI8" s="173"/>
      <c r="BJ8" s="173"/>
      <c r="BK8" s="173"/>
      <c r="BL8" s="173"/>
      <c r="BM8" s="173"/>
      <c r="BN8" s="173"/>
      <c r="BO8" s="173"/>
      <c r="BP8" s="173"/>
      <c r="BQ8" s="173"/>
      <c r="BR8" s="173"/>
      <c r="BS8" s="173"/>
      <c r="BT8" s="173"/>
      <c r="BU8" s="174"/>
      <c r="BV8" s="174"/>
      <c r="BW8" s="174"/>
    </row>
    <row r="9" spans="1:75" s="141" customFormat="1" ht="63">
      <c r="A9" s="132"/>
      <c r="B9" s="114" t="s">
        <v>860</v>
      </c>
      <c r="C9" s="1370"/>
      <c r="D9" s="115" t="s">
        <v>861</v>
      </c>
      <c r="E9" s="133" t="s">
        <v>862</v>
      </c>
      <c r="F9" s="117" t="s">
        <v>863</v>
      </c>
      <c r="G9" s="118">
        <v>44818</v>
      </c>
      <c r="H9" s="134" t="s">
        <v>864</v>
      </c>
      <c r="I9" s="119" t="s">
        <v>846</v>
      </c>
      <c r="J9" s="120" t="s">
        <v>847</v>
      </c>
      <c r="K9" s="120" t="s">
        <v>847</v>
      </c>
      <c r="L9" s="121" t="s">
        <v>848</v>
      </c>
      <c r="M9" s="1373"/>
      <c r="N9" s="135">
        <v>452734936</v>
      </c>
      <c r="O9" s="136">
        <f>+N9*18%</f>
        <v>81492288.480000004</v>
      </c>
      <c r="P9" s="137">
        <f>+N9+O9</f>
        <v>534227224.48000002</v>
      </c>
      <c r="Q9" s="1376"/>
      <c r="R9" s="1378"/>
      <c r="S9" s="138">
        <f>N9*20%</f>
        <v>90546987.200000003</v>
      </c>
      <c r="T9" s="139" t="s">
        <v>885</v>
      </c>
      <c r="U9" s="140"/>
      <c r="V9" s="1384"/>
      <c r="W9" s="1384"/>
      <c r="X9" s="1384"/>
      <c r="Y9" s="1384"/>
      <c r="Z9" s="1384"/>
      <c r="AA9" s="1384"/>
      <c r="AB9" s="1384"/>
      <c r="AC9" s="1384"/>
      <c r="AD9" s="1384"/>
      <c r="AE9" s="1384"/>
      <c r="AF9" s="140"/>
      <c r="AG9" s="140"/>
      <c r="AH9" s="140"/>
      <c r="AI9" s="140"/>
      <c r="AJ9" s="140"/>
      <c r="AK9" s="140"/>
      <c r="AL9" s="140"/>
      <c r="AM9" s="140"/>
      <c r="AN9" s="140"/>
      <c r="AO9" s="140"/>
      <c r="AP9" s="140"/>
      <c r="AQ9" s="140"/>
      <c r="AR9" s="140"/>
      <c r="AS9" s="140"/>
      <c r="AT9" s="140"/>
      <c r="AU9" s="140"/>
      <c r="AV9" s="175"/>
      <c r="AW9" s="175"/>
      <c r="AX9" s="175"/>
      <c r="AY9" s="175"/>
      <c r="AZ9" s="175"/>
      <c r="BA9" s="175"/>
      <c r="BB9" s="175"/>
      <c r="BC9" s="175"/>
      <c r="BD9" s="175"/>
      <c r="BE9" s="175"/>
      <c r="BF9" s="175"/>
      <c r="BG9" s="175"/>
      <c r="BH9" s="175"/>
      <c r="BI9" s="175"/>
      <c r="BJ9" s="175"/>
      <c r="BK9" s="175"/>
      <c r="BL9" s="175"/>
      <c r="BM9" s="175"/>
      <c r="BN9" s="175"/>
      <c r="BO9" s="175"/>
      <c r="BP9" s="175"/>
      <c r="BQ9" s="175"/>
      <c r="BR9" s="175"/>
      <c r="BS9" s="175"/>
      <c r="BT9" s="175"/>
      <c r="BU9" s="176"/>
      <c r="BV9" s="136"/>
      <c r="BW9" s="136"/>
    </row>
    <row r="10" spans="1:75" s="153" customFormat="1" ht="84">
      <c r="A10" s="142"/>
      <c r="B10" s="143" t="s">
        <v>865</v>
      </c>
      <c r="C10" s="1370"/>
      <c r="D10" s="144" t="s">
        <v>866</v>
      </c>
      <c r="E10" s="145" t="s">
        <v>867</v>
      </c>
      <c r="F10" s="117" t="s">
        <v>868</v>
      </c>
      <c r="G10" s="118">
        <v>44820</v>
      </c>
      <c r="H10" s="146" t="s">
        <v>869</v>
      </c>
      <c r="I10" s="119" t="s">
        <v>870</v>
      </c>
      <c r="J10" s="147" t="s">
        <v>847</v>
      </c>
      <c r="K10" s="148" t="s">
        <v>110</v>
      </c>
      <c r="L10" s="148" t="s">
        <v>110</v>
      </c>
      <c r="M10" s="1374"/>
      <c r="N10" s="149">
        <v>1211797955</v>
      </c>
      <c r="O10" s="150">
        <f>N10*18%</f>
        <v>218123631.90000001</v>
      </c>
      <c r="P10" s="151">
        <f>+N10+O10</f>
        <v>1429921586.9000001</v>
      </c>
      <c r="Q10" s="1376"/>
      <c r="R10" s="1378"/>
      <c r="S10" s="152">
        <f>20%*N10</f>
        <v>242359591</v>
      </c>
      <c r="T10" s="126" t="s">
        <v>871</v>
      </c>
      <c r="U10" s="140"/>
      <c r="V10" s="1384"/>
      <c r="W10" s="1384"/>
      <c r="X10" s="1384"/>
      <c r="Y10" s="1384"/>
      <c r="Z10" s="1384"/>
      <c r="AA10" s="1384"/>
      <c r="AB10" s="1384"/>
      <c r="AC10" s="1384"/>
      <c r="AD10" s="1384"/>
      <c r="AE10" s="1384"/>
      <c r="AF10" s="140"/>
      <c r="AG10" s="140"/>
      <c r="AH10" s="140"/>
      <c r="AI10" s="140"/>
      <c r="AJ10" s="140"/>
      <c r="AK10" s="140"/>
      <c r="AL10" s="140"/>
      <c r="AM10" s="140"/>
      <c r="AN10" s="140"/>
      <c r="AO10" s="140"/>
      <c r="AP10" s="140"/>
      <c r="AQ10" s="140"/>
      <c r="AR10" s="140"/>
      <c r="AS10" s="140"/>
      <c r="AT10" s="140"/>
      <c r="AU10" s="140"/>
      <c r="AV10" s="175"/>
      <c r="AW10" s="175"/>
      <c r="AX10" s="175"/>
      <c r="AY10" s="175"/>
      <c r="AZ10" s="175"/>
      <c r="BA10" s="175"/>
      <c r="BB10" s="175"/>
      <c r="BC10" s="175"/>
      <c r="BD10" s="175"/>
      <c r="BE10" s="175"/>
      <c r="BF10" s="175"/>
      <c r="BG10" s="175"/>
      <c r="BH10" s="175"/>
      <c r="BI10" s="175"/>
      <c r="BJ10" s="175"/>
      <c r="BK10" s="175"/>
      <c r="BL10" s="175"/>
      <c r="BM10" s="175"/>
      <c r="BN10" s="175"/>
      <c r="BO10" s="175"/>
      <c r="BP10" s="175"/>
      <c r="BQ10" s="175"/>
      <c r="BR10" s="175"/>
      <c r="BS10" s="175"/>
      <c r="BT10" s="175"/>
      <c r="BU10" s="177"/>
      <c r="BV10" s="150"/>
      <c r="BW10" s="150"/>
    </row>
    <row r="11" spans="1:75" s="165" customFormat="1" ht="126">
      <c r="A11" s="154"/>
      <c r="B11" s="155" t="s">
        <v>872</v>
      </c>
      <c r="C11" s="1371"/>
      <c r="D11" s="156" t="s">
        <v>873</v>
      </c>
      <c r="E11" s="157" t="s">
        <v>874</v>
      </c>
      <c r="F11" s="158" t="s">
        <v>875</v>
      </c>
      <c r="G11" s="159">
        <v>44832</v>
      </c>
      <c r="H11" s="160"/>
      <c r="I11" s="161" t="s">
        <v>876</v>
      </c>
      <c r="J11" s="162"/>
      <c r="K11" s="162" t="s">
        <v>847</v>
      </c>
      <c r="L11" s="163"/>
      <c r="M11" s="163"/>
      <c r="N11" s="163"/>
      <c r="O11" s="163"/>
      <c r="P11" s="164">
        <v>50000000</v>
      </c>
      <c r="Q11" s="1376"/>
      <c r="R11" s="1378"/>
      <c r="S11" s="138"/>
      <c r="T11" s="139" t="s">
        <v>877</v>
      </c>
      <c r="U11" s="154"/>
      <c r="V11" s="1385"/>
      <c r="W11" s="1385"/>
      <c r="X11" s="1385"/>
      <c r="Y11" s="1385"/>
      <c r="Z11" s="1385"/>
      <c r="AA11" s="1385"/>
      <c r="AB11" s="1385"/>
      <c r="AC11" s="1385"/>
      <c r="AD11" s="1385"/>
      <c r="AE11" s="1385"/>
      <c r="AF11" s="154"/>
      <c r="AG11" s="154"/>
      <c r="AH11" s="154"/>
      <c r="AI11" s="154"/>
      <c r="AJ11" s="154"/>
      <c r="AK11" s="154"/>
      <c r="AL11" s="154"/>
      <c r="AM11" s="154"/>
      <c r="AN11" s="154"/>
      <c r="AO11" s="154"/>
      <c r="AP11" s="154"/>
      <c r="AQ11" s="154"/>
      <c r="AR11" s="154"/>
      <c r="AS11" s="154"/>
      <c r="AT11" s="154"/>
      <c r="AU11" s="154"/>
      <c r="AV11" s="178"/>
      <c r="AW11" s="178"/>
      <c r="AX11" s="178"/>
      <c r="AY11" s="178"/>
      <c r="AZ11" s="178"/>
      <c r="BA11" s="178"/>
      <c r="BB11" s="178"/>
      <c r="BC11" s="178"/>
      <c r="BD11" s="178"/>
      <c r="BE11" s="178"/>
      <c r="BF11" s="178"/>
      <c r="BG11" s="178"/>
      <c r="BH11" s="178"/>
      <c r="BI11" s="178"/>
      <c r="BJ11" s="178"/>
      <c r="BK11" s="178"/>
      <c r="BL11" s="178"/>
      <c r="BM11" s="178"/>
      <c r="BN11" s="178"/>
      <c r="BO11" s="178"/>
      <c r="BP11" s="178"/>
      <c r="BQ11" s="178"/>
      <c r="BR11" s="178"/>
      <c r="BS11" s="178"/>
      <c r="BT11" s="178"/>
      <c r="BU11" s="178"/>
      <c r="BV11" s="178"/>
      <c r="BW11" s="178"/>
    </row>
    <row r="12" spans="1:75" s="86" customFormat="1">
      <c r="B12" s="87"/>
      <c r="C12" s="87"/>
      <c r="D12" s="87"/>
      <c r="I12" s="88"/>
      <c r="J12" s="88"/>
      <c r="K12" s="88"/>
      <c r="L12" s="88"/>
      <c r="M12" s="88"/>
      <c r="Q12" s="89"/>
      <c r="S12" s="90"/>
      <c r="U12" s="91"/>
      <c r="V12" s="91"/>
      <c r="W12" s="91"/>
      <c r="X12" s="91"/>
      <c r="Y12" s="91"/>
      <c r="Z12" s="91"/>
      <c r="AA12" s="91"/>
      <c r="AB12" s="91"/>
      <c r="AC12" s="91"/>
      <c r="AD12" s="91"/>
      <c r="AE12" s="91"/>
      <c r="AF12" s="91"/>
      <c r="AG12" s="91"/>
      <c r="AH12" s="91"/>
      <c r="AI12" s="91"/>
      <c r="AJ12" s="91"/>
      <c r="AK12" s="91"/>
      <c r="AL12" s="91"/>
      <c r="AM12" s="91"/>
      <c r="AN12" s="91"/>
      <c r="AO12" s="91"/>
      <c r="AP12" s="91"/>
      <c r="AQ12" s="91"/>
      <c r="AR12" s="91"/>
      <c r="AS12" s="91"/>
      <c r="AT12" s="91"/>
      <c r="AU12" s="91"/>
      <c r="AV12" s="169"/>
      <c r="AW12" s="169"/>
      <c r="AX12" s="169"/>
      <c r="AY12" s="169"/>
      <c r="AZ12" s="169"/>
      <c r="BA12" s="169"/>
      <c r="BB12" s="169"/>
      <c r="BC12" s="169"/>
      <c r="BD12" s="169"/>
      <c r="BE12" s="169"/>
      <c r="BF12" s="169"/>
      <c r="BG12" s="169"/>
      <c r="BH12" s="169"/>
      <c r="BI12" s="169"/>
      <c r="BJ12" s="169"/>
      <c r="BK12" s="169"/>
      <c r="BL12" s="169"/>
      <c r="BM12" s="169"/>
      <c r="BN12" s="169"/>
      <c r="BO12" s="169"/>
      <c r="BP12" s="169"/>
      <c r="BQ12" s="169"/>
      <c r="BR12" s="169"/>
      <c r="BS12" s="169"/>
      <c r="BT12" s="169"/>
      <c r="BU12" s="170"/>
      <c r="BV12" s="170"/>
      <c r="BW12" s="170"/>
    </row>
    <row r="13" spans="1:75" s="86" customFormat="1">
      <c r="B13" s="87"/>
      <c r="C13" s="87"/>
      <c r="D13" s="87"/>
      <c r="I13" s="88"/>
      <c r="J13" s="88"/>
      <c r="K13" s="88"/>
      <c r="L13" s="88"/>
      <c r="M13" s="88"/>
      <c r="Q13" s="89"/>
      <c r="S13" s="90"/>
      <c r="U13" s="91"/>
      <c r="V13" s="91"/>
      <c r="W13" s="91"/>
      <c r="X13" s="91"/>
      <c r="Y13" s="91"/>
      <c r="Z13" s="91"/>
      <c r="AA13" s="91"/>
      <c r="AB13" s="91"/>
      <c r="AC13" s="91"/>
      <c r="AD13" s="91"/>
      <c r="AE13" s="91"/>
      <c r="AF13" s="91"/>
      <c r="AG13" s="91"/>
      <c r="AH13" s="91"/>
      <c r="AI13" s="91"/>
      <c r="AJ13" s="91"/>
      <c r="AK13" s="91"/>
      <c r="AL13" s="91"/>
      <c r="AM13" s="91"/>
      <c r="AN13" s="91"/>
      <c r="AO13" s="91"/>
      <c r="AP13" s="91"/>
      <c r="AQ13" s="91"/>
      <c r="AR13" s="91"/>
      <c r="AS13" s="91"/>
      <c r="AT13" s="91"/>
      <c r="AU13" s="91"/>
      <c r="AV13" s="169"/>
      <c r="AW13" s="169"/>
      <c r="AX13" s="169"/>
      <c r="AY13" s="169"/>
      <c r="AZ13" s="169"/>
      <c r="BA13" s="169"/>
      <c r="BB13" s="169"/>
      <c r="BC13" s="169"/>
      <c r="BD13" s="169"/>
      <c r="BE13" s="169"/>
      <c r="BF13" s="169"/>
      <c r="BG13" s="169"/>
      <c r="BH13" s="169"/>
      <c r="BI13" s="169"/>
      <c r="BJ13" s="169"/>
      <c r="BK13" s="169"/>
      <c r="BL13" s="169"/>
      <c r="BM13" s="169"/>
      <c r="BN13" s="169"/>
      <c r="BO13" s="169"/>
      <c r="BP13" s="169"/>
      <c r="BQ13" s="169"/>
      <c r="BR13" s="169"/>
      <c r="BS13" s="169"/>
      <c r="BT13" s="169"/>
      <c r="BU13" s="170"/>
      <c r="BV13" s="170"/>
      <c r="BW13" s="170"/>
    </row>
    <row r="14" spans="1:75" s="86" customFormat="1">
      <c r="B14" s="87"/>
      <c r="C14" s="87"/>
      <c r="D14" s="87"/>
      <c r="I14" s="88"/>
      <c r="J14" s="88"/>
      <c r="K14" s="88"/>
      <c r="L14" s="88"/>
      <c r="M14" s="88"/>
      <c r="Q14" s="89"/>
      <c r="S14" s="90"/>
      <c r="U14" s="91"/>
      <c r="V14" s="91"/>
      <c r="W14" s="91"/>
      <c r="X14" s="91"/>
      <c r="Y14" s="91"/>
      <c r="Z14" s="91"/>
      <c r="AA14" s="91"/>
      <c r="AB14" s="91"/>
      <c r="AC14" s="91"/>
      <c r="AD14" s="91"/>
      <c r="AE14" s="91"/>
      <c r="AF14" s="91"/>
      <c r="AG14" s="91"/>
      <c r="AH14" s="91"/>
      <c r="AI14" s="91"/>
      <c r="AJ14" s="91"/>
      <c r="AK14" s="91"/>
      <c r="AL14" s="91"/>
      <c r="AM14" s="91"/>
      <c r="AN14" s="91"/>
      <c r="AO14" s="91"/>
      <c r="AP14" s="91"/>
      <c r="AQ14" s="91"/>
      <c r="AR14" s="91"/>
      <c r="AS14" s="91"/>
      <c r="AT14" s="91"/>
      <c r="AU14" s="91"/>
      <c r="AV14" s="169"/>
      <c r="AW14" s="169"/>
      <c r="AX14" s="169"/>
      <c r="AY14" s="169"/>
      <c r="AZ14" s="169"/>
      <c r="BA14" s="169"/>
      <c r="BB14" s="169"/>
      <c r="BC14" s="169"/>
      <c r="BD14" s="169"/>
      <c r="BE14" s="169"/>
      <c r="BF14" s="169"/>
      <c r="BG14" s="169"/>
      <c r="BH14" s="169"/>
      <c r="BI14" s="169"/>
      <c r="BJ14" s="169"/>
      <c r="BK14" s="169"/>
      <c r="BL14" s="169"/>
      <c r="BM14" s="169"/>
      <c r="BN14" s="169"/>
      <c r="BO14" s="169"/>
      <c r="BP14" s="169"/>
      <c r="BQ14" s="169"/>
      <c r="BR14" s="169"/>
      <c r="BS14" s="169"/>
      <c r="BT14" s="169"/>
      <c r="BU14" s="170"/>
      <c r="BV14" s="170"/>
      <c r="BW14" s="170"/>
    </row>
    <row r="15" spans="1:75" s="86" customFormat="1">
      <c r="B15" s="87"/>
      <c r="C15" s="87"/>
      <c r="D15" s="87"/>
      <c r="I15" s="88"/>
      <c r="J15" s="88"/>
      <c r="K15" s="88"/>
      <c r="L15" s="88"/>
      <c r="M15" s="88"/>
      <c r="Q15" s="89"/>
      <c r="S15" s="90"/>
      <c r="U15" s="91"/>
      <c r="V15" s="91"/>
      <c r="W15" s="91"/>
      <c r="X15" s="91"/>
      <c r="Y15" s="91"/>
      <c r="Z15" s="91"/>
      <c r="AA15" s="91"/>
      <c r="AB15" s="91"/>
      <c r="AC15" s="91"/>
      <c r="AD15" s="91"/>
      <c r="AE15" s="91"/>
      <c r="AF15" s="91"/>
      <c r="AG15" s="91"/>
      <c r="AH15" s="91"/>
      <c r="AI15" s="91"/>
      <c r="AJ15" s="91"/>
      <c r="AK15" s="91"/>
      <c r="AL15" s="91"/>
      <c r="AM15" s="91"/>
      <c r="AN15" s="91"/>
      <c r="AO15" s="91"/>
      <c r="AP15" s="91"/>
      <c r="AQ15" s="91"/>
      <c r="AR15" s="91"/>
      <c r="AS15" s="91"/>
      <c r="AT15" s="91"/>
      <c r="AU15" s="91"/>
      <c r="AV15" s="169"/>
      <c r="AW15" s="169"/>
      <c r="AX15" s="169"/>
      <c r="AY15" s="169"/>
      <c r="AZ15" s="169"/>
      <c r="BA15" s="169"/>
      <c r="BB15" s="169"/>
      <c r="BC15" s="169"/>
      <c r="BD15" s="169"/>
      <c r="BE15" s="169"/>
      <c r="BF15" s="169"/>
      <c r="BG15" s="169"/>
      <c r="BH15" s="169"/>
      <c r="BI15" s="169"/>
      <c r="BJ15" s="169"/>
      <c r="BK15" s="169"/>
      <c r="BL15" s="169"/>
      <c r="BM15" s="169"/>
      <c r="BN15" s="169"/>
      <c r="BO15" s="169"/>
      <c r="BP15" s="169"/>
      <c r="BQ15" s="169"/>
      <c r="BR15" s="169"/>
      <c r="BS15" s="169"/>
      <c r="BT15" s="169"/>
      <c r="BU15" s="170"/>
      <c r="BV15" s="170"/>
      <c r="BW15" s="170"/>
    </row>
    <row r="16" spans="1:75" s="86" customFormat="1">
      <c r="B16" s="87"/>
      <c r="C16" s="87"/>
      <c r="D16" s="87"/>
      <c r="I16" s="88"/>
      <c r="J16" s="88"/>
      <c r="K16" s="88"/>
      <c r="L16" s="88"/>
      <c r="M16" s="88"/>
      <c r="Q16" s="89"/>
      <c r="S16" s="90"/>
      <c r="U16" s="91"/>
      <c r="V16" s="91"/>
      <c r="W16" s="91"/>
      <c r="X16" s="91"/>
      <c r="Y16" s="91"/>
      <c r="Z16" s="91"/>
      <c r="AA16" s="91"/>
      <c r="AB16" s="91"/>
      <c r="AC16" s="91"/>
      <c r="AD16" s="91"/>
      <c r="AE16" s="91"/>
      <c r="AF16" s="91"/>
      <c r="AG16" s="91"/>
      <c r="AH16" s="91"/>
      <c r="AI16" s="91"/>
      <c r="AJ16" s="91"/>
      <c r="AK16" s="91"/>
      <c r="AL16" s="91"/>
      <c r="AM16" s="91"/>
      <c r="AN16" s="91"/>
      <c r="AO16" s="91"/>
      <c r="AP16" s="91"/>
      <c r="AQ16" s="91"/>
      <c r="AR16" s="91"/>
      <c r="AS16" s="91"/>
      <c r="AT16" s="91"/>
      <c r="AU16" s="91"/>
      <c r="AV16" s="169"/>
      <c r="AW16" s="169"/>
      <c r="AX16" s="169"/>
      <c r="AY16" s="169"/>
      <c r="AZ16" s="169"/>
      <c r="BA16" s="169"/>
      <c r="BB16" s="169"/>
      <c r="BC16" s="169"/>
      <c r="BD16" s="169"/>
      <c r="BE16" s="169"/>
      <c r="BF16" s="169"/>
      <c r="BG16" s="169"/>
      <c r="BH16" s="169"/>
      <c r="BI16" s="169"/>
      <c r="BJ16" s="169"/>
      <c r="BK16" s="169"/>
      <c r="BL16" s="169"/>
      <c r="BM16" s="169"/>
      <c r="BN16" s="169"/>
      <c r="BO16" s="169"/>
      <c r="BP16" s="169"/>
      <c r="BQ16" s="169"/>
      <c r="BR16" s="169"/>
      <c r="BS16" s="169"/>
      <c r="BT16" s="169"/>
      <c r="BU16" s="170"/>
      <c r="BV16" s="170"/>
      <c r="BW16" s="170"/>
    </row>
    <row r="17" spans="2:75" s="86" customFormat="1">
      <c r="B17" s="87"/>
      <c r="C17" s="87"/>
      <c r="D17" s="87"/>
      <c r="I17" s="88"/>
      <c r="J17" s="88"/>
      <c r="K17" s="88"/>
      <c r="L17" s="88"/>
      <c r="M17" s="88"/>
      <c r="Q17" s="89"/>
      <c r="S17" s="90"/>
      <c r="U17" s="91"/>
      <c r="V17" s="91"/>
      <c r="W17" s="91"/>
      <c r="X17" s="91"/>
      <c r="Y17" s="91"/>
      <c r="Z17" s="91"/>
      <c r="AA17" s="91"/>
      <c r="AB17" s="91"/>
      <c r="AC17" s="91"/>
      <c r="AD17" s="91"/>
      <c r="AE17" s="91"/>
      <c r="AF17" s="91"/>
      <c r="AG17" s="91"/>
      <c r="AH17" s="91"/>
      <c r="AI17" s="91"/>
      <c r="AJ17" s="91"/>
      <c r="AK17" s="91"/>
      <c r="AL17" s="91"/>
      <c r="AM17" s="91"/>
      <c r="AN17" s="91"/>
      <c r="AO17" s="91"/>
      <c r="AP17" s="91"/>
      <c r="AQ17" s="91"/>
      <c r="AR17" s="91"/>
      <c r="AS17" s="91"/>
      <c r="AT17" s="91"/>
      <c r="AU17" s="91"/>
      <c r="AV17" s="169"/>
      <c r="AW17" s="169"/>
      <c r="AX17" s="169"/>
      <c r="AY17" s="169"/>
      <c r="AZ17" s="169"/>
      <c r="BA17" s="169"/>
      <c r="BB17" s="169"/>
      <c r="BC17" s="169"/>
      <c r="BD17" s="169"/>
      <c r="BE17" s="169"/>
      <c r="BF17" s="169"/>
      <c r="BG17" s="169"/>
      <c r="BH17" s="169"/>
      <c r="BI17" s="169"/>
      <c r="BJ17" s="169"/>
      <c r="BK17" s="169"/>
      <c r="BL17" s="169"/>
      <c r="BM17" s="169"/>
      <c r="BN17" s="169"/>
      <c r="BO17" s="169"/>
      <c r="BP17" s="169"/>
      <c r="BQ17" s="169"/>
      <c r="BR17" s="169"/>
      <c r="BS17" s="169"/>
      <c r="BT17" s="169"/>
      <c r="BU17" s="170"/>
      <c r="BV17" s="170"/>
      <c r="BW17" s="170"/>
    </row>
    <row r="18" spans="2:75" s="86" customFormat="1">
      <c r="B18" s="87"/>
      <c r="C18" s="87"/>
      <c r="D18" s="87"/>
      <c r="I18" s="88"/>
      <c r="J18" s="88"/>
      <c r="K18" s="88"/>
      <c r="L18" s="88"/>
      <c r="M18" s="88"/>
      <c r="Q18" s="89"/>
      <c r="S18" s="90"/>
      <c r="U18" s="91"/>
      <c r="V18" s="91"/>
      <c r="W18" s="91"/>
      <c r="X18" s="91"/>
      <c r="Y18" s="91"/>
      <c r="Z18" s="91"/>
      <c r="AA18" s="91"/>
      <c r="AB18" s="91"/>
      <c r="AC18" s="91"/>
      <c r="AD18" s="91"/>
      <c r="AE18" s="91"/>
      <c r="AF18" s="91"/>
      <c r="AG18" s="91"/>
      <c r="AH18" s="91"/>
      <c r="AI18" s="91"/>
      <c r="AJ18" s="91"/>
      <c r="AK18" s="91"/>
      <c r="AL18" s="91"/>
      <c r="AM18" s="91"/>
      <c r="AN18" s="91"/>
      <c r="AO18" s="91"/>
      <c r="AP18" s="91"/>
      <c r="AQ18" s="91"/>
      <c r="AR18" s="91"/>
      <c r="AS18" s="91"/>
      <c r="AT18" s="91"/>
      <c r="AU18" s="91"/>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70"/>
      <c r="BV18" s="170"/>
      <c r="BW18" s="170"/>
    </row>
    <row r="19" spans="2:75" s="86" customFormat="1">
      <c r="B19" s="87"/>
      <c r="C19" s="87"/>
      <c r="D19" s="87"/>
      <c r="I19" s="88"/>
      <c r="J19" s="88"/>
      <c r="K19" s="88"/>
      <c r="L19" s="88"/>
      <c r="M19" s="88"/>
      <c r="Q19" s="89"/>
      <c r="S19" s="90"/>
      <c r="U19" s="91"/>
      <c r="V19" s="91"/>
      <c r="W19" s="91"/>
      <c r="X19" s="91"/>
      <c r="Y19" s="91"/>
      <c r="Z19" s="91"/>
      <c r="AA19" s="91"/>
      <c r="AB19" s="91"/>
      <c r="AC19" s="91"/>
      <c r="AD19" s="91"/>
      <c r="AE19" s="91"/>
      <c r="AF19" s="91"/>
      <c r="AG19" s="91"/>
      <c r="AH19" s="91"/>
      <c r="AI19" s="91"/>
      <c r="AJ19" s="91"/>
      <c r="AK19" s="91"/>
      <c r="AL19" s="91"/>
      <c r="AM19" s="91"/>
      <c r="AN19" s="91"/>
      <c r="AO19" s="91"/>
      <c r="AP19" s="91"/>
      <c r="AQ19" s="91"/>
      <c r="AR19" s="91"/>
      <c r="AS19" s="91"/>
      <c r="AT19" s="91"/>
      <c r="AU19" s="91"/>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70"/>
      <c r="BV19" s="170"/>
      <c r="BW19" s="170"/>
    </row>
    <row r="20" spans="2:75" s="86" customFormat="1">
      <c r="B20" s="87"/>
      <c r="C20" s="87"/>
      <c r="D20" s="87"/>
      <c r="I20" s="88"/>
      <c r="J20" s="88"/>
      <c r="K20" s="88"/>
      <c r="L20" s="88"/>
      <c r="M20" s="88"/>
      <c r="Q20" s="89"/>
      <c r="S20" s="90"/>
      <c r="U20" s="91"/>
      <c r="V20" s="91"/>
      <c r="W20" s="91"/>
      <c r="X20" s="91"/>
      <c r="Y20" s="91"/>
      <c r="Z20" s="91"/>
      <c r="AA20" s="91"/>
      <c r="AB20" s="91"/>
      <c r="AC20" s="91"/>
      <c r="AD20" s="91"/>
      <c r="AE20" s="91"/>
      <c r="AF20" s="91"/>
      <c r="AG20" s="91"/>
      <c r="AH20" s="91"/>
      <c r="AI20" s="91"/>
      <c r="AJ20" s="91"/>
      <c r="AK20" s="91"/>
      <c r="AL20" s="91"/>
      <c r="AM20" s="91"/>
      <c r="AN20" s="91"/>
      <c r="AO20" s="91"/>
      <c r="AP20" s="91"/>
      <c r="AQ20" s="91"/>
      <c r="AR20" s="91"/>
      <c r="AS20" s="91"/>
      <c r="AT20" s="91"/>
      <c r="AU20" s="91"/>
      <c r="AV20" s="169"/>
      <c r="AW20" s="169"/>
      <c r="AX20" s="169"/>
      <c r="AY20" s="169"/>
      <c r="AZ20" s="169"/>
      <c r="BA20" s="169"/>
      <c r="BB20" s="169"/>
      <c r="BC20" s="169"/>
      <c r="BD20" s="169"/>
      <c r="BE20" s="169"/>
      <c r="BF20" s="169"/>
      <c r="BG20" s="169"/>
      <c r="BH20" s="169"/>
      <c r="BI20" s="169"/>
      <c r="BJ20" s="169"/>
      <c r="BK20" s="169"/>
      <c r="BL20" s="169"/>
      <c r="BM20" s="169"/>
      <c r="BN20" s="169"/>
      <c r="BO20" s="169"/>
      <c r="BP20" s="169"/>
      <c r="BQ20" s="169"/>
      <c r="BR20" s="169"/>
      <c r="BS20" s="169"/>
      <c r="BT20" s="169"/>
      <c r="BU20" s="170"/>
      <c r="BV20" s="170"/>
      <c r="BW20" s="170"/>
    </row>
    <row r="21" spans="2:75" s="86" customFormat="1">
      <c r="B21" s="87"/>
      <c r="C21" s="87"/>
      <c r="D21" s="87"/>
      <c r="I21" s="88"/>
      <c r="J21" s="88"/>
      <c r="K21" s="88"/>
      <c r="L21" s="88"/>
      <c r="M21" s="88"/>
      <c r="Q21" s="89"/>
      <c r="S21" s="90"/>
      <c r="U21" s="91"/>
      <c r="V21" s="91"/>
      <c r="W21" s="91"/>
      <c r="X21" s="91"/>
      <c r="Y21" s="91"/>
      <c r="Z21" s="91"/>
      <c r="AA21" s="91"/>
      <c r="AB21" s="91"/>
      <c r="AC21" s="91"/>
      <c r="AD21" s="91"/>
      <c r="AE21" s="91"/>
      <c r="AF21" s="91"/>
      <c r="AG21" s="91"/>
      <c r="AH21" s="91"/>
      <c r="AI21" s="91"/>
      <c r="AJ21" s="91"/>
      <c r="AK21" s="91"/>
      <c r="AL21" s="91"/>
      <c r="AM21" s="91"/>
      <c r="AN21" s="91"/>
      <c r="AO21" s="91"/>
      <c r="AP21" s="91"/>
      <c r="AQ21" s="91"/>
      <c r="AR21" s="91"/>
      <c r="AS21" s="91"/>
      <c r="AT21" s="91"/>
      <c r="AU21" s="91"/>
      <c r="AV21" s="169"/>
      <c r="AW21" s="169"/>
      <c r="AX21" s="169"/>
      <c r="AY21" s="169"/>
      <c r="AZ21" s="169"/>
      <c r="BA21" s="169"/>
      <c r="BB21" s="169"/>
      <c r="BC21" s="169"/>
      <c r="BD21" s="169"/>
      <c r="BE21" s="169"/>
      <c r="BF21" s="169"/>
      <c r="BG21" s="169"/>
      <c r="BH21" s="169"/>
      <c r="BI21" s="169"/>
      <c r="BJ21" s="169"/>
      <c r="BK21" s="169"/>
      <c r="BL21" s="169"/>
      <c r="BM21" s="169"/>
      <c r="BN21" s="169"/>
      <c r="BO21" s="169"/>
      <c r="BP21" s="169"/>
      <c r="BQ21" s="169"/>
      <c r="BR21" s="169"/>
      <c r="BS21" s="169"/>
      <c r="BT21" s="169"/>
      <c r="BU21" s="170"/>
      <c r="BV21" s="170"/>
      <c r="BW21" s="170"/>
    </row>
    <row r="22" spans="2:75" s="86" customFormat="1">
      <c r="B22" s="87"/>
      <c r="C22" s="87"/>
      <c r="D22" s="87"/>
      <c r="I22" s="88"/>
      <c r="J22" s="88"/>
      <c r="K22" s="88"/>
      <c r="L22" s="88"/>
      <c r="M22" s="88"/>
      <c r="Q22" s="89"/>
      <c r="S22" s="90"/>
      <c r="U22" s="91"/>
      <c r="V22" s="91"/>
      <c r="W22" s="91"/>
      <c r="X22" s="91"/>
      <c r="Y22" s="91"/>
      <c r="Z22" s="91"/>
      <c r="AA22" s="91"/>
      <c r="AB22" s="91"/>
      <c r="AC22" s="91"/>
      <c r="AD22" s="91"/>
      <c r="AE22" s="91"/>
      <c r="AF22" s="91"/>
      <c r="AG22" s="91"/>
      <c r="AH22" s="91"/>
      <c r="AI22" s="91"/>
      <c r="AJ22" s="91"/>
      <c r="AK22" s="91"/>
      <c r="AL22" s="91"/>
      <c r="AM22" s="91"/>
      <c r="AN22" s="91"/>
      <c r="AO22" s="91"/>
      <c r="AP22" s="91"/>
      <c r="AQ22" s="91"/>
      <c r="AR22" s="91"/>
      <c r="AS22" s="91"/>
      <c r="AT22" s="91"/>
      <c r="AU22" s="91"/>
      <c r="AV22" s="169"/>
      <c r="AW22" s="169"/>
      <c r="AX22" s="169"/>
      <c r="AY22" s="169"/>
      <c r="AZ22" s="169"/>
      <c r="BA22" s="169"/>
      <c r="BB22" s="169"/>
      <c r="BC22" s="169"/>
      <c r="BD22" s="169"/>
      <c r="BE22" s="169"/>
      <c r="BF22" s="169"/>
      <c r="BG22" s="169"/>
      <c r="BH22" s="169"/>
      <c r="BI22" s="169"/>
      <c r="BJ22" s="169"/>
      <c r="BK22" s="169"/>
      <c r="BL22" s="169"/>
      <c r="BM22" s="169"/>
      <c r="BN22" s="169"/>
      <c r="BO22" s="169"/>
      <c r="BP22" s="169"/>
      <c r="BQ22" s="169"/>
      <c r="BR22" s="169"/>
      <c r="BS22" s="169"/>
      <c r="BT22" s="169"/>
      <c r="BU22" s="170"/>
      <c r="BV22" s="170"/>
      <c r="BW22" s="170"/>
    </row>
    <row r="23" spans="2:75" s="86" customFormat="1">
      <c r="B23" s="87"/>
      <c r="C23" s="87"/>
      <c r="D23" s="87"/>
      <c r="I23" s="88"/>
      <c r="J23" s="88"/>
      <c r="K23" s="88"/>
      <c r="L23" s="88"/>
      <c r="M23" s="88"/>
      <c r="Q23" s="89"/>
      <c r="S23" s="90"/>
      <c r="U23" s="91"/>
      <c r="V23" s="91"/>
      <c r="W23" s="91"/>
      <c r="X23" s="91"/>
      <c r="Y23" s="91"/>
      <c r="Z23" s="91"/>
      <c r="AA23" s="91"/>
      <c r="AB23" s="91"/>
      <c r="AC23" s="91"/>
      <c r="AD23" s="91"/>
      <c r="AE23" s="91"/>
      <c r="AF23" s="91"/>
      <c r="AG23" s="91"/>
      <c r="AH23" s="91"/>
      <c r="AI23" s="91"/>
      <c r="AJ23" s="91"/>
      <c r="AK23" s="91"/>
      <c r="AL23" s="91"/>
      <c r="AM23" s="91"/>
      <c r="AN23" s="91"/>
      <c r="AO23" s="91"/>
      <c r="AP23" s="91"/>
      <c r="AQ23" s="91"/>
      <c r="AR23" s="91"/>
      <c r="AS23" s="91"/>
      <c r="AT23" s="91"/>
      <c r="AU23" s="91"/>
      <c r="AV23" s="169"/>
      <c r="AW23" s="169"/>
      <c r="AX23" s="169"/>
      <c r="AY23" s="169"/>
      <c r="AZ23" s="169"/>
      <c r="BA23" s="169"/>
      <c r="BB23" s="169"/>
      <c r="BC23" s="169"/>
      <c r="BD23" s="169"/>
      <c r="BE23" s="169"/>
      <c r="BF23" s="169"/>
      <c r="BG23" s="169"/>
      <c r="BH23" s="169"/>
      <c r="BI23" s="169"/>
      <c r="BJ23" s="169"/>
      <c r="BK23" s="169"/>
      <c r="BL23" s="169"/>
      <c r="BM23" s="169"/>
      <c r="BN23" s="169"/>
      <c r="BO23" s="169"/>
      <c r="BP23" s="169"/>
      <c r="BQ23" s="169"/>
      <c r="BR23" s="169"/>
      <c r="BS23" s="169"/>
      <c r="BT23" s="169"/>
      <c r="BU23" s="170"/>
      <c r="BV23" s="170"/>
      <c r="BW23" s="170"/>
    </row>
    <row r="24" spans="2:75" s="86" customFormat="1">
      <c r="B24" s="87"/>
      <c r="C24" s="87"/>
      <c r="D24" s="87"/>
      <c r="I24" s="88"/>
      <c r="J24" s="88"/>
      <c r="K24" s="88"/>
      <c r="L24" s="88"/>
      <c r="M24" s="88"/>
      <c r="Q24" s="89"/>
      <c r="S24" s="90"/>
      <c r="U24" s="91"/>
      <c r="V24" s="91"/>
      <c r="W24" s="91"/>
      <c r="X24" s="91"/>
      <c r="Y24" s="91"/>
      <c r="Z24" s="91"/>
      <c r="AA24" s="91"/>
      <c r="AB24" s="91"/>
      <c r="AC24" s="91"/>
      <c r="AD24" s="91"/>
      <c r="AE24" s="91"/>
      <c r="AF24" s="91"/>
      <c r="AG24" s="91"/>
      <c r="AH24" s="91"/>
      <c r="AI24" s="91"/>
      <c r="AJ24" s="91"/>
      <c r="AK24" s="91"/>
      <c r="AL24" s="91"/>
      <c r="AM24" s="91"/>
      <c r="AN24" s="91"/>
      <c r="AO24" s="91"/>
      <c r="AP24" s="91"/>
      <c r="AQ24" s="91"/>
      <c r="AR24" s="91"/>
      <c r="AS24" s="91"/>
      <c r="AT24" s="91"/>
      <c r="AU24" s="91"/>
      <c r="AV24" s="169"/>
      <c r="AW24" s="169"/>
      <c r="AX24" s="169"/>
      <c r="AY24" s="169"/>
      <c r="AZ24" s="169"/>
      <c r="BA24" s="169"/>
      <c r="BB24" s="169"/>
      <c r="BC24" s="169"/>
      <c r="BD24" s="169"/>
      <c r="BE24" s="169"/>
      <c r="BF24" s="169"/>
      <c r="BG24" s="169"/>
      <c r="BH24" s="169"/>
      <c r="BI24" s="169"/>
      <c r="BJ24" s="169"/>
      <c r="BK24" s="169"/>
      <c r="BL24" s="169"/>
      <c r="BM24" s="169"/>
      <c r="BN24" s="169"/>
      <c r="BO24" s="169"/>
      <c r="BP24" s="169"/>
      <c r="BQ24" s="169"/>
      <c r="BR24" s="169"/>
      <c r="BS24" s="169"/>
      <c r="BT24" s="169"/>
      <c r="BU24" s="170"/>
      <c r="BV24" s="170"/>
      <c r="BW24" s="170"/>
    </row>
    <row r="25" spans="2:75" s="86" customFormat="1">
      <c r="B25" s="87"/>
      <c r="C25" s="87"/>
      <c r="D25" s="87"/>
      <c r="I25" s="88"/>
      <c r="J25" s="88"/>
      <c r="K25" s="88"/>
      <c r="L25" s="88"/>
      <c r="M25" s="88"/>
      <c r="Q25" s="89"/>
      <c r="S25" s="90"/>
      <c r="U25" s="91"/>
      <c r="V25" s="91"/>
      <c r="W25" s="91"/>
      <c r="X25" s="91"/>
      <c r="Y25" s="91"/>
      <c r="Z25" s="91"/>
      <c r="AA25" s="91"/>
      <c r="AB25" s="91"/>
      <c r="AC25" s="91"/>
      <c r="AD25" s="91"/>
      <c r="AE25" s="91"/>
      <c r="AF25" s="91"/>
      <c r="AG25" s="91"/>
      <c r="AH25" s="91"/>
      <c r="AI25" s="91"/>
      <c r="AJ25" s="91"/>
      <c r="AK25" s="91"/>
      <c r="AL25" s="91"/>
      <c r="AM25" s="91"/>
      <c r="AN25" s="91"/>
      <c r="AO25" s="91"/>
      <c r="AP25" s="91"/>
      <c r="AQ25" s="91"/>
      <c r="AR25" s="91"/>
      <c r="AS25" s="91"/>
      <c r="AT25" s="91"/>
      <c r="AU25" s="91"/>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70"/>
      <c r="BV25" s="170"/>
      <c r="BW25" s="170"/>
    </row>
    <row r="26" spans="2:75" s="86" customFormat="1">
      <c r="B26" s="87"/>
      <c r="C26" s="87"/>
      <c r="D26" s="87"/>
      <c r="I26" s="88"/>
      <c r="J26" s="88"/>
      <c r="K26" s="88"/>
      <c r="L26" s="88"/>
      <c r="M26" s="88"/>
      <c r="Q26" s="89"/>
      <c r="S26" s="90"/>
      <c r="U26" s="91"/>
      <c r="V26" s="91"/>
      <c r="W26" s="91"/>
      <c r="X26" s="91"/>
      <c r="Y26" s="91"/>
      <c r="Z26" s="91"/>
      <c r="AA26" s="91"/>
      <c r="AB26" s="91"/>
      <c r="AC26" s="91"/>
      <c r="AD26" s="91"/>
      <c r="AE26" s="91"/>
      <c r="AF26" s="91"/>
      <c r="AG26" s="91"/>
      <c r="AH26" s="91"/>
      <c r="AI26" s="91"/>
      <c r="AJ26" s="91"/>
      <c r="AK26" s="91"/>
      <c r="AL26" s="91"/>
      <c r="AM26" s="91"/>
      <c r="AN26" s="91"/>
      <c r="AO26" s="91"/>
      <c r="AP26" s="91"/>
      <c r="AQ26" s="91"/>
      <c r="AR26" s="91"/>
      <c r="AS26" s="91"/>
      <c r="AT26" s="91"/>
      <c r="AU26" s="91"/>
      <c r="AV26" s="169"/>
      <c r="AW26" s="169"/>
      <c r="AX26" s="169"/>
      <c r="AY26" s="169"/>
      <c r="AZ26" s="169"/>
      <c r="BA26" s="169"/>
      <c r="BB26" s="169"/>
      <c r="BC26" s="169"/>
      <c r="BD26" s="169"/>
      <c r="BE26" s="169"/>
      <c r="BF26" s="169"/>
      <c r="BG26" s="169"/>
      <c r="BH26" s="169"/>
      <c r="BI26" s="169"/>
      <c r="BJ26" s="169"/>
      <c r="BK26" s="169"/>
      <c r="BL26" s="169"/>
      <c r="BM26" s="169"/>
      <c r="BN26" s="169"/>
      <c r="BO26" s="169"/>
      <c r="BP26" s="169"/>
      <c r="BQ26" s="169"/>
      <c r="BR26" s="169"/>
      <c r="BS26" s="169"/>
      <c r="BT26" s="169"/>
      <c r="BU26" s="170"/>
      <c r="BV26" s="170"/>
      <c r="BW26" s="170"/>
    </row>
    <row r="27" spans="2:75" s="86" customFormat="1">
      <c r="B27" s="87"/>
      <c r="C27" s="87"/>
      <c r="D27" s="87"/>
      <c r="I27" s="88"/>
      <c r="J27" s="88"/>
      <c r="K27" s="88"/>
      <c r="L27" s="88"/>
      <c r="M27" s="88"/>
      <c r="Q27" s="89"/>
      <c r="S27" s="90"/>
      <c r="U27" s="91"/>
      <c r="V27" s="91"/>
      <c r="W27" s="91"/>
      <c r="X27" s="91"/>
      <c r="Y27" s="91"/>
      <c r="Z27" s="91"/>
      <c r="AA27" s="91"/>
      <c r="AB27" s="91"/>
      <c r="AC27" s="91"/>
      <c r="AD27" s="91"/>
      <c r="AE27" s="91"/>
      <c r="AF27" s="91"/>
      <c r="AG27" s="91"/>
      <c r="AH27" s="91"/>
      <c r="AI27" s="91"/>
      <c r="AJ27" s="91"/>
      <c r="AK27" s="91"/>
      <c r="AL27" s="91"/>
      <c r="AM27" s="91"/>
      <c r="AN27" s="91"/>
      <c r="AO27" s="91"/>
      <c r="AP27" s="91"/>
      <c r="AQ27" s="91"/>
      <c r="AR27" s="91"/>
      <c r="AS27" s="91"/>
      <c r="AT27" s="91"/>
      <c r="AU27" s="91"/>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70"/>
      <c r="BV27" s="170"/>
      <c r="BW27" s="170"/>
    </row>
    <row r="28" spans="2:75" s="86" customFormat="1">
      <c r="B28" s="87"/>
      <c r="C28" s="87"/>
      <c r="D28" s="87"/>
      <c r="I28" s="88"/>
      <c r="J28" s="88"/>
      <c r="K28" s="88"/>
      <c r="L28" s="88"/>
      <c r="M28" s="88"/>
      <c r="Q28" s="89"/>
      <c r="S28" s="90"/>
      <c r="U28" s="91"/>
      <c r="V28" s="91"/>
      <c r="W28" s="91"/>
      <c r="X28" s="91"/>
      <c r="Y28" s="91"/>
      <c r="Z28" s="91"/>
      <c r="AA28" s="91"/>
      <c r="AB28" s="91"/>
      <c r="AC28" s="91"/>
      <c r="AD28" s="91"/>
      <c r="AE28" s="91"/>
      <c r="AF28" s="91"/>
      <c r="AG28" s="91"/>
      <c r="AH28" s="91"/>
      <c r="AI28" s="91"/>
      <c r="AJ28" s="91"/>
      <c r="AK28" s="91"/>
      <c r="AL28" s="91"/>
      <c r="AM28" s="91"/>
      <c r="AN28" s="91"/>
      <c r="AO28" s="91"/>
      <c r="AP28" s="91"/>
      <c r="AQ28" s="91"/>
      <c r="AR28" s="91"/>
      <c r="AS28" s="91"/>
      <c r="AT28" s="91"/>
      <c r="AU28" s="91"/>
      <c r="AV28" s="169"/>
      <c r="AW28" s="169"/>
      <c r="AX28" s="169"/>
      <c r="AY28" s="169"/>
      <c r="AZ28" s="169"/>
      <c r="BA28" s="169"/>
      <c r="BB28" s="169"/>
      <c r="BC28" s="169"/>
      <c r="BD28" s="169"/>
      <c r="BE28" s="169"/>
      <c r="BF28" s="169"/>
      <c r="BG28" s="169"/>
      <c r="BH28" s="169"/>
      <c r="BI28" s="169"/>
      <c r="BJ28" s="169"/>
      <c r="BK28" s="169"/>
      <c r="BL28" s="169"/>
      <c r="BM28" s="169"/>
      <c r="BN28" s="169"/>
      <c r="BO28" s="169"/>
      <c r="BP28" s="169"/>
      <c r="BQ28" s="169"/>
      <c r="BR28" s="169"/>
      <c r="BS28" s="169"/>
      <c r="BT28" s="169"/>
      <c r="BU28" s="170"/>
      <c r="BV28" s="170"/>
      <c r="BW28" s="170"/>
    </row>
    <row r="29" spans="2:75" s="86" customFormat="1">
      <c r="B29" s="87"/>
      <c r="C29" s="87"/>
      <c r="D29" s="87"/>
      <c r="I29" s="88"/>
      <c r="J29" s="88"/>
      <c r="K29" s="88"/>
      <c r="L29" s="88"/>
      <c r="M29" s="88"/>
      <c r="Q29" s="89"/>
      <c r="S29" s="90"/>
      <c r="U29" s="91"/>
      <c r="V29" s="91"/>
      <c r="W29" s="91"/>
      <c r="X29" s="91"/>
      <c r="Y29" s="91"/>
      <c r="Z29" s="91"/>
      <c r="AA29" s="91"/>
      <c r="AB29" s="91"/>
      <c r="AC29" s="91"/>
      <c r="AD29" s="91"/>
      <c r="AE29" s="91"/>
      <c r="AF29" s="91"/>
      <c r="AG29" s="91"/>
      <c r="AH29" s="91"/>
      <c r="AI29" s="91"/>
      <c r="AJ29" s="91"/>
      <c r="AK29" s="91"/>
      <c r="AL29" s="91"/>
      <c r="AM29" s="91"/>
      <c r="AN29" s="91"/>
      <c r="AO29" s="91"/>
      <c r="AP29" s="91"/>
      <c r="AQ29" s="91"/>
      <c r="AR29" s="91"/>
      <c r="AS29" s="91"/>
      <c r="AT29" s="91"/>
      <c r="AU29" s="91"/>
      <c r="AV29" s="169"/>
      <c r="AW29" s="169"/>
      <c r="AX29" s="169"/>
      <c r="AY29" s="169"/>
      <c r="AZ29" s="169"/>
      <c r="BA29" s="169"/>
      <c r="BB29" s="169"/>
      <c r="BC29" s="169"/>
      <c r="BD29" s="169"/>
      <c r="BE29" s="169"/>
      <c r="BF29" s="169"/>
      <c r="BG29" s="169"/>
      <c r="BH29" s="169"/>
      <c r="BI29" s="169"/>
      <c r="BJ29" s="169"/>
      <c r="BK29" s="169"/>
      <c r="BL29" s="169"/>
      <c r="BM29" s="169"/>
      <c r="BN29" s="169"/>
      <c r="BO29" s="169"/>
      <c r="BP29" s="169"/>
      <c r="BQ29" s="169"/>
      <c r="BR29" s="169"/>
      <c r="BS29" s="169"/>
      <c r="BT29" s="169"/>
      <c r="BU29" s="170"/>
      <c r="BV29" s="170"/>
      <c r="BW29" s="170"/>
    </row>
    <row r="30" spans="2:75" s="86" customFormat="1">
      <c r="B30" s="87"/>
      <c r="C30" s="87"/>
      <c r="D30" s="87"/>
      <c r="I30" s="88"/>
      <c r="J30" s="88"/>
      <c r="K30" s="88"/>
      <c r="L30" s="88"/>
      <c r="M30" s="88"/>
      <c r="Q30" s="89"/>
      <c r="S30" s="90"/>
      <c r="U30" s="91"/>
      <c r="V30" s="91"/>
      <c r="W30" s="91"/>
      <c r="X30" s="91"/>
      <c r="Y30" s="91"/>
      <c r="Z30" s="91"/>
      <c r="AA30" s="91"/>
      <c r="AB30" s="91"/>
      <c r="AC30" s="91"/>
      <c r="AD30" s="91"/>
      <c r="AE30" s="91"/>
      <c r="AF30" s="91"/>
      <c r="AG30" s="91"/>
      <c r="AH30" s="91"/>
      <c r="AI30" s="91"/>
      <c r="AJ30" s="91"/>
      <c r="AK30" s="91"/>
      <c r="AL30" s="91"/>
      <c r="AM30" s="91"/>
      <c r="AN30" s="91"/>
      <c r="AO30" s="91"/>
      <c r="AP30" s="91"/>
      <c r="AQ30" s="91"/>
      <c r="AR30" s="91"/>
      <c r="AS30" s="91"/>
      <c r="AT30" s="91"/>
      <c r="AU30" s="91"/>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70"/>
      <c r="BV30" s="170"/>
      <c r="BW30" s="170"/>
    </row>
    <row r="31" spans="2:75" s="86" customFormat="1">
      <c r="B31" s="87"/>
      <c r="C31" s="87"/>
      <c r="D31" s="87"/>
      <c r="I31" s="88"/>
      <c r="J31" s="88"/>
      <c r="K31" s="88"/>
      <c r="L31" s="88"/>
      <c r="M31" s="88"/>
      <c r="Q31" s="89"/>
      <c r="S31" s="90"/>
      <c r="U31" s="91"/>
      <c r="V31" s="91"/>
      <c r="W31" s="91"/>
      <c r="X31" s="91"/>
      <c r="Y31" s="91"/>
      <c r="Z31" s="91"/>
      <c r="AA31" s="91"/>
      <c r="AB31" s="91"/>
      <c r="AC31" s="91"/>
      <c r="AD31" s="91"/>
      <c r="AE31" s="91"/>
      <c r="AF31" s="91"/>
      <c r="AG31" s="91"/>
      <c r="AH31" s="91"/>
      <c r="AI31" s="91"/>
      <c r="AJ31" s="91"/>
      <c r="AK31" s="91"/>
      <c r="AL31" s="91"/>
      <c r="AM31" s="91"/>
      <c r="AN31" s="91"/>
      <c r="AO31" s="91"/>
      <c r="AP31" s="91"/>
      <c r="AQ31" s="91"/>
      <c r="AR31" s="91"/>
      <c r="AS31" s="91"/>
      <c r="AT31" s="91"/>
      <c r="AU31" s="91"/>
      <c r="AV31" s="169"/>
      <c r="AW31" s="169"/>
      <c r="AX31" s="169"/>
      <c r="AY31" s="169"/>
      <c r="AZ31" s="169"/>
      <c r="BA31" s="169"/>
      <c r="BB31" s="169"/>
      <c r="BC31" s="169"/>
      <c r="BD31" s="169"/>
      <c r="BE31" s="169"/>
      <c r="BF31" s="169"/>
      <c r="BG31" s="169"/>
      <c r="BH31" s="169"/>
      <c r="BI31" s="169"/>
      <c r="BJ31" s="169"/>
      <c r="BK31" s="169"/>
      <c r="BL31" s="169"/>
      <c r="BM31" s="169"/>
      <c r="BN31" s="169"/>
      <c r="BO31" s="169"/>
      <c r="BP31" s="169"/>
      <c r="BQ31" s="169"/>
      <c r="BR31" s="169"/>
      <c r="BS31" s="169"/>
      <c r="BT31" s="169"/>
      <c r="BU31" s="170"/>
      <c r="BV31" s="170"/>
      <c r="BW31" s="170"/>
    </row>
    <row r="32" spans="2:75" s="86" customFormat="1">
      <c r="B32" s="87"/>
      <c r="C32" s="87"/>
      <c r="D32" s="87"/>
      <c r="I32" s="88"/>
      <c r="J32" s="88"/>
      <c r="K32" s="88"/>
      <c r="L32" s="88"/>
      <c r="M32" s="88"/>
      <c r="Q32" s="89"/>
      <c r="S32" s="90"/>
      <c r="U32" s="91"/>
      <c r="V32" s="91"/>
      <c r="W32" s="91"/>
      <c r="X32" s="91"/>
      <c r="Y32" s="91"/>
      <c r="Z32" s="91"/>
      <c r="AA32" s="91"/>
      <c r="AB32" s="91"/>
      <c r="AC32" s="91"/>
      <c r="AD32" s="91"/>
      <c r="AE32" s="91"/>
      <c r="AF32" s="91"/>
      <c r="AG32" s="91"/>
      <c r="AH32" s="91"/>
      <c r="AI32" s="91"/>
      <c r="AJ32" s="91"/>
      <c r="AK32" s="91"/>
      <c r="AL32" s="91"/>
      <c r="AM32" s="91"/>
      <c r="AN32" s="91"/>
      <c r="AO32" s="91"/>
      <c r="AP32" s="91"/>
      <c r="AQ32" s="91"/>
      <c r="AR32" s="91"/>
      <c r="AS32" s="91"/>
      <c r="AT32" s="91"/>
      <c r="AU32" s="91"/>
      <c r="AV32" s="169"/>
      <c r="AW32" s="169"/>
      <c r="AX32" s="169"/>
      <c r="AY32" s="169"/>
      <c r="AZ32" s="169"/>
      <c r="BA32" s="169"/>
      <c r="BB32" s="169"/>
      <c r="BC32" s="169"/>
      <c r="BD32" s="169"/>
      <c r="BE32" s="169"/>
      <c r="BF32" s="169"/>
      <c r="BG32" s="169"/>
      <c r="BH32" s="169"/>
      <c r="BI32" s="169"/>
      <c r="BJ32" s="169"/>
      <c r="BK32" s="169"/>
      <c r="BL32" s="169"/>
      <c r="BM32" s="169"/>
      <c r="BN32" s="169"/>
      <c r="BO32" s="169"/>
      <c r="BP32" s="169"/>
      <c r="BQ32" s="169"/>
      <c r="BR32" s="169"/>
      <c r="BS32" s="169"/>
      <c r="BT32" s="169"/>
      <c r="BU32" s="170"/>
      <c r="BV32" s="170"/>
      <c r="BW32" s="170"/>
    </row>
    <row r="33" spans="2:75" s="86" customFormat="1">
      <c r="B33" s="87"/>
      <c r="C33" s="87"/>
      <c r="D33" s="87"/>
      <c r="I33" s="88"/>
      <c r="J33" s="88"/>
      <c r="K33" s="88"/>
      <c r="L33" s="88"/>
      <c r="M33" s="88"/>
      <c r="Q33" s="89"/>
      <c r="S33" s="90"/>
      <c r="U33" s="91"/>
      <c r="V33" s="91"/>
      <c r="W33" s="91"/>
      <c r="X33" s="91"/>
      <c r="Y33" s="91"/>
      <c r="Z33" s="91"/>
      <c r="AA33" s="91"/>
      <c r="AB33" s="91"/>
      <c r="AC33" s="91"/>
      <c r="AD33" s="91"/>
      <c r="AE33" s="91"/>
      <c r="AF33" s="91"/>
      <c r="AG33" s="91"/>
      <c r="AH33" s="91"/>
      <c r="AI33" s="91"/>
      <c r="AJ33" s="91"/>
      <c r="AK33" s="91"/>
      <c r="AL33" s="91"/>
      <c r="AM33" s="91"/>
      <c r="AN33" s="91"/>
      <c r="AO33" s="91"/>
      <c r="AP33" s="91"/>
      <c r="AQ33" s="91"/>
      <c r="AR33" s="91"/>
      <c r="AS33" s="91"/>
      <c r="AT33" s="91"/>
      <c r="AU33" s="91"/>
      <c r="AV33" s="169"/>
      <c r="AW33" s="169"/>
      <c r="AX33" s="169"/>
      <c r="AY33" s="169"/>
      <c r="AZ33" s="169"/>
      <c r="BA33" s="169"/>
      <c r="BB33" s="169"/>
      <c r="BC33" s="169"/>
      <c r="BD33" s="169"/>
      <c r="BE33" s="169"/>
      <c r="BF33" s="169"/>
      <c r="BG33" s="169"/>
      <c r="BH33" s="169"/>
      <c r="BI33" s="169"/>
      <c r="BJ33" s="169"/>
      <c r="BK33" s="169"/>
      <c r="BL33" s="169"/>
      <c r="BM33" s="169"/>
      <c r="BN33" s="169"/>
      <c r="BO33" s="169"/>
      <c r="BP33" s="169"/>
      <c r="BQ33" s="169"/>
      <c r="BR33" s="169"/>
      <c r="BS33" s="169"/>
      <c r="BT33" s="169"/>
      <c r="BU33" s="170"/>
      <c r="BV33" s="170"/>
      <c r="BW33" s="170"/>
    </row>
    <row r="34" spans="2:75" s="86" customFormat="1">
      <c r="B34" s="87"/>
      <c r="C34" s="87"/>
      <c r="D34" s="87"/>
      <c r="I34" s="88"/>
      <c r="J34" s="88"/>
      <c r="K34" s="88"/>
      <c r="L34" s="88"/>
      <c r="M34" s="88"/>
      <c r="Q34" s="89"/>
      <c r="S34" s="90"/>
      <c r="U34" s="91"/>
      <c r="V34" s="91"/>
      <c r="W34" s="91"/>
      <c r="X34" s="91"/>
      <c r="Y34" s="91"/>
      <c r="Z34" s="91"/>
      <c r="AA34" s="91"/>
      <c r="AB34" s="91"/>
      <c r="AC34" s="91"/>
      <c r="AD34" s="91"/>
      <c r="AE34" s="91"/>
      <c r="AF34" s="91"/>
      <c r="AG34" s="91"/>
      <c r="AH34" s="91"/>
      <c r="AI34" s="91"/>
      <c r="AJ34" s="91"/>
      <c r="AK34" s="91"/>
      <c r="AL34" s="91"/>
      <c r="AM34" s="91"/>
      <c r="AN34" s="91"/>
      <c r="AO34" s="91"/>
      <c r="AP34" s="91"/>
      <c r="AQ34" s="91"/>
      <c r="AR34" s="91"/>
      <c r="AS34" s="91"/>
      <c r="AT34" s="91"/>
      <c r="AU34" s="91"/>
      <c r="AV34" s="169"/>
      <c r="AW34" s="169"/>
      <c r="AX34" s="169"/>
      <c r="AY34" s="169"/>
      <c r="AZ34" s="169"/>
      <c r="BA34" s="169"/>
      <c r="BB34" s="169"/>
      <c r="BC34" s="169"/>
      <c r="BD34" s="169"/>
      <c r="BE34" s="169"/>
      <c r="BF34" s="169"/>
      <c r="BG34" s="169"/>
      <c r="BH34" s="169"/>
      <c r="BI34" s="169"/>
      <c r="BJ34" s="169"/>
      <c r="BK34" s="169"/>
      <c r="BL34" s="169"/>
      <c r="BM34" s="169"/>
      <c r="BN34" s="169"/>
      <c r="BO34" s="169"/>
      <c r="BP34" s="169"/>
      <c r="BQ34" s="169"/>
      <c r="BR34" s="169"/>
      <c r="BS34" s="169"/>
      <c r="BT34" s="169"/>
      <c r="BU34" s="170"/>
      <c r="BV34" s="170"/>
      <c r="BW34" s="170"/>
    </row>
    <row r="35" spans="2:75" s="86" customFormat="1">
      <c r="B35" s="87"/>
      <c r="C35" s="87"/>
      <c r="D35" s="87"/>
      <c r="I35" s="88"/>
      <c r="J35" s="88"/>
      <c r="K35" s="88"/>
      <c r="L35" s="88"/>
      <c r="M35" s="88"/>
      <c r="Q35" s="89"/>
      <c r="S35" s="90"/>
      <c r="U35" s="91"/>
      <c r="V35" s="91"/>
      <c r="W35" s="91"/>
      <c r="X35" s="91"/>
      <c r="Y35" s="91"/>
      <c r="Z35" s="91"/>
      <c r="AA35" s="91"/>
      <c r="AB35" s="91"/>
      <c r="AC35" s="91"/>
      <c r="AD35" s="91"/>
      <c r="AE35" s="91"/>
      <c r="AF35" s="91"/>
      <c r="AG35" s="91"/>
      <c r="AH35" s="91"/>
      <c r="AI35" s="91"/>
      <c r="AJ35" s="91"/>
      <c r="AK35" s="91"/>
      <c r="AL35" s="91"/>
      <c r="AM35" s="91"/>
      <c r="AN35" s="91"/>
      <c r="AO35" s="91"/>
      <c r="AP35" s="91"/>
      <c r="AQ35" s="91"/>
      <c r="AR35" s="91"/>
      <c r="AS35" s="91"/>
      <c r="AT35" s="91"/>
      <c r="AU35" s="91"/>
      <c r="AV35" s="169"/>
      <c r="AW35" s="169"/>
      <c r="AX35" s="169"/>
      <c r="AY35" s="169"/>
      <c r="AZ35" s="169"/>
      <c r="BA35" s="169"/>
      <c r="BB35" s="169"/>
      <c r="BC35" s="169"/>
      <c r="BD35" s="169"/>
      <c r="BE35" s="169"/>
      <c r="BF35" s="169"/>
      <c r="BG35" s="169"/>
      <c r="BH35" s="169"/>
      <c r="BI35" s="169"/>
      <c r="BJ35" s="169"/>
      <c r="BK35" s="169"/>
      <c r="BL35" s="169"/>
      <c r="BM35" s="169"/>
      <c r="BN35" s="169"/>
      <c r="BO35" s="169"/>
      <c r="BP35" s="169"/>
      <c r="BQ35" s="169"/>
      <c r="BR35" s="169"/>
      <c r="BS35" s="169"/>
      <c r="BT35" s="169"/>
      <c r="BU35" s="170"/>
      <c r="BV35" s="170"/>
      <c r="BW35" s="170"/>
    </row>
    <row r="36" spans="2:75" s="86" customFormat="1">
      <c r="B36" s="87"/>
      <c r="C36" s="87"/>
      <c r="D36" s="87"/>
      <c r="I36" s="88"/>
      <c r="J36" s="88"/>
      <c r="K36" s="88"/>
      <c r="L36" s="88"/>
      <c r="M36" s="88"/>
      <c r="Q36" s="89"/>
      <c r="S36" s="90"/>
      <c r="U36" s="91"/>
      <c r="V36" s="91"/>
      <c r="W36" s="91"/>
      <c r="X36" s="91"/>
      <c r="Y36" s="91"/>
      <c r="Z36" s="91"/>
      <c r="AA36" s="91"/>
      <c r="AB36" s="91"/>
      <c r="AC36" s="91"/>
      <c r="AD36" s="91"/>
      <c r="AE36" s="91"/>
      <c r="AF36" s="91"/>
      <c r="AG36" s="91"/>
      <c r="AH36" s="91"/>
      <c r="AI36" s="91"/>
      <c r="AJ36" s="91"/>
      <c r="AK36" s="91"/>
      <c r="AL36" s="91"/>
      <c r="AM36" s="91"/>
      <c r="AN36" s="91"/>
      <c r="AO36" s="91"/>
      <c r="AP36" s="91"/>
      <c r="AQ36" s="91"/>
      <c r="AR36" s="91"/>
      <c r="AS36" s="91"/>
      <c r="AT36" s="91"/>
      <c r="AU36" s="91"/>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70"/>
      <c r="BV36" s="170"/>
      <c r="BW36" s="170"/>
    </row>
    <row r="37" spans="2:75" s="86" customFormat="1">
      <c r="B37" s="87"/>
      <c r="C37" s="87"/>
      <c r="D37" s="87"/>
      <c r="I37" s="88"/>
      <c r="J37" s="88"/>
      <c r="K37" s="88"/>
      <c r="L37" s="88"/>
      <c r="M37" s="88"/>
      <c r="Q37" s="89"/>
      <c r="S37" s="90"/>
      <c r="U37" s="91"/>
      <c r="V37" s="91"/>
      <c r="W37" s="91"/>
      <c r="X37" s="91"/>
      <c r="Y37" s="91"/>
      <c r="Z37" s="91"/>
      <c r="AA37" s="91"/>
      <c r="AB37" s="91"/>
      <c r="AC37" s="91"/>
      <c r="AD37" s="91"/>
      <c r="AE37" s="91"/>
      <c r="AF37" s="91"/>
      <c r="AG37" s="91"/>
      <c r="AH37" s="91"/>
      <c r="AI37" s="91"/>
      <c r="AJ37" s="91"/>
      <c r="AK37" s="91"/>
      <c r="AL37" s="91"/>
      <c r="AM37" s="91"/>
      <c r="AN37" s="91"/>
      <c r="AO37" s="91"/>
      <c r="AP37" s="91"/>
      <c r="AQ37" s="91"/>
      <c r="AR37" s="91"/>
      <c r="AS37" s="91"/>
      <c r="AT37" s="91"/>
      <c r="AU37" s="91"/>
      <c r="AV37" s="169"/>
      <c r="AW37" s="169"/>
      <c r="AX37" s="169"/>
      <c r="AY37" s="169"/>
      <c r="AZ37" s="169"/>
      <c r="BA37" s="169"/>
      <c r="BB37" s="169"/>
      <c r="BC37" s="169"/>
      <c r="BD37" s="169"/>
      <c r="BE37" s="169"/>
      <c r="BF37" s="169"/>
      <c r="BG37" s="169"/>
      <c r="BH37" s="169"/>
      <c r="BI37" s="169"/>
      <c r="BJ37" s="169"/>
      <c r="BK37" s="169"/>
      <c r="BL37" s="169"/>
      <c r="BM37" s="169"/>
      <c r="BN37" s="169"/>
      <c r="BO37" s="169"/>
      <c r="BP37" s="169"/>
      <c r="BQ37" s="169"/>
      <c r="BR37" s="169"/>
      <c r="BS37" s="169"/>
      <c r="BT37" s="169"/>
      <c r="BU37" s="170"/>
      <c r="BV37" s="170"/>
      <c r="BW37" s="170"/>
    </row>
    <row r="38" spans="2:75" s="86" customFormat="1">
      <c r="B38" s="87"/>
      <c r="C38" s="87"/>
      <c r="D38" s="87"/>
      <c r="I38" s="88"/>
      <c r="J38" s="88"/>
      <c r="K38" s="88"/>
      <c r="L38" s="88"/>
      <c r="M38" s="88"/>
      <c r="Q38" s="89"/>
      <c r="S38" s="90"/>
      <c r="U38" s="91"/>
      <c r="V38" s="91"/>
      <c r="W38" s="91"/>
      <c r="X38" s="91"/>
      <c r="Y38" s="91"/>
      <c r="Z38" s="91"/>
      <c r="AA38" s="91"/>
      <c r="AB38" s="91"/>
      <c r="AC38" s="91"/>
      <c r="AD38" s="91"/>
      <c r="AE38" s="91"/>
      <c r="AF38" s="91"/>
      <c r="AG38" s="91"/>
      <c r="AH38" s="91"/>
      <c r="AI38" s="91"/>
      <c r="AJ38" s="91"/>
      <c r="AK38" s="91"/>
      <c r="AL38" s="91"/>
      <c r="AM38" s="91"/>
      <c r="AN38" s="91"/>
      <c r="AO38" s="91"/>
      <c r="AP38" s="91"/>
      <c r="AQ38" s="91"/>
      <c r="AR38" s="91"/>
      <c r="AS38" s="91"/>
      <c r="AT38" s="91"/>
      <c r="AU38" s="91"/>
      <c r="AV38" s="169"/>
      <c r="AW38" s="169"/>
      <c r="AX38" s="169"/>
      <c r="AY38" s="169"/>
      <c r="AZ38" s="169"/>
      <c r="BA38" s="169"/>
      <c r="BB38" s="169"/>
      <c r="BC38" s="169"/>
      <c r="BD38" s="169"/>
      <c r="BE38" s="169"/>
      <c r="BF38" s="169"/>
      <c r="BG38" s="169"/>
      <c r="BH38" s="169"/>
      <c r="BI38" s="169"/>
      <c r="BJ38" s="169"/>
      <c r="BK38" s="169"/>
      <c r="BL38" s="169"/>
      <c r="BM38" s="169"/>
      <c r="BN38" s="169"/>
      <c r="BO38" s="169"/>
      <c r="BP38" s="169"/>
      <c r="BQ38" s="169"/>
      <c r="BR38" s="169"/>
      <c r="BS38" s="169"/>
      <c r="BT38" s="169"/>
      <c r="BU38" s="170"/>
      <c r="BV38" s="170"/>
      <c r="BW38" s="170"/>
    </row>
    <row r="39" spans="2:75" s="86" customFormat="1">
      <c r="B39" s="87"/>
      <c r="C39" s="87"/>
      <c r="D39" s="87"/>
      <c r="I39" s="88"/>
      <c r="J39" s="88"/>
      <c r="K39" s="88"/>
      <c r="L39" s="88"/>
      <c r="M39" s="88"/>
      <c r="Q39" s="89"/>
      <c r="S39" s="90"/>
      <c r="U39" s="91"/>
      <c r="V39" s="91"/>
      <c r="W39" s="91"/>
      <c r="X39" s="91"/>
      <c r="Y39" s="91"/>
      <c r="Z39" s="91"/>
      <c r="AA39" s="91"/>
      <c r="AB39" s="91"/>
      <c r="AC39" s="91"/>
      <c r="AD39" s="91"/>
      <c r="AE39" s="91"/>
      <c r="AF39" s="91"/>
      <c r="AG39" s="91"/>
      <c r="AH39" s="91"/>
      <c r="AI39" s="91"/>
      <c r="AJ39" s="91"/>
      <c r="AK39" s="91"/>
      <c r="AL39" s="91"/>
      <c r="AM39" s="91"/>
      <c r="AN39" s="91"/>
      <c r="AO39" s="91"/>
      <c r="AP39" s="91"/>
      <c r="AQ39" s="91"/>
      <c r="AR39" s="91"/>
      <c r="AS39" s="91"/>
      <c r="AT39" s="91"/>
      <c r="AU39" s="91"/>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70"/>
      <c r="BV39" s="170"/>
      <c r="BW39" s="170"/>
    </row>
    <row r="40" spans="2:75" s="86" customFormat="1">
      <c r="B40" s="87"/>
      <c r="C40" s="87"/>
      <c r="D40" s="87"/>
      <c r="I40" s="88"/>
      <c r="J40" s="88"/>
      <c r="K40" s="88"/>
      <c r="L40" s="88"/>
      <c r="M40" s="88"/>
      <c r="Q40" s="89"/>
      <c r="S40" s="90"/>
      <c r="U40" s="91"/>
      <c r="V40" s="91"/>
      <c r="W40" s="91"/>
      <c r="X40" s="91"/>
      <c r="Y40" s="91"/>
      <c r="Z40" s="91"/>
      <c r="AA40" s="91"/>
      <c r="AB40" s="91"/>
      <c r="AC40" s="91"/>
      <c r="AD40" s="91"/>
      <c r="AE40" s="91"/>
      <c r="AF40" s="91"/>
      <c r="AG40" s="91"/>
      <c r="AH40" s="91"/>
      <c r="AI40" s="91"/>
      <c r="AJ40" s="91"/>
      <c r="AK40" s="91"/>
      <c r="AL40" s="91"/>
      <c r="AM40" s="91"/>
      <c r="AN40" s="91"/>
      <c r="AO40" s="91"/>
      <c r="AP40" s="91"/>
      <c r="AQ40" s="91"/>
      <c r="AR40" s="91"/>
      <c r="AS40" s="91"/>
      <c r="AT40" s="91"/>
      <c r="AU40" s="91"/>
      <c r="AV40" s="169"/>
      <c r="AW40" s="169"/>
      <c r="AX40" s="169"/>
      <c r="AY40" s="169"/>
      <c r="AZ40" s="169"/>
      <c r="BA40" s="169"/>
      <c r="BB40" s="169"/>
      <c r="BC40" s="169"/>
      <c r="BD40" s="169"/>
      <c r="BE40" s="169"/>
      <c r="BF40" s="169"/>
      <c r="BG40" s="169"/>
      <c r="BH40" s="169"/>
      <c r="BI40" s="169"/>
      <c r="BJ40" s="169"/>
      <c r="BK40" s="169"/>
      <c r="BL40" s="169"/>
      <c r="BM40" s="169"/>
      <c r="BN40" s="169"/>
      <c r="BO40" s="169"/>
      <c r="BP40" s="169"/>
      <c r="BQ40" s="169"/>
      <c r="BR40" s="169"/>
      <c r="BS40" s="169"/>
      <c r="BT40" s="169"/>
      <c r="BU40" s="170"/>
      <c r="BV40" s="170"/>
      <c r="BW40" s="170"/>
    </row>
    <row r="41" spans="2:75" s="86" customFormat="1">
      <c r="B41" s="87"/>
      <c r="C41" s="87"/>
      <c r="D41" s="87"/>
      <c r="I41" s="88"/>
      <c r="J41" s="88"/>
      <c r="K41" s="88"/>
      <c r="L41" s="88"/>
      <c r="M41" s="88"/>
      <c r="Q41" s="89"/>
      <c r="S41" s="90"/>
      <c r="U41" s="91"/>
      <c r="V41" s="91"/>
      <c r="W41" s="91"/>
      <c r="X41" s="91"/>
      <c r="Y41" s="91"/>
      <c r="Z41" s="91"/>
      <c r="AA41" s="91"/>
      <c r="AB41" s="91"/>
      <c r="AC41" s="91"/>
      <c r="AD41" s="91"/>
      <c r="AE41" s="91"/>
      <c r="AF41" s="91"/>
      <c r="AG41" s="91"/>
      <c r="AH41" s="91"/>
      <c r="AI41" s="91"/>
      <c r="AJ41" s="91"/>
      <c r="AK41" s="91"/>
      <c r="AL41" s="91"/>
      <c r="AM41" s="91"/>
      <c r="AN41" s="91"/>
      <c r="AO41" s="91"/>
      <c r="AP41" s="91"/>
      <c r="AQ41" s="91"/>
      <c r="AR41" s="91"/>
      <c r="AS41" s="91"/>
      <c r="AT41" s="91"/>
      <c r="AU41" s="91"/>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70"/>
      <c r="BV41" s="170"/>
      <c r="BW41" s="170"/>
    </row>
    <row r="42" spans="2:75" s="86" customFormat="1">
      <c r="B42" s="87"/>
      <c r="C42" s="87"/>
      <c r="D42" s="87"/>
      <c r="I42" s="88"/>
      <c r="J42" s="88"/>
      <c r="K42" s="88"/>
      <c r="L42" s="88"/>
      <c r="M42" s="88"/>
      <c r="Q42" s="89"/>
      <c r="S42" s="90"/>
      <c r="U42" s="91"/>
      <c r="V42" s="91"/>
      <c r="W42" s="91"/>
      <c r="X42" s="91"/>
      <c r="Y42" s="91"/>
      <c r="Z42" s="91"/>
      <c r="AA42" s="91"/>
      <c r="AB42" s="91"/>
      <c r="AC42" s="91"/>
      <c r="AD42" s="91"/>
      <c r="AE42" s="91"/>
      <c r="AF42" s="91"/>
      <c r="AG42" s="91"/>
      <c r="AH42" s="91"/>
      <c r="AI42" s="91"/>
      <c r="AJ42" s="91"/>
      <c r="AK42" s="91"/>
      <c r="AL42" s="91"/>
      <c r="AM42" s="91"/>
      <c r="AN42" s="91"/>
      <c r="AO42" s="91"/>
      <c r="AP42" s="91"/>
      <c r="AQ42" s="91"/>
      <c r="AR42" s="91"/>
      <c r="AS42" s="91"/>
      <c r="AT42" s="91"/>
      <c r="AU42" s="91"/>
      <c r="AV42" s="169"/>
      <c r="AW42" s="169"/>
      <c r="AX42" s="169"/>
      <c r="AY42" s="169"/>
      <c r="AZ42" s="169"/>
      <c r="BA42" s="169"/>
      <c r="BB42" s="169"/>
      <c r="BC42" s="169"/>
      <c r="BD42" s="169"/>
      <c r="BE42" s="169"/>
      <c r="BF42" s="169"/>
      <c r="BG42" s="169"/>
      <c r="BH42" s="169"/>
      <c r="BI42" s="169"/>
      <c r="BJ42" s="169"/>
      <c r="BK42" s="169"/>
      <c r="BL42" s="169"/>
      <c r="BM42" s="169"/>
      <c r="BN42" s="169"/>
      <c r="BO42" s="169"/>
      <c r="BP42" s="169"/>
      <c r="BQ42" s="169"/>
      <c r="BR42" s="169"/>
      <c r="BS42" s="169"/>
      <c r="BT42" s="169"/>
      <c r="BU42" s="170"/>
      <c r="BV42" s="170"/>
      <c r="BW42" s="170"/>
    </row>
    <row r="43" spans="2:75" s="86" customFormat="1">
      <c r="B43" s="87"/>
      <c r="C43" s="87"/>
      <c r="D43" s="87"/>
      <c r="I43" s="88"/>
      <c r="J43" s="88"/>
      <c r="K43" s="88"/>
      <c r="L43" s="88"/>
      <c r="M43" s="88"/>
      <c r="Q43" s="89"/>
      <c r="S43" s="90"/>
      <c r="U43" s="91"/>
      <c r="V43" s="91"/>
      <c r="W43" s="91"/>
      <c r="X43" s="91"/>
      <c r="Y43" s="91"/>
      <c r="Z43" s="91"/>
      <c r="AA43" s="91"/>
      <c r="AB43" s="91"/>
      <c r="AC43" s="91"/>
      <c r="AD43" s="91"/>
      <c r="AE43" s="91"/>
      <c r="AF43" s="91"/>
      <c r="AG43" s="91"/>
      <c r="AH43" s="91"/>
      <c r="AI43" s="91"/>
      <c r="AJ43" s="91"/>
      <c r="AK43" s="91"/>
      <c r="AL43" s="91"/>
      <c r="AM43" s="91"/>
      <c r="AN43" s="91"/>
      <c r="AO43" s="91"/>
      <c r="AP43" s="91"/>
      <c r="AQ43" s="91"/>
      <c r="AR43" s="91"/>
      <c r="AS43" s="91"/>
      <c r="AT43" s="91"/>
      <c r="AU43" s="91"/>
      <c r="AV43" s="169"/>
      <c r="AW43" s="169"/>
      <c r="AX43" s="169"/>
      <c r="AY43" s="169"/>
      <c r="AZ43" s="169"/>
      <c r="BA43" s="169"/>
      <c r="BB43" s="169"/>
      <c r="BC43" s="169"/>
      <c r="BD43" s="169"/>
      <c r="BE43" s="169"/>
      <c r="BF43" s="169"/>
      <c r="BG43" s="169"/>
      <c r="BH43" s="169"/>
      <c r="BI43" s="169"/>
      <c r="BJ43" s="169"/>
      <c r="BK43" s="169"/>
      <c r="BL43" s="169"/>
      <c r="BM43" s="169"/>
      <c r="BN43" s="169"/>
      <c r="BO43" s="169"/>
      <c r="BP43" s="169"/>
      <c r="BQ43" s="169"/>
      <c r="BR43" s="169"/>
      <c r="BS43" s="169"/>
      <c r="BT43" s="169"/>
      <c r="BU43" s="170"/>
      <c r="BV43" s="170"/>
      <c r="BW43" s="170"/>
    </row>
    <row r="44" spans="2:75" s="86" customFormat="1">
      <c r="B44" s="87"/>
      <c r="C44" s="87"/>
      <c r="D44" s="87"/>
      <c r="I44" s="88"/>
      <c r="J44" s="88"/>
      <c r="K44" s="88"/>
      <c r="L44" s="88"/>
      <c r="M44" s="88"/>
      <c r="Q44" s="89"/>
      <c r="S44" s="90"/>
      <c r="U44" s="91"/>
      <c r="V44" s="91"/>
      <c r="W44" s="91"/>
      <c r="X44" s="91"/>
      <c r="Y44" s="91"/>
      <c r="Z44" s="91"/>
      <c r="AA44" s="91"/>
      <c r="AB44" s="91"/>
      <c r="AC44" s="91"/>
      <c r="AD44" s="91"/>
      <c r="AE44" s="91"/>
      <c r="AF44" s="91"/>
      <c r="AG44" s="91"/>
      <c r="AH44" s="91"/>
      <c r="AI44" s="91"/>
      <c r="AJ44" s="91"/>
      <c r="AK44" s="91"/>
      <c r="AL44" s="91"/>
      <c r="AM44" s="91"/>
      <c r="AN44" s="91"/>
      <c r="AO44" s="91"/>
      <c r="AP44" s="91"/>
      <c r="AQ44" s="91"/>
      <c r="AR44" s="91"/>
      <c r="AS44" s="91"/>
      <c r="AT44" s="91"/>
      <c r="AU44" s="91"/>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70"/>
      <c r="BV44" s="170"/>
      <c r="BW44" s="170"/>
    </row>
    <row r="45" spans="2:75" s="86" customFormat="1">
      <c r="B45" s="87"/>
      <c r="C45" s="87"/>
      <c r="D45" s="87"/>
      <c r="I45" s="88"/>
      <c r="J45" s="88"/>
      <c r="K45" s="88"/>
      <c r="L45" s="88"/>
      <c r="M45" s="88"/>
      <c r="Q45" s="89"/>
      <c r="S45" s="90"/>
      <c r="U45" s="91"/>
      <c r="V45" s="91"/>
      <c r="W45" s="91"/>
      <c r="X45" s="91"/>
      <c r="Y45" s="91"/>
      <c r="Z45" s="91"/>
      <c r="AA45" s="91"/>
      <c r="AB45" s="91"/>
      <c r="AC45" s="91"/>
      <c r="AD45" s="91"/>
      <c r="AE45" s="91"/>
      <c r="AF45" s="91"/>
      <c r="AG45" s="91"/>
      <c r="AH45" s="91"/>
      <c r="AI45" s="91"/>
      <c r="AJ45" s="91"/>
      <c r="AK45" s="91"/>
      <c r="AL45" s="91"/>
      <c r="AM45" s="91"/>
      <c r="AN45" s="91"/>
      <c r="AO45" s="91"/>
      <c r="AP45" s="91"/>
      <c r="AQ45" s="91"/>
      <c r="AR45" s="91"/>
      <c r="AS45" s="91"/>
      <c r="AT45" s="91"/>
      <c r="AU45" s="91"/>
      <c r="AV45" s="169"/>
      <c r="AW45" s="169"/>
      <c r="AX45" s="169"/>
      <c r="AY45" s="169"/>
      <c r="AZ45" s="169"/>
      <c r="BA45" s="169"/>
      <c r="BB45" s="169"/>
      <c r="BC45" s="169"/>
      <c r="BD45" s="169"/>
      <c r="BE45" s="169"/>
      <c r="BF45" s="169"/>
      <c r="BG45" s="169"/>
      <c r="BH45" s="169"/>
      <c r="BI45" s="169"/>
      <c r="BJ45" s="169"/>
      <c r="BK45" s="169"/>
      <c r="BL45" s="169"/>
      <c r="BM45" s="169"/>
      <c r="BN45" s="169"/>
      <c r="BO45" s="169"/>
      <c r="BP45" s="169"/>
      <c r="BQ45" s="169"/>
      <c r="BR45" s="169"/>
      <c r="BS45" s="169"/>
      <c r="BT45" s="169"/>
      <c r="BU45" s="170"/>
      <c r="BV45" s="170"/>
      <c r="BW45" s="170"/>
    </row>
    <row r="46" spans="2:75" s="86" customFormat="1">
      <c r="B46" s="87"/>
      <c r="C46" s="87"/>
      <c r="D46" s="87"/>
      <c r="I46" s="88"/>
      <c r="J46" s="88"/>
      <c r="K46" s="88"/>
      <c r="L46" s="88"/>
      <c r="M46" s="88"/>
      <c r="Q46" s="89"/>
      <c r="S46" s="90"/>
      <c r="U46" s="91"/>
      <c r="V46" s="91"/>
      <c r="W46" s="91"/>
      <c r="X46" s="91"/>
      <c r="Y46" s="91"/>
      <c r="Z46" s="91"/>
      <c r="AA46" s="91"/>
      <c r="AB46" s="91"/>
      <c r="AC46" s="91"/>
      <c r="AD46" s="91"/>
      <c r="AE46" s="91"/>
      <c r="AF46" s="91"/>
      <c r="AG46" s="91"/>
      <c r="AH46" s="91"/>
      <c r="AI46" s="91"/>
      <c r="AJ46" s="91"/>
      <c r="AK46" s="91"/>
      <c r="AL46" s="91"/>
      <c r="AM46" s="91"/>
      <c r="AN46" s="91"/>
      <c r="AO46" s="91"/>
      <c r="AP46" s="91"/>
      <c r="AQ46" s="91"/>
      <c r="AR46" s="91"/>
      <c r="AS46" s="91"/>
      <c r="AT46" s="91"/>
      <c r="AU46" s="91"/>
      <c r="AV46" s="169"/>
      <c r="AW46" s="169"/>
      <c r="AX46" s="169"/>
      <c r="AY46" s="169"/>
      <c r="AZ46" s="169"/>
      <c r="BA46" s="169"/>
      <c r="BB46" s="169"/>
      <c r="BC46" s="169"/>
      <c r="BD46" s="169"/>
      <c r="BE46" s="169"/>
      <c r="BF46" s="169"/>
      <c r="BG46" s="169"/>
      <c r="BH46" s="169"/>
      <c r="BI46" s="169"/>
      <c r="BJ46" s="169"/>
      <c r="BK46" s="169"/>
      <c r="BL46" s="169"/>
      <c r="BM46" s="169"/>
      <c r="BN46" s="169"/>
      <c r="BO46" s="169"/>
      <c r="BP46" s="169"/>
      <c r="BQ46" s="169"/>
      <c r="BR46" s="169"/>
      <c r="BS46" s="169"/>
      <c r="BT46" s="169"/>
      <c r="BU46" s="170"/>
      <c r="BV46" s="170"/>
      <c r="BW46" s="170"/>
    </row>
    <row r="47" spans="2:75" s="86" customFormat="1">
      <c r="B47" s="87"/>
      <c r="C47" s="87"/>
      <c r="D47" s="87"/>
      <c r="I47" s="88"/>
      <c r="J47" s="88"/>
      <c r="K47" s="88"/>
      <c r="L47" s="88"/>
      <c r="M47" s="88"/>
      <c r="Q47" s="89"/>
      <c r="S47" s="90"/>
      <c r="U47" s="91"/>
      <c r="V47" s="91"/>
      <c r="W47" s="91"/>
      <c r="X47" s="91"/>
      <c r="Y47" s="91"/>
      <c r="Z47" s="91"/>
      <c r="AA47" s="91"/>
      <c r="AB47" s="91"/>
      <c r="AC47" s="91"/>
      <c r="AD47" s="91"/>
      <c r="AE47" s="91"/>
      <c r="AF47" s="91"/>
      <c r="AG47" s="91"/>
      <c r="AH47" s="91"/>
      <c r="AI47" s="91"/>
      <c r="AJ47" s="91"/>
      <c r="AK47" s="91"/>
      <c r="AL47" s="91"/>
      <c r="AM47" s="91"/>
      <c r="AN47" s="91"/>
      <c r="AO47" s="91"/>
      <c r="AP47" s="91"/>
      <c r="AQ47" s="91"/>
      <c r="AR47" s="91"/>
      <c r="AS47" s="91"/>
      <c r="AT47" s="91"/>
      <c r="AU47" s="91"/>
      <c r="AV47" s="169"/>
      <c r="AW47" s="169"/>
      <c r="AX47" s="169"/>
      <c r="AY47" s="169"/>
      <c r="AZ47" s="169"/>
      <c r="BA47" s="169"/>
      <c r="BB47" s="169"/>
      <c r="BC47" s="169"/>
      <c r="BD47" s="169"/>
      <c r="BE47" s="169"/>
      <c r="BF47" s="169"/>
      <c r="BG47" s="169"/>
      <c r="BH47" s="169"/>
      <c r="BI47" s="169"/>
      <c r="BJ47" s="169"/>
      <c r="BK47" s="169"/>
      <c r="BL47" s="169"/>
      <c r="BM47" s="169"/>
      <c r="BN47" s="169"/>
      <c r="BO47" s="169"/>
      <c r="BP47" s="169"/>
      <c r="BQ47" s="169"/>
      <c r="BR47" s="169"/>
      <c r="BS47" s="169"/>
      <c r="BT47" s="169"/>
      <c r="BU47" s="170"/>
      <c r="BV47" s="170"/>
      <c r="BW47" s="170"/>
    </row>
    <row r="48" spans="2:75" s="86" customFormat="1">
      <c r="B48" s="87"/>
      <c r="C48" s="87"/>
      <c r="D48" s="87"/>
      <c r="I48" s="88"/>
      <c r="J48" s="88"/>
      <c r="K48" s="88"/>
      <c r="L48" s="88"/>
      <c r="M48" s="88"/>
      <c r="Q48" s="89"/>
      <c r="S48" s="90"/>
      <c r="U48" s="91"/>
      <c r="V48" s="91"/>
      <c r="W48" s="91"/>
      <c r="X48" s="91"/>
      <c r="Y48" s="91"/>
      <c r="Z48" s="91"/>
      <c r="AA48" s="91"/>
      <c r="AB48" s="91"/>
      <c r="AC48" s="91"/>
      <c r="AD48" s="91"/>
      <c r="AE48" s="91"/>
      <c r="AF48" s="91"/>
      <c r="AG48" s="91"/>
      <c r="AH48" s="91"/>
      <c r="AI48" s="91"/>
      <c r="AJ48" s="91"/>
      <c r="AK48" s="91"/>
      <c r="AL48" s="91"/>
      <c r="AM48" s="91"/>
      <c r="AN48" s="91"/>
      <c r="AO48" s="91"/>
      <c r="AP48" s="91"/>
      <c r="AQ48" s="91"/>
      <c r="AR48" s="91"/>
      <c r="AS48" s="91"/>
      <c r="AT48" s="91"/>
      <c r="AU48" s="91"/>
      <c r="AV48" s="169"/>
      <c r="AW48" s="169"/>
      <c r="AX48" s="169"/>
      <c r="AY48" s="169"/>
      <c r="AZ48" s="169"/>
      <c r="BA48" s="169"/>
      <c r="BB48" s="169"/>
      <c r="BC48" s="169"/>
      <c r="BD48" s="169"/>
      <c r="BE48" s="169"/>
      <c r="BF48" s="169"/>
      <c r="BG48" s="169"/>
      <c r="BH48" s="169"/>
      <c r="BI48" s="169"/>
      <c r="BJ48" s="169"/>
      <c r="BK48" s="169"/>
      <c r="BL48" s="169"/>
      <c r="BM48" s="169"/>
      <c r="BN48" s="169"/>
      <c r="BO48" s="169"/>
      <c r="BP48" s="169"/>
      <c r="BQ48" s="169"/>
      <c r="BR48" s="169"/>
      <c r="BS48" s="169"/>
      <c r="BT48" s="169"/>
      <c r="BU48" s="170"/>
      <c r="BV48" s="170"/>
      <c r="BW48" s="170"/>
    </row>
    <row r="49" spans="2:75" s="86" customFormat="1">
      <c r="B49" s="87"/>
      <c r="C49" s="87"/>
      <c r="D49" s="87"/>
      <c r="I49" s="88"/>
      <c r="J49" s="88"/>
      <c r="K49" s="88"/>
      <c r="L49" s="88"/>
      <c r="M49" s="88"/>
      <c r="Q49" s="89"/>
      <c r="S49" s="90"/>
      <c r="U49" s="91"/>
      <c r="V49" s="91"/>
      <c r="W49" s="91"/>
      <c r="X49" s="91"/>
      <c r="Y49" s="91"/>
      <c r="Z49" s="91"/>
      <c r="AA49" s="91"/>
      <c r="AB49" s="91"/>
      <c r="AC49" s="91"/>
      <c r="AD49" s="91"/>
      <c r="AE49" s="91"/>
      <c r="AF49" s="91"/>
      <c r="AG49" s="91"/>
      <c r="AH49" s="91"/>
      <c r="AI49" s="91"/>
      <c r="AJ49" s="91"/>
      <c r="AK49" s="91"/>
      <c r="AL49" s="91"/>
      <c r="AM49" s="91"/>
      <c r="AN49" s="91"/>
      <c r="AO49" s="91"/>
      <c r="AP49" s="91"/>
      <c r="AQ49" s="91"/>
      <c r="AR49" s="91"/>
      <c r="AS49" s="91"/>
      <c r="AT49" s="91"/>
      <c r="AU49" s="91"/>
      <c r="AV49" s="169"/>
      <c r="AW49" s="169"/>
      <c r="AX49" s="169"/>
      <c r="AY49" s="169"/>
      <c r="AZ49" s="169"/>
      <c r="BA49" s="169"/>
      <c r="BB49" s="169"/>
      <c r="BC49" s="169"/>
      <c r="BD49" s="169"/>
      <c r="BE49" s="169"/>
      <c r="BF49" s="169"/>
      <c r="BG49" s="169"/>
      <c r="BH49" s="169"/>
      <c r="BI49" s="169"/>
      <c r="BJ49" s="169"/>
      <c r="BK49" s="169"/>
      <c r="BL49" s="169"/>
      <c r="BM49" s="169"/>
      <c r="BN49" s="169"/>
      <c r="BO49" s="169"/>
      <c r="BP49" s="169"/>
      <c r="BQ49" s="169"/>
      <c r="BR49" s="169"/>
      <c r="BS49" s="169"/>
      <c r="BT49" s="169"/>
      <c r="BU49" s="170"/>
      <c r="BV49" s="170"/>
      <c r="BW49" s="170"/>
    </row>
    <row r="50" spans="2:75" s="86" customFormat="1">
      <c r="B50" s="87"/>
      <c r="C50" s="87"/>
      <c r="D50" s="87"/>
      <c r="I50" s="88"/>
      <c r="J50" s="88"/>
      <c r="K50" s="88"/>
      <c r="L50" s="88"/>
      <c r="M50" s="88"/>
      <c r="Q50" s="89"/>
      <c r="S50" s="90"/>
      <c r="U50" s="91"/>
      <c r="V50" s="91"/>
      <c r="W50" s="91"/>
      <c r="X50" s="91"/>
      <c r="Y50" s="91"/>
      <c r="Z50" s="91"/>
      <c r="AA50" s="91"/>
      <c r="AB50" s="91"/>
      <c r="AC50" s="91"/>
      <c r="AD50" s="91"/>
      <c r="AE50" s="91"/>
      <c r="AF50" s="91"/>
      <c r="AG50" s="91"/>
      <c r="AH50" s="91"/>
      <c r="AI50" s="91"/>
      <c r="AJ50" s="91"/>
      <c r="AK50" s="91"/>
      <c r="AL50" s="91"/>
      <c r="AM50" s="91"/>
      <c r="AN50" s="91"/>
      <c r="AO50" s="91"/>
      <c r="AP50" s="91"/>
      <c r="AQ50" s="91"/>
      <c r="AR50" s="91"/>
      <c r="AS50" s="91"/>
      <c r="AT50" s="91"/>
      <c r="AU50" s="91"/>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70"/>
      <c r="BV50" s="170"/>
      <c r="BW50" s="170"/>
    </row>
    <row r="51" spans="2:75" s="86" customFormat="1">
      <c r="B51" s="87"/>
      <c r="C51" s="87"/>
      <c r="D51" s="87"/>
      <c r="I51" s="88"/>
      <c r="J51" s="88"/>
      <c r="K51" s="88"/>
      <c r="L51" s="88"/>
      <c r="M51" s="88"/>
      <c r="Q51" s="89"/>
      <c r="S51" s="90"/>
      <c r="U51" s="91"/>
      <c r="V51" s="91"/>
      <c r="W51" s="91"/>
      <c r="X51" s="91"/>
      <c r="Y51" s="91"/>
      <c r="Z51" s="91"/>
      <c r="AA51" s="91"/>
      <c r="AB51" s="91"/>
      <c r="AC51" s="91"/>
      <c r="AD51" s="91"/>
      <c r="AE51" s="91"/>
      <c r="AF51" s="91"/>
      <c r="AG51" s="91"/>
      <c r="AH51" s="91"/>
      <c r="AI51" s="91"/>
      <c r="AJ51" s="91"/>
      <c r="AK51" s="91"/>
      <c r="AL51" s="91"/>
      <c r="AM51" s="91"/>
      <c r="AN51" s="91"/>
      <c r="AO51" s="91"/>
      <c r="AP51" s="91"/>
      <c r="AQ51" s="91"/>
      <c r="AR51" s="91"/>
      <c r="AS51" s="91"/>
      <c r="AT51" s="91"/>
      <c r="AU51" s="91"/>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70"/>
      <c r="BV51" s="170"/>
      <c r="BW51" s="170"/>
    </row>
    <row r="52" spans="2:75" s="86" customFormat="1">
      <c r="B52" s="87"/>
      <c r="C52" s="87"/>
      <c r="D52" s="87"/>
      <c r="I52" s="88"/>
      <c r="J52" s="88"/>
      <c r="K52" s="88"/>
      <c r="L52" s="88"/>
      <c r="M52" s="88"/>
      <c r="Q52" s="89"/>
      <c r="S52" s="90"/>
      <c r="U52" s="91"/>
      <c r="V52" s="91"/>
      <c r="W52" s="91"/>
      <c r="X52" s="91"/>
      <c r="Y52" s="91"/>
      <c r="Z52" s="91"/>
      <c r="AA52" s="91"/>
      <c r="AB52" s="91"/>
      <c r="AC52" s="91"/>
      <c r="AD52" s="91"/>
      <c r="AE52" s="91"/>
      <c r="AF52" s="91"/>
      <c r="AG52" s="91"/>
      <c r="AH52" s="91"/>
      <c r="AI52" s="91"/>
      <c r="AJ52" s="91"/>
      <c r="AK52" s="91"/>
      <c r="AL52" s="91"/>
      <c r="AM52" s="91"/>
      <c r="AN52" s="91"/>
      <c r="AO52" s="91"/>
      <c r="AP52" s="91"/>
      <c r="AQ52" s="91"/>
      <c r="AR52" s="91"/>
      <c r="AS52" s="91"/>
      <c r="AT52" s="91"/>
      <c r="AU52" s="91"/>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70"/>
      <c r="BV52" s="170"/>
      <c r="BW52" s="170"/>
    </row>
    <row r="53" spans="2:75" s="86" customFormat="1">
      <c r="B53" s="87"/>
      <c r="C53" s="87"/>
      <c r="D53" s="87"/>
      <c r="I53" s="88"/>
      <c r="J53" s="88"/>
      <c r="K53" s="88"/>
      <c r="L53" s="88"/>
      <c r="M53" s="88"/>
      <c r="Q53" s="89"/>
      <c r="S53" s="90"/>
      <c r="U53" s="91"/>
      <c r="V53" s="91"/>
      <c r="W53" s="91"/>
      <c r="X53" s="91"/>
      <c r="Y53" s="91"/>
      <c r="Z53" s="91"/>
      <c r="AA53" s="91"/>
      <c r="AB53" s="91"/>
      <c r="AC53" s="91"/>
      <c r="AD53" s="91"/>
      <c r="AE53" s="91"/>
      <c r="AF53" s="91"/>
      <c r="AG53" s="91"/>
      <c r="AH53" s="91"/>
      <c r="AI53" s="91"/>
      <c r="AJ53" s="91"/>
      <c r="AK53" s="91"/>
      <c r="AL53" s="91"/>
      <c r="AM53" s="91"/>
      <c r="AN53" s="91"/>
      <c r="AO53" s="91"/>
      <c r="AP53" s="91"/>
      <c r="AQ53" s="91"/>
      <c r="AR53" s="91"/>
      <c r="AS53" s="91"/>
      <c r="AT53" s="91"/>
      <c r="AU53" s="91"/>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70"/>
      <c r="BV53" s="170"/>
      <c r="BW53" s="170"/>
    </row>
    <row r="54" spans="2:75" s="86" customFormat="1">
      <c r="B54" s="87"/>
      <c r="C54" s="87"/>
      <c r="D54" s="87"/>
      <c r="I54" s="88"/>
      <c r="J54" s="88"/>
      <c r="K54" s="88"/>
      <c r="L54" s="88"/>
      <c r="M54" s="88"/>
      <c r="Q54" s="89"/>
      <c r="S54" s="90"/>
      <c r="U54" s="91"/>
      <c r="V54" s="91"/>
      <c r="W54" s="91"/>
      <c r="X54" s="91"/>
      <c r="Y54" s="91"/>
      <c r="Z54" s="91"/>
      <c r="AA54" s="91"/>
      <c r="AB54" s="91"/>
      <c r="AC54" s="91"/>
      <c r="AD54" s="91"/>
      <c r="AE54" s="91"/>
      <c r="AF54" s="91"/>
      <c r="AG54" s="91"/>
      <c r="AH54" s="91"/>
      <c r="AI54" s="91"/>
      <c r="AJ54" s="91"/>
      <c r="AK54" s="91"/>
      <c r="AL54" s="91"/>
      <c r="AM54" s="91"/>
      <c r="AN54" s="91"/>
      <c r="AO54" s="91"/>
      <c r="AP54" s="91"/>
      <c r="AQ54" s="91"/>
      <c r="AR54" s="91"/>
      <c r="AS54" s="91"/>
      <c r="AT54" s="91"/>
      <c r="AU54" s="91"/>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70"/>
      <c r="BV54" s="170"/>
      <c r="BW54" s="170"/>
    </row>
    <row r="55" spans="2:75" s="86" customFormat="1">
      <c r="B55" s="87"/>
      <c r="C55" s="87"/>
      <c r="D55" s="87"/>
      <c r="I55" s="88"/>
      <c r="J55" s="88"/>
      <c r="K55" s="88"/>
      <c r="L55" s="88"/>
      <c r="M55" s="88"/>
      <c r="Q55" s="89"/>
      <c r="S55" s="90"/>
      <c r="U55" s="91"/>
      <c r="V55" s="91"/>
      <c r="W55" s="91"/>
      <c r="X55" s="91"/>
      <c r="Y55" s="91"/>
      <c r="Z55" s="91"/>
      <c r="AA55" s="91"/>
      <c r="AB55" s="91"/>
      <c r="AC55" s="91"/>
      <c r="AD55" s="91"/>
      <c r="AE55" s="91"/>
      <c r="AF55" s="91"/>
      <c r="AG55" s="91"/>
      <c r="AH55" s="91"/>
      <c r="AI55" s="91"/>
      <c r="AJ55" s="91"/>
      <c r="AK55" s="91"/>
      <c r="AL55" s="91"/>
      <c r="AM55" s="91"/>
      <c r="AN55" s="91"/>
      <c r="AO55" s="91"/>
      <c r="AP55" s="91"/>
      <c r="AQ55" s="91"/>
      <c r="AR55" s="91"/>
      <c r="AS55" s="91"/>
      <c r="AT55" s="91"/>
      <c r="AU55" s="91"/>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70"/>
      <c r="BV55" s="170"/>
      <c r="BW55" s="170"/>
    </row>
    <row r="56" spans="2:75" s="86" customFormat="1">
      <c r="B56" s="87"/>
      <c r="C56" s="87"/>
      <c r="D56" s="87"/>
      <c r="I56" s="88"/>
      <c r="J56" s="88"/>
      <c r="K56" s="88"/>
      <c r="L56" s="88"/>
      <c r="M56" s="88"/>
      <c r="Q56" s="89"/>
      <c r="S56" s="90"/>
      <c r="U56" s="91"/>
      <c r="V56" s="91"/>
      <c r="W56" s="91"/>
      <c r="X56" s="91"/>
      <c r="Y56" s="91"/>
      <c r="Z56" s="91"/>
      <c r="AA56" s="91"/>
      <c r="AB56" s="91"/>
      <c r="AC56" s="91"/>
      <c r="AD56" s="91"/>
      <c r="AE56" s="91"/>
      <c r="AF56" s="91"/>
      <c r="AG56" s="91"/>
      <c r="AH56" s="91"/>
      <c r="AI56" s="91"/>
      <c r="AJ56" s="91"/>
      <c r="AK56" s="91"/>
      <c r="AL56" s="91"/>
      <c r="AM56" s="91"/>
      <c r="AN56" s="91"/>
      <c r="AO56" s="91"/>
      <c r="AP56" s="91"/>
      <c r="AQ56" s="91"/>
      <c r="AR56" s="91"/>
      <c r="AS56" s="91"/>
      <c r="AT56" s="91"/>
      <c r="AU56" s="91"/>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70"/>
      <c r="BV56" s="170"/>
      <c r="BW56" s="170"/>
    </row>
    <row r="57" spans="2:75" s="86" customFormat="1">
      <c r="B57" s="87"/>
      <c r="C57" s="87"/>
      <c r="D57" s="87"/>
      <c r="I57" s="88"/>
      <c r="J57" s="88"/>
      <c r="K57" s="88"/>
      <c r="L57" s="88"/>
      <c r="M57" s="88"/>
      <c r="Q57" s="89"/>
      <c r="S57" s="90"/>
      <c r="U57" s="91"/>
      <c r="V57" s="91"/>
      <c r="W57" s="91"/>
      <c r="X57" s="91"/>
      <c r="Y57" s="91"/>
      <c r="Z57" s="91"/>
      <c r="AA57" s="91"/>
      <c r="AB57" s="91"/>
      <c r="AC57" s="91"/>
      <c r="AD57" s="91"/>
      <c r="AE57" s="91"/>
      <c r="AF57" s="91"/>
      <c r="AG57" s="91"/>
      <c r="AH57" s="91"/>
      <c r="AI57" s="91"/>
      <c r="AJ57" s="91"/>
      <c r="AK57" s="91"/>
      <c r="AL57" s="91"/>
      <c r="AM57" s="91"/>
      <c r="AN57" s="91"/>
      <c r="AO57" s="91"/>
      <c r="AP57" s="91"/>
      <c r="AQ57" s="91"/>
      <c r="AR57" s="91"/>
      <c r="AS57" s="91"/>
      <c r="AT57" s="91"/>
      <c r="AU57" s="91"/>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70"/>
      <c r="BV57" s="170"/>
      <c r="BW57" s="170"/>
    </row>
    <row r="58" spans="2:75" s="86" customFormat="1">
      <c r="B58" s="87"/>
      <c r="C58" s="87"/>
      <c r="D58" s="87"/>
      <c r="I58" s="88"/>
      <c r="J58" s="88"/>
      <c r="K58" s="88"/>
      <c r="L58" s="88"/>
      <c r="M58" s="88"/>
      <c r="Q58" s="89"/>
      <c r="S58" s="90"/>
      <c r="U58" s="91"/>
      <c r="V58" s="91"/>
      <c r="W58" s="91"/>
      <c r="X58" s="91"/>
      <c r="Y58" s="91"/>
      <c r="Z58" s="91"/>
      <c r="AA58" s="91"/>
      <c r="AB58" s="91"/>
      <c r="AC58" s="91"/>
      <c r="AD58" s="91"/>
      <c r="AE58" s="91"/>
      <c r="AF58" s="91"/>
      <c r="AG58" s="91"/>
      <c r="AH58" s="91"/>
      <c r="AI58" s="91"/>
      <c r="AJ58" s="91"/>
      <c r="AK58" s="91"/>
      <c r="AL58" s="91"/>
      <c r="AM58" s="91"/>
      <c r="AN58" s="91"/>
      <c r="AO58" s="91"/>
      <c r="AP58" s="91"/>
      <c r="AQ58" s="91"/>
      <c r="AR58" s="91"/>
      <c r="AS58" s="91"/>
      <c r="AT58" s="91"/>
      <c r="AU58" s="91"/>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70"/>
      <c r="BV58" s="170"/>
      <c r="BW58" s="170"/>
    </row>
    <row r="59" spans="2:75" s="86" customFormat="1">
      <c r="B59" s="87"/>
      <c r="C59" s="87"/>
      <c r="D59" s="87"/>
      <c r="I59" s="88"/>
      <c r="J59" s="88"/>
      <c r="K59" s="88"/>
      <c r="L59" s="88"/>
      <c r="M59" s="88"/>
      <c r="Q59" s="89"/>
      <c r="S59" s="90"/>
      <c r="U59" s="91"/>
      <c r="V59" s="91"/>
      <c r="W59" s="91"/>
      <c r="X59" s="91"/>
      <c r="Y59" s="91"/>
      <c r="Z59" s="91"/>
      <c r="AA59" s="91"/>
      <c r="AB59" s="91"/>
      <c r="AC59" s="91"/>
      <c r="AD59" s="91"/>
      <c r="AE59" s="91"/>
      <c r="AF59" s="91"/>
      <c r="AG59" s="91"/>
      <c r="AH59" s="91"/>
      <c r="AI59" s="91"/>
      <c r="AJ59" s="91"/>
      <c r="AK59" s="91"/>
      <c r="AL59" s="91"/>
      <c r="AM59" s="91"/>
      <c r="AN59" s="91"/>
      <c r="AO59" s="91"/>
      <c r="AP59" s="91"/>
      <c r="AQ59" s="91"/>
      <c r="AR59" s="91"/>
      <c r="AS59" s="91"/>
      <c r="AT59" s="91"/>
      <c r="AU59" s="91"/>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70"/>
      <c r="BV59" s="170"/>
      <c r="BW59" s="170"/>
    </row>
    <row r="60" spans="2:75" s="86" customFormat="1">
      <c r="B60" s="87"/>
      <c r="C60" s="87"/>
      <c r="D60" s="87"/>
      <c r="I60" s="88"/>
      <c r="J60" s="88"/>
      <c r="K60" s="88"/>
      <c r="L60" s="88"/>
      <c r="M60" s="88"/>
      <c r="Q60" s="89"/>
      <c r="S60" s="90"/>
      <c r="U60" s="91"/>
      <c r="V60" s="91"/>
      <c r="W60" s="91"/>
      <c r="X60" s="91"/>
      <c r="Y60" s="91"/>
      <c r="Z60" s="91"/>
      <c r="AA60" s="91"/>
      <c r="AB60" s="91"/>
      <c r="AC60" s="91"/>
      <c r="AD60" s="91"/>
      <c r="AE60" s="91"/>
      <c r="AF60" s="91"/>
      <c r="AG60" s="91"/>
      <c r="AH60" s="91"/>
      <c r="AI60" s="91"/>
      <c r="AJ60" s="91"/>
      <c r="AK60" s="91"/>
      <c r="AL60" s="91"/>
      <c r="AM60" s="91"/>
      <c r="AN60" s="91"/>
      <c r="AO60" s="91"/>
      <c r="AP60" s="91"/>
      <c r="AQ60" s="91"/>
      <c r="AR60" s="91"/>
      <c r="AS60" s="91"/>
      <c r="AT60" s="91"/>
      <c r="AU60" s="91"/>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70"/>
      <c r="BV60" s="170"/>
      <c r="BW60" s="170"/>
    </row>
    <row r="61" spans="2:75" s="86" customFormat="1">
      <c r="B61" s="87"/>
      <c r="C61" s="87"/>
      <c r="D61" s="87"/>
      <c r="I61" s="88"/>
      <c r="J61" s="88"/>
      <c r="K61" s="88"/>
      <c r="L61" s="88"/>
      <c r="M61" s="88"/>
      <c r="Q61" s="89"/>
      <c r="S61" s="90"/>
      <c r="U61" s="91"/>
      <c r="V61" s="91"/>
      <c r="W61" s="91"/>
      <c r="X61" s="91"/>
      <c r="Y61" s="91"/>
      <c r="Z61" s="91"/>
      <c r="AA61" s="91"/>
      <c r="AB61" s="91"/>
      <c r="AC61" s="91"/>
      <c r="AD61" s="91"/>
      <c r="AE61" s="91"/>
      <c r="AF61" s="91"/>
      <c r="AG61" s="91"/>
      <c r="AH61" s="91"/>
      <c r="AI61" s="91"/>
      <c r="AJ61" s="91"/>
      <c r="AK61" s="91"/>
      <c r="AL61" s="91"/>
      <c r="AM61" s="91"/>
      <c r="AN61" s="91"/>
      <c r="AO61" s="91"/>
      <c r="AP61" s="91"/>
      <c r="AQ61" s="91"/>
      <c r="AR61" s="91"/>
      <c r="AS61" s="91"/>
      <c r="AT61" s="91"/>
      <c r="AU61" s="91"/>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70"/>
      <c r="BV61" s="170"/>
      <c r="BW61" s="170"/>
    </row>
    <row r="62" spans="2:75" s="86" customFormat="1">
      <c r="B62" s="87"/>
      <c r="C62" s="87"/>
      <c r="D62" s="87"/>
      <c r="I62" s="88"/>
      <c r="J62" s="88"/>
      <c r="K62" s="88"/>
      <c r="L62" s="88"/>
      <c r="M62" s="88"/>
      <c r="Q62" s="89"/>
      <c r="S62" s="90"/>
      <c r="U62" s="91"/>
      <c r="V62" s="91"/>
      <c r="W62" s="91"/>
      <c r="X62" s="91"/>
      <c r="Y62" s="91"/>
      <c r="Z62" s="91"/>
      <c r="AA62" s="91"/>
      <c r="AB62" s="91"/>
      <c r="AC62" s="91"/>
      <c r="AD62" s="91"/>
      <c r="AE62" s="91"/>
      <c r="AF62" s="91"/>
      <c r="AG62" s="91"/>
      <c r="AH62" s="91"/>
      <c r="AI62" s="91"/>
      <c r="AJ62" s="91"/>
      <c r="AK62" s="91"/>
      <c r="AL62" s="91"/>
      <c r="AM62" s="91"/>
      <c r="AN62" s="91"/>
      <c r="AO62" s="91"/>
      <c r="AP62" s="91"/>
      <c r="AQ62" s="91"/>
      <c r="AR62" s="91"/>
      <c r="AS62" s="91"/>
      <c r="AT62" s="91"/>
      <c r="AU62" s="91"/>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70"/>
      <c r="BV62" s="170"/>
      <c r="BW62" s="170"/>
    </row>
    <row r="63" spans="2:75" s="86" customFormat="1">
      <c r="B63" s="87"/>
      <c r="C63" s="87"/>
      <c r="D63" s="87"/>
      <c r="I63" s="88"/>
      <c r="J63" s="88"/>
      <c r="K63" s="88"/>
      <c r="L63" s="88"/>
      <c r="M63" s="88"/>
      <c r="Q63" s="89"/>
      <c r="S63" s="90"/>
      <c r="U63" s="91"/>
      <c r="V63" s="91"/>
      <c r="W63" s="91"/>
      <c r="X63" s="91"/>
      <c r="Y63" s="91"/>
      <c r="Z63" s="91"/>
      <c r="AA63" s="91"/>
      <c r="AB63" s="91"/>
      <c r="AC63" s="91"/>
      <c r="AD63" s="91"/>
      <c r="AE63" s="91"/>
      <c r="AF63" s="91"/>
      <c r="AG63" s="91"/>
      <c r="AH63" s="91"/>
      <c r="AI63" s="91"/>
      <c r="AJ63" s="91"/>
      <c r="AK63" s="91"/>
      <c r="AL63" s="91"/>
      <c r="AM63" s="91"/>
      <c r="AN63" s="91"/>
      <c r="AO63" s="91"/>
      <c r="AP63" s="91"/>
      <c r="AQ63" s="91"/>
      <c r="AR63" s="91"/>
      <c r="AS63" s="91"/>
      <c r="AT63" s="91"/>
      <c r="AU63" s="91"/>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70"/>
      <c r="BV63" s="170"/>
      <c r="BW63" s="170"/>
    </row>
    <row r="64" spans="2:75" s="86" customFormat="1">
      <c r="B64" s="87"/>
      <c r="C64" s="87"/>
      <c r="D64" s="87"/>
      <c r="I64" s="88"/>
      <c r="J64" s="88"/>
      <c r="K64" s="88"/>
      <c r="L64" s="88"/>
      <c r="M64" s="88"/>
      <c r="Q64" s="89"/>
      <c r="S64" s="90"/>
      <c r="U64" s="91"/>
      <c r="V64" s="91"/>
      <c r="W64" s="91"/>
      <c r="X64" s="91"/>
      <c r="Y64" s="91"/>
      <c r="Z64" s="91"/>
      <c r="AA64" s="91"/>
      <c r="AB64" s="91"/>
      <c r="AC64" s="91"/>
      <c r="AD64" s="91"/>
      <c r="AE64" s="91"/>
      <c r="AF64" s="91"/>
      <c r="AG64" s="91"/>
      <c r="AH64" s="91"/>
      <c r="AI64" s="91"/>
      <c r="AJ64" s="91"/>
      <c r="AK64" s="91"/>
      <c r="AL64" s="91"/>
      <c r="AM64" s="91"/>
      <c r="AN64" s="91"/>
      <c r="AO64" s="91"/>
      <c r="AP64" s="91"/>
      <c r="AQ64" s="91"/>
      <c r="AR64" s="91"/>
      <c r="AS64" s="91"/>
      <c r="AT64" s="91"/>
      <c r="AU64" s="91"/>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70"/>
      <c r="BV64" s="170"/>
      <c r="BW64" s="170"/>
    </row>
    <row r="65" spans="2:75" s="86" customFormat="1">
      <c r="B65" s="87"/>
      <c r="C65" s="87"/>
      <c r="D65" s="87"/>
      <c r="I65" s="88"/>
      <c r="J65" s="88"/>
      <c r="K65" s="88"/>
      <c r="L65" s="88"/>
      <c r="M65" s="88"/>
      <c r="Q65" s="89"/>
      <c r="S65" s="90"/>
      <c r="U65" s="91"/>
      <c r="V65" s="91"/>
      <c r="W65" s="91"/>
      <c r="X65" s="91"/>
      <c r="Y65" s="91"/>
      <c r="Z65" s="91"/>
      <c r="AA65" s="91"/>
      <c r="AB65" s="91"/>
      <c r="AC65" s="91"/>
      <c r="AD65" s="91"/>
      <c r="AE65" s="91"/>
      <c r="AF65" s="91"/>
      <c r="AG65" s="91"/>
      <c r="AH65" s="91"/>
      <c r="AI65" s="91"/>
      <c r="AJ65" s="91"/>
      <c r="AK65" s="91"/>
      <c r="AL65" s="91"/>
      <c r="AM65" s="91"/>
      <c r="AN65" s="91"/>
      <c r="AO65" s="91"/>
      <c r="AP65" s="91"/>
      <c r="AQ65" s="91"/>
      <c r="AR65" s="91"/>
      <c r="AS65" s="91"/>
      <c r="AT65" s="91"/>
      <c r="AU65" s="91"/>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70"/>
      <c r="BV65" s="170"/>
      <c r="BW65" s="170"/>
    </row>
    <row r="66" spans="2:75" s="86" customFormat="1">
      <c r="B66" s="87"/>
      <c r="C66" s="87"/>
      <c r="D66" s="87"/>
      <c r="I66" s="88"/>
      <c r="J66" s="88"/>
      <c r="K66" s="88"/>
      <c r="L66" s="88"/>
      <c r="M66" s="88"/>
      <c r="Q66" s="89"/>
      <c r="S66" s="90"/>
      <c r="U66" s="91"/>
      <c r="V66" s="91"/>
      <c r="W66" s="91"/>
      <c r="X66" s="91"/>
      <c r="Y66" s="91"/>
      <c r="Z66" s="91"/>
      <c r="AA66" s="91"/>
      <c r="AB66" s="91"/>
      <c r="AC66" s="91"/>
      <c r="AD66" s="91"/>
      <c r="AE66" s="91"/>
      <c r="AF66" s="91"/>
      <c r="AG66" s="91"/>
      <c r="AH66" s="91"/>
      <c r="AI66" s="91"/>
      <c r="AJ66" s="91"/>
      <c r="AK66" s="91"/>
      <c r="AL66" s="91"/>
      <c r="AM66" s="91"/>
      <c r="AN66" s="91"/>
      <c r="AO66" s="91"/>
      <c r="AP66" s="91"/>
      <c r="AQ66" s="91"/>
      <c r="AR66" s="91"/>
      <c r="AS66" s="91"/>
      <c r="AT66" s="91"/>
      <c r="AU66" s="91"/>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70"/>
      <c r="BV66" s="170"/>
      <c r="BW66" s="170"/>
    </row>
    <row r="67" spans="2:75" s="86" customFormat="1">
      <c r="B67" s="87"/>
      <c r="C67" s="87"/>
      <c r="D67" s="87"/>
      <c r="I67" s="88"/>
      <c r="J67" s="88"/>
      <c r="K67" s="88"/>
      <c r="L67" s="88"/>
      <c r="M67" s="88"/>
      <c r="Q67" s="89"/>
      <c r="S67" s="90"/>
      <c r="U67" s="91"/>
      <c r="V67" s="91"/>
      <c r="W67" s="91"/>
      <c r="X67" s="91"/>
      <c r="Y67" s="91"/>
      <c r="Z67" s="91"/>
      <c r="AA67" s="91"/>
      <c r="AB67" s="91"/>
      <c r="AC67" s="91"/>
      <c r="AD67" s="91"/>
      <c r="AE67" s="91"/>
      <c r="AF67" s="91"/>
      <c r="AG67" s="91"/>
      <c r="AH67" s="91"/>
      <c r="AI67" s="91"/>
      <c r="AJ67" s="91"/>
      <c r="AK67" s="91"/>
      <c r="AL67" s="91"/>
      <c r="AM67" s="91"/>
      <c r="AN67" s="91"/>
      <c r="AO67" s="91"/>
      <c r="AP67" s="91"/>
      <c r="AQ67" s="91"/>
      <c r="AR67" s="91"/>
      <c r="AS67" s="91"/>
      <c r="AT67" s="91"/>
      <c r="AU67" s="91"/>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70"/>
      <c r="BV67" s="170"/>
      <c r="BW67" s="170"/>
    </row>
    <row r="68" spans="2:75" s="86" customFormat="1">
      <c r="B68" s="87"/>
      <c r="C68" s="87"/>
      <c r="D68" s="87"/>
      <c r="I68" s="88"/>
      <c r="J68" s="88"/>
      <c r="K68" s="88"/>
      <c r="L68" s="88"/>
      <c r="M68" s="88"/>
      <c r="Q68" s="89"/>
      <c r="S68" s="90"/>
      <c r="U68" s="91"/>
      <c r="V68" s="91"/>
      <c r="W68" s="91"/>
      <c r="X68" s="91"/>
      <c r="Y68" s="91"/>
      <c r="Z68" s="91"/>
      <c r="AA68" s="91"/>
      <c r="AB68" s="91"/>
      <c r="AC68" s="91"/>
      <c r="AD68" s="91"/>
      <c r="AE68" s="91"/>
      <c r="AF68" s="91"/>
      <c r="AG68" s="91"/>
      <c r="AH68" s="91"/>
      <c r="AI68" s="91"/>
      <c r="AJ68" s="91"/>
      <c r="AK68" s="91"/>
      <c r="AL68" s="91"/>
      <c r="AM68" s="91"/>
      <c r="AN68" s="91"/>
      <c r="AO68" s="91"/>
      <c r="AP68" s="91"/>
      <c r="AQ68" s="91"/>
      <c r="AR68" s="91"/>
      <c r="AS68" s="91"/>
      <c r="AT68" s="91"/>
      <c r="AU68" s="91"/>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70"/>
      <c r="BV68" s="170"/>
      <c r="BW68" s="170"/>
    </row>
    <row r="69" spans="2:75" s="86" customFormat="1">
      <c r="B69" s="87"/>
      <c r="C69" s="87"/>
      <c r="D69" s="87"/>
      <c r="I69" s="88"/>
      <c r="J69" s="88"/>
      <c r="K69" s="88"/>
      <c r="L69" s="88"/>
      <c r="M69" s="88"/>
      <c r="Q69" s="89"/>
      <c r="S69" s="90"/>
      <c r="U69" s="91"/>
      <c r="V69" s="91"/>
      <c r="W69" s="91"/>
      <c r="X69" s="91"/>
      <c r="Y69" s="91"/>
      <c r="Z69" s="91"/>
      <c r="AA69" s="91"/>
      <c r="AB69" s="91"/>
      <c r="AC69" s="91"/>
      <c r="AD69" s="91"/>
      <c r="AE69" s="91"/>
      <c r="AF69" s="91"/>
      <c r="AG69" s="91"/>
      <c r="AH69" s="91"/>
      <c r="AI69" s="91"/>
      <c r="AJ69" s="91"/>
      <c r="AK69" s="91"/>
      <c r="AL69" s="91"/>
      <c r="AM69" s="91"/>
      <c r="AN69" s="91"/>
      <c r="AO69" s="91"/>
      <c r="AP69" s="91"/>
      <c r="AQ69" s="91"/>
      <c r="AR69" s="91"/>
      <c r="AS69" s="91"/>
      <c r="AT69" s="91"/>
      <c r="AU69" s="91"/>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70"/>
      <c r="BV69" s="170"/>
      <c r="BW69" s="170"/>
    </row>
    <row r="70" spans="2:75" s="86" customFormat="1">
      <c r="B70" s="87"/>
      <c r="C70" s="87"/>
      <c r="D70" s="87"/>
      <c r="I70" s="88"/>
      <c r="J70" s="88"/>
      <c r="K70" s="88"/>
      <c r="L70" s="88"/>
      <c r="M70" s="88"/>
      <c r="Q70" s="89"/>
      <c r="S70" s="90"/>
      <c r="U70" s="91"/>
      <c r="V70" s="91"/>
      <c r="W70" s="91"/>
      <c r="X70" s="91"/>
      <c r="Y70" s="91"/>
      <c r="Z70" s="91"/>
      <c r="AA70" s="91"/>
      <c r="AB70" s="91"/>
      <c r="AC70" s="91"/>
      <c r="AD70" s="91"/>
      <c r="AE70" s="91"/>
      <c r="AF70" s="91"/>
      <c r="AG70" s="91"/>
      <c r="AH70" s="91"/>
      <c r="AI70" s="91"/>
      <c r="AJ70" s="91"/>
      <c r="AK70" s="91"/>
      <c r="AL70" s="91"/>
      <c r="AM70" s="91"/>
      <c r="AN70" s="91"/>
      <c r="AO70" s="91"/>
      <c r="AP70" s="91"/>
      <c r="AQ70" s="91"/>
      <c r="AR70" s="91"/>
      <c r="AS70" s="91"/>
      <c r="AT70" s="91"/>
      <c r="AU70" s="91"/>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70"/>
      <c r="BV70" s="170"/>
      <c r="BW70" s="170"/>
    </row>
    <row r="71" spans="2:75" s="86" customFormat="1">
      <c r="B71" s="87"/>
      <c r="C71" s="87"/>
      <c r="D71" s="87"/>
      <c r="I71" s="88"/>
      <c r="J71" s="88"/>
      <c r="K71" s="88"/>
      <c r="L71" s="88"/>
      <c r="M71" s="88"/>
      <c r="Q71" s="89"/>
      <c r="S71" s="90"/>
      <c r="U71" s="91"/>
      <c r="V71" s="91"/>
      <c r="W71" s="91"/>
      <c r="X71" s="91"/>
      <c r="Y71" s="91"/>
      <c r="Z71" s="91"/>
      <c r="AA71" s="91"/>
      <c r="AB71" s="91"/>
      <c r="AC71" s="91"/>
      <c r="AD71" s="91"/>
      <c r="AE71" s="91"/>
      <c r="AF71" s="91"/>
      <c r="AG71" s="91"/>
      <c r="AH71" s="91"/>
      <c r="AI71" s="91"/>
      <c r="AJ71" s="91"/>
      <c r="AK71" s="91"/>
      <c r="AL71" s="91"/>
      <c r="AM71" s="91"/>
      <c r="AN71" s="91"/>
      <c r="AO71" s="91"/>
      <c r="AP71" s="91"/>
      <c r="AQ71" s="91"/>
      <c r="AR71" s="91"/>
      <c r="AS71" s="91"/>
      <c r="AT71" s="91"/>
      <c r="AU71" s="91"/>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70"/>
      <c r="BV71" s="170"/>
      <c r="BW71" s="170"/>
    </row>
    <row r="72" spans="2:75" s="86" customFormat="1">
      <c r="B72" s="87"/>
      <c r="C72" s="87"/>
      <c r="D72" s="87"/>
      <c r="I72" s="88"/>
      <c r="J72" s="88"/>
      <c r="K72" s="88"/>
      <c r="L72" s="88"/>
      <c r="M72" s="88"/>
      <c r="Q72" s="89"/>
      <c r="S72" s="90"/>
      <c r="U72" s="91"/>
      <c r="V72" s="91"/>
      <c r="W72" s="91"/>
      <c r="X72" s="91"/>
      <c r="Y72" s="91"/>
      <c r="Z72" s="91"/>
      <c r="AA72" s="91"/>
      <c r="AB72" s="91"/>
      <c r="AC72" s="91"/>
      <c r="AD72" s="91"/>
      <c r="AE72" s="91"/>
      <c r="AF72" s="91"/>
      <c r="AG72" s="91"/>
      <c r="AH72" s="91"/>
      <c r="AI72" s="91"/>
      <c r="AJ72" s="91"/>
      <c r="AK72" s="91"/>
      <c r="AL72" s="91"/>
      <c r="AM72" s="91"/>
      <c r="AN72" s="91"/>
      <c r="AO72" s="91"/>
      <c r="AP72" s="91"/>
      <c r="AQ72" s="91"/>
      <c r="AR72" s="91"/>
      <c r="AS72" s="91"/>
      <c r="AT72" s="91"/>
      <c r="AU72" s="91"/>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70"/>
      <c r="BV72" s="170"/>
      <c r="BW72" s="170"/>
    </row>
    <row r="73" spans="2:75" s="86" customFormat="1">
      <c r="B73" s="87"/>
      <c r="C73" s="87"/>
      <c r="D73" s="87"/>
      <c r="I73" s="88"/>
      <c r="J73" s="88"/>
      <c r="K73" s="88"/>
      <c r="L73" s="88"/>
      <c r="M73" s="88"/>
      <c r="Q73" s="89"/>
      <c r="S73" s="90"/>
      <c r="U73" s="91"/>
      <c r="V73" s="91"/>
      <c r="W73" s="91"/>
      <c r="X73" s="91"/>
      <c r="Y73" s="91"/>
      <c r="Z73" s="91"/>
      <c r="AA73" s="91"/>
      <c r="AB73" s="91"/>
      <c r="AC73" s="91"/>
      <c r="AD73" s="91"/>
      <c r="AE73" s="91"/>
      <c r="AF73" s="91"/>
      <c r="AG73" s="91"/>
      <c r="AH73" s="91"/>
      <c r="AI73" s="91"/>
      <c r="AJ73" s="91"/>
      <c r="AK73" s="91"/>
      <c r="AL73" s="91"/>
      <c r="AM73" s="91"/>
      <c r="AN73" s="91"/>
      <c r="AO73" s="91"/>
      <c r="AP73" s="91"/>
      <c r="AQ73" s="91"/>
      <c r="AR73" s="91"/>
      <c r="AS73" s="91"/>
      <c r="AT73" s="91"/>
      <c r="AU73" s="91"/>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70"/>
      <c r="BV73" s="170"/>
      <c r="BW73" s="170"/>
    </row>
    <row r="74" spans="2:75" s="86" customFormat="1">
      <c r="B74" s="87"/>
      <c r="C74" s="87"/>
      <c r="D74" s="87"/>
      <c r="I74" s="88"/>
      <c r="J74" s="88"/>
      <c r="K74" s="88"/>
      <c r="L74" s="88"/>
      <c r="M74" s="88"/>
      <c r="Q74" s="89"/>
      <c r="S74" s="90"/>
      <c r="U74" s="91"/>
      <c r="V74" s="91"/>
      <c r="W74" s="91"/>
      <c r="X74" s="91"/>
      <c r="Y74" s="91"/>
      <c r="Z74" s="91"/>
      <c r="AA74" s="91"/>
      <c r="AB74" s="91"/>
      <c r="AC74" s="91"/>
      <c r="AD74" s="91"/>
      <c r="AE74" s="91"/>
      <c r="AF74" s="91"/>
      <c r="AG74" s="91"/>
      <c r="AH74" s="91"/>
      <c r="AI74" s="91"/>
      <c r="AJ74" s="91"/>
      <c r="AK74" s="91"/>
      <c r="AL74" s="91"/>
      <c r="AM74" s="91"/>
      <c r="AN74" s="91"/>
      <c r="AO74" s="91"/>
      <c r="AP74" s="91"/>
      <c r="AQ74" s="91"/>
      <c r="AR74" s="91"/>
      <c r="AS74" s="91"/>
      <c r="AT74" s="91"/>
      <c r="AU74" s="91"/>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70"/>
      <c r="BV74" s="170"/>
      <c r="BW74" s="170"/>
    </row>
    <row r="75" spans="2:75" s="86" customFormat="1">
      <c r="B75" s="87"/>
      <c r="C75" s="87"/>
      <c r="D75" s="87"/>
      <c r="I75" s="88"/>
      <c r="J75" s="88"/>
      <c r="K75" s="88"/>
      <c r="L75" s="88"/>
      <c r="M75" s="88"/>
      <c r="Q75" s="89"/>
      <c r="S75" s="90"/>
      <c r="U75" s="91"/>
      <c r="V75" s="91"/>
      <c r="W75" s="91"/>
      <c r="X75" s="91"/>
      <c r="Y75" s="91"/>
      <c r="Z75" s="91"/>
      <c r="AA75" s="91"/>
      <c r="AB75" s="91"/>
      <c r="AC75" s="91"/>
      <c r="AD75" s="91"/>
      <c r="AE75" s="91"/>
      <c r="AF75" s="91"/>
      <c r="AG75" s="91"/>
      <c r="AH75" s="91"/>
      <c r="AI75" s="91"/>
      <c r="AJ75" s="91"/>
      <c r="AK75" s="91"/>
      <c r="AL75" s="91"/>
      <c r="AM75" s="91"/>
      <c r="AN75" s="91"/>
      <c r="AO75" s="91"/>
      <c r="AP75" s="91"/>
      <c r="AQ75" s="91"/>
      <c r="AR75" s="91"/>
      <c r="AS75" s="91"/>
      <c r="AT75" s="91"/>
      <c r="AU75" s="91"/>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70"/>
      <c r="BV75" s="170"/>
      <c r="BW75" s="170"/>
    </row>
    <row r="76" spans="2:75" s="86" customFormat="1">
      <c r="B76" s="87"/>
      <c r="C76" s="87"/>
      <c r="D76" s="87"/>
      <c r="I76" s="88"/>
      <c r="J76" s="88"/>
      <c r="K76" s="88"/>
      <c r="L76" s="88"/>
      <c r="M76" s="88"/>
      <c r="Q76" s="89"/>
      <c r="S76" s="90"/>
      <c r="U76" s="91"/>
      <c r="V76" s="91"/>
      <c r="W76" s="91"/>
      <c r="X76" s="91"/>
      <c r="Y76" s="91"/>
      <c r="Z76" s="91"/>
      <c r="AA76" s="91"/>
      <c r="AB76" s="91"/>
      <c r="AC76" s="91"/>
      <c r="AD76" s="91"/>
      <c r="AE76" s="91"/>
      <c r="AF76" s="91"/>
      <c r="AG76" s="91"/>
      <c r="AH76" s="91"/>
      <c r="AI76" s="91"/>
      <c r="AJ76" s="91"/>
      <c r="AK76" s="91"/>
      <c r="AL76" s="91"/>
      <c r="AM76" s="91"/>
      <c r="AN76" s="91"/>
      <c r="AO76" s="91"/>
      <c r="AP76" s="91"/>
      <c r="AQ76" s="91"/>
      <c r="AR76" s="91"/>
      <c r="AS76" s="91"/>
      <c r="AT76" s="91"/>
      <c r="AU76" s="91"/>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70"/>
      <c r="BV76" s="170"/>
      <c r="BW76" s="170"/>
    </row>
    <row r="77" spans="2:75" s="86" customFormat="1">
      <c r="B77" s="87"/>
      <c r="C77" s="87"/>
      <c r="D77" s="87"/>
      <c r="I77" s="88"/>
      <c r="J77" s="88"/>
      <c r="K77" s="88"/>
      <c r="L77" s="88"/>
      <c r="M77" s="88"/>
      <c r="Q77" s="89"/>
      <c r="S77" s="90"/>
      <c r="U77" s="91"/>
      <c r="V77" s="91"/>
      <c r="W77" s="91"/>
      <c r="X77" s="91"/>
      <c r="Y77" s="91"/>
      <c r="Z77" s="91"/>
      <c r="AA77" s="91"/>
      <c r="AB77" s="91"/>
      <c r="AC77" s="91"/>
      <c r="AD77" s="91"/>
      <c r="AE77" s="91"/>
      <c r="AF77" s="91"/>
      <c r="AG77" s="91"/>
      <c r="AH77" s="91"/>
      <c r="AI77" s="91"/>
      <c r="AJ77" s="91"/>
      <c r="AK77" s="91"/>
      <c r="AL77" s="91"/>
      <c r="AM77" s="91"/>
      <c r="AN77" s="91"/>
      <c r="AO77" s="91"/>
      <c r="AP77" s="91"/>
      <c r="AQ77" s="91"/>
      <c r="AR77" s="91"/>
      <c r="AS77" s="91"/>
      <c r="AT77" s="91"/>
      <c r="AU77" s="91"/>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70"/>
      <c r="BV77" s="170"/>
      <c r="BW77" s="170"/>
    </row>
    <row r="78" spans="2:75" s="86" customFormat="1">
      <c r="B78" s="87"/>
      <c r="C78" s="87"/>
      <c r="D78" s="87"/>
      <c r="I78" s="88"/>
      <c r="J78" s="88"/>
      <c r="K78" s="88"/>
      <c r="L78" s="88"/>
      <c r="M78" s="88"/>
      <c r="Q78" s="89"/>
      <c r="S78" s="90"/>
      <c r="U78" s="91"/>
      <c r="V78" s="91"/>
      <c r="W78" s="91"/>
      <c r="X78" s="91"/>
      <c r="Y78" s="91"/>
      <c r="Z78" s="91"/>
      <c r="AA78" s="91"/>
      <c r="AB78" s="91"/>
      <c r="AC78" s="91"/>
      <c r="AD78" s="91"/>
      <c r="AE78" s="91"/>
      <c r="AF78" s="91"/>
      <c r="AG78" s="91"/>
      <c r="AH78" s="91"/>
      <c r="AI78" s="91"/>
      <c r="AJ78" s="91"/>
      <c r="AK78" s="91"/>
      <c r="AL78" s="91"/>
      <c r="AM78" s="91"/>
      <c r="AN78" s="91"/>
      <c r="AO78" s="91"/>
      <c r="AP78" s="91"/>
      <c r="AQ78" s="91"/>
      <c r="AR78" s="91"/>
      <c r="AS78" s="91"/>
      <c r="AT78" s="91"/>
      <c r="AU78" s="91"/>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70"/>
      <c r="BV78" s="170"/>
      <c r="BW78" s="170"/>
    </row>
    <row r="79" spans="2:75" s="86" customFormat="1">
      <c r="B79" s="87"/>
      <c r="C79" s="87"/>
      <c r="D79" s="87"/>
      <c r="I79" s="88"/>
      <c r="J79" s="88"/>
      <c r="K79" s="88"/>
      <c r="L79" s="88"/>
      <c r="M79" s="88"/>
      <c r="Q79" s="89"/>
      <c r="S79" s="90"/>
      <c r="U79" s="91"/>
      <c r="V79" s="91"/>
      <c r="W79" s="91"/>
      <c r="X79" s="91"/>
      <c r="Y79" s="91"/>
      <c r="Z79" s="91"/>
      <c r="AA79" s="91"/>
      <c r="AB79" s="91"/>
      <c r="AC79" s="91"/>
      <c r="AD79" s="91"/>
      <c r="AE79" s="91"/>
      <c r="AF79" s="91"/>
      <c r="AG79" s="91"/>
      <c r="AH79" s="91"/>
      <c r="AI79" s="91"/>
      <c r="AJ79" s="91"/>
      <c r="AK79" s="91"/>
      <c r="AL79" s="91"/>
      <c r="AM79" s="91"/>
      <c r="AN79" s="91"/>
      <c r="AO79" s="91"/>
      <c r="AP79" s="91"/>
      <c r="AQ79" s="91"/>
      <c r="AR79" s="91"/>
      <c r="AS79" s="91"/>
      <c r="AT79" s="91"/>
      <c r="AU79" s="91"/>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70"/>
      <c r="BV79" s="170"/>
      <c r="BW79" s="170"/>
    </row>
    <row r="80" spans="2:75" s="86" customFormat="1">
      <c r="B80" s="87"/>
      <c r="C80" s="87"/>
      <c r="D80" s="87"/>
      <c r="I80" s="88"/>
      <c r="J80" s="88"/>
      <c r="K80" s="88"/>
      <c r="L80" s="88"/>
      <c r="M80" s="88"/>
      <c r="Q80" s="89"/>
      <c r="S80" s="90"/>
      <c r="U80" s="91"/>
      <c r="V80" s="91"/>
      <c r="W80" s="91"/>
      <c r="X80" s="91"/>
      <c r="Y80" s="91"/>
      <c r="Z80" s="91"/>
      <c r="AA80" s="91"/>
      <c r="AB80" s="91"/>
      <c r="AC80" s="91"/>
      <c r="AD80" s="91"/>
      <c r="AE80" s="91"/>
      <c r="AF80" s="91"/>
      <c r="AG80" s="91"/>
      <c r="AH80" s="91"/>
      <c r="AI80" s="91"/>
      <c r="AJ80" s="91"/>
      <c r="AK80" s="91"/>
      <c r="AL80" s="91"/>
      <c r="AM80" s="91"/>
      <c r="AN80" s="91"/>
      <c r="AO80" s="91"/>
      <c r="AP80" s="91"/>
      <c r="AQ80" s="91"/>
      <c r="AR80" s="91"/>
      <c r="AS80" s="91"/>
      <c r="AT80" s="91"/>
      <c r="AU80" s="91"/>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70"/>
      <c r="BV80" s="170"/>
      <c r="BW80" s="170"/>
    </row>
    <row r="81" spans="2:75" s="86" customFormat="1">
      <c r="B81" s="87"/>
      <c r="C81" s="87"/>
      <c r="D81" s="87"/>
      <c r="I81" s="88"/>
      <c r="J81" s="88"/>
      <c r="K81" s="88"/>
      <c r="L81" s="88"/>
      <c r="M81" s="88"/>
      <c r="Q81" s="89"/>
      <c r="S81" s="90"/>
      <c r="U81" s="91"/>
      <c r="V81" s="91"/>
      <c r="W81" s="91"/>
      <c r="X81" s="91"/>
      <c r="Y81" s="91"/>
      <c r="Z81" s="91"/>
      <c r="AA81" s="91"/>
      <c r="AB81" s="91"/>
      <c r="AC81" s="91"/>
      <c r="AD81" s="91"/>
      <c r="AE81" s="91"/>
      <c r="AF81" s="91"/>
      <c r="AG81" s="91"/>
      <c r="AH81" s="91"/>
      <c r="AI81" s="91"/>
      <c r="AJ81" s="91"/>
      <c r="AK81" s="91"/>
      <c r="AL81" s="91"/>
      <c r="AM81" s="91"/>
      <c r="AN81" s="91"/>
      <c r="AO81" s="91"/>
      <c r="AP81" s="91"/>
      <c r="AQ81" s="91"/>
      <c r="AR81" s="91"/>
      <c r="AS81" s="91"/>
      <c r="AT81" s="91"/>
      <c r="AU81" s="91"/>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70"/>
      <c r="BV81" s="170"/>
      <c r="BW81" s="170"/>
    </row>
    <row r="82" spans="2:75" s="86" customFormat="1">
      <c r="B82" s="87"/>
      <c r="C82" s="87"/>
      <c r="D82" s="87"/>
      <c r="I82" s="88"/>
      <c r="J82" s="88"/>
      <c r="K82" s="88"/>
      <c r="L82" s="88"/>
      <c r="M82" s="88"/>
      <c r="Q82" s="89"/>
      <c r="S82" s="90"/>
      <c r="U82" s="91"/>
      <c r="V82" s="91"/>
      <c r="W82" s="91"/>
      <c r="X82" s="91"/>
      <c r="Y82" s="91"/>
      <c r="Z82" s="91"/>
      <c r="AA82" s="91"/>
      <c r="AB82" s="91"/>
      <c r="AC82" s="91"/>
      <c r="AD82" s="91"/>
      <c r="AE82" s="91"/>
      <c r="AF82" s="91"/>
      <c r="AG82" s="91"/>
      <c r="AH82" s="91"/>
      <c r="AI82" s="91"/>
      <c r="AJ82" s="91"/>
      <c r="AK82" s="91"/>
      <c r="AL82" s="91"/>
      <c r="AM82" s="91"/>
      <c r="AN82" s="91"/>
      <c r="AO82" s="91"/>
      <c r="AP82" s="91"/>
      <c r="AQ82" s="91"/>
      <c r="AR82" s="91"/>
      <c r="AS82" s="91"/>
      <c r="AT82" s="91"/>
      <c r="AU82" s="91"/>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70"/>
      <c r="BV82" s="170"/>
      <c r="BW82" s="170"/>
    </row>
    <row r="83" spans="2:75" s="86" customFormat="1">
      <c r="B83" s="87"/>
      <c r="C83" s="87"/>
      <c r="D83" s="87"/>
      <c r="I83" s="88"/>
      <c r="J83" s="88"/>
      <c r="K83" s="88"/>
      <c r="L83" s="88"/>
      <c r="M83" s="88"/>
      <c r="Q83" s="89"/>
      <c r="S83" s="90"/>
      <c r="U83" s="91"/>
      <c r="V83" s="91"/>
      <c r="W83" s="91"/>
      <c r="X83" s="91"/>
      <c r="Y83" s="91"/>
      <c r="Z83" s="91"/>
      <c r="AA83" s="91"/>
      <c r="AB83" s="91"/>
      <c r="AC83" s="91"/>
      <c r="AD83" s="91"/>
      <c r="AE83" s="91"/>
      <c r="AF83" s="91"/>
      <c r="AG83" s="91"/>
      <c r="AH83" s="91"/>
      <c r="AI83" s="91"/>
      <c r="AJ83" s="91"/>
      <c r="AK83" s="91"/>
      <c r="AL83" s="91"/>
      <c r="AM83" s="91"/>
      <c r="AN83" s="91"/>
      <c r="AO83" s="91"/>
      <c r="AP83" s="91"/>
      <c r="AQ83" s="91"/>
      <c r="AR83" s="91"/>
      <c r="AS83" s="91"/>
      <c r="AT83" s="91"/>
      <c r="AU83" s="91"/>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70"/>
      <c r="BV83" s="170"/>
      <c r="BW83" s="170"/>
    </row>
    <row r="84" spans="2:75" s="86" customFormat="1">
      <c r="B84" s="87"/>
      <c r="C84" s="87"/>
      <c r="D84" s="87"/>
      <c r="I84" s="88"/>
      <c r="J84" s="88"/>
      <c r="K84" s="88"/>
      <c r="L84" s="88"/>
      <c r="M84" s="88"/>
      <c r="Q84" s="89"/>
      <c r="S84" s="90"/>
      <c r="U84" s="91"/>
      <c r="V84" s="91"/>
      <c r="W84" s="91"/>
      <c r="X84" s="91"/>
      <c r="Y84" s="91"/>
      <c r="Z84" s="91"/>
      <c r="AA84" s="91"/>
      <c r="AB84" s="91"/>
      <c r="AC84" s="91"/>
      <c r="AD84" s="91"/>
      <c r="AE84" s="91"/>
      <c r="AF84" s="91"/>
      <c r="AG84" s="91"/>
      <c r="AH84" s="91"/>
      <c r="AI84" s="91"/>
      <c r="AJ84" s="91"/>
      <c r="AK84" s="91"/>
      <c r="AL84" s="91"/>
      <c r="AM84" s="91"/>
      <c r="AN84" s="91"/>
      <c r="AO84" s="91"/>
      <c r="AP84" s="91"/>
      <c r="AQ84" s="91"/>
      <c r="AR84" s="91"/>
      <c r="AS84" s="91"/>
      <c r="AT84" s="91"/>
      <c r="AU84" s="91"/>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70"/>
      <c r="BV84" s="170"/>
      <c r="BW84" s="170"/>
    </row>
    <row r="85" spans="2:75" s="86" customFormat="1">
      <c r="B85" s="87"/>
      <c r="C85" s="87"/>
      <c r="D85" s="87"/>
      <c r="I85" s="88"/>
      <c r="J85" s="88"/>
      <c r="K85" s="88"/>
      <c r="L85" s="88"/>
      <c r="M85" s="88"/>
      <c r="Q85" s="89"/>
      <c r="S85" s="90"/>
      <c r="U85" s="91"/>
      <c r="V85" s="91"/>
      <c r="W85" s="91"/>
      <c r="X85" s="91"/>
      <c r="Y85" s="91"/>
      <c r="Z85" s="91"/>
      <c r="AA85" s="91"/>
      <c r="AB85" s="91"/>
      <c r="AC85" s="91"/>
      <c r="AD85" s="91"/>
      <c r="AE85" s="91"/>
      <c r="AF85" s="91"/>
      <c r="AG85" s="91"/>
      <c r="AH85" s="91"/>
      <c r="AI85" s="91"/>
      <c r="AJ85" s="91"/>
      <c r="AK85" s="91"/>
      <c r="AL85" s="91"/>
      <c r="AM85" s="91"/>
      <c r="AN85" s="91"/>
      <c r="AO85" s="91"/>
      <c r="AP85" s="91"/>
      <c r="AQ85" s="91"/>
      <c r="AR85" s="91"/>
      <c r="AS85" s="91"/>
      <c r="AT85" s="91"/>
      <c r="AU85" s="91"/>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70"/>
      <c r="BV85" s="170"/>
      <c r="BW85" s="170"/>
    </row>
    <row r="86" spans="2:75" s="86" customFormat="1">
      <c r="B86" s="87"/>
      <c r="C86" s="87"/>
      <c r="D86" s="87"/>
      <c r="I86" s="88"/>
      <c r="J86" s="88"/>
      <c r="K86" s="88"/>
      <c r="L86" s="88"/>
      <c r="M86" s="88"/>
      <c r="Q86" s="89"/>
      <c r="S86" s="90"/>
      <c r="U86" s="91"/>
      <c r="V86" s="91"/>
      <c r="W86" s="91"/>
      <c r="X86" s="91"/>
      <c r="Y86" s="91"/>
      <c r="Z86" s="91"/>
      <c r="AA86" s="91"/>
      <c r="AB86" s="91"/>
      <c r="AC86" s="91"/>
      <c r="AD86" s="91"/>
      <c r="AE86" s="91"/>
      <c r="AF86" s="91"/>
      <c r="AG86" s="91"/>
      <c r="AH86" s="91"/>
      <c r="AI86" s="91"/>
      <c r="AJ86" s="91"/>
      <c r="AK86" s="91"/>
      <c r="AL86" s="91"/>
      <c r="AM86" s="91"/>
      <c r="AN86" s="91"/>
      <c r="AO86" s="91"/>
      <c r="AP86" s="91"/>
      <c r="AQ86" s="91"/>
      <c r="AR86" s="91"/>
      <c r="AS86" s="91"/>
      <c r="AT86" s="91"/>
      <c r="AU86" s="91"/>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70"/>
      <c r="BV86" s="170"/>
      <c r="BW86" s="170"/>
    </row>
    <row r="87" spans="2:75" s="86" customFormat="1">
      <c r="B87" s="87"/>
      <c r="C87" s="87"/>
      <c r="D87" s="87"/>
      <c r="I87" s="88"/>
      <c r="J87" s="88"/>
      <c r="K87" s="88"/>
      <c r="L87" s="88"/>
      <c r="M87" s="88"/>
      <c r="Q87" s="89"/>
      <c r="S87" s="90"/>
      <c r="U87" s="91"/>
      <c r="V87" s="91"/>
      <c r="W87" s="91"/>
      <c r="X87" s="91"/>
      <c r="Y87" s="91"/>
      <c r="Z87" s="91"/>
      <c r="AA87" s="91"/>
      <c r="AB87" s="91"/>
      <c r="AC87" s="91"/>
      <c r="AD87" s="91"/>
      <c r="AE87" s="91"/>
      <c r="AF87" s="91"/>
      <c r="AG87" s="91"/>
      <c r="AH87" s="91"/>
      <c r="AI87" s="91"/>
      <c r="AJ87" s="91"/>
      <c r="AK87" s="91"/>
      <c r="AL87" s="91"/>
      <c r="AM87" s="91"/>
      <c r="AN87" s="91"/>
      <c r="AO87" s="91"/>
      <c r="AP87" s="91"/>
      <c r="AQ87" s="91"/>
      <c r="AR87" s="91"/>
      <c r="AS87" s="91"/>
      <c r="AT87" s="91"/>
      <c r="AU87" s="91"/>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70"/>
      <c r="BV87" s="170"/>
      <c r="BW87" s="170"/>
    </row>
    <row r="88" spans="2:75" s="86" customFormat="1">
      <c r="B88" s="87"/>
      <c r="C88" s="87"/>
      <c r="D88" s="87"/>
      <c r="I88" s="88"/>
      <c r="J88" s="88"/>
      <c r="K88" s="88"/>
      <c r="L88" s="88"/>
      <c r="M88" s="88"/>
      <c r="Q88" s="89"/>
      <c r="S88" s="90"/>
      <c r="U88" s="91"/>
      <c r="V88" s="91"/>
      <c r="W88" s="91"/>
      <c r="X88" s="91"/>
      <c r="Y88" s="91"/>
      <c r="Z88" s="91"/>
      <c r="AA88" s="91"/>
      <c r="AB88" s="91"/>
      <c r="AC88" s="91"/>
      <c r="AD88" s="91"/>
      <c r="AE88" s="91"/>
      <c r="AF88" s="91"/>
      <c r="AG88" s="91"/>
      <c r="AH88" s="91"/>
      <c r="AI88" s="91"/>
      <c r="AJ88" s="91"/>
      <c r="AK88" s="91"/>
      <c r="AL88" s="91"/>
      <c r="AM88" s="91"/>
      <c r="AN88" s="91"/>
      <c r="AO88" s="91"/>
      <c r="AP88" s="91"/>
      <c r="AQ88" s="91"/>
      <c r="AR88" s="91"/>
      <c r="AS88" s="91"/>
      <c r="AT88" s="91"/>
      <c r="AU88" s="91"/>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70"/>
      <c r="BV88" s="170"/>
      <c r="BW88" s="170"/>
    </row>
    <row r="89" spans="2:75" s="86" customFormat="1">
      <c r="B89" s="87"/>
      <c r="C89" s="87"/>
      <c r="D89" s="87"/>
      <c r="I89" s="88"/>
      <c r="J89" s="88"/>
      <c r="K89" s="88"/>
      <c r="L89" s="88"/>
      <c r="M89" s="88"/>
      <c r="Q89" s="89"/>
      <c r="S89" s="90"/>
      <c r="U89" s="91"/>
      <c r="V89" s="91"/>
      <c r="W89" s="91"/>
      <c r="X89" s="91"/>
      <c r="Y89" s="91"/>
      <c r="Z89" s="91"/>
      <c r="AA89" s="91"/>
      <c r="AB89" s="91"/>
      <c r="AC89" s="91"/>
      <c r="AD89" s="91"/>
      <c r="AE89" s="91"/>
      <c r="AF89" s="91"/>
      <c r="AG89" s="91"/>
      <c r="AH89" s="91"/>
      <c r="AI89" s="91"/>
      <c r="AJ89" s="91"/>
      <c r="AK89" s="91"/>
      <c r="AL89" s="91"/>
      <c r="AM89" s="91"/>
      <c r="AN89" s="91"/>
      <c r="AO89" s="91"/>
      <c r="AP89" s="91"/>
      <c r="AQ89" s="91"/>
      <c r="AR89" s="91"/>
      <c r="AS89" s="91"/>
      <c r="AT89" s="91"/>
      <c r="AU89" s="91"/>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70"/>
      <c r="BV89" s="170"/>
      <c r="BW89" s="170"/>
    </row>
    <row r="90" spans="2:75" s="86" customFormat="1">
      <c r="B90" s="87"/>
      <c r="C90" s="87"/>
      <c r="D90" s="87"/>
      <c r="I90" s="88"/>
      <c r="J90" s="88"/>
      <c r="K90" s="88"/>
      <c r="L90" s="88"/>
      <c r="M90" s="88"/>
      <c r="Q90" s="89"/>
      <c r="S90" s="90"/>
      <c r="U90" s="91"/>
      <c r="V90" s="91"/>
      <c r="W90" s="91"/>
      <c r="X90" s="91"/>
      <c r="Y90" s="91"/>
      <c r="Z90" s="91"/>
      <c r="AA90" s="91"/>
      <c r="AB90" s="91"/>
      <c r="AC90" s="91"/>
      <c r="AD90" s="91"/>
      <c r="AE90" s="91"/>
      <c r="AF90" s="91"/>
      <c r="AG90" s="91"/>
      <c r="AH90" s="91"/>
      <c r="AI90" s="91"/>
      <c r="AJ90" s="91"/>
      <c r="AK90" s="91"/>
      <c r="AL90" s="91"/>
      <c r="AM90" s="91"/>
      <c r="AN90" s="91"/>
      <c r="AO90" s="91"/>
      <c r="AP90" s="91"/>
      <c r="AQ90" s="91"/>
      <c r="AR90" s="91"/>
      <c r="AS90" s="91"/>
      <c r="AT90" s="91"/>
      <c r="AU90" s="91"/>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70"/>
      <c r="BV90" s="170"/>
      <c r="BW90" s="170"/>
    </row>
    <row r="91" spans="2:75" s="86" customFormat="1">
      <c r="B91" s="87"/>
      <c r="C91" s="87"/>
      <c r="D91" s="87"/>
      <c r="I91" s="88"/>
      <c r="J91" s="88"/>
      <c r="K91" s="88"/>
      <c r="L91" s="88"/>
      <c r="M91" s="88"/>
      <c r="Q91" s="89"/>
      <c r="S91" s="90"/>
      <c r="U91" s="91"/>
      <c r="V91" s="91"/>
      <c r="W91" s="91"/>
      <c r="X91" s="91"/>
      <c r="Y91" s="91"/>
      <c r="Z91" s="91"/>
      <c r="AA91" s="91"/>
      <c r="AB91" s="91"/>
      <c r="AC91" s="91"/>
      <c r="AD91" s="91"/>
      <c r="AE91" s="91"/>
      <c r="AF91" s="91"/>
      <c r="AG91" s="91"/>
      <c r="AH91" s="91"/>
      <c r="AI91" s="91"/>
      <c r="AJ91" s="91"/>
      <c r="AK91" s="91"/>
      <c r="AL91" s="91"/>
      <c r="AM91" s="91"/>
      <c r="AN91" s="91"/>
      <c r="AO91" s="91"/>
      <c r="AP91" s="91"/>
      <c r="AQ91" s="91"/>
      <c r="AR91" s="91"/>
      <c r="AS91" s="91"/>
      <c r="AT91" s="91"/>
      <c r="AU91" s="91"/>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70"/>
      <c r="BV91" s="170"/>
      <c r="BW91" s="170"/>
    </row>
    <row r="92" spans="2:75" s="86" customFormat="1">
      <c r="B92" s="87"/>
      <c r="C92" s="87"/>
      <c r="D92" s="87"/>
      <c r="I92" s="88"/>
      <c r="J92" s="88"/>
      <c r="K92" s="88"/>
      <c r="L92" s="88"/>
      <c r="M92" s="88"/>
      <c r="Q92" s="89"/>
      <c r="S92" s="90"/>
      <c r="U92" s="91"/>
      <c r="V92" s="91"/>
      <c r="W92" s="91"/>
      <c r="X92" s="91"/>
      <c r="Y92" s="91"/>
      <c r="Z92" s="91"/>
      <c r="AA92" s="91"/>
      <c r="AB92" s="91"/>
      <c r="AC92" s="91"/>
      <c r="AD92" s="91"/>
      <c r="AE92" s="91"/>
      <c r="AF92" s="91"/>
      <c r="AG92" s="91"/>
      <c r="AH92" s="91"/>
      <c r="AI92" s="91"/>
      <c r="AJ92" s="91"/>
      <c r="AK92" s="91"/>
      <c r="AL92" s="91"/>
      <c r="AM92" s="91"/>
      <c r="AN92" s="91"/>
      <c r="AO92" s="91"/>
      <c r="AP92" s="91"/>
      <c r="AQ92" s="91"/>
      <c r="AR92" s="91"/>
      <c r="AS92" s="91"/>
      <c r="AT92" s="91"/>
      <c r="AU92" s="91"/>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70"/>
      <c r="BV92" s="170"/>
      <c r="BW92" s="170"/>
    </row>
    <row r="93" spans="2:75" s="86" customFormat="1">
      <c r="B93" s="87"/>
      <c r="C93" s="87"/>
      <c r="D93" s="87"/>
      <c r="I93" s="88"/>
      <c r="J93" s="88"/>
      <c r="K93" s="88"/>
      <c r="L93" s="88"/>
      <c r="M93" s="88"/>
      <c r="Q93" s="89"/>
      <c r="S93" s="90"/>
      <c r="U93" s="91"/>
      <c r="V93" s="91"/>
      <c r="W93" s="91"/>
      <c r="X93" s="91"/>
      <c r="Y93" s="91"/>
      <c r="Z93" s="91"/>
      <c r="AA93" s="91"/>
      <c r="AB93" s="91"/>
      <c r="AC93" s="91"/>
      <c r="AD93" s="91"/>
      <c r="AE93" s="91"/>
      <c r="AF93" s="91"/>
      <c r="AG93" s="91"/>
      <c r="AH93" s="91"/>
      <c r="AI93" s="91"/>
      <c r="AJ93" s="91"/>
      <c r="AK93" s="91"/>
      <c r="AL93" s="91"/>
      <c r="AM93" s="91"/>
      <c r="AN93" s="91"/>
      <c r="AO93" s="91"/>
      <c r="AP93" s="91"/>
      <c r="AQ93" s="91"/>
      <c r="AR93" s="91"/>
      <c r="AS93" s="91"/>
      <c r="AT93" s="91"/>
      <c r="AU93" s="91"/>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70"/>
      <c r="BV93" s="170"/>
      <c r="BW93" s="170"/>
    </row>
    <row r="94" spans="2:75" s="86" customFormat="1">
      <c r="B94" s="87"/>
      <c r="C94" s="87"/>
      <c r="D94" s="87"/>
      <c r="I94" s="88"/>
      <c r="J94" s="88"/>
      <c r="K94" s="88"/>
      <c r="L94" s="88"/>
      <c r="M94" s="88"/>
      <c r="Q94" s="89"/>
      <c r="S94" s="90"/>
      <c r="U94" s="91"/>
      <c r="V94" s="91"/>
      <c r="W94" s="91"/>
      <c r="X94" s="91"/>
      <c r="Y94" s="91"/>
      <c r="Z94" s="91"/>
      <c r="AA94" s="91"/>
      <c r="AB94" s="91"/>
      <c r="AC94" s="91"/>
      <c r="AD94" s="91"/>
      <c r="AE94" s="91"/>
      <c r="AF94" s="91"/>
      <c r="AG94" s="91"/>
      <c r="AH94" s="91"/>
      <c r="AI94" s="91"/>
      <c r="AJ94" s="91"/>
      <c r="AK94" s="91"/>
      <c r="AL94" s="91"/>
      <c r="AM94" s="91"/>
      <c r="AN94" s="91"/>
      <c r="AO94" s="91"/>
      <c r="AP94" s="91"/>
      <c r="AQ94" s="91"/>
      <c r="AR94" s="91"/>
      <c r="AS94" s="91"/>
      <c r="AT94" s="91"/>
      <c r="AU94" s="91"/>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70"/>
      <c r="BV94" s="170"/>
      <c r="BW94" s="170"/>
    </row>
    <row r="95" spans="2:75" s="86" customFormat="1">
      <c r="B95" s="87"/>
      <c r="C95" s="87"/>
      <c r="D95" s="87"/>
      <c r="I95" s="88"/>
      <c r="J95" s="88"/>
      <c r="K95" s="88"/>
      <c r="L95" s="88"/>
      <c r="M95" s="88"/>
      <c r="Q95" s="89"/>
      <c r="S95" s="90"/>
      <c r="U95" s="91"/>
      <c r="V95" s="91"/>
      <c r="W95" s="91"/>
      <c r="X95" s="91"/>
      <c r="Y95" s="91"/>
      <c r="Z95" s="91"/>
      <c r="AA95" s="91"/>
      <c r="AB95" s="91"/>
      <c r="AC95" s="91"/>
      <c r="AD95" s="91"/>
      <c r="AE95" s="91"/>
      <c r="AF95" s="91"/>
      <c r="AG95" s="91"/>
      <c r="AH95" s="91"/>
      <c r="AI95" s="91"/>
      <c r="AJ95" s="91"/>
      <c r="AK95" s="91"/>
      <c r="AL95" s="91"/>
      <c r="AM95" s="91"/>
      <c r="AN95" s="91"/>
      <c r="AO95" s="91"/>
      <c r="AP95" s="91"/>
      <c r="AQ95" s="91"/>
      <c r="AR95" s="91"/>
      <c r="AS95" s="91"/>
      <c r="AT95" s="91"/>
      <c r="AU95" s="91"/>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70"/>
      <c r="BV95" s="170"/>
      <c r="BW95" s="170"/>
    </row>
    <row r="96" spans="2:75" s="86" customFormat="1">
      <c r="B96" s="87"/>
      <c r="C96" s="87"/>
      <c r="D96" s="87"/>
      <c r="I96" s="88"/>
      <c r="J96" s="88"/>
      <c r="K96" s="88"/>
      <c r="L96" s="88"/>
      <c r="M96" s="88"/>
      <c r="Q96" s="89"/>
      <c r="S96" s="90"/>
      <c r="U96" s="91"/>
      <c r="V96" s="91"/>
      <c r="W96" s="91"/>
      <c r="X96" s="91"/>
      <c r="Y96" s="91"/>
      <c r="Z96" s="91"/>
      <c r="AA96" s="91"/>
      <c r="AB96" s="91"/>
      <c r="AC96" s="91"/>
      <c r="AD96" s="91"/>
      <c r="AE96" s="91"/>
      <c r="AF96" s="91"/>
      <c r="AG96" s="91"/>
      <c r="AH96" s="91"/>
      <c r="AI96" s="91"/>
      <c r="AJ96" s="91"/>
      <c r="AK96" s="91"/>
      <c r="AL96" s="91"/>
      <c r="AM96" s="91"/>
      <c r="AN96" s="91"/>
      <c r="AO96" s="91"/>
      <c r="AP96" s="91"/>
      <c r="AQ96" s="91"/>
      <c r="AR96" s="91"/>
      <c r="AS96" s="91"/>
      <c r="AT96" s="91"/>
      <c r="AU96" s="91"/>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70"/>
      <c r="BV96" s="170"/>
      <c r="BW96" s="170"/>
    </row>
    <row r="97" spans="2:75" s="86" customFormat="1">
      <c r="B97" s="87"/>
      <c r="C97" s="87"/>
      <c r="D97" s="87"/>
      <c r="I97" s="88"/>
      <c r="J97" s="88"/>
      <c r="K97" s="88"/>
      <c r="L97" s="88"/>
      <c r="M97" s="88"/>
      <c r="Q97" s="89"/>
      <c r="S97" s="90"/>
      <c r="U97" s="91"/>
      <c r="V97" s="91"/>
      <c r="W97" s="91"/>
      <c r="X97" s="91"/>
      <c r="Y97" s="91"/>
      <c r="Z97" s="91"/>
      <c r="AA97" s="91"/>
      <c r="AB97" s="91"/>
      <c r="AC97" s="91"/>
      <c r="AD97" s="91"/>
      <c r="AE97" s="91"/>
      <c r="AF97" s="91"/>
      <c r="AG97" s="91"/>
      <c r="AH97" s="91"/>
      <c r="AI97" s="91"/>
      <c r="AJ97" s="91"/>
      <c r="AK97" s="91"/>
      <c r="AL97" s="91"/>
      <c r="AM97" s="91"/>
      <c r="AN97" s="91"/>
      <c r="AO97" s="91"/>
      <c r="AP97" s="91"/>
      <c r="AQ97" s="91"/>
      <c r="AR97" s="91"/>
      <c r="AS97" s="91"/>
      <c r="AT97" s="91"/>
      <c r="AU97" s="91"/>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70"/>
      <c r="BV97" s="170"/>
      <c r="BW97" s="170"/>
    </row>
    <row r="98" spans="2:75" s="86" customFormat="1">
      <c r="B98" s="87"/>
      <c r="C98" s="87"/>
      <c r="D98" s="87"/>
      <c r="I98" s="88"/>
      <c r="J98" s="88"/>
      <c r="K98" s="88"/>
      <c r="L98" s="88"/>
      <c r="M98" s="88"/>
      <c r="Q98" s="89"/>
      <c r="S98" s="90"/>
      <c r="U98" s="91"/>
      <c r="V98" s="91"/>
      <c r="W98" s="91"/>
      <c r="X98" s="91"/>
      <c r="Y98" s="91"/>
      <c r="Z98" s="91"/>
      <c r="AA98" s="91"/>
      <c r="AB98" s="91"/>
      <c r="AC98" s="91"/>
      <c r="AD98" s="91"/>
      <c r="AE98" s="91"/>
      <c r="AF98" s="91"/>
      <c r="AG98" s="91"/>
      <c r="AH98" s="91"/>
      <c r="AI98" s="91"/>
      <c r="AJ98" s="91"/>
      <c r="AK98" s="91"/>
      <c r="AL98" s="91"/>
      <c r="AM98" s="91"/>
      <c r="AN98" s="91"/>
      <c r="AO98" s="91"/>
      <c r="AP98" s="91"/>
      <c r="AQ98" s="91"/>
      <c r="AR98" s="91"/>
      <c r="AS98" s="91"/>
      <c r="AT98" s="91"/>
      <c r="AU98" s="91"/>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70"/>
      <c r="BV98" s="170"/>
      <c r="BW98" s="170"/>
    </row>
    <row r="99" spans="2:75" s="86" customFormat="1">
      <c r="B99" s="87"/>
      <c r="C99" s="87"/>
      <c r="D99" s="87"/>
      <c r="I99" s="88"/>
      <c r="J99" s="88"/>
      <c r="K99" s="88"/>
      <c r="L99" s="88"/>
      <c r="M99" s="88"/>
      <c r="Q99" s="89"/>
      <c r="S99" s="90"/>
      <c r="U99" s="91"/>
      <c r="V99" s="91"/>
      <c r="W99" s="91"/>
      <c r="X99" s="91"/>
      <c r="Y99" s="91"/>
      <c r="Z99" s="91"/>
      <c r="AA99" s="91"/>
      <c r="AB99" s="91"/>
      <c r="AC99" s="91"/>
      <c r="AD99" s="91"/>
      <c r="AE99" s="91"/>
      <c r="AF99" s="91"/>
      <c r="AG99" s="91"/>
      <c r="AH99" s="91"/>
      <c r="AI99" s="91"/>
      <c r="AJ99" s="91"/>
      <c r="AK99" s="91"/>
      <c r="AL99" s="91"/>
      <c r="AM99" s="91"/>
      <c r="AN99" s="91"/>
      <c r="AO99" s="91"/>
      <c r="AP99" s="91"/>
      <c r="AQ99" s="91"/>
      <c r="AR99" s="91"/>
      <c r="AS99" s="91"/>
      <c r="AT99" s="91"/>
      <c r="AU99" s="91"/>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70"/>
      <c r="BV99" s="170"/>
      <c r="BW99" s="170"/>
    </row>
    <row r="100" spans="2:75" s="86" customFormat="1">
      <c r="B100" s="87"/>
      <c r="C100" s="87"/>
      <c r="D100" s="87"/>
      <c r="I100" s="88"/>
      <c r="J100" s="88"/>
      <c r="K100" s="88"/>
      <c r="L100" s="88"/>
      <c r="M100" s="88"/>
      <c r="Q100" s="89"/>
      <c r="S100" s="90"/>
      <c r="U100" s="91"/>
      <c r="V100" s="91"/>
      <c r="W100" s="91"/>
      <c r="X100" s="91"/>
      <c r="Y100" s="91"/>
      <c r="Z100" s="91"/>
      <c r="AA100" s="91"/>
      <c r="AB100" s="91"/>
      <c r="AC100" s="91"/>
      <c r="AD100" s="91"/>
      <c r="AE100" s="91"/>
      <c r="AF100" s="91"/>
      <c r="AG100" s="91"/>
      <c r="AH100" s="91"/>
      <c r="AI100" s="91"/>
      <c r="AJ100" s="91"/>
      <c r="AK100" s="91"/>
      <c r="AL100" s="91"/>
      <c r="AM100" s="91"/>
      <c r="AN100" s="91"/>
      <c r="AO100" s="91"/>
      <c r="AP100" s="91"/>
      <c r="AQ100" s="91"/>
      <c r="AR100" s="91"/>
      <c r="AS100" s="91"/>
      <c r="AT100" s="91"/>
      <c r="AU100" s="91"/>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70"/>
      <c r="BV100" s="170"/>
      <c r="BW100" s="170"/>
    </row>
    <row r="101" spans="2:75" s="86" customFormat="1">
      <c r="B101" s="87"/>
      <c r="C101" s="87"/>
      <c r="D101" s="87"/>
      <c r="I101" s="88"/>
      <c r="J101" s="88"/>
      <c r="K101" s="88"/>
      <c r="L101" s="88"/>
      <c r="M101" s="88"/>
      <c r="Q101" s="89"/>
      <c r="S101" s="90"/>
      <c r="U101" s="91"/>
      <c r="V101" s="91"/>
      <c r="W101" s="91"/>
      <c r="X101" s="91"/>
      <c r="Y101" s="91"/>
      <c r="Z101" s="91"/>
      <c r="AA101" s="91"/>
      <c r="AB101" s="91"/>
      <c r="AC101" s="91"/>
      <c r="AD101" s="91"/>
      <c r="AE101" s="91"/>
      <c r="AF101" s="91"/>
      <c r="AG101" s="91"/>
      <c r="AH101" s="91"/>
      <c r="AI101" s="91"/>
      <c r="AJ101" s="91"/>
      <c r="AK101" s="91"/>
      <c r="AL101" s="91"/>
      <c r="AM101" s="91"/>
      <c r="AN101" s="91"/>
      <c r="AO101" s="91"/>
      <c r="AP101" s="91"/>
      <c r="AQ101" s="91"/>
      <c r="AR101" s="91"/>
      <c r="AS101" s="91"/>
      <c r="AT101" s="91"/>
      <c r="AU101" s="91"/>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70"/>
      <c r="BV101" s="170"/>
      <c r="BW101" s="170"/>
    </row>
    <row r="102" spans="2:75" s="86" customFormat="1">
      <c r="B102" s="87"/>
      <c r="C102" s="87"/>
      <c r="D102" s="87"/>
      <c r="I102" s="88"/>
      <c r="J102" s="88"/>
      <c r="K102" s="88"/>
      <c r="L102" s="88"/>
      <c r="M102" s="88"/>
      <c r="Q102" s="89"/>
      <c r="S102" s="90"/>
      <c r="U102" s="91"/>
      <c r="V102" s="91"/>
      <c r="W102" s="91"/>
      <c r="X102" s="91"/>
      <c r="Y102" s="91"/>
      <c r="Z102" s="91"/>
      <c r="AA102" s="91"/>
      <c r="AB102" s="91"/>
      <c r="AC102" s="91"/>
      <c r="AD102" s="91"/>
      <c r="AE102" s="91"/>
      <c r="AF102" s="91"/>
      <c r="AG102" s="91"/>
      <c r="AH102" s="91"/>
      <c r="AI102" s="91"/>
      <c r="AJ102" s="91"/>
      <c r="AK102" s="91"/>
      <c r="AL102" s="91"/>
      <c r="AM102" s="91"/>
      <c r="AN102" s="91"/>
      <c r="AO102" s="91"/>
      <c r="AP102" s="91"/>
      <c r="AQ102" s="91"/>
      <c r="AR102" s="91"/>
      <c r="AS102" s="91"/>
      <c r="AT102" s="91"/>
      <c r="AU102" s="91"/>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70"/>
      <c r="BV102" s="170"/>
      <c r="BW102" s="170"/>
    </row>
    <row r="103" spans="2:75" s="86" customFormat="1">
      <c r="B103" s="87"/>
      <c r="C103" s="87"/>
      <c r="D103" s="87"/>
      <c r="I103" s="88"/>
      <c r="J103" s="88"/>
      <c r="K103" s="88"/>
      <c r="L103" s="88"/>
      <c r="M103" s="88"/>
      <c r="Q103" s="89"/>
      <c r="S103" s="90"/>
      <c r="U103" s="91"/>
      <c r="V103" s="91"/>
      <c r="W103" s="91"/>
      <c r="X103" s="91"/>
      <c r="Y103" s="91"/>
      <c r="Z103" s="91"/>
      <c r="AA103" s="91"/>
      <c r="AB103" s="91"/>
      <c r="AC103" s="91"/>
      <c r="AD103" s="91"/>
      <c r="AE103" s="91"/>
      <c r="AF103" s="91"/>
      <c r="AG103" s="91"/>
      <c r="AH103" s="91"/>
      <c r="AI103" s="91"/>
      <c r="AJ103" s="91"/>
      <c r="AK103" s="91"/>
      <c r="AL103" s="91"/>
      <c r="AM103" s="91"/>
      <c r="AN103" s="91"/>
      <c r="AO103" s="91"/>
      <c r="AP103" s="91"/>
      <c r="AQ103" s="91"/>
      <c r="AR103" s="91"/>
      <c r="AS103" s="91"/>
      <c r="AT103" s="91"/>
      <c r="AU103" s="91"/>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70"/>
      <c r="BV103" s="170"/>
      <c r="BW103" s="170"/>
    </row>
    <row r="104" spans="2:75" s="86" customFormat="1">
      <c r="B104" s="87"/>
      <c r="C104" s="87"/>
      <c r="D104" s="87"/>
      <c r="I104" s="88"/>
      <c r="J104" s="88"/>
      <c r="K104" s="88"/>
      <c r="L104" s="88"/>
      <c r="M104" s="88"/>
      <c r="Q104" s="89"/>
      <c r="S104" s="90"/>
      <c r="U104" s="91"/>
      <c r="V104" s="91"/>
      <c r="W104" s="91"/>
      <c r="X104" s="91"/>
      <c r="Y104" s="91"/>
      <c r="Z104" s="91"/>
      <c r="AA104" s="91"/>
      <c r="AB104" s="91"/>
      <c r="AC104" s="91"/>
      <c r="AD104" s="91"/>
      <c r="AE104" s="91"/>
      <c r="AF104" s="91"/>
      <c r="AG104" s="91"/>
      <c r="AH104" s="91"/>
      <c r="AI104" s="91"/>
      <c r="AJ104" s="91"/>
      <c r="AK104" s="91"/>
      <c r="AL104" s="91"/>
      <c r="AM104" s="91"/>
      <c r="AN104" s="91"/>
      <c r="AO104" s="91"/>
      <c r="AP104" s="91"/>
      <c r="AQ104" s="91"/>
      <c r="AR104" s="91"/>
      <c r="AS104" s="91"/>
      <c r="AT104" s="91"/>
      <c r="AU104" s="91"/>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70"/>
      <c r="BV104" s="170"/>
      <c r="BW104" s="170"/>
    </row>
    <row r="105" spans="2:75" s="86" customFormat="1">
      <c r="B105" s="87"/>
      <c r="C105" s="87"/>
      <c r="D105" s="87"/>
      <c r="I105" s="88"/>
      <c r="J105" s="88"/>
      <c r="K105" s="88"/>
      <c r="L105" s="88"/>
      <c r="M105" s="88"/>
      <c r="Q105" s="89"/>
      <c r="S105" s="90"/>
      <c r="U105" s="91"/>
      <c r="V105" s="91"/>
      <c r="W105" s="91"/>
      <c r="X105" s="91"/>
      <c r="Y105" s="91"/>
      <c r="Z105" s="91"/>
      <c r="AA105" s="91"/>
      <c r="AB105" s="91"/>
      <c r="AC105" s="91"/>
      <c r="AD105" s="91"/>
      <c r="AE105" s="91"/>
      <c r="AF105" s="91"/>
      <c r="AG105" s="91"/>
      <c r="AH105" s="91"/>
      <c r="AI105" s="91"/>
      <c r="AJ105" s="91"/>
      <c r="AK105" s="91"/>
      <c r="AL105" s="91"/>
      <c r="AM105" s="91"/>
      <c r="AN105" s="91"/>
      <c r="AO105" s="91"/>
      <c r="AP105" s="91"/>
      <c r="AQ105" s="91"/>
      <c r="AR105" s="91"/>
      <c r="AS105" s="91"/>
      <c r="AT105" s="91"/>
      <c r="AU105" s="91"/>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70"/>
      <c r="BV105" s="170"/>
      <c r="BW105" s="170"/>
    </row>
    <row r="106" spans="2:75" s="86" customFormat="1">
      <c r="B106" s="87"/>
      <c r="C106" s="87"/>
      <c r="D106" s="87"/>
      <c r="I106" s="88"/>
      <c r="J106" s="88"/>
      <c r="K106" s="88"/>
      <c r="L106" s="88"/>
      <c r="M106" s="88"/>
      <c r="Q106" s="89"/>
      <c r="S106" s="90"/>
      <c r="U106" s="91"/>
      <c r="V106" s="91"/>
      <c r="W106" s="91"/>
      <c r="X106" s="91"/>
      <c r="Y106" s="91"/>
      <c r="Z106" s="91"/>
      <c r="AA106" s="91"/>
      <c r="AB106" s="91"/>
      <c r="AC106" s="91"/>
      <c r="AD106" s="91"/>
      <c r="AE106" s="91"/>
      <c r="AF106" s="91"/>
      <c r="AG106" s="91"/>
      <c r="AH106" s="91"/>
      <c r="AI106" s="91"/>
      <c r="AJ106" s="91"/>
      <c r="AK106" s="91"/>
      <c r="AL106" s="91"/>
      <c r="AM106" s="91"/>
      <c r="AN106" s="91"/>
      <c r="AO106" s="91"/>
      <c r="AP106" s="91"/>
      <c r="AQ106" s="91"/>
      <c r="AR106" s="91"/>
      <c r="AS106" s="91"/>
      <c r="AT106" s="91"/>
      <c r="AU106" s="91"/>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70"/>
      <c r="BV106" s="170"/>
      <c r="BW106" s="170"/>
    </row>
    <row r="107" spans="2:75" s="86" customFormat="1">
      <c r="B107" s="87"/>
      <c r="C107" s="87"/>
      <c r="D107" s="87"/>
      <c r="I107" s="88"/>
      <c r="J107" s="88"/>
      <c r="K107" s="88"/>
      <c r="L107" s="88"/>
      <c r="M107" s="88"/>
      <c r="Q107" s="89"/>
      <c r="S107" s="90"/>
      <c r="U107" s="91"/>
      <c r="V107" s="91"/>
      <c r="W107" s="91"/>
      <c r="X107" s="91"/>
      <c r="Y107" s="91"/>
      <c r="Z107" s="91"/>
      <c r="AA107" s="91"/>
      <c r="AB107" s="91"/>
      <c r="AC107" s="91"/>
      <c r="AD107" s="91"/>
      <c r="AE107" s="91"/>
      <c r="AF107" s="91"/>
      <c r="AG107" s="91"/>
      <c r="AH107" s="91"/>
      <c r="AI107" s="91"/>
      <c r="AJ107" s="91"/>
      <c r="AK107" s="91"/>
      <c r="AL107" s="91"/>
      <c r="AM107" s="91"/>
      <c r="AN107" s="91"/>
      <c r="AO107" s="91"/>
      <c r="AP107" s="91"/>
      <c r="AQ107" s="91"/>
      <c r="AR107" s="91"/>
      <c r="AS107" s="91"/>
      <c r="AT107" s="91"/>
      <c r="AU107" s="91"/>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70"/>
      <c r="BV107" s="170"/>
      <c r="BW107" s="170"/>
    </row>
    <row r="108" spans="2:75" s="86" customFormat="1">
      <c r="B108" s="87"/>
      <c r="C108" s="87"/>
      <c r="D108" s="87"/>
      <c r="I108" s="88"/>
      <c r="J108" s="88"/>
      <c r="K108" s="88"/>
      <c r="L108" s="88"/>
      <c r="M108" s="88"/>
      <c r="Q108" s="89"/>
      <c r="S108" s="90"/>
      <c r="U108" s="91"/>
      <c r="V108" s="91"/>
      <c r="W108" s="91"/>
      <c r="X108" s="91"/>
      <c r="Y108" s="91"/>
      <c r="Z108" s="91"/>
      <c r="AA108" s="91"/>
      <c r="AB108" s="91"/>
      <c r="AC108" s="91"/>
      <c r="AD108" s="91"/>
      <c r="AE108" s="91"/>
      <c r="AF108" s="91"/>
      <c r="AG108" s="91"/>
      <c r="AH108" s="91"/>
      <c r="AI108" s="91"/>
      <c r="AJ108" s="91"/>
      <c r="AK108" s="91"/>
      <c r="AL108" s="91"/>
      <c r="AM108" s="91"/>
      <c r="AN108" s="91"/>
      <c r="AO108" s="91"/>
      <c r="AP108" s="91"/>
      <c r="AQ108" s="91"/>
      <c r="AR108" s="91"/>
      <c r="AS108" s="91"/>
      <c r="AT108" s="91"/>
      <c r="AU108" s="91"/>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70"/>
      <c r="BV108" s="170"/>
      <c r="BW108" s="170"/>
    </row>
    <row r="109" spans="2:75" s="86" customFormat="1">
      <c r="B109" s="87"/>
      <c r="C109" s="87"/>
      <c r="D109" s="87"/>
      <c r="I109" s="88"/>
      <c r="J109" s="88"/>
      <c r="K109" s="88"/>
      <c r="L109" s="88"/>
      <c r="M109" s="88"/>
      <c r="Q109" s="89"/>
      <c r="S109" s="90"/>
      <c r="U109" s="91"/>
      <c r="V109" s="91"/>
      <c r="W109" s="91"/>
      <c r="X109" s="91"/>
      <c r="Y109" s="91"/>
      <c r="Z109" s="91"/>
      <c r="AA109" s="91"/>
      <c r="AB109" s="91"/>
      <c r="AC109" s="91"/>
      <c r="AD109" s="91"/>
      <c r="AE109" s="91"/>
      <c r="AF109" s="91"/>
      <c r="AG109" s="91"/>
      <c r="AH109" s="91"/>
      <c r="AI109" s="91"/>
      <c r="AJ109" s="91"/>
      <c r="AK109" s="91"/>
      <c r="AL109" s="91"/>
      <c r="AM109" s="91"/>
      <c r="AN109" s="91"/>
      <c r="AO109" s="91"/>
      <c r="AP109" s="91"/>
      <c r="AQ109" s="91"/>
      <c r="AR109" s="91"/>
      <c r="AS109" s="91"/>
      <c r="AT109" s="91"/>
      <c r="AU109" s="91"/>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70"/>
      <c r="BV109" s="170"/>
      <c r="BW109" s="170"/>
    </row>
    <row r="110" spans="2:75" s="86" customFormat="1">
      <c r="B110" s="87"/>
      <c r="C110" s="87"/>
      <c r="D110" s="87"/>
      <c r="I110" s="88"/>
      <c r="J110" s="88"/>
      <c r="K110" s="88"/>
      <c r="L110" s="88"/>
      <c r="M110" s="88"/>
      <c r="Q110" s="89"/>
      <c r="S110" s="90"/>
      <c r="U110" s="91"/>
      <c r="V110" s="91"/>
      <c r="W110" s="91"/>
      <c r="X110" s="91"/>
      <c r="Y110" s="91"/>
      <c r="Z110" s="91"/>
      <c r="AA110" s="91"/>
      <c r="AB110" s="91"/>
      <c r="AC110" s="91"/>
      <c r="AD110" s="91"/>
      <c r="AE110" s="91"/>
      <c r="AF110" s="91"/>
      <c r="AG110" s="91"/>
      <c r="AH110" s="91"/>
      <c r="AI110" s="91"/>
      <c r="AJ110" s="91"/>
      <c r="AK110" s="91"/>
      <c r="AL110" s="91"/>
      <c r="AM110" s="91"/>
      <c r="AN110" s="91"/>
      <c r="AO110" s="91"/>
      <c r="AP110" s="91"/>
      <c r="AQ110" s="91"/>
      <c r="AR110" s="91"/>
      <c r="AS110" s="91"/>
      <c r="AT110" s="91"/>
      <c r="AU110" s="91"/>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70"/>
      <c r="BV110" s="170"/>
      <c r="BW110" s="170"/>
    </row>
    <row r="111" spans="2:75" s="86" customFormat="1">
      <c r="B111" s="87"/>
      <c r="C111" s="87"/>
      <c r="D111" s="87"/>
      <c r="I111" s="88"/>
      <c r="J111" s="88"/>
      <c r="K111" s="88"/>
      <c r="L111" s="88"/>
      <c r="M111" s="88"/>
      <c r="Q111" s="89"/>
      <c r="S111" s="90"/>
      <c r="U111" s="91"/>
      <c r="V111" s="91"/>
      <c r="W111" s="91"/>
      <c r="X111" s="91"/>
      <c r="Y111" s="91"/>
      <c r="Z111" s="91"/>
      <c r="AA111" s="91"/>
      <c r="AB111" s="91"/>
      <c r="AC111" s="91"/>
      <c r="AD111" s="91"/>
      <c r="AE111" s="91"/>
      <c r="AF111" s="91"/>
      <c r="AG111" s="91"/>
      <c r="AH111" s="91"/>
      <c r="AI111" s="91"/>
      <c r="AJ111" s="91"/>
      <c r="AK111" s="91"/>
      <c r="AL111" s="91"/>
      <c r="AM111" s="91"/>
      <c r="AN111" s="91"/>
      <c r="AO111" s="91"/>
      <c r="AP111" s="91"/>
      <c r="AQ111" s="91"/>
      <c r="AR111" s="91"/>
      <c r="AS111" s="91"/>
      <c r="AT111" s="91"/>
      <c r="AU111" s="91"/>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70"/>
      <c r="BV111" s="170"/>
      <c r="BW111" s="170"/>
    </row>
    <row r="112" spans="2:75" s="86" customFormat="1">
      <c r="B112" s="87"/>
      <c r="C112" s="87"/>
      <c r="D112" s="87"/>
      <c r="I112" s="88"/>
      <c r="J112" s="88"/>
      <c r="K112" s="88"/>
      <c r="L112" s="88"/>
      <c r="M112" s="88"/>
      <c r="Q112" s="89"/>
      <c r="S112" s="90"/>
      <c r="U112" s="91"/>
      <c r="V112" s="91"/>
      <c r="W112" s="91"/>
      <c r="X112" s="91"/>
      <c r="Y112" s="91"/>
      <c r="Z112" s="91"/>
      <c r="AA112" s="91"/>
      <c r="AB112" s="91"/>
      <c r="AC112" s="91"/>
      <c r="AD112" s="91"/>
      <c r="AE112" s="91"/>
      <c r="AF112" s="91"/>
      <c r="AG112" s="91"/>
      <c r="AH112" s="91"/>
      <c r="AI112" s="91"/>
      <c r="AJ112" s="91"/>
      <c r="AK112" s="91"/>
      <c r="AL112" s="91"/>
      <c r="AM112" s="91"/>
      <c r="AN112" s="91"/>
      <c r="AO112" s="91"/>
      <c r="AP112" s="91"/>
      <c r="AQ112" s="91"/>
      <c r="AR112" s="91"/>
      <c r="AS112" s="91"/>
      <c r="AT112" s="91"/>
      <c r="AU112" s="91"/>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70"/>
      <c r="BV112" s="170"/>
      <c r="BW112" s="170"/>
    </row>
    <row r="113" spans="2:75" s="86" customFormat="1">
      <c r="B113" s="87"/>
      <c r="C113" s="87"/>
      <c r="D113" s="87"/>
      <c r="I113" s="88"/>
      <c r="J113" s="88"/>
      <c r="K113" s="88"/>
      <c r="L113" s="88"/>
      <c r="M113" s="88"/>
      <c r="Q113" s="89"/>
      <c r="S113" s="90"/>
      <c r="U113" s="91"/>
      <c r="V113" s="91"/>
      <c r="W113" s="91"/>
      <c r="X113" s="91"/>
      <c r="Y113" s="91"/>
      <c r="Z113" s="91"/>
      <c r="AA113" s="91"/>
      <c r="AB113" s="91"/>
      <c r="AC113" s="91"/>
      <c r="AD113" s="91"/>
      <c r="AE113" s="91"/>
      <c r="AF113" s="91"/>
      <c r="AG113" s="91"/>
      <c r="AH113" s="91"/>
      <c r="AI113" s="91"/>
      <c r="AJ113" s="91"/>
      <c r="AK113" s="91"/>
      <c r="AL113" s="91"/>
      <c r="AM113" s="91"/>
      <c r="AN113" s="91"/>
      <c r="AO113" s="91"/>
      <c r="AP113" s="91"/>
      <c r="AQ113" s="91"/>
      <c r="AR113" s="91"/>
      <c r="AS113" s="91"/>
      <c r="AT113" s="91"/>
      <c r="AU113" s="91"/>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70"/>
      <c r="BV113" s="170"/>
      <c r="BW113" s="170"/>
    </row>
    <row r="114" spans="2:75" s="86" customFormat="1">
      <c r="B114" s="87"/>
      <c r="C114" s="87"/>
      <c r="D114" s="87"/>
      <c r="I114" s="88"/>
      <c r="J114" s="88"/>
      <c r="K114" s="88"/>
      <c r="L114" s="88"/>
      <c r="M114" s="88"/>
      <c r="Q114" s="89"/>
      <c r="S114" s="90"/>
      <c r="U114" s="91"/>
      <c r="V114" s="91"/>
      <c r="W114" s="91"/>
      <c r="X114" s="91"/>
      <c r="Y114" s="91"/>
      <c r="Z114" s="91"/>
      <c r="AA114" s="91"/>
      <c r="AB114" s="91"/>
      <c r="AC114" s="91"/>
      <c r="AD114" s="91"/>
      <c r="AE114" s="91"/>
      <c r="AF114" s="91"/>
      <c r="AG114" s="91"/>
      <c r="AH114" s="91"/>
      <c r="AI114" s="91"/>
      <c r="AJ114" s="91"/>
      <c r="AK114" s="91"/>
      <c r="AL114" s="91"/>
      <c r="AM114" s="91"/>
      <c r="AN114" s="91"/>
      <c r="AO114" s="91"/>
      <c r="AP114" s="91"/>
      <c r="AQ114" s="91"/>
      <c r="AR114" s="91"/>
      <c r="AS114" s="91"/>
      <c r="AT114" s="91"/>
      <c r="AU114" s="91"/>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70"/>
      <c r="BV114" s="170"/>
      <c r="BW114" s="170"/>
    </row>
    <row r="115" spans="2:75" s="86" customFormat="1">
      <c r="B115" s="87"/>
      <c r="C115" s="87"/>
      <c r="D115" s="87"/>
      <c r="I115" s="88"/>
      <c r="J115" s="88"/>
      <c r="K115" s="88"/>
      <c r="L115" s="88"/>
      <c r="M115" s="88"/>
      <c r="Q115" s="89"/>
      <c r="S115" s="90"/>
      <c r="U115" s="91"/>
      <c r="V115" s="91"/>
      <c r="W115" s="91"/>
      <c r="X115" s="91"/>
      <c r="Y115" s="91"/>
      <c r="Z115" s="91"/>
      <c r="AA115" s="91"/>
      <c r="AB115" s="91"/>
      <c r="AC115" s="91"/>
      <c r="AD115" s="91"/>
      <c r="AE115" s="91"/>
      <c r="AF115" s="91"/>
      <c r="AG115" s="91"/>
      <c r="AH115" s="91"/>
      <c r="AI115" s="91"/>
      <c r="AJ115" s="91"/>
      <c r="AK115" s="91"/>
      <c r="AL115" s="91"/>
      <c r="AM115" s="91"/>
      <c r="AN115" s="91"/>
      <c r="AO115" s="91"/>
      <c r="AP115" s="91"/>
      <c r="AQ115" s="91"/>
      <c r="AR115" s="91"/>
      <c r="AS115" s="91"/>
      <c r="AT115" s="91"/>
      <c r="AU115" s="91"/>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70"/>
      <c r="BV115" s="170"/>
      <c r="BW115" s="170"/>
    </row>
    <row r="116" spans="2:75" s="86" customFormat="1">
      <c r="B116" s="87"/>
      <c r="C116" s="87"/>
      <c r="D116" s="87"/>
      <c r="I116" s="88"/>
      <c r="J116" s="88"/>
      <c r="K116" s="88"/>
      <c r="L116" s="88"/>
      <c r="M116" s="88"/>
      <c r="Q116" s="89"/>
      <c r="S116" s="90"/>
      <c r="U116" s="91"/>
      <c r="V116" s="91"/>
      <c r="W116" s="91"/>
      <c r="X116" s="91"/>
      <c r="Y116" s="91"/>
      <c r="Z116" s="91"/>
      <c r="AA116" s="91"/>
      <c r="AB116" s="91"/>
      <c r="AC116" s="91"/>
      <c r="AD116" s="91"/>
      <c r="AE116" s="91"/>
      <c r="AF116" s="91"/>
      <c r="AG116" s="91"/>
      <c r="AH116" s="91"/>
      <c r="AI116" s="91"/>
      <c r="AJ116" s="91"/>
      <c r="AK116" s="91"/>
      <c r="AL116" s="91"/>
      <c r="AM116" s="91"/>
      <c r="AN116" s="91"/>
      <c r="AO116" s="91"/>
      <c r="AP116" s="91"/>
      <c r="AQ116" s="91"/>
      <c r="AR116" s="91"/>
      <c r="AS116" s="91"/>
      <c r="AT116" s="91"/>
      <c r="AU116" s="91"/>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70"/>
      <c r="BV116" s="170"/>
      <c r="BW116" s="170"/>
    </row>
    <row r="117" spans="2:75" s="86" customFormat="1">
      <c r="B117" s="87"/>
      <c r="C117" s="87"/>
      <c r="D117" s="87"/>
      <c r="I117" s="88"/>
      <c r="J117" s="88"/>
      <c r="K117" s="88"/>
      <c r="L117" s="88"/>
      <c r="M117" s="88"/>
      <c r="Q117" s="89"/>
      <c r="S117" s="90"/>
      <c r="U117" s="91"/>
      <c r="V117" s="91"/>
      <c r="W117" s="91"/>
      <c r="X117" s="91"/>
      <c r="Y117" s="91"/>
      <c r="Z117" s="91"/>
      <c r="AA117" s="91"/>
      <c r="AB117" s="91"/>
      <c r="AC117" s="91"/>
      <c r="AD117" s="91"/>
      <c r="AE117" s="91"/>
      <c r="AF117" s="91"/>
      <c r="AG117" s="91"/>
      <c r="AH117" s="91"/>
      <c r="AI117" s="91"/>
      <c r="AJ117" s="91"/>
      <c r="AK117" s="91"/>
      <c r="AL117" s="91"/>
      <c r="AM117" s="91"/>
      <c r="AN117" s="91"/>
      <c r="AO117" s="91"/>
      <c r="AP117" s="91"/>
      <c r="AQ117" s="91"/>
      <c r="AR117" s="91"/>
      <c r="AS117" s="91"/>
      <c r="AT117" s="91"/>
      <c r="AU117" s="91"/>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70"/>
      <c r="BV117" s="170"/>
      <c r="BW117" s="170"/>
    </row>
    <row r="118" spans="2:75" s="86" customFormat="1">
      <c r="B118" s="87"/>
      <c r="C118" s="87"/>
      <c r="D118" s="87"/>
      <c r="I118" s="88"/>
      <c r="J118" s="88"/>
      <c r="K118" s="88"/>
      <c r="L118" s="88"/>
      <c r="M118" s="88"/>
      <c r="Q118" s="89"/>
      <c r="S118" s="90"/>
      <c r="U118" s="91"/>
      <c r="V118" s="91"/>
      <c r="W118" s="91"/>
      <c r="X118" s="91"/>
      <c r="Y118" s="91"/>
      <c r="Z118" s="91"/>
      <c r="AA118" s="91"/>
      <c r="AB118" s="91"/>
      <c r="AC118" s="91"/>
      <c r="AD118" s="91"/>
      <c r="AE118" s="91"/>
      <c r="AF118" s="91"/>
      <c r="AG118" s="91"/>
      <c r="AH118" s="91"/>
      <c r="AI118" s="91"/>
      <c r="AJ118" s="91"/>
      <c r="AK118" s="91"/>
      <c r="AL118" s="91"/>
      <c r="AM118" s="91"/>
      <c r="AN118" s="91"/>
      <c r="AO118" s="91"/>
      <c r="AP118" s="91"/>
      <c r="AQ118" s="91"/>
      <c r="AR118" s="91"/>
      <c r="AS118" s="91"/>
      <c r="AT118" s="91"/>
      <c r="AU118" s="91"/>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70"/>
      <c r="BV118" s="170"/>
      <c r="BW118" s="170"/>
    </row>
    <row r="119" spans="2:75" s="86" customFormat="1">
      <c r="B119" s="87"/>
      <c r="C119" s="87"/>
      <c r="D119" s="87"/>
      <c r="I119" s="88"/>
      <c r="J119" s="88"/>
      <c r="K119" s="88"/>
      <c r="L119" s="88"/>
      <c r="M119" s="88"/>
      <c r="Q119" s="89"/>
      <c r="S119" s="90"/>
      <c r="U119" s="91"/>
      <c r="V119" s="91"/>
      <c r="W119" s="91"/>
      <c r="X119" s="91"/>
      <c r="Y119" s="91"/>
      <c r="Z119" s="91"/>
      <c r="AA119" s="91"/>
      <c r="AB119" s="91"/>
      <c r="AC119" s="91"/>
      <c r="AD119" s="91"/>
      <c r="AE119" s="91"/>
      <c r="AF119" s="91"/>
      <c r="AG119" s="91"/>
      <c r="AH119" s="91"/>
      <c r="AI119" s="91"/>
      <c r="AJ119" s="91"/>
      <c r="AK119" s="91"/>
      <c r="AL119" s="91"/>
      <c r="AM119" s="91"/>
      <c r="AN119" s="91"/>
      <c r="AO119" s="91"/>
      <c r="AP119" s="91"/>
      <c r="AQ119" s="91"/>
      <c r="AR119" s="91"/>
      <c r="AS119" s="91"/>
      <c r="AT119" s="91"/>
      <c r="AU119" s="91"/>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70"/>
      <c r="BV119" s="170"/>
      <c r="BW119" s="170"/>
    </row>
    <row r="120" spans="2:75" s="86" customFormat="1">
      <c r="B120" s="87"/>
      <c r="C120" s="87"/>
      <c r="D120" s="87"/>
      <c r="I120" s="88"/>
      <c r="J120" s="88"/>
      <c r="K120" s="88"/>
      <c r="L120" s="88"/>
      <c r="M120" s="88"/>
      <c r="Q120" s="89"/>
      <c r="S120" s="90"/>
      <c r="U120" s="91"/>
      <c r="V120" s="91"/>
      <c r="W120" s="91"/>
      <c r="X120" s="91"/>
      <c r="Y120" s="91"/>
      <c r="Z120" s="91"/>
      <c r="AA120" s="91"/>
      <c r="AB120" s="91"/>
      <c r="AC120" s="91"/>
      <c r="AD120" s="91"/>
      <c r="AE120" s="91"/>
      <c r="AF120" s="91"/>
      <c r="AG120" s="91"/>
      <c r="AH120" s="91"/>
      <c r="AI120" s="91"/>
      <c r="AJ120" s="91"/>
      <c r="AK120" s="91"/>
      <c r="AL120" s="91"/>
      <c r="AM120" s="91"/>
      <c r="AN120" s="91"/>
      <c r="AO120" s="91"/>
      <c r="AP120" s="91"/>
      <c r="AQ120" s="91"/>
      <c r="AR120" s="91"/>
      <c r="AS120" s="91"/>
      <c r="AT120" s="91"/>
      <c r="AU120" s="91"/>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70"/>
      <c r="BV120" s="170"/>
      <c r="BW120" s="170"/>
    </row>
    <row r="121" spans="2:75" s="86" customFormat="1">
      <c r="B121" s="87"/>
      <c r="C121" s="87"/>
      <c r="D121" s="87"/>
      <c r="I121" s="88"/>
      <c r="J121" s="88"/>
      <c r="K121" s="88"/>
      <c r="L121" s="88"/>
      <c r="M121" s="88"/>
      <c r="Q121" s="89"/>
      <c r="S121" s="90"/>
      <c r="U121" s="91"/>
      <c r="V121" s="91"/>
      <c r="W121" s="91"/>
      <c r="X121" s="91"/>
      <c r="Y121" s="91"/>
      <c r="Z121" s="91"/>
      <c r="AA121" s="91"/>
      <c r="AB121" s="91"/>
      <c r="AC121" s="91"/>
      <c r="AD121" s="91"/>
      <c r="AE121" s="91"/>
      <c r="AF121" s="91"/>
      <c r="AG121" s="91"/>
      <c r="AH121" s="91"/>
      <c r="AI121" s="91"/>
      <c r="AJ121" s="91"/>
      <c r="AK121" s="91"/>
      <c r="AL121" s="91"/>
      <c r="AM121" s="91"/>
      <c r="AN121" s="91"/>
      <c r="AO121" s="91"/>
      <c r="AP121" s="91"/>
      <c r="AQ121" s="91"/>
      <c r="AR121" s="91"/>
      <c r="AS121" s="91"/>
      <c r="AT121" s="91"/>
      <c r="AU121" s="91"/>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70"/>
      <c r="BV121" s="170"/>
      <c r="BW121" s="170"/>
    </row>
    <row r="122" spans="2:75" s="86" customFormat="1">
      <c r="B122" s="87"/>
      <c r="C122" s="87"/>
      <c r="D122" s="87"/>
      <c r="I122" s="88"/>
      <c r="J122" s="88"/>
      <c r="K122" s="88"/>
      <c r="L122" s="88"/>
      <c r="M122" s="88"/>
      <c r="Q122" s="89"/>
      <c r="S122" s="90"/>
      <c r="U122" s="91"/>
      <c r="V122" s="91"/>
      <c r="W122" s="91"/>
      <c r="X122" s="91"/>
      <c r="Y122" s="91"/>
      <c r="Z122" s="91"/>
      <c r="AA122" s="91"/>
      <c r="AB122" s="91"/>
      <c r="AC122" s="91"/>
      <c r="AD122" s="91"/>
      <c r="AE122" s="91"/>
      <c r="AF122" s="91"/>
      <c r="AG122" s="91"/>
      <c r="AH122" s="91"/>
      <c r="AI122" s="91"/>
      <c r="AJ122" s="91"/>
      <c r="AK122" s="91"/>
      <c r="AL122" s="91"/>
      <c r="AM122" s="91"/>
      <c r="AN122" s="91"/>
      <c r="AO122" s="91"/>
      <c r="AP122" s="91"/>
      <c r="AQ122" s="91"/>
      <c r="AR122" s="91"/>
      <c r="AS122" s="91"/>
      <c r="AT122" s="91"/>
      <c r="AU122" s="91"/>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70"/>
      <c r="BV122" s="170"/>
      <c r="BW122" s="170"/>
    </row>
    <row r="123" spans="2:75" s="86" customFormat="1">
      <c r="B123" s="87"/>
      <c r="C123" s="87"/>
      <c r="D123" s="87"/>
      <c r="I123" s="88"/>
      <c r="J123" s="88"/>
      <c r="K123" s="88"/>
      <c r="L123" s="88"/>
      <c r="M123" s="88"/>
      <c r="Q123" s="89"/>
      <c r="S123" s="90"/>
      <c r="U123" s="91"/>
      <c r="V123" s="91"/>
      <c r="W123" s="91"/>
      <c r="X123" s="91"/>
      <c r="Y123" s="91"/>
      <c r="Z123" s="91"/>
      <c r="AA123" s="91"/>
      <c r="AB123" s="91"/>
      <c r="AC123" s="91"/>
      <c r="AD123" s="91"/>
      <c r="AE123" s="91"/>
      <c r="AF123" s="91"/>
      <c r="AG123" s="91"/>
      <c r="AH123" s="91"/>
      <c r="AI123" s="91"/>
      <c r="AJ123" s="91"/>
      <c r="AK123" s="91"/>
      <c r="AL123" s="91"/>
      <c r="AM123" s="91"/>
      <c r="AN123" s="91"/>
      <c r="AO123" s="91"/>
      <c r="AP123" s="91"/>
      <c r="AQ123" s="91"/>
      <c r="AR123" s="91"/>
      <c r="AS123" s="91"/>
      <c r="AT123" s="91"/>
      <c r="AU123" s="91"/>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70"/>
      <c r="BV123" s="170"/>
      <c r="BW123" s="170"/>
    </row>
    <row r="124" spans="2:75" s="86" customFormat="1">
      <c r="B124" s="87"/>
      <c r="C124" s="87"/>
      <c r="D124" s="87"/>
      <c r="I124" s="88"/>
      <c r="J124" s="88"/>
      <c r="K124" s="88"/>
      <c r="L124" s="88"/>
      <c r="M124" s="88"/>
      <c r="Q124" s="89"/>
      <c r="S124" s="90"/>
      <c r="U124" s="91"/>
      <c r="V124" s="91"/>
      <c r="W124" s="91"/>
      <c r="X124" s="91"/>
      <c r="Y124" s="91"/>
      <c r="Z124" s="91"/>
      <c r="AA124" s="91"/>
      <c r="AB124" s="91"/>
      <c r="AC124" s="91"/>
      <c r="AD124" s="91"/>
      <c r="AE124" s="91"/>
      <c r="AF124" s="91"/>
      <c r="AG124" s="91"/>
      <c r="AH124" s="91"/>
      <c r="AI124" s="91"/>
      <c r="AJ124" s="91"/>
      <c r="AK124" s="91"/>
      <c r="AL124" s="91"/>
      <c r="AM124" s="91"/>
      <c r="AN124" s="91"/>
      <c r="AO124" s="91"/>
      <c r="AP124" s="91"/>
      <c r="AQ124" s="91"/>
      <c r="AR124" s="91"/>
      <c r="AS124" s="91"/>
      <c r="AT124" s="91"/>
      <c r="AU124" s="91"/>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70"/>
      <c r="BV124" s="170"/>
      <c r="BW124" s="170"/>
    </row>
    <row r="125" spans="2:75" s="86" customFormat="1">
      <c r="B125" s="87"/>
      <c r="C125" s="87"/>
      <c r="D125" s="87"/>
      <c r="I125" s="88"/>
      <c r="J125" s="88"/>
      <c r="K125" s="88"/>
      <c r="L125" s="88"/>
      <c r="M125" s="88"/>
      <c r="Q125" s="89"/>
      <c r="S125" s="90"/>
      <c r="U125" s="91"/>
      <c r="V125" s="91"/>
      <c r="W125" s="91"/>
      <c r="X125" s="91"/>
      <c r="Y125" s="91"/>
      <c r="Z125" s="91"/>
      <c r="AA125" s="91"/>
      <c r="AB125" s="91"/>
      <c r="AC125" s="91"/>
      <c r="AD125" s="91"/>
      <c r="AE125" s="91"/>
      <c r="AF125" s="91"/>
      <c r="AG125" s="91"/>
      <c r="AH125" s="91"/>
      <c r="AI125" s="91"/>
      <c r="AJ125" s="91"/>
      <c r="AK125" s="91"/>
      <c r="AL125" s="91"/>
      <c r="AM125" s="91"/>
      <c r="AN125" s="91"/>
      <c r="AO125" s="91"/>
      <c r="AP125" s="91"/>
      <c r="AQ125" s="91"/>
      <c r="AR125" s="91"/>
      <c r="AS125" s="91"/>
      <c r="AT125" s="91"/>
      <c r="AU125" s="91"/>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70"/>
      <c r="BV125" s="170"/>
      <c r="BW125" s="170"/>
    </row>
    <row r="126" spans="2:75" s="86" customFormat="1">
      <c r="B126" s="87"/>
      <c r="C126" s="87"/>
      <c r="D126" s="87"/>
      <c r="I126" s="88"/>
      <c r="J126" s="88"/>
      <c r="K126" s="88"/>
      <c r="L126" s="88"/>
      <c r="M126" s="88"/>
      <c r="Q126" s="89"/>
      <c r="S126" s="90"/>
      <c r="U126" s="91"/>
      <c r="V126" s="91"/>
      <c r="W126" s="91"/>
      <c r="X126" s="91"/>
      <c r="Y126" s="91"/>
      <c r="Z126" s="91"/>
      <c r="AA126" s="91"/>
      <c r="AB126" s="91"/>
      <c r="AC126" s="91"/>
      <c r="AD126" s="91"/>
      <c r="AE126" s="91"/>
      <c r="AF126" s="91"/>
      <c r="AG126" s="91"/>
      <c r="AH126" s="91"/>
      <c r="AI126" s="91"/>
      <c r="AJ126" s="91"/>
      <c r="AK126" s="91"/>
      <c r="AL126" s="91"/>
      <c r="AM126" s="91"/>
      <c r="AN126" s="91"/>
      <c r="AO126" s="91"/>
      <c r="AP126" s="91"/>
      <c r="AQ126" s="91"/>
      <c r="AR126" s="91"/>
      <c r="AS126" s="91"/>
      <c r="AT126" s="91"/>
      <c r="AU126" s="91"/>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70"/>
      <c r="BV126" s="170"/>
      <c r="BW126" s="170"/>
    </row>
    <row r="127" spans="2:75" s="86" customFormat="1">
      <c r="B127" s="87"/>
      <c r="C127" s="87"/>
      <c r="D127" s="87"/>
      <c r="I127" s="88"/>
      <c r="J127" s="88"/>
      <c r="K127" s="88"/>
      <c r="L127" s="88"/>
      <c r="M127" s="88"/>
      <c r="Q127" s="89"/>
      <c r="S127" s="90"/>
      <c r="U127" s="91"/>
      <c r="V127" s="91"/>
      <c r="W127" s="91"/>
      <c r="X127" s="91"/>
      <c r="Y127" s="91"/>
      <c r="Z127" s="91"/>
      <c r="AA127" s="91"/>
      <c r="AB127" s="91"/>
      <c r="AC127" s="91"/>
      <c r="AD127" s="91"/>
      <c r="AE127" s="91"/>
      <c r="AF127" s="91"/>
      <c r="AG127" s="91"/>
      <c r="AH127" s="91"/>
      <c r="AI127" s="91"/>
      <c r="AJ127" s="91"/>
      <c r="AK127" s="91"/>
      <c r="AL127" s="91"/>
      <c r="AM127" s="91"/>
      <c r="AN127" s="91"/>
      <c r="AO127" s="91"/>
      <c r="AP127" s="91"/>
      <c r="AQ127" s="91"/>
      <c r="AR127" s="91"/>
      <c r="AS127" s="91"/>
      <c r="AT127" s="91"/>
      <c r="AU127" s="91"/>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70"/>
      <c r="BV127" s="170"/>
      <c r="BW127" s="170"/>
    </row>
    <row r="128" spans="2:75" s="86" customFormat="1">
      <c r="B128" s="87"/>
      <c r="C128" s="87"/>
      <c r="D128" s="87"/>
      <c r="I128" s="88"/>
      <c r="J128" s="88"/>
      <c r="K128" s="88"/>
      <c r="L128" s="88"/>
      <c r="M128" s="88"/>
      <c r="Q128" s="89"/>
      <c r="S128" s="90"/>
      <c r="U128" s="91"/>
      <c r="V128" s="91"/>
      <c r="W128" s="91"/>
      <c r="X128" s="91"/>
      <c r="Y128" s="91"/>
      <c r="Z128" s="91"/>
      <c r="AA128" s="91"/>
      <c r="AB128" s="91"/>
      <c r="AC128" s="91"/>
      <c r="AD128" s="91"/>
      <c r="AE128" s="91"/>
      <c r="AF128" s="91"/>
      <c r="AG128" s="91"/>
      <c r="AH128" s="91"/>
      <c r="AI128" s="91"/>
      <c r="AJ128" s="91"/>
      <c r="AK128" s="91"/>
      <c r="AL128" s="91"/>
      <c r="AM128" s="91"/>
      <c r="AN128" s="91"/>
      <c r="AO128" s="91"/>
      <c r="AP128" s="91"/>
      <c r="AQ128" s="91"/>
      <c r="AR128" s="91"/>
      <c r="AS128" s="91"/>
      <c r="AT128" s="91"/>
      <c r="AU128" s="91"/>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70"/>
      <c r="BV128" s="170"/>
      <c r="BW128" s="170"/>
    </row>
    <row r="129" spans="2:75" s="86" customFormat="1">
      <c r="B129" s="87"/>
      <c r="C129" s="87"/>
      <c r="D129" s="87"/>
      <c r="I129" s="88"/>
      <c r="J129" s="88"/>
      <c r="K129" s="88"/>
      <c r="L129" s="88"/>
      <c r="M129" s="88"/>
      <c r="Q129" s="89"/>
      <c r="S129" s="90"/>
      <c r="U129" s="91"/>
      <c r="V129" s="91"/>
      <c r="W129" s="91"/>
      <c r="X129" s="91"/>
      <c r="Y129" s="91"/>
      <c r="Z129" s="91"/>
      <c r="AA129" s="91"/>
      <c r="AB129" s="91"/>
      <c r="AC129" s="91"/>
      <c r="AD129" s="91"/>
      <c r="AE129" s="91"/>
      <c r="AF129" s="91"/>
      <c r="AG129" s="91"/>
      <c r="AH129" s="91"/>
      <c r="AI129" s="91"/>
      <c r="AJ129" s="91"/>
      <c r="AK129" s="91"/>
      <c r="AL129" s="91"/>
      <c r="AM129" s="91"/>
      <c r="AN129" s="91"/>
      <c r="AO129" s="91"/>
      <c r="AP129" s="91"/>
      <c r="AQ129" s="91"/>
      <c r="AR129" s="91"/>
      <c r="AS129" s="91"/>
      <c r="AT129" s="91"/>
      <c r="AU129" s="91"/>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70"/>
      <c r="BV129" s="170"/>
      <c r="BW129" s="170"/>
    </row>
    <row r="130" spans="2:75" s="86" customFormat="1">
      <c r="B130" s="87"/>
      <c r="C130" s="87"/>
      <c r="D130" s="87"/>
      <c r="I130" s="88"/>
      <c r="J130" s="88"/>
      <c r="K130" s="88"/>
      <c r="L130" s="88"/>
      <c r="M130" s="88"/>
      <c r="Q130" s="89"/>
      <c r="S130" s="90"/>
      <c r="U130" s="91"/>
      <c r="V130" s="91"/>
      <c r="W130" s="91"/>
      <c r="X130" s="91"/>
      <c r="Y130" s="91"/>
      <c r="Z130" s="91"/>
      <c r="AA130" s="91"/>
      <c r="AB130" s="91"/>
      <c r="AC130" s="91"/>
      <c r="AD130" s="91"/>
      <c r="AE130" s="91"/>
      <c r="AF130" s="91"/>
      <c r="AG130" s="91"/>
      <c r="AH130" s="91"/>
      <c r="AI130" s="91"/>
      <c r="AJ130" s="91"/>
      <c r="AK130" s="91"/>
      <c r="AL130" s="91"/>
      <c r="AM130" s="91"/>
      <c r="AN130" s="91"/>
      <c r="AO130" s="91"/>
      <c r="AP130" s="91"/>
      <c r="AQ130" s="91"/>
      <c r="AR130" s="91"/>
      <c r="AS130" s="91"/>
      <c r="AT130" s="91"/>
      <c r="AU130" s="91"/>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70"/>
      <c r="BV130" s="170"/>
      <c r="BW130" s="170"/>
    </row>
    <row r="131" spans="2:75" s="86" customFormat="1">
      <c r="B131" s="87"/>
      <c r="C131" s="87"/>
      <c r="D131" s="87"/>
      <c r="I131" s="88"/>
      <c r="J131" s="88"/>
      <c r="K131" s="88"/>
      <c r="L131" s="88"/>
      <c r="M131" s="88"/>
      <c r="Q131" s="89"/>
      <c r="S131" s="90"/>
      <c r="U131" s="91"/>
      <c r="V131" s="91"/>
      <c r="W131" s="91"/>
      <c r="X131" s="91"/>
      <c r="Y131" s="91"/>
      <c r="Z131" s="91"/>
      <c r="AA131" s="91"/>
      <c r="AB131" s="91"/>
      <c r="AC131" s="91"/>
      <c r="AD131" s="91"/>
      <c r="AE131" s="91"/>
      <c r="AF131" s="91"/>
      <c r="AG131" s="91"/>
      <c r="AH131" s="91"/>
      <c r="AI131" s="91"/>
      <c r="AJ131" s="91"/>
      <c r="AK131" s="91"/>
      <c r="AL131" s="91"/>
      <c r="AM131" s="91"/>
      <c r="AN131" s="91"/>
      <c r="AO131" s="91"/>
      <c r="AP131" s="91"/>
      <c r="AQ131" s="91"/>
      <c r="AR131" s="91"/>
      <c r="AS131" s="91"/>
      <c r="AT131" s="91"/>
      <c r="AU131" s="91"/>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70"/>
      <c r="BV131" s="170"/>
      <c r="BW131" s="170"/>
    </row>
    <row r="132" spans="2:75" s="86" customFormat="1">
      <c r="B132" s="87"/>
      <c r="C132" s="87"/>
      <c r="D132" s="87"/>
      <c r="I132" s="88"/>
      <c r="J132" s="88"/>
      <c r="K132" s="88"/>
      <c r="L132" s="88"/>
      <c r="M132" s="88"/>
      <c r="Q132" s="89"/>
      <c r="S132" s="90"/>
      <c r="U132" s="91"/>
      <c r="V132" s="91"/>
      <c r="W132" s="91"/>
      <c r="X132" s="91"/>
      <c r="Y132" s="91"/>
      <c r="Z132" s="91"/>
      <c r="AA132" s="91"/>
      <c r="AB132" s="91"/>
      <c r="AC132" s="91"/>
      <c r="AD132" s="91"/>
      <c r="AE132" s="91"/>
      <c r="AF132" s="91"/>
      <c r="AG132" s="91"/>
      <c r="AH132" s="91"/>
      <c r="AI132" s="91"/>
      <c r="AJ132" s="91"/>
      <c r="AK132" s="91"/>
      <c r="AL132" s="91"/>
      <c r="AM132" s="91"/>
      <c r="AN132" s="91"/>
      <c r="AO132" s="91"/>
      <c r="AP132" s="91"/>
      <c r="AQ132" s="91"/>
      <c r="AR132" s="91"/>
      <c r="AS132" s="91"/>
      <c r="AT132" s="91"/>
      <c r="AU132" s="91"/>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70"/>
      <c r="BV132" s="170"/>
      <c r="BW132" s="170"/>
    </row>
    <row r="133" spans="2:75" s="86" customFormat="1">
      <c r="B133" s="87"/>
      <c r="C133" s="87"/>
      <c r="D133" s="87"/>
      <c r="I133" s="88"/>
      <c r="J133" s="88"/>
      <c r="K133" s="88"/>
      <c r="L133" s="88"/>
      <c r="M133" s="88"/>
      <c r="Q133" s="89"/>
      <c r="S133" s="90"/>
      <c r="U133" s="91"/>
      <c r="V133" s="91"/>
      <c r="W133" s="91"/>
      <c r="X133" s="91"/>
      <c r="Y133" s="91"/>
      <c r="Z133" s="91"/>
      <c r="AA133" s="91"/>
      <c r="AB133" s="91"/>
      <c r="AC133" s="91"/>
      <c r="AD133" s="91"/>
      <c r="AE133" s="91"/>
      <c r="AF133" s="91"/>
      <c r="AG133" s="91"/>
      <c r="AH133" s="91"/>
      <c r="AI133" s="91"/>
      <c r="AJ133" s="91"/>
      <c r="AK133" s="91"/>
      <c r="AL133" s="91"/>
      <c r="AM133" s="91"/>
      <c r="AN133" s="91"/>
      <c r="AO133" s="91"/>
      <c r="AP133" s="91"/>
      <c r="AQ133" s="91"/>
      <c r="AR133" s="91"/>
      <c r="AS133" s="91"/>
      <c r="AT133" s="91"/>
      <c r="AU133" s="91"/>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70"/>
      <c r="BV133" s="170"/>
      <c r="BW133" s="170"/>
    </row>
    <row r="134" spans="2:75" s="86" customFormat="1">
      <c r="B134" s="87"/>
      <c r="C134" s="87"/>
      <c r="D134" s="87"/>
      <c r="I134" s="88"/>
      <c r="J134" s="88"/>
      <c r="K134" s="88"/>
      <c r="L134" s="88"/>
      <c r="M134" s="88"/>
      <c r="Q134" s="89"/>
      <c r="S134" s="90"/>
      <c r="U134" s="91"/>
      <c r="V134" s="91"/>
      <c r="W134" s="91"/>
      <c r="X134" s="91"/>
      <c r="Y134" s="91"/>
      <c r="Z134" s="91"/>
      <c r="AA134" s="91"/>
      <c r="AB134" s="91"/>
      <c r="AC134" s="91"/>
      <c r="AD134" s="91"/>
      <c r="AE134" s="91"/>
      <c r="AF134" s="91"/>
      <c r="AG134" s="91"/>
      <c r="AH134" s="91"/>
      <c r="AI134" s="91"/>
      <c r="AJ134" s="91"/>
      <c r="AK134" s="91"/>
      <c r="AL134" s="91"/>
      <c r="AM134" s="91"/>
      <c r="AN134" s="91"/>
      <c r="AO134" s="91"/>
      <c r="AP134" s="91"/>
      <c r="AQ134" s="91"/>
      <c r="AR134" s="91"/>
      <c r="AS134" s="91"/>
      <c r="AT134" s="91"/>
      <c r="AU134" s="91"/>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70"/>
      <c r="BV134" s="170"/>
      <c r="BW134" s="170"/>
    </row>
    <row r="135" spans="2:75" s="86" customFormat="1">
      <c r="B135" s="87"/>
      <c r="C135" s="87"/>
      <c r="D135" s="87"/>
      <c r="I135" s="88"/>
      <c r="J135" s="88"/>
      <c r="K135" s="88"/>
      <c r="L135" s="88"/>
      <c r="M135" s="88"/>
      <c r="Q135" s="89"/>
      <c r="S135" s="90"/>
      <c r="U135" s="91"/>
      <c r="V135" s="91"/>
      <c r="W135" s="91"/>
      <c r="X135" s="91"/>
      <c r="Y135" s="91"/>
      <c r="Z135" s="91"/>
      <c r="AA135" s="91"/>
      <c r="AB135" s="91"/>
      <c r="AC135" s="91"/>
      <c r="AD135" s="91"/>
      <c r="AE135" s="91"/>
      <c r="AF135" s="91"/>
      <c r="AG135" s="91"/>
      <c r="AH135" s="91"/>
      <c r="AI135" s="91"/>
      <c r="AJ135" s="91"/>
      <c r="AK135" s="91"/>
      <c r="AL135" s="91"/>
      <c r="AM135" s="91"/>
      <c r="AN135" s="91"/>
      <c r="AO135" s="91"/>
      <c r="AP135" s="91"/>
      <c r="AQ135" s="91"/>
      <c r="AR135" s="91"/>
      <c r="AS135" s="91"/>
      <c r="AT135" s="91"/>
      <c r="AU135" s="91"/>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70"/>
      <c r="BV135" s="170"/>
      <c r="BW135" s="170"/>
    </row>
    <row r="136" spans="2:75" s="86" customFormat="1">
      <c r="B136" s="87"/>
      <c r="C136" s="87"/>
      <c r="D136" s="87"/>
      <c r="I136" s="88"/>
      <c r="J136" s="88"/>
      <c r="K136" s="88"/>
      <c r="L136" s="88"/>
      <c r="M136" s="88"/>
      <c r="Q136" s="89"/>
      <c r="S136" s="90"/>
      <c r="U136" s="91"/>
      <c r="V136" s="91"/>
      <c r="W136" s="91"/>
      <c r="X136" s="91"/>
      <c r="Y136" s="91"/>
      <c r="Z136" s="91"/>
      <c r="AA136" s="91"/>
      <c r="AB136" s="91"/>
      <c r="AC136" s="91"/>
      <c r="AD136" s="91"/>
      <c r="AE136" s="91"/>
      <c r="AF136" s="91"/>
      <c r="AG136" s="91"/>
      <c r="AH136" s="91"/>
      <c r="AI136" s="91"/>
      <c r="AJ136" s="91"/>
      <c r="AK136" s="91"/>
      <c r="AL136" s="91"/>
      <c r="AM136" s="91"/>
      <c r="AN136" s="91"/>
      <c r="AO136" s="91"/>
      <c r="AP136" s="91"/>
      <c r="AQ136" s="91"/>
      <c r="AR136" s="91"/>
      <c r="AS136" s="91"/>
      <c r="AT136" s="91"/>
      <c r="AU136" s="91"/>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70"/>
      <c r="BV136" s="170"/>
      <c r="BW136" s="170"/>
    </row>
    <row r="137" spans="2:75" s="86" customFormat="1">
      <c r="B137" s="87"/>
      <c r="C137" s="87"/>
      <c r="D137" s="87"/>
      <c r="I137" s="88"/>
      <c r="J137" s="88"/>
      <c r="K137" s="88"/>
      <c r="L137" s="88"/>
      <c r="M137" s="88"/>
      <c r="Q137" s="89"/>
      <c r="S137" s="90"/>
      <c r="U137" s="91"/>
      <c r="V137" s="91"/>
      <c r="W137" s="91"/>
      <c r="X137" s="91"/>
      <c r="Y137" s="91"/>
      <c r="Z137" s="91"/>
      <c r="AA137" s="91"/>
      <c r="AB137" s="91"/>
      <c r="AC137" s="91"/>
      <c r="AD137" s="91"/>
      <c r="AE137" s="91"/>
      <c r="AF137" s="91"/>
      <c r="AG137" s="91"/>
      <c r="AH137" s="91"/>
      <c r="AI137" s="91"/>
      <c r="AJ137" s="91"/>
      <c r="AK137" s="91"/>
      <c r="AL137" s="91"/>
      <c r="AM137" s="91"/>
      <c r="AN137" s="91"/>
      <c r="AO137" s="91"/>
      <c r="AP137" s="91"/>
      <c r="AQ137" s="91"/>
      <c r="AR137" s="91"/>
      <c r="AS137" s="91"/>
      <c r="AT137" s="91"/>
      <c r="AU137" s="91"/>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70"/>
      <c r="BV137" s="170"/>
      <c r="BW137" s="170"/>
    </row>
    <row r="138" spans="2:75" s="86" customFormat="1">
      <c r="B138" s="87"/>
      <c r="C138" s="87"/>
      <c r="D138" s="87"/>
      <c r="I138" s="88"/>
      <c r="J138" s="88"/>
      <c r="K138" s="88"/>
      <c r="L138" s="88"/>
      <c r="M138" s="88"/>
      <c r="Q138" s="89"/>
      <c r="S138" s="90"/>
      <c r="U138" s="91"/>
      <c r="V138" s="91"/>
      <c r="W138" s="91"/>
      <c r="X138" s="91"/>
      <c r="Y138" s="91"/>
      <c r="Z138" s="91"/>
      <c r="AA138" s="91"/>
      <c r="AB138" s="91"/>
      <c r="AC138" s="91"/>
      <c r="AD138" s="91"/>
      <c r="AE138" s="91"/>
      <c r="AF138" s="91"/>
      <c r="AG138" s="91"/>
      <c r="AH138" s="91"/>
      <c r="AI138" s="91"/>
      <c r="AJ138" s="91"/>
      <c r="AK138" s="91"/>
      <c r="AL138" s="91"/>
      <c r="AM138" s="91"/>
      <c r="AN138" s="91"/>
      <c r="AO138" s="91"/>
      <c r="AP138" s="91"/>
      <c r="AQ138" s="91"/>
      <c r="AR138" s="91"/>
      <c r="AS138" s="91"/>
      <c r="AT138" s="91"/>
      <c r="AU138" s="91"/>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70"/>
      <c r="BV138" s="170"/>
      <c r="BW138" s="170"/>
    </row>
    <row r="139" spans="2:75" s="86" customFormat="1">
      <c r="B139" s="87"/>
      <c r="C139" s="87"/>
      <c r="D139" s="87"/>
      <c r="I139" s="88"/>
      <c r="J139" s="88"/>
      <c r="K139" s="88"/>
      <c r="L139" s="88"/>
      <c r="M139" s="88"/>
      <c r="Q139" s="89"/>
      <c r="S139" s="90"/>
      <c r="U139" s="91"/>
      <c r="V139" s="91"/>
      <c r="W139" s="91"/>
      <c r="X139" s="91"/>
      <c r="Y139" s="91"/>
      <c r="Z139" s="91"/>
      <c r="AA139" s="91"/>
      <c r="AB139" s="91"/>
      <c r="AC139" s="91"/>
      <c r="AD139" s="91"/>
      <c r="AE139" s="91"/>
      <c r="AF139" s="91"/>
      <c r="AG139" s="91"/>
      <c r="AH139" s="91"/>
      <c r="AI139" s="91"/>
      <c r="AJ139" s="91"/>
      <c r="AK139" s="91"/>
      <c r="AL139" s="91"/>
      <c r="AM139" s="91"/>
      <c r="AN139" s="91"/>
      <c r="AO139" s="91"/>
      <c r="AP139" s="91"/>
      <c r="AQ139" s="91"/>
      <c r="AR139" s="91"/>
      <c r="AS139" s="91"/>
      <c r="AT139" s="91"/>
      <c r="AU139" s="91"/>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70"/>
      <c r="BV139" s="170"/>
      <c r="BW139" s="170"/>
    </row>
    <row r="140" spans="2:75" s="86" customFormat="1">
      <c r="B140" s="87"/>
      <c r="C140" s="87"/>
      <c r="D140" s="87"/>
      <c r="I140" s="88"/>
      <c r="J140" s="88"/>
      <c r="K140" s="88"/>
      <c r="L140" s="88"/>
      <c r="M140" s="88"/>
      <c r="Q140" s="89"/>
      <c r="S140" s="90"/>
      <c r="U140" s="91"/>
      <c r="V140" s="91"/>
      <c r="W140" s="91"/>
      <c r="X140" s="91"/>
      <c r="Y140" s="91"/>
      <c r="Z140" s="91"/>
      <c r="AA140" s="91"/>
      <c r="AB140" s="91"/>
      <c r="AC140" s="91"/>
      <c r="AD140" s="91"/>
      <c r="AE140" s="91"/>
      <c r="AF140" s="91"/>
      <c r="AG140" s="91"/>
      <c r="AH140" s="91"/>
      <c r="AI140" s="91"/>
      <c r="AJ140" s="91"/>
      <c r="AK140" s="91"/>
      <c r="AL140" s="91"/>
      <c r="AM140" s="91"/>
      <c r="AN140" s="91"/>
      <c r="AO140" s="91"/>
      <c r="AP140" s="91"/>
      <c r="AQ140" s="91"/>
      <c r="AR140" s="91"/>
      <c r="AS140" s="91"/>
      <c r="AT140" s="91"/>
      <c r="AU140" s="91"/>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70"/>
      <c r="BV140" s="170"/>
      <c r="BW140" s="170"/>
    </row>
    <row r="141" spans="2:75" s="86" customFormat="1">
      <c r="B141" s="87"/>
      <c r="C141" s="87"/>
      <c r="D141" s="87"/>
      <c r="I141" s="88"/>
      <c r="J141" s="88"/>
      <c r="K141" s="88"/>
      <c r="L141" s="88"/>
      <c r="M141" s="88"/>
      <c r="Q141" s="89"/>
      <c r="S141" s="90"/>
      <c r="U141" s="91"/>
      <c r="V141" s="91"/>
      <c r="W141" s="91"/>
      <c r="X141" s="91"/>
      <c r="Y141" s="91"/>
      <c r="Z141" s="91"/>
      <c r="AA141" s="91"/>
      <c r="AB141" s="91"/>
      <c r="AC141" s="91"/>
      <c r="AD141" s="91"/>
      <c r="AE141" s="91"/>
      <c r="AF141" s="91"/>
      <c r="AG141" s="91"/>
      <c r="AH141" s="91"/>
      <c r="AI141" s="91"/>
      <c r="AJ141" s="91"/>
      <c r="AK141" s="91"/>
      <c r="AL141" s="91"/>
      <c r="AM141" s="91"/>
      <c r="AN141" s="91"/>
      <c r="AO141" s="91"/>
      <c r="AP141" s="91"/>
      <c r="AQ141" s="91"/>
      <c r="AR141" s="91"/>
      <c r="AS141" s="91"/>
      <c r="AT141" s="91"/>
      <c r="AU141" s="91"/>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70"/>
      <c r="BV141" s="170"/>
      <c r="BW141" s="170"/>
    </row>
    <row r="142" spans="2:75" s="86" customFormat="1">
      <c r="B142" s="87"/>
      <c r="C142" s="87"/>
      <c r="D142" s="87"/>
      <c r="I142" s="88"/>
      <c r="J142" s="88"/>
      <c r="K142" s="88"/>
      <c r="L142" s="88"/>
      <c r="M142" s="88"/>
      <c r="Q142" s="89"/>
      <c r="S142" s="90"/>
      <c r="U142" s="91"/>
      <c r="V142" s="91"/>
      <c r="W142" s="91"/>
      <c r="X142" s="91"/>
      <c r="Y142" s="91"/>
      <c r="Z142" s="91"/>
      <c r="AA142" s="91"/>
      <c r="AB142" s="91"/>
      <c r="AC142" s="91"/>
      <c r="AD142" s="91"/>
      <c r="AE142" s="91"/>
      <c r="AF142" s="91"/>
      <c r="AG142" s="91"/>
      <c r="AH142" s="91"/>
      <c r="AI142" s="91"/>
      <c r="AJ142" s="91"/>
      <c r="AK142" s="91"/>
      <c r="AL142" s="91"/>
      <c r="AM142" s="91"/>
      <c r="AN142" s="91"/>
      <c r="AO142" s="91"/>
      <c r="AP142" s="91"/>
      <c r="AQ142" s="91"/>
      <c r="AR142" s="91"/>
      <c r="AS142" s="91"/>
      <c r="AT142" s="91"/>
      <c r="AU142" s="91"/>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70"/>
      <c r="BV142" s="170"/>
      <c r="BW142" s="170"/>
    </row>
    <row r="143" spans="2:75" s="86" customFormat="1">
      <c r="B143" s="87"/>
      <c r="C143" s="87"/>
      <c r="D143" s="87"/>
      <c r="I143" s="88"/>
      <c r="J143" s="88"/>
      <c r="K143" s="88"/>
      <c r="L143" s="88"/>
      <c r="M143" s="88"/>
      <c r="Q143" s="89"/>
      <c r="S143" s="90"/>
      <c r="U143" s="91"/>
      <c r="V143" s="91"/>
      <c r="W143" s="91"/>
      <c r="X143" s="91"/>
      <c r="Y143" s="91"/>
      <c r="Z143" s="91"/>
      <c r="AA143" s="91"/>
      <c r="AB143" s="91"/>
      <c r="AC143" s="91"/>
      <c r="AD143" s="91"/>
      <c r="AE143" s="91"/>
      <c r="AF143" s="91"/>
      <c r="AG143" s="91"/>
      <c r="AH143" s="91"/>
      <c r="AI143" s="91"/>
      <c r="AJ143" s="91"/>
      <c r="AK143" s="91"/>
      <c r="AL143" s="91"/>
      <c r="AM143" s="91"/>
      <c r="AN143" s="91"/>
      <c r="AO143" s="91"/>
      <c r="AP143" s="91"/>
      <c r="AQ143" s="91"/>
      <c r="AR143" s="91"/>
      <c r="AS143" s="91"/>
      <c r="AT143" s="91"/>
      <c r="AU143" s="91"/>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70"/>
      <c r="BV143" s="170"/>
      <c r="BW143" s="170"/>
    </row>
    <row r="144" spans="2:75" s="86" customFormat="1">
      <c r="B144" s="87"/>
      <c r="C144" s="87"/>
      <c r="D144" s="87"/>
      <c r="I144" s="88"/>
      <c r="J144" s="88"/>
      <c r="K144" s="88"/>
      <c r="L144" s="88"/>
      <c r="M144" s="88"/>
      <c r="Q144" s="89"/>
      <c r="S144" s="90"/>
      <c r="U144" s="91"/>
      <c r="V144" s="91"/>
      <c r="W144" s="91"/>
      <c r="X144" s="91"/>
      <c r="Y144" s="91"/>
      <c r="Z144" s="91"/>
      <c r="AA144" s="91"/>
      <c r="AB144" s="91"/>
      <c r="AC144" s="91"/>
      <c r="AD144" s="91"/>
      <c r="AE144" s="91"/>
      <c r="AF144" s="91"/>
      <c r="AG144" s="91"/>
      <c r="AH144" s="91"/>
      <c r="AI144" s="91"/>
      <c r="AJ144" s="91"/>
      <c r="AK144" s="91"/>
      <c r="AL144" s="91"/>
      <c r="AM144" s="91"/>
      <c r="AN144" s="91"/>
      <c r="AO144" s="91"/>
      <c r="AP144" s="91"/>
      <c r="AQ144" s="91"/>
      <c r="AR144" s="91"/>
      <c r="AS144" s="91"/>
      <c r="AT144" s="91"/>
      <c r="AU144" s="91"/>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70"/>
      <c r="BV144" s="170"/>
      <c r="BW144" s="170"/>
    </row>
    <row r="145" spans="2:75" s="86" customFormat="1">
      <c r="B145" s="87"/>
      <c r="C145" s="87"/>
      <c r="D145" s="87"/>
      <c r="I145" s="88"/>
      <c r="J145" s="88"/>
      <c r="K145" s="88"/>
      <c r="L145" s="88"/>
      <c r="M145" s="88"/>
      <c r="Q145" s="89"/>
      <c r="S145" s="90"/>
      <c r="U145" s="91"/>
      <c r="V145" s="91"/>
      <c r="W145" s="91"/>
      <c r="X145" s="91"/>
      <c r="Y145" s="91"/>
      <c r="Z145" s="91"/>
      <c r="AA145" s="91"/>
      <c r="AB145" s="91"/>
      <c r="AC145" s="91"/>
      <c r="AD145" s="91"/>
      <c r="AE145" s="91"/>
      <c r="AF145" s="91"/>
      <c r="AG145" s="91"/>
      <c r="AH145" s="91"/>
      <c r="AI145" s="91"/>
      <c r="AJ145" s="91"/>
      <c r="AK145" s="91"/>
      <c r="AL145" s="91"/>
      <c r="AM145" s="91"/>
      <c r="AN145" s="91"/>
      <c r="AO145" s="91"/>
      <c r="AP145" s="91"/>
      <c r="AQ145" s="91"/>
      <c r="AR145" s="91"/>
      <c r="AS145" s="91"/>
      <c r="AT145" s="91"/>
      <c r="AU145" s="91"/>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70"/>
      <c r="BV145" s="170"/>
      <c r="BW145" s="170"/>
    </row>
    <row r="146" spans="2:75" s="86" customFormat="1">
      <c r="B146" s="87"/>
      <c r="C146" s="87"/>
      <c r="D146" s="87"/>
      <c r="I146" s="88"/>
      <c r="J146" s="88"/>
      <c r="K146" s="88"/>
      <c r="L146" s="88"/>
      <c r="M146" s="88"/>
      <c r="Q146" s="89"/>
      <c r="S146" s="90"/>
      <c r="U146" s="91"/>
      <c r="V146" s="91"/>
      <c r="W146" s="91"/>
      <c r="X146" s="91"/>
      <c r="Y146" s="91"/>
      <c r="Z146" s="91"/>
      <c r="AA146" s="91"/>
      <c r="AB146" s="91"/>
      <c r="AC146" s="91"/>
      <c r="AD146" s="91"/>
      <c r="AE146" s="91"/>
      <c r="AF146" s="91"/>
      <c r="AG146" s="91"/>
      <c r="AH146" s="91"/>
      <c r="AI146" s="91"/>
      <c r="AJ146" s="91"/>
      <c r="AK146" s="91"/>
      <c r="AL146" s="91"/>
      <c r="AM146" s="91"/>
      <c r="AN146" s="91"/>
      <c r="AO146" s="91"/>
      <c r="AP146" s="91"/>
      <c r="AQ146" s="91"/>
      <c r="AR146" s="91"/>
      <c r="AS146" s="91"/>
      <c r="AT146" s="91"/>
      <c r="AU146" s="91"/>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70"/>
      <c r="BV146" s="170"/>
      <c r="BW146" s="170"/>
    </row>
    <row r="147" spans="2:75" s="86" customFormat="1">
      <c r="B147" s="87"/>
      <c r="C147" s="87"/>
      <c r="D147" s="87"/>
      <c r="I147" s="88"/>
      <c r="J147" s="88"/>
      <c r="K147" s="88"/>
      <c r="L147" s="88"/>
      <c r="M147" s="88"/>
      <c r="Q147" s="89"/>
      <c r="S147" s="90"/>
      <c r="U147" s="91"/>
      <c r="V147" s="91"/>
      <c r="W147" s="91"/>
      <c r="X147" s="91"/>
      <c r="Y147" s="91"/>
      <c r="Z147" s="91"/>
      <c r="AA147" s="91"/>
      <c r="AB147" s="91"/>
      <c r="AC147" s="91"/>
      <c r="AD147" s="91"/>
      <c r="AE147" s="91"/>
      <c r="AF147" s="91"/>
      <c r="AG147" s="91"/>
      <c r="AH147" s="91"/>
      <c r="AI147" s="91"/>
      <c r="AJ147" s="91"/>
      <c r="AK147" s="91"/>
      <c r="AL147" s="91"/>
      <c r="AM147" s="91"/>
      <c r="AN147" s="91"/>
      <c r="AO147" s="91"/>
      <c r="AP147" s="91"/>
      <c r="AQ147" s="91"/>
      <c r="AR147" s="91"/>
      <c r="AS147" s="91"/>
      <c r="AT147" s="91"/>
      <c r="AU147" s="91"/>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70"/>
      <c r="BV147" s="170"/>
      <c r="BW147" s="170"/>
    </row>
    <row r="148" spans="2:75" s="86" customFormat="1">
      <c r="B148" s="87"/>
      <c r="C148" s="87"/>
      <c r="D148" s="87"/>
      <c r="I148" s="88"/>
      <c r="J148" s="88"/>
      <c r="K148" s="88"/>
      <c r="L148" s="88"/>
      <c r="M148" s="88"/>
      <c r="Q148" s="89"/>
      <c r="S148" s="90"/>
      <c r="U148" s="91"/>
      <c r="V148" s="91"/>
      <c r="W148" s="91"/>
      <c r="X148" s="91"/>
      <c r="Y148" s="91"/>
      <c r="Z148" s="91"/>
      <c r="AA148" s="91"/>
      <c r="AB148" s="91"/>
      <c r="AC148" s="91"/>
      <c r="AD148" s="91"/>
      <c r="AE148" s="91"/>
      <c r="AF148" s="91"/>
      <c r="AG148" s="91"/>
      <c r="AH148" s="91"/>
      <c r="AI148" s="91"/>
      <c r="AJ148" s="91"/>
      <c r="AK148" s="91"/>
      <c r="AL148" s="91"/>
      <c r="AM148" s="91"/>
      <c r="AN148" s="91"/>
      <c r="AO148" s="91"/>
      <c r="AP148" s="91"/>
      <c r="AQ148" s="91"/>
      <c r="AR148" s="91"/>
      <c r="AS148" s="91"/>
      <c r="AT148" s="91"/>
      <c r="AU148" s="91"/>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70"/>
      <c r="BV148" s="170"/>
      <c r="BW148" s="170"/>
    </row>
    <row r="149" spans="2:75" s="86" customFormat="1">
      <c r="B149" s="87"/>
      <c r="C149" s="87"/>
      <c r="D149" s="87"/>
      <c r="I149" s="88"/>
      <c r="J149" s="88"/>
      <c r="K149" s="88"/>
      <c r="L149" s="88"/>
      <c r="M149" s="88"/>
      <c r="Q149" s="89"/>
      <c r="S149" s="90"/>
      <c r="U149" s="91"/>
      <c r="V149" s="91"/>
      <c r="W149" s="91"/>
      <c r="X149" s="91"/>
      <c r="Y149" s="91"/>
      <c r="Z149" s="91"/>
      <c r="AA149" s="91"/>
      <c r="AB149" s="91"/>
      <c r="AC149" s="91"/>
      <c r="AD149" s="91"/>
      <c r="AE149" s="91"/>
      <c r="AF149" s="91"/>
      <c r="AG149" s="91"/>
      <c r="AH149" s="91"/>
      <c r="AI149" s="91"/>
      <c r="AJ149" s="91"/>
      <c r="AK149" s="91"/>
      <c r="AL149" s="91"/>
      <c r="AM149" s="91"/>
      <c r="AN149" s="91"/>
      <c r="AO149" s="91"/>
      <c r="AP149" s="91"/>
      <c r="AQ149" s="91"/>
      <c r="AR149" s="91"/>
      <c r="AS149" s="91"/>
      <c r="AT149" s="91"/>
      <c r="AU149" s="91"/>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70"/>
      <c r="BV149" s="170"/>
      <c r="BW149" s="170"/>
    </row>
    <row r="150" spans="2:75" s="86" customFormat="1">
      <c r="B150" s="87"/>
      <c r="C150" s="87"/>
      <c r="D150" s="87"/>
      <c r="I150" s="88"/>
      <c r="J150" s="88"/>
      <c r="K150" s="88"/>
      <c r="L150" s="88"/>
      <c r="M150" s="88"/>
      <c r="Q150" s="89"/>
      <c r="S150" s="90"/>
      <c r="U150" s="91"/>
      <c r="V150" s="91"/>
      <c r="W150" s="91"/>
      <c r="X150" s="91"/>
      <c r="Y150" s="91"/>
      <c r="Z150" s="91"/>
      <c r="AA150" s="91"/>
      <c r="AB150" s="91"/>
      <c r="AC150" s="91"/>
      <c r="AD150" s="91"/>
      <c r="AE150" s="91"/>
      <c r="AF150" s="91"/>
      <c r="AG150" s="91"/>
      <c r="AH150" s="91"/>
      <c r="AI150" s="91"/>
      <c r="AJ150" s="91"/>
      <c r="AK150" s="91"/>
      <c r="AL150" s="91"/>
      <c r="AM150" s="91"/>
      <c r="AN150" s="91"/>
      <c r="AO150" s="91"/>
      <c r="AP150" s="91"/>
      <c r="AQ150" s="91"/>
      <c r="AR150" s="91"/>
      <c r="AS150" s="91"/>
      <c r="AT150" s="91"/>
      <c r="AU150" s="91"/>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70"/>
      <c r="BV150" s="170"/>
      <c r="BW150" s="170"/>
    </row>
    <row r="151" spans="2:75" s="86" customFormat="1">
      <c r="B151" s="87"/>
      <c r="C151" s="87"/>
      <c r="D151" s="87"/>
      <c r="I151" s="88"/>
      <c r="J151" s="88"/>
      <c r="K151" s="88"/>
      <c r="L151" s="88"/>
      <c r="M151" s="88"/>
      <c r="Q151" s="89"/>
      <c r="S151" s="90"/>
      <c r="U151" s="91"/>
      <c r="V151" s="91"/>
      <c r="W151" s="91"/>
      <c r="X151" s="91"/>
      <c r="Y151" s="91"/>
      <c r="Z151" s="91"/>
      <c r="AA151" s="91"/>
      <c r="AB151" s="91"/>
      <c r="AC151" s="91"/>
      <c r="AD151" s="91"/>
      <c r="AE151" s="91"/>
      <c r="AF151" s="91"/>
      <c r="AG151" s="91"/>
      <c r="AH151" s="91"/>
      <c r="AI151" s="91"/>
      <c r="AJ151" s="91"/>
      <c r="AK151" s="91"/>
      <c r="AL151" s="91"/>
      <c r="AM151" s="91"/>
      <c r="AN151" s="91"/>
      <c r="AO151" s="91"/>
      <c r="AP151" s="91"/>
      <c r="AQ151" s="91"/>
      <c r="AR151" s="91"/>
      <c r="AS151" s="91"/>
      <c r="AT151" s="91"/>
      <c r="AU151" s="91"/>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70"/>
      <c r="BV151" s="170"/>
      <c r="BW151" s="170"/>
    </row>
    <row r="152" spans="2:75" s="86" customFormat="1">
      <c r="B152" s="87"/>
      <c r="C152" s="87"/>
      <c r="D152" s="87"/>
      <c r="I152" s="88"/>
      <c r="J152" s="88"/>
      <c r="K152" s="88"/>
      <c r="L152" s="88"/>
      <c r="M152" s="88"/>
      <c r="Q152" s="89"/>
      <c r="S152" s="90"/>
      <c r="U152" s="91"/>
      <c r="V152" s="91"/>
      <c r="W152" s="91"/>
      <c r="X152" s="91"/>
      <c r="Y152" s="91"/>
      <c r="Z152" s="91"/>
      <c r="AA152" s="91"/>
      <c r="AB152" s="91"/>
      <c r="AC152" s="91"/>
      <c r="AD152" s="91"/>
      <c r="AE152" s="91"/>
      <c r="AF152" s="91"/>
      <c r="AG152" s="91"/>
      <c r="AH152" s="91"/>
      <c r="AI152" s="91"/>
      <c r="AJ152" s="91"/>
      <c r="AK152" s="91"/>
      <c r="AL152" s="91"/>
      <c r="AM152" s="91"/>
      <c r="AN152" s="91"/>
      <c r="AO152" s="91"/>
      <c r="AP152" s="91"/>
      <c r="AQ152" s="91"/>
      <c r="AR152" s="91"/>
      <c r="AS152" s="91"/>
      <c r="AT152" s="91"/>
      <c r="AU152" s="91"/>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70"/>
      <c r="BV152" s="170"/>
      <c r="BW152" s="170"/>
    </row>
    <row r="153" spans="2:75" s="86" customFormat="1">
      <c r="B153" s="87"/>
      <c r="C153" s="87"/>
      <c r="D153" s="87"/>
      <c r="I153" s="88"/>
      <c r="J153" s="88"/>
      <c r="K153" s="88"/>
      <c r="L153" s="88"/>
      <c r="M153" s="88"/>
      <c r="Q153" s="89"/>
      <c r="S153" s="90"/>
      <c r="U153" s="91"/>
      <c r="V153" s="91"/>
      <c r="W153" s="91"/>
      <c r="X153" s="91"/>
      <c r="Y153" s="91"/>
      <c r="Z153" s="91"/>
      <c r="AA153" s="91"/>
      <c r="AB153" s="91"/>
      <c r="AC153" s="91"/>
      <c r="AD153" s="91"/>
      <c r="AE153" s="91"/>
      <c r="AF153" s="91"/>
      <c r="AG153" s="91"/>
      <c r="AH153" s="91"/>
      <c r="AI153" s="91"/>
      <c r="AJ153" s="91"/>
      <c r="AK153" s="91"/>
      <c r="AL153" s="91"/>
      <c r="AM153" s="91"/>
      <c r="AN153" s="91"/>
      <c r="AO153" s="91"/>
      <c r="AP153" s="91"/>
      <c r="AQ153" s="91"/>
      <c r="AR153" s="91"/>
      <c r="AS153" s="91"/>
      <c r="AT153" s="91"/>
      <c r="AU153" s="91"/>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70"/>
      <c r="BV153" s="170"/>
      <c r="BW153" s="170"/>
    </row>
    <row r="154" spans="2:75" s="86" customFormat="1">
      <c r="B154" s="87"/>
      <c r="C154" s="87"/>
      <c r="D154" s="87"/>
      <c r="I154" s="88"/>
      <c r="J154" s="88"/>
      <c r="K154" s="88"/>
      <c r="L154" s="88"/>
      <c r="M154" s="88"/>
      <c r="Q154" s="89"/>
      <c r="S154" s="90"/>
      <c r="U154" s="91"/>
      <c r="V154" s="91"/>
      <c r="W154" s="91"/>
      <c r="X154" s="91"/>
      <c r="Y154" s="91"/>
      <c r="Z154" s="91"/>
      <c r="AA154" s="91"/>
      <c r="AB154" s="91"/>
      <c r="AC154" s="91"/>
      <c r="AD154" s="91"/>
      <c r="AE154" s="91"/>
      <c r="AF154" s="91"/>
      <c r="AG154" s="91"/>
      <c r="AH154" s="91"/>
      <c r="AI154" s="91"/>
      <c r="AJ154" s="91"/>
      <c r="AK154" s="91"/>
      <c r="AL154" s="91"/>
      <c r="AM154" s="91"/>
      <c r="AN154" s="91"/>
      <c r="AO154" s="91"/>
      <c r="AP154" s="91"/>
      <c r="AQ154" s="91"/>
      <c r="AR154" s="91"/>
      <c r="AS154" s="91"/>
      <c r="AT154" s="91"/>
      <c r="AU154" s="91"/>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70"/>
      <c r="BV154" s="170"/>
      <c r="BW154" s="170"/>
    </row>
    <row r="155" spans="2:75" s="86" customFormat="1">
      <c r="B155" s="87"/>
      <c r="C155" s="87"/>
      <c r="D155" s="87"/>
      <c r="I155" s="88"/>
      <c r="J155" s="88"/>
      <c r="K155" s="88"/>
      <c r="L155" s="88"/>
      <c r="M155" s="88"/>
      <c r="Q155" s="89"/>
      <c r="S155" s="90"/>
      <c r="U155" s="91"/>
      <c r="V155" s="91"/>
      <c r="W155" s="91"/>
      <c r="X155" s="91"/>
      <c r="Y155" s="91"/>
      <c r="Z155" s="91"/>
      <c r="AA155" s="91"/>
      <c r="AB155" s="91"/>
      <c r="AC155" s="91"/>
      <c r="AD155" s="91"/>
      <c r="AE155" s="91"/>
      <c r="AF155" s="91"/>
      <c r="AG155" s="91"/>
      <c r="AH155" s="91"/>
      <c r="AI155" s="91"/>
      <c r="AJ155" s="91"/>
      <c r="AK155" s="91"/>
      <c r="AL155" s="91"/>
      <c r="AM155" s="91"/>
      <c r="AN155" s="91"/>
      <c r="AO155" s="91"/>
      <c r="AP155" s="91"/>
      <c r="AQ155" s="91"/>
      <c r="AR155" s="91"/>
      <c r="AS155" s="91"/>
      <c r="AT155" s="91"/>
      <c r="AU155" s="91"/>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70"/>
      <c r="BV155" s="170"/>
      <c r="BW155" s="170"/>
    </row>
    <row r="156" spans="2:75" s="86" customFormat="1">
      <c r="B156" s="87"/>
      <c r="C156" s="87"/>
      <c r="D156" s="87"/>
      <c r="I156" s="88"/>
      <c r="J156" s="88"/>
      <c r="K156" s="88"/>
      <c r="L156" s="88"/>
      <c r="M156" s="88"/>
      <c r="Q156" s="89"/>
      <c r="S156" s="90"/>
      <c r="U156" s="91"/>
      <c r="V156" s="91"/>
      <c r="W156" s="91"/>
      <c r="X156" s="91"/>
      <c r="Y156" s="91"/>
      <c r="Z156" s="91"/>
      <c r="AA156" s="91"/>
      <c r="AB156" s="91"/>
      <c r="AC156" s="91"/>
      <c r="AD156" s="91"/>
      <c r="AE156" s="91"/>
      <c r="AF156" s="91"/>
      <c r="AG156" s="91"/>
      <c r="AH156" s="91"/>
      <c r="AI156" s="91"/>
      <c r="AJ156" s="91"/>
      <c r="AK156" s="91"/>
      <c r="AL156" s="91"/>
      <c r="AM156" s="91"/>
      <c r="AN156" s="91"/>
      <c r="AO156" s="91"/>
      <c r="AP156" s="91"/>
      <c r="AQ156" s="91"/>
      <c r="AR156" s="91"/>
      <c r="AS156" s="91"/>
      <c r="AT156" s="91"/>
      <c r="AU156" s="91"/>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70"/>
      <c r="BV156" s="170"/>
      <c r="BW156" s="170"/>
    </row>
    <row r="157" spans="2:75" s="86" customFormat="1">
      <c r="B157" s="87"/>
      <c r="C157" s="87"/>
      <c r="D157" s="87"/>
      <c r="I157" s="88"/>
      <c r="J157" s="88"/>
      <c r="K157" s="88"/>
      <c r="L157" s="88"/>
      <c r="M157" s="88"/>
      <c r="Q157" s="89"/>
      <c r="S157" s="90"/>
      <c r="U157" s="91"/>
      <c r="V157" s="91"/>
      <c r="W157" s="91"/>
      <c r="X157" s="91"/>
      <c r="Y157" s="91"/>
      <c r="Z157" s="91"/>
      <c r="AA157" s="91"/>
      <c r="AB157" s="91"/>
      <c r="AC157" s="91"/>
      <c r="AD157" s="91"/>
      <c r="AE157" s="91"/>
      <c r="AF157" s="91"/>
      <c r="AG157" s="91"/>
      <c r="AH157" s="91"/>
      <c r="AI157" s="91"/>
      <c r="AJ157" s="91"/>
      <c r="AK157" s="91"/>
      <c r="AL157" s="91"/>
      <c r="AM157" s="91"/>
      <c r="AN157" s="91"/>
      <c r="AO157" s="91"/>
      <c r="AP157" s="91"/>
      <c r="AQ157" s="91"/>
      <c r="AR157" s="91"/>
      <c r="AS157" s="91"/>
      <c r="AT157" s="91"/>
      <c r="AU157" s="91"/>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70"/>
      <c r="BV157" s="170"/>
      <c r="BW157" s="170"/>
    </row>
    <row r="158" spans="2:75" s="86" customFormat="1">
      <c r="B158" s="87"/>
      <c r="C158" s="87"/>
      <c r="D158" s="87"/>
      <c r="I158" s="88"/>
      <c r="J158" s="88"/>
      <c r="K158" s="88"/>
      <c r="L158" s="88"/>
      <c r="M158" s="88"/>
      <c r="Q158" s="89"/>
      <c r="S158" s="90"/>
      <c r="U158" s="91"/>
      <c r="V158" s="91"/>
      <c r="W158" s="91"/>
      <c r="X158" s="91"/>
      <c r="Y158" s="91"/>
      <c r="Z158" s="91"/>
      <c r="AA158" s="91"/>
      <c r="AB158" s="91"/>
      <c r="AC158" s="91"/>
      <c r="AD158" s="91"/>
      <c r="AE158" s="91"/>
      <c r="AF158" s="91"/>
      <c r="AG158" s="91"/>
      <c r="AH158" s="91"/>
      <c r="AI158" s="91"/>
      <c r="AJ158" s="91"/>
      <c r="AK158" s="91"/>
      <c r="AL158" s="91"/>
      <c r="AM158" s="91"/>
      <c r="AN158" s="91"/>
      <c r="AO158" s="91"/>
      <c r="AP158" s="91"/>
      <c r="AQ158" s="91"/>
      <c r="AR158" s="91"/>
      <c r="AS158" s="91"/>
      <c r="AT158" s="91"/>
      <c r="AU158" s="91"/>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70"/>
      <c r="BV158" s="170"/>
      <c r="BW158" s="170"/>
    </row>
    <row r="159" spans="2:75" s="86" customFormat="1">
      <c r="B159" s="87"/>
      <c r="C159" s="87"/>
      <c r="D159" s="87"/>
      <c r="I159" s="88"/>
      <c r="J159" s="88"/>
      <c r="K159" s="88"/>
      <c r="L159" s="88"/>
      <c r="M159" s="88"/>
      <c r="Q159" s="89"/>
      <c r="S159" s="90"/>
      <c r="U159" s="91"/>
      <c r="V159" s="91"/>
      <c r="W159" s="91"/>
      <c r="X159" s="91"/>
      <c r="Y159" s="91"/>
      <c r="Z159" s="91"/>
      <c r="AA159" s="91"/>
      <c r="AB159" s="91"/>
      <c r="AC159" s="91"/>
      <c r="AD159" s="91"/>
      <c r="AE159" s="91"/>
      <c r="AF159" s="91"/>
      <c r="AG159" s="91"/>
      <c r="AH159" s="91"/>
      <c r="AI159" s="91"/>
      <c r="AJ159" s="91"/>
      <c r="AK159" s="91"/>
      <c r="AL159" s="91"/>
      <c r="AM159" s="91"/>
      <c r="AN159" s="91"/>
      <c r="AO159" s="91"/>
      <c r="AP159" s="91"/>
      <c r="AQ159" s="91"/>
      <c r="AR159" s="91"/>
      <c r="AS159" s="91"/>
      <c r="AT159" s="91"/>
      <c r="AU159" s="91"/>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70"/>
      <c r="BV159" s="170"/>
      <c r="BW159" s="170"/>
    </row>
    <row r="160" spans="2:75" s="86" customFormat="1">
      <c r="B160" s="87"/>
      <c r="C160" s="87"/>
      <c r="D160" s="87"/>
      <c r="I160" s="88"/>
      <c r="J160" s="88"/>
      <c r="K160" s="88"/>
      <c r="L160" s="88"/>
      <c r="M160" s="88"/>
      <c r="Q160" s="89"/>
      <c r="S160" s="90"/>
      <c r="U160" s="91"/>
      <c r="V160" s="91"/>
      <c r="W160" s="91"/>
      <c r="X160" s="91"/>
      <c r="Y160" s="91"/>
      <c r="Z160" s="91"/>
      <c r="AA160" s="91"/>
      <c r="AB160" s="91"/>
      <c r="AC160" s="91"/>
      <c r="AD160" s="91"/>
      <c r="AE160" s="91"/>
      <c r="AF160" s="91"/>
      <c r="AG160" s="91"/>
      <c r="AH160" s="91"/>
      <c r="AI160" s="91"/>
      <c r="AJ160" s="91"/>
      <c r="AK160" s="91"/>
      <c r="AL160" s="91"/>
      <c r="AM160" s="91"/>
      <c r="AN160" s="91"/>
      <c r="AO160" s="91"/>
      <c r="AP160" s="91"/>
      <c r="AQ160" s="91"/>
      <c r="AR160" s="91"/>
      <c r="AS160" s="91"/>
      <c r="AT160" s="91"/>
      <c r="AU160" s="91"/>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70"/>
      <c r="BV160" s="170"/>
      <c r="BW160" s="170"/>
    </row>
    <row r="161" spans="2:75" s="86" customFormat="1">
      <c r="B161" s="87"/>
      <c r="C161" s="87"/>
      <c r="D161" s="87"/>
      <c r="I161" s="88"/>
      <c r="J161" s="88"/>
      <c r="K161" s="88"/>
      <c r="L161" s="88"/>
      <c r="M161" s="88"/>
      <c r="Q161" s="89"/>
      <c r="S161" s="90"/>
      <c r="U161" s="91"/>
      <c r="V161" s="91"/>
      <c r="W161" s="91"/>
      <c r="X161" s="91"/>
      <c r="Y161" s="91"/>
      <c r="Z161" s="91"/>
      <c r="AA161" s="91"/>
      <c r="AB161" s="91"/>
      <c r="AC161" s="91"/>
      <c r="AD161" s="91"/>
      <c r="AE161" s="91"/>
      <c r="AF161" s="91"/>
      <c r="AG161" s="91"/>
      <c r="AH161" s="91"/>
      <c r="AI161" s="91"/>
      <c r="AJ161" s="91"/>
      <c r="AK161" s="91"/>
      <c r="AL161" s="91"/>
      <c r="AM161" s="91"/>
      <c r="AN161" s="91"/>
      <c r="AO161" s="91"/>
      <c r="AP161" s="91"/>
      <c r="AQ161" s="91"/>
      <c r="AR161" s="91"/>
      <c r="AS161" s="91"/>
      <c r="AT161" s="91"/>
      <c r="AU161" s="91"/>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70"/>
      <c r="BV161" s="170"/>
      <c r="BW161" s="170"/>
    </row>
    <row r="162" spans="2:75" s="86" customFormat="1">
      <c r="B162" s="87"/>
      <c r="C162" s="87"/>
      <c r="D162" s="87"/>
      <c r="I162" s="88"/>
      <c r="J162" s="88"/>
      <c r="K162" s="88"/>
      <c r="L162" s="88"/>
      <c r="M162" s="88"/>
      <c r="Q162" s="89"/>
      <c r="S162" s="90"/>
      <c r="U162" s="91"/>
      <c r="V162" s="91"/>
      <c r="W162" s="91"/>
      <c r="X162" s="91"/>
      <c r="Y162" s="91"/>
      <c r="Z162" s="91"/>
      <c r="AA162" s="91"/>
      <c r="AB162" s="91"/>
      <c r="AC162" s="91"/>
      <c r="AD162" s="91"/>
      <c r="AE162" s="91"/>
      <c r="AF162" s="91"/>
      <c r="AG162" s="91"/>
      <c r="AH162" s="91"/>
      <c r="AI162" s="91"/>
      <c r="AJ162" s="91"/>
      <c r="AK162" s="91"/>
      <c r="AL162" s="91"/>
      <c r="AM162" s="91"/>
      <c r="AN162" s="91"/>
      <c r="AO162" s="91"/>
      <c r="AP162" s="91"/>
      <c r="AQ162" s="91"/>
      <c r="AR162" s="91"/>
      <c r="AS162" s="91"/>
      <c r="AT162" s="91"/>
      <c r="AU162" s="91"/>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70"/>
      <c r="BV162" s="170"/>
      <c r="BW162" s="170"/>
    </row>
    <row r="163" spans="2:75" s="86" customFormat="1">
      <c r="B163" s="87"/>
      <c r="C163" s="87"/>
      <c r="D163" s="87"/>
      <c r="I163" s="88"/>
      <c r="J163" s="88"/>
      <c r="K163" s="88"/>
      <c r="L163" s="88"/>
      <c r="M163" s="88"/>
      <c r="Q163" s="89"/>
      <c r="S163" s="90"/>
      <c r="U163" s="91"/>
      <c r="V163" s="91"/>
      <c r="W163" s="91"/>
      <c r="X163" s="91"/>
      <c r="Y163" s="91"/>
      <c r="Z163" s="91"/>
      <c r="AA163" s="91"/>
      <c r="AB163" s="91"/>
      <c r="AC163" s="91"/>
      <c r="AD163" s="91"/>
      <c r="AE163" s="91"/>
      <c r="AF163" s="91"/>
      <c r="AG163" s="91"/>
      <c r="AH163" s="91"/>
      <c r="AI163" s="91"/>
      <c r="AJ163" s="91"/>
      <c r="AK163" s="91"/>
      <c r="AL163" s="91"/>
      <c r="AM163" s="91"/>
      <c r="AN163" s="91"/>
      <c r="AO163" s="91"/>
      <c r="AP163" s="91"/>
      <c r="AQ163" s="91"/>
      <c r="AR163" s="91"/>
      <c r="AS163" s="91"/>
      <c r="AT163" s="91"/>
      <c r="AU163" s="91"/>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70"/>
      <c r="BV163" s="170"/>
      <c r="BW163" s="170"/>
    </row>
    <row r="164" spans="2:75" s="86" customFormat="1">
      <c r="B164" s="87"/>
      <c r="C164" s="87"/>
      <c r="D164" s="87"/>
      <c r="I164" s="88"/>
      <c r="J164" s="88"/>
      <c r="K164" s="88"/>
      <c r="L164" s="88"/>
      <c r="M164" s="88"/>
      <c r="Q164" s="89"/>
      <c r="S164" s="90"/>
      <c r="U164" s="91"/>
      <c r="V164" s="91"/>
      <c r="W164" s="91"/>
      <c r="X164" s="91"/>
      <c r="Y164" s="91"/>
      <c r="Z164" s="91"/>
      <c r="AA164" s="91"/>
      <c r="AB164" s="91"/>
      <c r="AC164" s="91"/>
      <c r="AD164" s="91"/>
      <c r="AE164" s="91"/>
      <c r="AF164" s="91"/>
      <c r="AG164" s="91"/>
      <c r="AH164" s="91"/>
      <c r="AI164" s="91"/>
      <c r="AJ164" s="91"/>
      <c r="AK164" s="91"/>
      <c r="AL164" s="91"/>
      <c r="AM164" s="91"/>
      <c r="AN164" s="91"/>
      <c r="AO164" s="91"/>
      <c r="AP164" s="91"/>
      <c r="AQ164" s="91"/>
      <c r="AR164" s="91"/>
      <c r="AS164" s="91"/>
      <c r="AT164" s="91"/>
      <c r="AU164" s="91"/>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70"/>
      <c r="BV164" s="170"/>
      <c r="BW164" s="170"/>
    </row>
    <row r="165" spans="2:75" s="86" customFormat="1">
      <c r="B165" s="87"/>
      <c r="C165" s="87"/>
      <c r="D165" s="87"/>
      <c r="I165" s="88"/>
      <c r="J165" s="88"/>
      <c r="K165" s="88"/>
      <c r="L165" s="88"/>
      <c r="M165" s="88"/>
      <c r="Q165" s="89"/>
      <c r="S165" s="90"/>
      <c r="U165" s="91"/>
      <c r="V165" s="91"/>
      <c r="W165" s="91"/>
      <c r="X165" s="91"/>
      <c r="Y165" s="91"/>
      <c r="Z165" s="91"/>
      <c r="AA165" s="91"/>
      <c r="AB165" s="91"/>
      <c r="AC165" s="91"/>
      <c r="AD165" s="91"/>
      <c r="AE165" s="91"/>
      <c r="AF165" s="91"/>
      <c r="AG165" s="91"/>
      <c r="AH165" s="91"/>
      <c r="AI165" s="91"/>
      <c r="AJ165" s="91"/>
      <c r="AK165" s="91"/>
      <c r="AL165" s="91"/>
      <c r="AM165" s="91"/>
      <c r="AN165" s="91"/>
      <c r="AO165" s="91"/>
      <c r="AP165" s="91"/>
      <c r="AQ165" s="91"/>
      <c r="AR165" s="91"/>
      <c r="AS165" s="91"/>
      <c r="AT165" s="91"/>
      <c r="AU165" s="91"/>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70"/>
      <c r="BV165" s="170"/>
      <c r="BW165" s="170"/>
    </row>
    <row r="166" spans="2:75" s="86" customFormat="1">
      <c r="B166" s="87"/>
      <c r="C166" s="87"/>
      <c r="D166" s="87"/>
      <c r="I166" s="88"/>
      <c r="J166" s="88"/>
      <c r="K166" s="88"/>
      <c r="L166" s="88"/>
      <c r="M166" s="88"/>
      <c r="Q166" s="89"/>
      <c r="S166" s="90"/>
      <c r="U166" s="91"/>
      <c r="V166" s="91"/>
      <c r="W166" s="91"/>
      <c r="X166" s="91"/>
      <c r="Y166" s="91"/>
      <c r="Z166" s="91"/>
      <c r="AA166" s="91"/>
      <c r="AB166" s="91"/>
      <c r="AC166" s="91"/>
      <c r="AD166" s="91"/>
      <c r="AE166" s="91"/>
      <c r="AF166" s="91"/>
      <c r="AG166" s="91"/>
      <c r="AH166" s="91"/>
      <c r="AI166" s="91"/>
      <c r="AJ166" s="91"/>
      <c r="AK166" s="91"/>
      <c r="AL166" s="91"/>
      <c r="AM166" s="91"/>
      <c r="AN166" s="91"/>
      <c r="AO166" s="91"/>
      <c r="AP166" s="91"/>
      <c r="AQ166" s="91"/>
      <c r="AR166" s="91"/>
      <c r="AS166" s="91"/>
      <c r="AT166" s="91"/>
      <c r="AU166" s="91"/>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70"/>
      <c r="BV166" s="170"/>
      <c r="BW166" s="170"/>
    </row>
    <row r="167" spans="2:75" s="86" customFormat="1">
      <c r="B167" s="87"/>
      <c r="C167" s="87"/>
      <c r="D167" s="87"/>
      <c r="I167" s="88"/>
      <c r="J167" s="88"/>
      <c r="K167" s="88"/>
      <c r="L167" s="88"/>
      <c r="M167" s="88"/>
      <c r="Q167" s="89"/>
      <c r="S167" s="90"/>
      <c r="U167" s="91"/>
      <c r="V167" s="91"/>
      <c r="W167" s="91"/>
      <c r="X167" s="91"/>
      <c r="Y167" s="91"/>
      <c r="Z167" s="91"/>
      <c r="AA167" s="91"/>
      <c r="AB167" s="91"/>
      <c r="AC167" s="91"/>
      <c r="AD167" s="91"/>
      <c r="AE167" s="91"/>
      <c r="AF167" s="91"/>
      <c r="AG167" s="91"/>
      <c r="AH167" s="91"/>
      <c r="AI167" s="91"/>
      <c r="AJ167" s="91"/>
      <c r="AK167" s="91"/>
      <c r="AL167" s="91"/>
      <c r="AM167" s="91"/>
      <c r="AN167" s="91"/>
      <c r="AO167" s="91"/>
      <c r="AP167" s="91"/>
      <c r="AQ167" s="91"/>
      <c r="AR167" s="91"/>
      <c r="AS167" s="91"/>
      <c r="AT167" s="91"/>
      <c r="AU167" s="91"/>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70"/>
      <c r="BV167" s="170"/>
      <c r="BW167" s="170"/>
    </row>
    <row r="168" spans="2:75" s="86" customFormat="1">
      <c r="B168" s="87"/>
      <c r="C168" s="87"/>
      <c r="D168" s="87"/>
      <c r="I168" s="88"/>
      <c r="J168" s="88"/>
      <c r="K168" s="88"/>
      <c r="L168" s="88"/>
      <c r="M168" s="88"/>
      <c r="Q168" s="89"/>
      <c r="S168" s="90"/>
      <c r="U168" s="91"/>
      <c r="V168" s="91"/>
      <c r="W168" s="91"/>
      <c r="X168" s="91"/>
      <c r="Y168" s="91"/>
      <c r="Z168" s="91"/>
      <c r="AA168" s="91"/>
      <c r="AB168" s="91"/>
      <c r="AC168" s="91"/>
      <c r="AD168" s="91"/>
      <c r="AE168" s="91"/>
      <c r="AF168" s="91"/>
      <c r="AG168" s="91"/>
      <c r="AH168" s="91"/>
      <c r="AI168" s="91"/>
      <c r="AJ168" s="91"/>
      <c r="AK168" s="91"/>
      <c r="AL168" s="91"/>
      <c r="AM168" s="91"/>
      <c r="AN168" s="91"/>
      <c r="AO168" s="91"/>
      <c r="AP168" s="91"/>
      <c r="AQ168" s="91"/>
      <c r="AR168" s="91"/>
      <c r="AS168" s="91"/>
      <c r="AT168" s="91"/>
      <c r="AU168" s="91"/>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70"/>
      <c r="BV168" s="170"/>
      <c r="BW168" s="170"/>
    </row>
    <row r="169" spans="2:75" s="86" customFormat="1">
      <c r="B169" s="87"/>
      <c r="C169" s="87"/>
      <c r="D169" s="87"/>
      <c r="I169" s="88"/>
      <c r="J169" s="88"/>
      <c r="K169" s="88"/>
      <c r="L169" s="88"/>
      <c r="M169" s="88"/>
      <c r="Q169" s="89"/>
      <c r="S169" s="90"/>
      <c r="U169" s="91"/>
      <c r="V169" s="91"/>
      <c r="W169" s="91"/>
      <c r="X169" s="91"/>
      <c r="Y169" s="91"/>
      <c r="Z169" s="91"/>
      <c r="AA169" s="91"/>
      <c r="AB169" s="91"/>
      <c r="AC169" s="91"/>
      <c r="AD169" s="91"/>
      <c r="AE169" s="91"/>
      <c r="AF169" s="91"/>
      <c r="AG169" s="91"/>
      <c r="AH169" s="91"/>
      <c r="AI169" s="91"/>
      <c r="AJ169" s="91"/>
      <c r="AK169" s="91"/>
      <c r="AL169" s="91"/>
      <c r="AM169" s="91"/>
      <c r="AN169" s="91"/>
      <c r="AO169" s="91"/>
      <c r="AP169" s="91"/>
      <c r="AQ169" s="91"/>
      <c r="AR169" s="91"/>
      <c r="AS169" s="91"/>
      <c r="AT169" s="91"/>
      <c r="AU169" s="91"/>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70"/>
      <c r="BV169" s="170"/>
      <c r="BW169" s="170"/>
    </row>
    <row r="170" spans="2:75" s="86" customFormat="1">
      <c r="B170" s="87"/>
      <c r="C170" s="87"/>
      <c r="D170" s="87"/>
      <c r="I170" s="88"/>
      <c r="J170" s="88"/>
      <c r="K170" s="88"/>
      <c r="L170" s="88"/>
      <c r="M170" s="88"/>
      <c r="Q170" s="89"/>
      <c r="S170" s="90"/>
      <c r="U170" s="91"/>
      <c r="V170" s="91"/>
      <c r="W170" s="91"/>
      <c r="X170" s="91"/>
      <c r="Y170" s="91"/>
      <c r="Z170" s="91"/>
      <c r="AA170" s="91"/>
      <c r="AB170" s="91"/>
      <c r="AC170" s="91"/>
      <c r="AD170" s="91"/>
      <c r="AE170" s="91"/>
      <c r="AF170" s="91"/>
      <c r="AG170" s="91"/>
      <c r="AH170" s="91"/>
      <c r="AI170" s="91"/>
      <c r="AJ170" s="91"/>
      <c r="AK170" s="91"/>
      <c r="AL170" s="91"/>
      <c r="AM170" s="91"/>
      <c r="AN170" s="91"/>
      <c r="AO170" s="91"/>
      <c r="AP170" s="91"/>
      <c r="AQ170" s="91"/>
      <c r="AR170" s="91"/>
      <c r="AS170" s="91"/>
      <c r="AT170" s="91"/>
      <c r="AU170" s="91"/>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70"/>
      <c r="BV170" s="170"/>
      <c r="BW170" s="170"/>
    </row>
    <row r="171" spans="2:75" s="86" customFormat="1">
      <c r="B171" s="87"/>
      <c r="C171" s="87"/>
      <c r="D171" s="87"/>
      <c r="I171" s="88"/>
      <c r="J171" s="88"/>
      <c r="K171" s="88"/>
      <c r="L171" s="88"/>
      <c r="M171" s="88"/>
      <c r="Q171" s="89"/>
      <c r="S171" s="90"/>
      <c r="U171" s="91"/>
      <c r="V171" s="91"/>
      <c r="W171" s="91"/>
      <c r="X171" s="91"/>
      <c r="Y171" s="91"/>
      <c r="Z171" s="91"/>
      <c r="AA171" s="91"/>
      <c r="AB171" s="91"/>
      <c r="AC171" s="91"/>
      <c r="AD171" s="91"/>
      <c r="AE171" s="91"/>
      <c r="AF171" s="91"/>
      <c r="AG171" s="91"/>
      <c r="AH171" s="91"/>
      <c r="AI171" s="91"/>
      <c r="AJ171" s="91"/>
      <c r="AK171" s="91"/>
      <c r="AL171" s="91"/>
      <c r="AM171" s="91"/>
      <c r="AN171" s="91"/>
      <c r="AO171" s="91"/>
      <c r="AP171" s="91"/>
      <c r="AQ171" s="91"/>
      <c r="AR171" s="91"/>
      <c r="AS171" s="91"/>
      <c r="AT171" s="91"/>
      <c r="AU171" s="91"/>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70"/>
      <c r="BV171" s="170"/>
      <c r="BW171" s="170"/>
    </row>
    <row r="172" spans="2:75" s="86" customFormat="1">
      <c r="B172" s="87"/>
      <c r="C172" s="87"/>
      <c r="D172" s="87"/>
      <c r="I172" s="88"/>
      <c r="J172" s="88"/>
      <c r="K172" s="88"/>
      <c r="L172" s="88"/>
      <c r="M172" s="88"/>
      <c r="Q172" s="89"/>
      <c r="S172" s="90"/>
      <c r="U172" s="91"/>
      <c r="V172" s="91"/>
      <c r="W172" s="91"/>
      <c r="X172" s="91"/>
      <c r="Y172" s="91"/>
      <c r="Z172" s="91"/>
      <c r="AA172" s="91"/>
      <c r="AB172" s="91"/>
      <c r="AC172" s="91"/>
      <c r="AD172" s="91"/>
      <c r="AE172" s="91"/>
      <c r="AF172" s="91"/>
      <c r="AG172" s="91"/>
      <c r="AH172" s="91"/>
      <c r="AI172" s="91"/>
      <c r="AJ172" s="91"/>
      <c r="AK172" s="91"/>
      <c r="AL172" s="91"/>
      <c r="AM172" s="91"/>
      <c r="AN172" s="91"/>
      <c r="AO172" s="91"/>
      <c r="AP172" s="91"/>
      <c r="AQ172" s="91"/>
      <c r="AR172" s="91"/>
      <c r="AS172" s="91"/>
      <c r="AT172" s="91"/>
      <c r="AU172" s="91"/>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70"/>
      <c r="BV172" s="170"/>
      <c r="BW172" s="170"/>
    </row>
    <row r="173" spans="2:75" s="86" customFormat="1">
      <c r="B173" s="87"/>
      <c r="C173" s="87"/>
      <c r="D173" s="87"/>
      <c r="I173" s="88"/>
      <c r="J173" s="88"/>
      <c r="K173" s="88"/>
      <c r="L173" s="88"/>
      <c r="M173" s="88"/>
      <c r="Q173" s="89"/>
      <c r="S173" s="90"/>
      <c r="U173" s="91"/>
      <c r="V173" s="91"/>
      <c r="W173" s="91"/>
      <c r="X173" s="91"/>
      <c r="Y173" s="91"/>
      <c r="Z173" s="91"/>
      <c r="AA173" s="91"/>
      <c r="AB173" s="91"/>
      <c r="AC173" s="91"/>
      <c r="AD173" s="91"/>
      <c r="AE173" s="91"/>
      <c r="AF173" s="91"/>
      <c r="AG173" s="91"/>
      <c r="AH173" s="91"/>
      <c r="AI173" s="91"/>
      <c r="AJ173" s="91"/>
      <c r="AK173" s="91"/>
      <c r="AL173" s="91"/>
      <c r="AM173" s="91"/>
      <c r="AN173" s="91"/>
      <c r="AO173" s="91"/>
      <c r="AP173" s="91"/>
      <c r="AQ173" s="91"/>
      <c r="AR173" s="91"/>
      <c r="AS173" s="91"/>
      <c r="AT173" s="91"/>
      <c r="AU173" s="91"/>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70"/>
      <c r="BV173" s="170"/>
      <c r="BW173" s="170"/>
    </row>
    <row r="174" spans="2:75" s="86" customFormat="1">
      <c r="B174" s="87"/>
      <c r="C174" s="87"/>
      <c r="D174" s="87"/>
      <c r="I174" s="88"/>
      <c r="J174" s="88"/>
      <c r="K174" s="88"/>
      <c r="L174" s="88"/>
      <c r="M174" s="88"/>
      <c r="Q174" s="89"/>
      <c r="S174" s="90"/>
      <c r="U174" s="91"/>
      <c r="V174" s="91"/>
      <c r="W174" s="91"/>
      <c r="X174" s="91"/>
      <c r="Y174" s="91"/>
      <c r="Z174" s="91"/>
      <c r="AA174" s="91"/>
      <c r="AB174" s="91"/>
      <c r="AC174" s="91"/>
      <c r="AD174" s="91"/>
      <c r="AE174" s="91"/>
      <c r="AF174" s="91"/>
      <c r="AG174" s="91"/>
      <c r="AH174" s="91"/>
      <c r="AI174" s="91"/>
      <c r="AJ174" s="91"/>
      <c r="AK174" s="91"/>
      <c r="AL174" s="91"/>
      <c r="AM174" s="91"/>
      <c r="AN174" s="91"/>
      <c r="AO174" s="91"/>
      <c r="AP174" s="91"/>
      <c r="AQ174" s="91"/>
      <c r="AR174" s="91"/>
      <c r="AS174" s="91"/>
      <c r="AT174" s="91"/>
      <c r="AU174" s="91"/>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70"/>
      <c r="BV174" s="170"/>
      <c r="BW174" s="170"/>
    </row>
    <row r="175" spans="2:75" s="86" customFormat="1">
      <c r="B175" s="87"/>
      <c r="C175" s="87"/>
      <c r="D175" s="87"/>
      <c r="I175" s="88"/>
      <c r="J175" s="88"/>
      <c r="K175" s="88"/>
      <c r="L175" s="88"/>
      <c r="M175" s="88"/>
      <c r="Q175" s="89"/>
      <c r="S175" s="90"/>
      <c r="U175" s="91"/>
      <c r="V175" s="91"/>
      <c r="W175" s="91"/>
      <c r="X175" s="91"/>
      <c r="Y175" s="91"/>
      <c r="Z175" s="91"/>
      <c r="AA175" s="91"/>
      <c r="AB175" s="91"/>
      <c r="AC175" s="91"/>
      <c r="AD175" s="91"/>
      <c r="AE175" s="91"/>
      <c r="AF175" s="91"/>
      <c r="AG175" s="91"/>
      <c r="AH175" s="91"/>
      <c r="AI175" s="91"/>
      <c r="AJ175" s="91"/>
      <c r="AK175" s="91"/>
      <c r="AL175" s="91"/>
      <c r="AM175" s="91"/>
      <c r="AN175" s="91"/>
      <c r="AO175" s="91"/>
      <c r="AP175" s="91"/>
      <c r="AQ175" s="91"/>
      <c r="AR175" s="91"/>
      <c r="AS175" s="91"/>
      <c r="AT175" s="91"/>
      <c r="AU175" s="91"/>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70"/>
      <c r="BV175" s="170"/>
      <c r="BW175" s="170"/>
    </row>
    <row r="176" spans="2:75" s="86" customFormat="1">
      <c r="B176" s="87"/>
      <c r="C176" s="87"/>
      <c r="D176" s="87"/>
      <c r="I176" s="88"/>
      <c r="J176" s="88"/>
      <c r="K176" s="88"/>
      <c r="L176" s="88"/>
      <c r="M176" s="88"/>
      <c r="Q176" s="89"/>
      <c r="S176" s="90"/>
      <c r="U176" s="91"/>
      <c r="V176" s="91"/>
      <c r="W176" s="91"/>
      <c r="X176" s="91"/>
      <c r="Y176" s="91"/>
      <c r="Z176" s="91"/>
      <c r="AA176" s="91"/>
      <c r="AB176" s="91"/>
      <c r="AC176" s="91"/>
      <c r="AD176" s="91"/>
      <c r="AE176" s="91"/>
      <c r="AF176" s="91"/>
      <c r="AG176" s="91"/>
      <c r="AH176" s="91"/>
      <c r="AI176" s="91"/>
      <c r="AJ176" s="91"/>
      <c r="AK176" s="91"/>
      <c r="AL176" s="91"/>
      <c r="AM176" s="91"/>
      <c r="AN176" s="91"/>
      <c r="AO176" s="91"/>
      <c r="AP176" s="91"/>
      <c r="AQ176" s="91"/>
      <c r="AR176" s="91"/>
      <c r="AS176" s="91"/>
      <c r="AT176" s="91"/>
      <c r="AU176" s="91"/>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70"/>
      <c r="BV176" s="170"/>
      <c r="BW176" s="170"/>
    </row>
    <row r="177" spans="2:75" s="86" customFormat="1">
      <c r="B177" s="87"/>
      <c r="C177" s="87"/>
      <c r="D177" s="87"/>
      <c r="I177" s="88"/>
      <c r="J177" s="88"/>
      <c r="K177" s="88"/>
      <c r="L177" s="88"/>
      <c r="M177" s="88"/>
      <c r="Q177" s="89"/>
      <c r="S177" s="90"/>
      <c r="U177" s="91"/>
      <c r="V177" s="91"/>
      <c r="W177" s="91"/>
      <c r="X177" s="91"/>
      <c r="Y177" s="91"/>
      <c r="Z177" s="91"/>
      <c r="AA177" s="91"/>
      <c r="AB177" s="91"/>
      <c r="AC177" s="91"/>
      <c r="AD177" s="91"/>
      <c r="AE177" s="91"/>
      <c r="AF177" s="91"/>
      <c r="AG177" s="91"/>
      <c r="AH177" s="91"/>
      <c r="AI177" s="91"/>
      <c r="AJ177" s="91"/>
      <c r="AK177" s="91"/>
      <c r="AL177" s="91"/>
      <c r="AM177" s="91"/>
      <c r="AN177" s="91"/>
      <c r="AO177" s="91"/>
      <c r="AP177" s="91"/>
      <c r="AQ177" s="91"/>
      <c r="AR177" s="91"/>
      <c r="AS177" s="91"/>
      <c r="AT177" s="91"/>
      <c r="AU177" s="91"/>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70"/>
      <c r="BV177" s="170"/>
      <c r="BW177" s="170"/>
    </row>
    <row r="178" spans="2:75" s="86" customFormat="1">
      <c r="B178" s="87"/>
      <c r="C178" s="87"/>
      <c r="D178" s="87"/>
      <c r="I178" s="88"/>
      <c r="J178" s="88"/>
      <c r="K178" s="88"/>
      <c r="L178" s="88"/>
      <c r="M178" s="88"/>
      <c r="Q178" s="89"/>
      <c r="S178" s="90"/>
      <c r="U178" s="91"/>
      <c r="V178" s="91"/>
      <c r="W178" s="91"/>
      <c r="X178" s="91"/>
      <c r="Y178" s="91"/>
      <c r="Z178" s="91"/>
      <c r="AA178" s="91"/>
      <c r="AB178" s="91"/>
      <c r="AC178" s="91"/>
      <c r="AD178" s="91"/>
      <c r="AE178" s="91"/>
      <c r="AF178" s="91"/>
      <c r="AG178" s="91"/>
      <c r="AH178" s="91"/>
      <c r="AI178" s="91"/>
      <c r="AJ178" s="91"/>
      <c r="AK178" s="91"/>
      <c r="AL178" s="91"/>
      <c r="AM178" s="91"/>
      <c r="AN178" s="91"/>
      <c r="AO178" s="91"/>
      <c r="AP178" s="91"/>
      <c r="AQ178" s="91"/>
      <c r="AR178" s="91"/>
      <c r="AS178" s="91"/>
      <c r="AT178" s="91"/>
      <c r="AU178" s="91"/>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70"/>
      <c r="BV178" s="170"/>
      <c r="BW178" s="170"/>
    </row>
    <row r="179" spans="2:75" s="86" customFormat="1">
      <c r="B179" s="87"/>
      <c r="C179" s="87"/>
      <c r="D179" s="87"/>
      <c r="I179" s="88"/>
      <c r="J179" s="88"/>
      <c r="K179" s="88"/>
      <c r="L179" s="88"/>
      <c r="M179" s="88"/>
      <c r="Q179" s="89"/>
      <c r="S179" s="90"/>
      <c r="U179" s="91"/>
      <c r="V179" s="91"/>
      <c r="W179" s="91"/>
      <c r="X179" s="91"/>
      <c r="Y179" s="91"/>
      <c r="Z179" s="91"/>
      <c r="AA179" s="91"/>
      <c r="AB179" s="91"/>
      <c r="AC179" s="91"/>
      <c r="AD179" s="91"/>
      <c r="AE179" s="91"/>
      <c r="AF179" s="91"/>
      <c r="AG179" s="91"/>
      <c r="AH179" s="91"/>
      <c r="AI179" s="91"/>
      <c r="AJ179" s="91"/>
      <c r="AK179" s="91"/>
      <c r="AL179" s="91"/>
      <c r="AM179" s="91"/>
      <c r="AN179" s="91"/>
      <c r="AO179" s="91"/>
      <c r="AP179" s="91"/>
      <c r="AQ179" s="91"/>
      <c r="AR179" s="91"/>
      <c r="AS179" s="91"/>
      <c r="AT179" s="91"/>
      <c r="AU179" s="91"/>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70"/>
      <c r="BV179" s="170"/>
      <c r="BW179" s="170"/>
    </row>
    <row r="180" spans="2:75" s="86" customFormat="1">
      <c r="B180" s="87"/>
      <c r="C180" s="87"/>
      <c r="D180" s="87"/>
      <c r="I180" s="88"/>
      <c r="J180" s="88"/>
      <c r="K180" s="88"/>
      <c r="L180" s="88"/>
      <c r="M180" s="88"/>
      <c r="Q180" s="89"/>
      <c r="S180" s="90"/>
      <c r="U180" s="91"/>
      <c r="V180" s="91"/>
      <c r="W180" s="91"/>
      <c r="X180" s="91"/>
      <c r="Y180" s="91"/>
      <c r="Z180" s="91"/>
      <c r="AA180" s="91"/>
      <c r="AB180" s="91"/>
      <c r="AC180" s="91"/>
      <c r="AD180" s="91"/>
      <c r="AE180" s="91"/>
      <c r="AF180" s="91"/>
      <c r="AG180" s="91"/>
      <c r="AH180" s="91"/>
      <c r="AI180" s="91"/>
      <c r="AJ180" s="91"/>
      <c r="AK180" s="91"/>
      <c r="AL180" s="91"/>
      <c r="AM180" s="91"/>
      <c r="AN180" s="91"/>
      <c r="AO180" s="91"/>
      <c r="AP180" s="91"/>
      <c r="AQ180" s="91"/>
      <c r="AR180" s="91"/>
      <c r="AS180" s="91"/>
      <c r="AT180" s="91"/>
      <c r="AU180" s="91"/>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70"/>
      <c r="BV180" s="170"/>
      <c r="BW180" s="170"/>
    </row>
    <row r="181" spans="2:75" s="86" customFormat="1">
      <c r="B181" s="87"/>
      <c r="C181" s="87"/>
      <c r="D181" s="87"/>
      <c r="I181" s="88"/>
      <c r="J181" s="88"/>
      <c r="K181" s="88"/>
      <c r="L181" s="88"/>
      <c r="M181" s="88"/>
      <c r="Q181" s="89"/>
      <c r="S181" s="90"/>
      <c r="U181" s="91"/>
      <c r="V181" s="91"/>
      <c r="W181" s="91"/>
      <c r="X181" s="91"/>
      <c r="Y181" s="91"/>
      <c r="Z181" s="91"/>
      <c r="AA181" s="91"/>
      <c r="AB181" s="91"/>
      <c r="AC181" s="91"/>
      <c r="AD181" s="91"/>
      <c r="AE181" s="91"/>
      <c r="AF181" s="91"/>
      <c r="AG181" s="91"/>
      <c r="AH181" s="91"/>
      <c r="AI181" s="91"/>
      <c r="AJ181" s="91"/>
      <c r="AK181" s="91"/>
      <c r="AL181" s="91"/>
      <c r="AM181" s="91"/>
      <c r="AN181" s="91"/>
      <c r="AO181" s="91"/>
      <c r="AP181" s="91"/>
      <c r="AQ181" s="91"/>
      <c r="AR181" s="91"/>
      <c r="AS181" s="91"/>
      <c r="AT181" s="91"/>
      <c r="AU181" s="91"/>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70"/>
      <c r="BV181" s="170"/>
      <c r="BW181" s="170"/>
    </row>
    <row r="182" spans="2:75" s="86" customFormat="1">
      <c r="B182" s="87"/>
      <c r="C182" s="87"/>
      <c r="D182" s="87"/>
      <c r="I182" s="88"/>
      <c r="J182" s="88"/>
      <c r="K182" s="88"/>
      <c r="L182" s="88"/>
      <c r="M182" s="88"/>
      <c r="Q182" s="89"/>
      <c r="S182" s="90"/>
      <c r="U182" s="91"/>
      <c r="V182" s="91"/>
      <c r="W182" s="91"/>
      <c r="X182" s="91"/>
      <c r="Y182" s="91"/>
      <c r="Z182" s="91"/>
      <c r="AA182" s="91"/>
      <c r="AB182" s="91"/>
      <c r="AC182" s="91"/>
      <c r="AD182" s="91"/>
      <c r="AE182" s="91"/>
      <c r="AF182" s="91"/>
      <c r="AG182" s="91"/>
      <c r="AH182" s="91"/>
      <c r="AI182" s="91"/>
      <c r="AJ182" s="91"/>
      <c r="AK182" s="91"/>
      <c r="AL182" s="91"/>
      <c r="AM182" s="91"/>
      <c r="AN182" s="91"/>
      <c r="AO182" s="91"/>
      <c r="AP182" s="91"/>
      <c r="AQ182" s="91"/>
      <c r="AR182" s="91"/>
      <c r="AS182" s="91"/>
      <c r="AT182" s="91"/>
      <c r="AU182" s="91"/>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70"/>
      <c r="BV182" s="170"/>
      <c r="BW182" s="170"/>
    </row>
    <row r="183" spans="2:75" s="86" customFormat="1">
      <c r="B183" s="87"/>
      <c r="C183" s="87"/>
      <c r="D183" s="87"/>
      <c r="I183" s="88"/>
      <c r="J183" s="88"/>
      <c r="K183" s="88"/>
      <c r="L183" s="88"/>
      <c r="M183" s="88"/>
      <c r="Q183" s="89"/>
      <c r="S183" s="90"/>
      <c r="U183" s="91"/>
      <c r="V183" s="91"/>
      <c r="W183" s="91"/>
      <c r="X183" s="91"/>
      <c r="Y183" s="91"/>
      <c r="Z183" s="91"/>
      <c r="AA183" s="91"/>
      <c r="AB183" s="91"/>
      <c r="AC183" s="91"/>
      <c r="AD183" s="91"/>
      <c r="AE183" s="91"/>
      <c r="AF183" s="91"/>
      <c r="AG183" s="91"/>
      <c r="AH183" s="91"/>
      <c r="AI183" s="91"/>
      <c r="AJ183" s="91"/>
      <c r="AK183" s="91"/>
      <c r="AL183" s="91"/>
      <c r="AM183" s="91"/>
      <c r="AN183" s="91"/>
      <c r="AO183" s="91"/>
      <c r="AP183" s="91"/>
      <c r="AQ183" s="91"/>
      <c r="AR183" s="91"/>
      <c r="AS183" s="91"/>
      <c r="AT183" s="91"/>
      <c r="AU183" s="91"/>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70"/>
      <c r="BV183" s="170"/>
      <c r="BW183" s="170"/>
    </row>
    <row r="184" spans="2:75" s="86" customFormat="1">
      <c r="B184" s="87"/>
      <c r="C184" s="87"/>
      <c r="D184" s="87"/>
      <c r="I184" s="88"/>
      <c r="J184" s="88"/>
      <c r="K184" s="88"/>
      <c r="L184" s="88"/>
      <c r="M184" s="88"/>
      <c r="Q184" s="89"/>
      <c r="S184" s="90"/>
      <c r="U184" s="91"/>
      <c r="V184" s="91"/>
      <c r="W184" s="91"/>
      <c r="X184" s="91"/>
      <c r="Y184" s="91"/>
      <c r="Z184" s="91"/>
      <c r="AA184" s="91"/>
      <c r="AB184" s="91"/>
      <c r="AC184" s="91"/>
      <c r="AD184" s="91"/>
      <c r="AE184" s="91"/>
      <c r="AF184" s="91"/>
      <c r="AG184" s="91"/>
      <c r="AH184" s="91"/>
      <c r="AI184" s="91"/>
      <c r="AJ184" s="91"/>
      <c r="AK184" s="91"/>
      <c r="AL184" s="91"/>
      <c r="AM184" s="91"/>
      <c r="AN184" s="91"/>
      <c r="AO184" s="91"/>
      <c r="AP184" s="91"/>
      <c r="AQ184" s="91"/>
      <c r="AR184" s="91"/>
      <c r="AS184" s="91"/>
      <c r="AT184" s="91"/>
      <c r="AU184" s="91"/>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70"/>
      <c r="BV184" s="170"/>
      <c r="BW184" s="170"/>
    </row>
    <row r="185" spans="2:75" s="86" customFormat="1">
      <c r="B185" s="87"/>
      <c r="C185" s="87"/>
      <c r="D185" s="87"/>
      <c r="I185" s="88"/>
      <c r="J185" s="88"/>
      <c r="K185" s="88"/>
      <c r="L185" s="88"/>
      <c r="M185" s="88"/>
      <c r="Q185" s="89"/>
      <c r="S185" s="90"/>
      <c r="U185" s="91"/>
      <c r="V185" s="91"/>
      <c r="W185" s="91"/>
      <c r="X185" s="91"/>
      <c r="Y185" s="91"/>
      <c r="Z185" s="91"/>
      <c r="AA185" s="91"/>
      <c r="AB185" s="91"/>
      <c r="AC185" s="91"/>
      <c r="AD185" s="91"/>
      <c r="AE185" s="91"/>
      <c r="AF185" s="91"/>
      <c r="AG185" s="91"/>
      <c r="AH185" s="91"/>
      <c r="AI185" s="91"/>
      <c r="AJ185" s="91"/>
      <c r="AK185" s="91"/>
      <c r="AL185" s="91"/>
      <c r="AM185" s="91"/>
      <c r="AN185" s="91"/>
      <c r="AO185" s="91"/>
      <c r="AP185" s="91"/>
      <c r="AQ185" s="91"/>
      <c r="AR185" s="91"/>
      <c r="AS185" s="91"/>
      <c r="AT185" s="91"/>
      <c r="AU185" s="91"/>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70"/>
      <c r="BV185" s="170"/>
      <c r="BW185" s="170"/>
    </row>
    <row r="186" spans="2:75" s="86" customFormat="1">
      <c r="B186" s="87"/>
      <c r="C186" s="87"/>
      <c r="D186" s="87"/>
      <c r="I186" s="88"/>
      <c r="J186" s="88"/>
      <c r="K186" s="88"/>
      <c r="L186" s="88"/>
      <c r="M186" s="88"/>
      <c r="Q186" s="89"/>
      <c r="S186" s="90"/>
      <c r="U186" s="91"/>
      <c r="V186" s="91"/>
      <c r="W186" s="91"/>
      <c r="X186" s="91"/>
      <c r="Y186" s="91"/>
      <c r="Z186" s="91"/>
      <c r="AA186" s="91"/>
      <c r="AB186" s="91"/>
      <c r="AC186" s="91"/>
      <c r="AD186" s="91"/>
      <c r="AE186" s="91"/>
      <c r="AF186" s="91"/>
      <c r="AG186" s="91"/>
      <c r="AH186" s="91"/>
      <c r="AI186" s="91"/>
      <c r="AJ186" s="91"/>
      <c r="AK186" s="91"/>
      <c r="AL186" s="91"/>
      <c r="AM186" s="91"/>
      <c r="AN186" s="91"/>
      <c r="AO186" s="91"/>
      <c r="AP186" s="91"/>
      <c r="AQ186" s="91"/>
      <c r="AR186" s="91"/>
      <c r="AS186" s="91"/>
      <c r="AT186" s="91"/>
      <c r="AU186" s="91"/>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70"/>
      <c r="BV186" s="170"/>
      <c r="BW186" s="170"/>
    </row>
    <row r="187" spans="2:75" s="86" customFormat="1">
      <c r="B187" s="87"/>
      <c r="C187" s="87"/>
      <c r="D187" s="87"/>
      <c r="I187" s="88"/>
      <c r="J187" s="88"/>
      <c r="K187" s="88"/>
      <c r="L187" s="88"/>
      <c r="M187" s="88"/>
      <c r="Q187" s="89"/>
      <c r="S187" s="90"/>
      <c r="U187" s="91"/>
      <c r="V187" s="91"/>
      <c r="W187" s="91"/>
      <c r="X187" s="91"/>
      <c r="Y187" s="91"/>
      <c r="Z187" s="91"/>
      <c r="AA187" s="91"/>
      <c r="AB187" s="91"/>
      <c r="AC187" s="91"/>
      <c r="AD187" s="91"/>
      <c r="AE187" s="91"/>
      <c r="AF187" s="91"/>
      <c r="AG187" s="91"/>
      <c r="AH187" s="91"/>
      <c r="AI187" s="91"/>
      <c r="AJ187" s="91"/>
      <c r="AK187" s="91"/>
      <c r="AL187" s="91"/>
      <c r="AM187" s="91"/>
      <c r="AN187" s="91"/>
      <c r="AO187" s="91"/>
      <c r="AP187" s="91"/>
      <c r="AQ187" s="91"/>
      <c r="AR187" s="91"/>
      <c r="AS187" s="91"/>
      <c r="AT187" s="91"/>
      <c r="AU187" s="91"/>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70"/>
      <c r="BV187" s="170"/>
      <c r="BW187" s="170"/>
    </row>
    <row r="188" spans="2:75" s="86" customFormat="1">
      <c r="B188" s="87"/>
      <c r="C188" s="87"/>
      <c r="D188" s="87"/>
      <c r="I188" s="88"/>
      <c r="J188" s="88"/>
      <c r="K188" s="88"/>
      <c r="L188" s="88"/>
      <c r="M188" s="88"/>
      <c r="Q188" s="89"/>
      <c r="S188" s="90"/>
      <c r="U188" s="91"/>
      <c r="V188" s="91"/>
      <c r="W188" s="91"/>
      <c r="X188" s="91"/>
      <c r="Y188" s="91"/>
      <c r="Z188" s="91"/>
      <c r="AA188" s="91"/>
      <c r="AB188" s="91"/>
      <c r="AC188" s="91"/>
      <c r="AD188" s="91"/>
      <c r="AE188" s="91"/>
      <c r="AF188" s="91"/>
      <c r="AG188" s="91"/>
      <c r="AH188" s="91"/>
      <c r="AI188" s="91"/>
      <c r="AJ188" s="91"/>
      <c r="AK188" s="91"/>
      <c r="AL188" s="91"/>
      <c r="AM188" s="91"/>
      <c r="AN188" s="91"/>
      <c r="AO188" s="91"/>
      <c r="AP188" s="91"/>
      <c r="AQ188" s="91"/>
      <c r="AR188" s="91"/>
      <c r="AS188" s="91"/>
      <c r="AT188" s="91"/>
      <c r="AU188" s="91"/>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70"/>
      <c r="BV188" s="170"/>
      <c r="BW188" s="170"/>
    </row>
    <row r="189" spans="2:75" s="86" customFormat="1">
      <c r="B189" s="87"/>
      <c r="C189" s="87"/>
      <c r="D189" s="87"/>
      <c r="I189" s="88"/>
      <c r="J189" s="88"/>
      <c r="K189" s="88"/>
      <c r="L189" s="88"/>
      <c r="M189" s="88"/>
      <c r="Q189" s="89"/>
      <c r="S189" s="90"/>
      <c r="U189" s="91"/>
      <c r="V189" s="91"/>
      <c r="W189" s="91"/>
      <c r="X189" s="91"/>
      <c r="Y189" s="91"/>
      <c r="Z189" s="91"/>
      <c r="AA189" s="91"/>
      <c r="AB189" s="91"/>
      <c r="AC189" s="91"/>
      <c r="AD189" s="91"/>
      <c r="AE189" s="91"/>
      <c r="AF189" s="91"/>
      <c r="AG189" s="91"/>
      <c r="AH189" s="91"/>
      <c r="AI189" s="91"/>
      <c r="AJ189" s="91"/>
      <c r="AK189" s="91"/>
      <c r="AL189" s="91"/>
      <c r="AM189" s="91"/>
      <c r="AN189" s="91"/>
      <c r="AO189" s="91"/>
      <c r="AP189" s="91"/>
      <c r="AQ189" s="91"/>
      <c r="AR189" s="91"/>
      <c r="AS189" s="91"/>
      <c r="AT189" s="91"/>
      <c r="AU189" s="91"/>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70"/>
      <c r="BV189" s="170"/>
      <c r="BW189" s="170"/>
    </row>
    <row r="190" spans="2:75" s="86" customFormat="1">
      <c r="B190" s="87"/>
      <c r="C190" s="87"/>
      <c r="D190" s="87"/>
      <c r="I190" s="88"/>
      <c r="J190" s="88"/>
      <c r="K190" s="88"/>
      <c r="L190" s="88"/>
      <c r="M190" s="88"/>
      <c r="Q190" s="89"/>
      <c r="S190" s="90"/>
      <c r="U190" s="91"/>
      <c r="V190" s="91"/>
      <c r="W190" s="91"/>
      <c r="X190" s="91"/>
      <c r="Y190" s="91"/>
      <c r="Z190" s="91"/>
      <c r="AA190" s="91"/>
      <c r="AB190" s="91"/>
      <c r="AC190" s="91"/>
      <c r="AD190" s="91"/>
      <c r="AE190" s="91"/>
      <c r="AF190" s="91"/>
      <c r="AG190" s="91"/>
      <c r="AH190" s="91"/>
      <c r="AI190" s="91"/>
      <c r="AJ190" s="91"/>
      <c r="AK190" s="91"/>
      <c r="AL190" s="91"/>
      <c r="AM190" s="91"/>
      <c r="AN190" s="91"/>
      <c r="AO190" s="91"/>
      <c r="AP190" s="91"/>
      <c r="AQ190" s="91"/>
      <c r="AR190" s="91"/>
      <c r="AS190" s="91"/>
      <c r="AT190" s="91"/>
      <c r="AU190" s="91"/>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70"/>
      <c r="BV190" s="170"/>
      <c r="BW190" s="170"/>
    </row>
    <row r="191" spans="2:75" s="86" customFormat="1">
      <c r="B191" s="87"/>
      <c r="C191" s="87"/>
      <c r="D191" s="87"/>
      <c r="I191" s="88"/>
      <c r="J191" s="88"/>
      <c r="K191" s="88"/>
      <c r="L191" s="88"/>
      <c r="M191" s="88"/>
      <c r="Q191" s="89"/>
      <c r="S191" s="90"/>
      <c r="U191" s="91"/>
      <c r="V191" s="91"/>
      <c r="W191" s="91"/>
      <c r="X191" s="91"/>
      <c r="Y191" s="91"/>
      <c r="Z191" s="91"/>
      <c r="AA191" s="91"/>
      <c r="AB191" s="91"/>
      <c r="AC191" s="91"/>
      <c r="AD191" s="91"/>
      <c r="AE191" s="91"/>
      <c r="AF191" s="91"/>
      <c r="AG191" s="91"/>
      <c r="AH191" s="91"/>
      <c r="AI191" s="91"/>
      <c r="AJ191" s="91"/>
      <c r="AK191" s="91"/>
      <c r="AL191" s="91"/>
      <c r="AM191" s="91"/>
      <c r="AN191" s="91"/>
      <c r="AO191" s="91"/>
      <c r="AP191" s="91"/>
      <c r="AQ191" s="91"/>
      <c r="AR191" s="91"/>
      <c r="AS191" s="91"/>
      <c r="AT191" s="91"/>
      <c r="AU191" s="91"/>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70"/>
      <c r="BV191" s="170"/>
      <c r="BW191" s="170"/>
    </row>
    <row r="192" spans="2:75" s="86" customFormat="1">
      <c r="B192" s="87"/>
      <c r="C192" s="87"/>
      <c r="D192" s="87"/>
      <c r="I192" s="88"/>
      <c r="J192" s="88"/>
      <c r="K192" s="88"/>
      <c r="L192" s="88"/>
      <c r="M192" s="88"/>
      <c r="Q192" s="89"/>
      <c r="S192" s="90"/>
      <c r="U192" s="91"/>
      <c r="V192" s="91"/>
      <c r="W192" s="91"/>
      <c r="X192" s="91"/>
      <c r="Y192" s="91"/>
      <c r="Z192" s="91"/>
      <c r="AA192" s="91"/>
      <c r="AB192" s="91"/>
      <c r="AC192" s="91"/>
      <c r="AD192" s="91"/>
      <c r="AE192" s="91"/>
      <c r="AF192" s="91"/>
      <c r="AG192" s="91"/>
      <c r="AH192" s="91"/>
      <c r="AI192" s="91"/>
      <c r="AJ192" s="91"/>
      <c r="AK192" s="91"/>
      <c r="AL192" s="91"/>
      <c r="AM192" s="91"/>
      <c r="AN192" s="91"/>
      <c r="AO192" s="91"/>
      <c r="AP192" s="91"/>
      <c r="AQ192" s="91"/>
      <c r="AR192" s="91"/>
      <c r="AS192" s="91"/>
      <c r="AT192" s="91"/>
      <c r="AU192" s="91"/>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70"/>
      <c r="BV192" s="170"/>
      <c r="BW192" s="170"/>
    </row>
    <row r="193" spans="2:75" s="86" customFormat="1">
      <c r="B193" s="87"/>
      <c r="C193" s="87"/>
      <c r="D193" s="87"/>
      <c r="I193" s="88"/>
      <c r="J193" s="88"/>
      <c r="K193" s="88"/>
      <c r="L193" s="88"/>
      <c r="M193" s="88"/>
      <c r="Q193" s="89"/>
      <c r="S193" s="90"/>
      <c r="U193" s="91"/>
      <c r="V193" s="91"/>
      <c r="W193" s="91"/>
      <c r="X193" s="91"/>
      <c r="Y193" s="91"/>
      <c r="Z193" s="91"/>
      <c r="AA193" s="91"/>
      <c r="AB193" s="91"/>
      <c r="AC193" s="91"/>
      <c r="AD193" s="91"/>
      <c r="AE193" s="91"/>
      <c r="AF193" s="91"/>
      <c r="AG193" s="91"/>
      <c r="AH193" s="91"/>
      <c r="AI193" s="91"/>
      <c r="AJ193" s="91"/>
      <c r="AK193" s="91"/>
      <c r="AL193" s="91"/>
      <c r="AM193" s="91"/>
      <c r="AN193" s="91"/>
      <c r="AO193" s="91"/>
      <c r="AP193" s="91"/>
      <c r="AQ193" s="91"/>
      <c r="AR193" s="91"/>
      <c r="AS193" s="91"/>
      <c r="AT193" s="91"/>
      <c r="AU193" s="91"/>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70"/>
      <c r="BV193" s="170"/>
      <c r="BW193" s="170"/>
    </row>
    <row r="194" spans="2:75" s="86" customFormat="1">
      <c r="B194" s="87"/>
      <c r="C194" s="87"/>
      <c r="D194" s="87"/>
      <c r="I194" s="88"/>
      <c r="J194" s="88"/>
      <c r="K194" s="88"/>
      <c r="L194" s="88"/>
      <c r="M194" s="88"/>
      <c r="Q194" s="89"/>
      <c r="S194" s="90"/>
      <c r="U194" s="91"/>
      <c r="V194" s="91"/>
      <c r="W194" s="91"/>
      <c r="X194" s="91"/>
      <c r="Y194" s="91"/>
      <c r="Z194" s="91"/>
      <c r="AA194" s="91"/>
      <c r="AB194" s="91"/>
      <c r="AC194" s="91"/>
      <c r="AD194" s="91"/>
      <c r="AE194" s="91"/>
      <c r="AF194" s="91"/>
      <c r="AG194" s="91"/>
      <c r="AH194" s="91"/>
      <c r="AI194" s="91"/>
      <c r="AJ194" s="91"/>
      <c r="AK194" s="91"/>
      <c r="AL194" s="91"/>
      <c r="AM194" s="91"/>
      <c r="AN194" s="91"/>
      <c r="AO194" s="91"/>
      <c r="AP194" s="91"/>
      <c r="AQ194" s="91"/>
      <c r="AR194" s="91"/>
      <c r="AS194" s="91"/>
      <c r="AT194" s="91"/>
      <c r="AU194" s="91"/>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70"/>
      <c r="BV194" s="170"/>
      <c r="BW194" s="170"/>
    </row>
    <row r="195" spans="2:75" s="86" customFormat="1">
      <c r="B195" s="87"/>
      <c r="C195" s="87"/>
      <c r="D195" s="87"/>
      <c r="I195" s="88"/>
      <c r="J195" s="88"/>
      <c r="K195" s="88"/>
      <c r="L195" s="88"/>
      <c r="M195" s="88"/>
      <c r="Q195" s="89"/>
      <c r="S195" s="90"/>
      <c r="U195" s="91"/>
      <c r="V195" s="91"/>
      <c r="W195" s="91"/>
      <c r="X195" s="91"/>
      <c r="Y195" s="91"/>
      <c r="Z195" s="91"/>
      <c r="AA195" s="91"/>
      <c r="AB195" s="91"/>
      <c r="AC195" s="91"/>
      <c r="AD195" s="91"/>
      <c r="AE195" s="91"/>
      <c r="AF195" s="91"/>
      <c r="AG195" s="91"/>
      <c r="AH195" s="91"/>
      <c r="AI195" s="91"/>
      <c r="AJ195" s="91"/>
      <c r="AK195" s="91"/>
      <c r="AL195" s="91"/>
      <c r="AM195" s="91"/>
      <c r="AN195" s="91"/>
      <c r="AO195" s="91"/>
      <c r="AP195" s="91"/>
      <c r="AQ195" s="91"/>
      <c r="AR195" s="91"/>
      <c r="AS195" s="91"/>
      <c r="AT195" s="91"/>
      <c r="AU195" s="91"/>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70"/>
      <c r="BV195" s="170"/>
      <c r="BW195" s="170"/>
    </row>
    <row r="196" spans="2:75" s="86" customFormat="1">
      <c r="B196" s="87"/>
      <c r="C196" s="87"/>
      <c r="D196" s="87"/>
      <c r="I196" s="88"/>
      <c r="J196" s="88"/>
      <c r="K196" s="88"/>
      <c r="L196" s="88"/>
      <c r="M196" s="88"/>
      <c r="Q196" s="89"/>
      <c r="S196" s="90"/>
      <c r="U196" s="91"/>
      <c r="V196" s="91"/>
      <c r="W196" s="91"/>
      <c r="X196" s="91"/>
      <c r="Y196" s="91"/>
      <c r="Z196" s="91"/>
      <c r="AA196" s="91"/>
      <c r="AB196" s="91"/>
      <c r="AC196" s="91"/>
      <c r="AD196" s="91"/>
      <c r="AE196" s="91"/>
      <c r="AF196" s="91"/>
      <c r="AG196" s="91"/>
      <c r="AH196" s="91"/>
      <c r="AI196" s="91"/>
      <c r="AJ196" s="91"/>
      <c r="AK196" s="91"/>
      <c r="AL196" s="91"/>
      <c r="AM196" s="91"/>
      <c r="AN196" s="91"/>
      <c r="AO196" s="91"/>
      <c r="AP196" s="91"/>
      <c r="AQ196" s="91"/>
      <c r="AR196" s="91"/>
      <c r="AS196" s="91"/>
      <c r="AT196" s="91"/>
      <c r="AU196" s="91"/>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70"/>
      <c r="BV196" s="170"/>
      <c r="BW196" s="170"/>
    </row>
    <row r="197" spans="2:75" s="86" customFormat="1">
      <c r="B197" s="87"/>
      <c r="C197" s="87"/>
      <c r="D197" s="87"/>
      <c r="I197" s="88"/>
      <c r="J197" s="88"/>
      <c r="K197" s="88"/>
      <c r="L197" s="88"/>
      <c r="M197" s="88"/>
      <c r="Q197" s="89"/>
      <c r="S197" s="90"/>
      <c r="U197" s="91"/>
      <c r="V197" s="91"/>
      <c r="W197" s="91"/>
      <c r="X197" s="91"/>
      <c r="Y197" s="91"/>
      <c r="Z197" s="91"/>
      <c r="AA197" s="91"/>
      <c r="AB197" s="91"/>
      <c r="AC197" s="91"/>
      <c r="AD197" s="91"/>
      <c r="AE197" s="91"/>
      <c r="AF197" s="91"/>
      <c r="AG197" s="91"/>
      <c r="AH197" s="91"/>
      <c r="AI197" s="91"/>
      <c r="AJ197" s="91"/>
      <c r="AK197" s="91"/>
      <c r="AL197" s="91"/>
      <c r="AM197" s="91"/>
      <c r="AN197" s="91"/>
      <c r="AO197" s="91"/>
      <c r="AP197" s="91"/>
      <c r="AQ197" s="91"/>
      <c r="AR197" s="91"/>
      <c r="AS197" s="91"/>
      <c r="AT197" s="91"/>
      <c r="AU197" s="91"/>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70"/>
      <c r="BV197" s="170"/>
      <c r="BW197" s="170"/>
    </row>
  </sheetData>
  <mergeCells count="29">
    <mergeCell ref="AN2:AU3"/>
    <mergeCell ref="B4:B5"/>
    <mergeCell ref="C4:C5"/>
    <mergeCell ref="D4:D5"/>
    <mergeCell ref="E4:E5"/>
    <mergeCell ref="F4:F5"/>
    <mergeCell ref="N4:P4"/>
    <mergeCell ref="B2:M3"/>
    <mergeCell ref="N2:T3"/>
    <mergeCell ref="V2:AE3"/>
    <mergeCell ref="AG2:AL3"/>
    <mergeCell ref="G4:G5"/>
    <mergeCell ref="H4:H5"/>
    <mergeCell ref="I4:I5"/>
    <mergeCell ref="J4:L4"/>
    <mergeCell ref="M4:M5"/>
    <mergeCell ref="AI7:AI8"/>
    <mergeCell ref="V4:AE11"/>
    <mergeCell ref="AN4:AU8"/>
    <mergeCell ref="AG5:AG6"/>
    <mergeCell ref="AH5:AH8"/>
    <mergeCell ref="AI5:AI6"/>
    <mergeCell ref="AL5:AL6"/>
    <mergeCell ref="AL7:AL8"/>
    <mergeCell ref="C6:C11"/>
    <mergeCell ref="M6:M10"/>
    <mergeCell ref="Q6:Q11"/>
    <mergeCell ref="R6:R11"/>
    <mergeCell ref="AG7:AG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BB9B0-FB34-48E3-AD6C-A0453B18E0C7}">
  <dimension ref="B1:L56"/>
  <sheetViews>
    <sheetView zoomScale="120" zoomScaleNormal="120" workbookViewId="0">
      <pane xSplit="1" ySplit="1" topLeftCell="B2" activePane="bottomRight" state="frozen"/>
      <selection pane="topRight" activeCell="B1" sqref="B1"/>
      <selection pane="bottomLeft" activeCell="A2" sqref="A2"/>
      <selection pane="bottomRight" activeCell="H13" sqref="H13"/>
    </sheetView>
  </sheetViews>
  <sheetFormatPr baseColWidth="10" defaultRowHeight="10.199999999999999"/>
  <cols>
    <col min="1" max="1" width="16.33203125" style="530" customWidth="1"/>
    <col min="2" max="2" width="36.109375" style="708" customWidth="1"/>
    <col min="3" max="3" width="16" style="700" bestFit="1" customWidth="1"/>
    <col min="4" max="4" width="19" style="700" bestFit="1" customWidth="1"/>
    <col min="5" max="5" width="11.109375" style="700" customWidth="1"/>
    <col min="6" max="6" width="11.88671875" style="700" customWidth="1"/>
    <col min="7" max="7" width="14.44140625" style="700" customWidth="1"/>
    <col min="8" max="8" width="16.33203125" style="700" bestFit="1" customWidth="1"/>
    <col min="9" max="9" width="16.33203125" style="700" customWidth="1"/>
    <col min="10" max="10" width="24.6640625" style="530" customWidth="1"/>
    <col min="11" max="16384" width="11.5546875" style="530"/>
  </cols>
  <sheetData>
    <row r="1" spans="2:12" s="700" customFormat="1" ht="25.2" customHeight="1">
      <c r="B1" s="696" t="s">
        <v>989</v>
      </c>
      <c r="C1" s="696" t="s">
        <v>1243</v>
      </c>
      <c r="D1" s="697" t="s">
        <v>980</v>
      </c>
      <c r="E1" s="697" t="s">
        <v>116</v>
      </c>
      <c r="F1" s="698" t="s">
        <v>1167</v>
      </c>
      <c r="G1" s="699" t="s">
        <v>1168</v>
      </c>
      <c r="H1" s="698" t="s">
        <v>2061</v>
      </c>
      <c r="I1" s="698" t="s">
        <v>2067</v>
      </c>
      <c r="J1" s="717" t="s">
        <v>2062</v>
      </c>
    </row>
    <row r="2" spans="2:12">
      <c r="B2" s="938" t="s">
        <v>5</v>
      </c>
      <c r="C2" s="938"/>
      <c r="D2" s="938"/>
      <c r="E2" s="701"/>
      <c r="F2" s="701"/>
      <c r="G2" s="701"/>
      <c r="H2" s="701"/>
      <c r="I2" s="726"/>
    </row>
    <row r="3" spans="2:12">
      <c r="B3" s="939" t="s">
        <v>1169</v>
      </c>
      <c r="C3" s="941">
        <f>+SUM(E3:E5)</f>
        <v>756</v>
      </c>
      <c r="D3" s="702" t="s">
        <v>7</v>
      </c>
      <c r="E3" s="702">
        <v>200</v>
      </c>
      <c r="F3" s="489">
        <v>61</v>
      </c>
      <c r="G3" s="703">
        <f>+F3/E3</f>
        <v>0.30499999999999999</v>
      </c>
      <c r="H3" s="704">
        <v>0.64</v>
      </c>
      <c r="I3" s="727"/>
    </row>
    <row r="4" spans="2:12">
      <c r="B4" s="940"/>
      <c r="C4" s="942"/>
      <c r="D4" s="702" t="s">
        <v>8</v>
      </c>
      <c r="E4" s="702">
        <v>300</v>
      </c>
      <c r="F4" s="489">
        <v>85</v>
      </c>
      <c r="G4" s="703">
        <f>+F4/E4</f>
        <v>0.28333333333333333</v>
      </c>
      <c r="H4" s="704">
        <v>0.39</v>
      </c>
      <c r="I4" s="727"/>
    </row>
    <row r="5" spans="2:12">
      <c r="B5" s="940"/>
      <c r="C5" s="942"/>
      <c r="D5" s="702" t="s">
        <v>9</v>
      </c>
      <c r="E5" s="702">
        <v>256</v>
      </c>
      <c r="F5" s="489">
        <v>0</v>
      </c>
      <c r="G5" s="704">
        <v>0</v>
      </c>
      <c r="H5" s="704">
        <v>0.2</v>
      </c>
      <c r="I5" s="727"/>
    </row>
    <row r="6" spans="2:12">
      <c r="B6" s="943" t="s">
        <v>699</v>
      </c>
      <c r="C6" s="943"/>
      <c r="D6" s="943"/>
      <c r="E6" s="701"/>
      <c r="F6" s="701"/>
      <c r="G6" s="701"/>
      <c r="H6" s="701"/>
      <c r="I6" s="726"/>
    </row>
    <row r="7" spans="2:12">
      <c r="B7" s="944" t="s">
        <v>1170</v>
      </c>
      <c r="C7" s="946">
        <f>+E7+E8+E9+E10</f>
        <v>1892</v>
      </c>
      <c r="D7" s="705" t="s">
        <v>2058</v>
      </c>
      <c r="E7" s="702">
        <v>38</v>
      </c>
      <c r="F7" s="489">
        <v>19</v>
      </c>
      <c r="G7" s="703">
        <f>+F7/E7</f>
        <v>0.5</v>
      </c>
      <c r="H7" s="704">
        <v>0.5</v>
      </c>
      <c r="I7" s="727"/>
    </row>
    <row r="8" spans="2:12">
      <c r="B8" s="945"/>
      <c r="C8" s="946"/>
      <c r="D8" s="705" t="s">
        <v>8</v>
      </c>
      <c r="E8" s="702">
        <v>30</v>
      </c>
      <c r="F8" s="489">
        <v>0</v>
      </c>
      <c r="G8" s="703">
        <f>+F8/E8</f>
        <v>0</v>
      </c>
      <c r="H8" s="704">
        <v>0.15</v>
      </c>
      <c r="I8" s="727"/>
    </row>
    <row r="9" spans="2:12">
      <c r="B9" s="945"/>
      <c r="C9" s="946"/>
      <c r="D9" s="705" t="s">
        <v>9</v>
      </c>
      <c r="E9" s="702">
        <v>24</v>
      </c>
      <c r="F9" s="489">
        <v>0</v>
      </c>
      <c r="G9" s="703">
        <f>+F9/E9</f>
        <v>0</v>
      </c>
      <c r="H9" s="704">
        <v>0.2</v>
      </c>
      <c r="I9" s="727"/>
    </row>
    <row r="10" spans="2:12">
      <c r="B10" s="945"/>
      <c r="C10" s="946"/>
      <c r="D10" s="705" t="s">
        <v>11</v>
      </c>
      <c r="E10" s="702">
        <v>1800</v>
      </c>
      <c r="F10" s="489">
        <v>459</v>
      </c>
      <c r="G10" s="703">
        <f>+F10/E10</f>
        <v>0.255</v>
      </c>
      <c r="H10" s="703">
        <f>+(F10+326)/E10</f>
        <v>0.43611111111111112</v>
      </c>
      <c r="I10" s="728"/>
    </row>
    <row r="11" spans="2:12" s="708" customFormat="1">
      <c r="B11" s="706" t="s">
        <v>1171</v>
      </c>
      <c r="C11" s="707">
        <f>187+25+17+53+56</f>
        <v>338</v>
      </c>
      <c r="D11" s="705" t="s">
        <v>11</v>
      </c>
      <c r="E11" s="705">
        <v>338</v>
      </c>
      <c r="F11" s="489">
        <f>187+25</f>
        <v>212</v>
      </c>
      <c r="G11" s="703">
        <f>+F11/E11</f>
        <v>0.62721893491124259</v>
      </c>
      <c r="H11" s="704">
        <v>0.63</v>
      </c>
      <c r="I11" s="727"/>
    </row>
    <row r="12" spans="2:12">
      <c r="B12" s="925" t="s">
        <v>996</v>
      </c>
      <c r="C12" s="925"/>
      <c r="D12" s="925"/>
      <c r="E12" s="701"/>
      <c r="F12" s="701"/>
      <c r="G12" s="701"/>
      <c r="H12" s="701"/>
      <c r="I12" s="726"/>
    </row>
    <row r="13" spans="2:12">
      <c r="B13" s="926" t="s">
        <v>1172</v>
      </c>
      <c r="C13" s="929">
        <f>+E13+E14+E15</f>
        <v>35</v>
      </c>
      <c r="D13" s="705" t="s">
        <v>7</v>
      </c>
      <c r="E13" s="702">
        <v>25</v>
      </c>
      <c r="F13" s="489">
        <v>11</v>
      </c>
      <c r="G13" s="703">
        <f>+F13/E13</f>
        <v>0.44</v>
      </c>
      <c r="H13" s="704">
        <f>+G13</f>
        <v>0.44</v>
      </c>
      <c r="I13" s="727"/>
      <c r="L13" s="709"/>
    </row>
    <row r="14" spans="2:12">
      <c r="B14" s="926"/>
      <c r="C14" s="929"/>
      <c r="D14" s="705" t="s">
        <v>8</v>
      </c>
      <c r="E14" s="701"/>
      <c r="F14" s="701"/>
      <c r="G14" s="701"/>
      <c r="H14" s="701"/>
      <c r="I14" s="726"/>
    </row>
    <row r="15" spans="2:12">
      <c r="B15" s="926"/>
      <c r="C15" s="929"/>
      <c r="D15" s="705" t="s">
        <v>9</v>
      </c>
      <c r="E15" s="702">
        <v>10</v>
      </c>
      <c r="F15" s="489">
        <v>0</v>
      </c>
      <c r="G15" s="703">
        <f t="shared" ref="G15:G23" si="0">+F15/E15</f>
        <v>0</v>
      </c>
      <c r="H15" s="704">
        <v>0.1</v>
      </c>
      <c r="I15" s="727"/>
    </row>
    <row r="16" spans="2:12">
      <c r="B16" s="926" t="s">
        <v>1173</v>
      </c>
      <c r="C16" s="927">
        <f>+SUM(E16:E18)</f>
        <v>76</v>
      </c>
      <c r="D16" s="705" t="s">
        <v>7</v>
      </c>
      <c r="E16" s="702">
        <v>30</v>
      </c>
      <c r="F16" s="489">
        <v>31</v>
      </c>
      <c r="G16" s="703">
        <f t="shared" si="0"/>
        <v>1.0333333333333334</v>
      </c>
      <c r="H16" s="704">
        <v>1.03</v>
      </c>
      <c r="I16" s="727"/>
    </row>
    <row r="17" spans="2:9">
      <c r="B17" s="926"/>
      <c r="C17" s="927"/>
      <c r="D17" s="705" t="s">
        <v>8</v>
      </c>
      <c r="E17" s="702">
        <v>40</v>
      </c>
      <c r="F17" s="489">
        <v>31</v>
      </c>
      <c r="G17" s="703">
        <f t="shared" si="0"/>
        <v>0.77500000000000002</v>
      </c>
      <c r="H17" s="704">
        <f>+G17</f>
        <v>0.77500000000000002</v>
      </c>
      <c r="I17" s="727"/>
    </row>
    <row r="18" spans="2:9">
      <c r="B18" s="926"/>
      <c r="C18" s="927"/>
      <c r="D18" s="705" t="s">
        <v>9</v>
      </c>
      <c r="E18" s="702">
        <v>6</v>
      </c>
      <c r="F18" s="489">
        <v>0</v>
      </c>
      <c r="G18" s="703">
        <f t="shared" si="0"/>
        <v>0</v>
      </c>
      <c r="H18" s="704">
        <v>0.2</v>
      </c>
      <c r="I18" s="727"/>
    </row>
    <row r="19" spans="2:9">
      <c r="B19" s="926" t="s">
        <v>1174</v>
      </c>
      <c r="C19" s="927">
        <f>+SUM(E19:E21)</f>
        <v>75</v>
      </c>
      <c r="D19" s="705" t="s">
        <v>7</v>
      </c>
      <c r="E19" s="702">
        <v>29</v>
      </c>
      <c r="F19" s="489">
        <v>29</v>
      </c>
      <c r="G19" s="703">
        <f t="shared" si="0"/>
        <v>1</v>
      </c>
      <c r="H19" s="704">
        <v>1</v>
      </c>
      <c r="I19" s="727"/>
    </row>
    <row r="20" spans="2:9">
      <c r="B20" s="926"/>
      <c r="C20" s="927"/>
      <c r="D20" s="705" t="s">
        <v>8</v>
      </c>
      <c r="E20" s="702">
        <v>40</v>
      </c>
      <c r="F20" s="489">
        <v>28</v>
      </c>
      <c r="G20" s="703">
        <f t="shared" si="0"/>
        <v>0.7</v>
      </c>
      <c r="H20" s="704">
        <v>0.7</v>
      </c>
      <c r="I20" s="727"/>
    </row>
    <row r="21" spans="2:9">
      <c r="B21" s="926"/>
      <c r="C21" s="927"/>
      <c r="D21" s="705" t="s">
        <v>9</v>
      </c>
      <c r="E21" s="702">
        <v>6</v>
      </c>
      <c r="F21" s="489">
        <v>0</v>
      </c>
      <c r="G21" s="703">
        <f t="shared" si="0"/>
        <v>0</v>
      </c>
      <c r="H21" s="704">
        <v>0.2</v>
      </c>
      <c r="I21" s="727"/>
    </row>
    <row r="22" spans="2:9">
      <c r="B22" s="933" t="s">
        <v>1175</v>
      </c>
      <c r="C22" s="935">
        <f>+E22+E23+E24</f>
        <v>79</v>
      </c>
      <c r="D22" s="705" t="s">
        <v>7</v>
      </c>
      <c r="E22" s="702">
        <v>29</v>
      </c>
      <c r="F22" s="489">
        <v>27</v>
      </c>
      <c r="G22" s="703">
        <f t="shared" si="0"/>
        <v>0.93103448275862066</v>
      </c>
      <c r="H22" s="704">
        <v>0.93</v>
      </c>
      <c r="I22" s="727"/>
    </row>
    <row r="23" spans="2:9">
      <c r="B23" s="934"/>
      <c r="C23" s="936"/>
      <c r="D23" s="705" t="s">
        <v>8</v>
      </c>
      <c r="E23" s="702">
        <v>40</v>
      </c>
      <c r="F23" s="489">
        <v>18</v>
      </c>
      <c r="G23" s="703">
        <f t="shared" si="0"/>
        <v>0.45</v>
      </c>
      <c r="H23" s="704">
        <v>0.55000000000000004</v>
      </c>
      <c r="I23" s="727"/>
    </row>
    <row r="24" spans="2:9">
      <c r="B24" s="934"/>
      <c r="C24" s="936"/>
      <c r="D24" s="705" t="s">
        <v>9</v>
      </c>
      <c r="E24" s="702">
        <v>10</v>
      </c>
      <c r="F24" s="489">
        <v>0</v>
      </c>
      <c r="G24" s="703">
        <v>0</v>
      </c>
      <c r="H24" s="704">
        <v>0.2</v>
      </c>
      <c r="I24" s="727"/>
    </row>
    <row r="25" spans="2:9">
      <c r="B25" s="925" t="s">
        <v>1002</v>
      </c>
      <c r="C25" s="925"/>
      <c r="D25" s="925"/>
      <c r="E25" s="701"/>
      <c r="F25" s="701"/>
      <c r="G25" s="701"/>
      <c r="H25" s="701"/>
      <c r="I25" s="726"/>
    </row>
    <row r="26" spans="2:9">
      <c r="B26" s="937" t="s">
        <v>1176</v>
      </c>
      <c r="C26" s="932">
        <f>+E26+E27+E28</f>
        <v>21</v>
      </c>
      <c r="D26" s="705" t="s">
        <v>7</v>
      </c>
      <c r="E26" s="702">
        <v>21</v>
      </c>
      <c r="F26" s="489">
        <v>0</v>
      </c>
      <c r="G26" s="704">
        <v>0</v>
      </c>
      <c r="H26" s="710">
        <v>0.38500000000000001</v>
      </c>
      <c r="I26" s="729"/>
    </row>
    <row r="27" spans="2:9">
      <c r="B27" s="937"/>
      <c r="C27" s="932"/>
      <c r="D27" s="705" t="s">
        <v>8</v>
      </c>
      <c r="E27" s="701"/>
      <c r="F27" s="701"/>
      <c r="G27" s="701"/>
      <c r="H27" s="701"/>
      <c r="I27" s="726"/>
    </row>
    <row r="28" spans="2:9">
      <c r="B28" s="937"/>
      <c r="C28" s="932"/>
      <c r="D28" s="705" t="s">
        <v>9</v>
      </c>
      <c r="E28" s="701"/>
      <c r="F28" s="701"/>
      <c r="G28" s="701"/>
      <c r="H28" s="701"/>
      <c r="I28" s="726"/>
    </row>
    <row r="29" spans="2:9">
      <c r="B29" s="928" t="s">
        <v>1177</v>
      </c>
      <c r="C29" s="929">
        <f>+E29+E30+E31</f>
        <v>40</v>
      </c>
      <c r="D29" s="705" t="s">
        <v>7</v>
      </c>
      <c r="E29" s="701"/>
      <c r="F29" s="701"/>
      <c r="G29" s="701"/>
      <c r="H29" s="701"/>
      <c r="I29" s="726"/>
    </row>
    <row r="30" spans="2:9">
      <c r="B30" s="928"/>
      <c r="C30" s="929"/>
      <c r="D30" s="705" t="s">
        <v>8</v>
      </c>
      <c r="E30" s="702">
        <v>40</v>
      </c>
      <c r="F30" s="489">
        <v>0</v>
      </c>
      <c r="G30" s="704">
        <v>0</v>
      </c>
      <c r="H30" s="704">
        <v>0</v>
      </c>
      <c r="I30" s="727"/>
    </row>
    <row r="31" spans="2:9">
      <c r="B31" s="928"/>
      <c r="C31" s="929"/>
      <c r="D31" s="705" t="s">
        <v>9</v>
      </c>
      <c r="E31" s="701"/>
      <c r="F31" s="701"/>
      <c r="G31" s="701"/>
      <c r="H31" s="701"/>
      <c r="I31" s="726"/>
    </row>
    <row r="32" spans="2:9">
      <c r="B32" s="925" t="s">
        <v>1005</v>
      </c>
      <c r="C32" s="925"/>
      <c r="D32" s="925"/>
      <c r="E32" s="701"/>
      <c r="F32" s="701"/>
      <c r="G32" s="701"/>
      <c r="H32" s="701"/>
      <c r="I32" s="726"/>
    </row>
    <row r="33" spans="2:9">
      <c r="B33" s="928" t="s">
        <v>1178</v>
      </c>
      <c r="C33" s="929">
        <f>+E33+E34+E35</f>
        <v>60</v>
      </c>
      <c r="D33" s="705" t="s">
        <v>7</v>
      </c>
      <c r="E33" s="702">
        <v>20</v>
      </c>
      <c r="F33" s="489">
        <v>0</v>
      </c>
      <c r="G33" s="704">
        <v>0</v>
      </c>
      <c r="H33" s="704">
        <v>0.47</v>
      </c>
      <c r="I33" s="727"/>
    </row>
    <row r="34" spans="2:9">
      <c r="B34" s="928"/>
      <c r="C34" s="929"/>
      <c r="D34" s="705" t="s">
        <v>8</v>
      </c>
      <c r="E34" s="702">
        <v>20</v>
      </c>
      <c r="F34" s="489">
        <v>0</v>
      </c>
      <c r="G34" s="704">
        <v>0</v>
      </c>
      <c r="H34" s="704">
        <v>0.15</v>
      </c>
      <c r="I34" s="727"/>
    </row>
    <row r="35" spans="2:9">
      <c r="B35" s="928"/>
      <c r="C35" s="929"/>
      <c r="D35" s="705" t="s">
        <v>9</v>
      </c>
      <c r="E35" s="702">
        <v>20</v>
      </c>
      <c r="F35" s="489">
        <v>0</v>
      </c>
      <c r="G35" s="704">
        <v>0</v>
      </c>
      <c r="H35" s="704">
        <v>0.2</v>
      </c>
      <c r="I35" s="727"/>
    </row>
    <row r="36" spans="2:9">
      <c r="B36" s="925" t="s">
        <v>1007</v>
      </c>
      <c r="C36" s="925"/>
      <c r="D36" s="925"/>
      <c r="E36" s="701"/>
      <c r="F36" s="701"/>
      <c r="G36" s="701"/>
      <c r="H36" s="701"/>
      <c r="I36" s="726"/>
    </row>
    <row r="37" spans="2:9">
      <c r="B37" s="928" t="s">
        <v>2059</v>
      </c>
      <c r="C37" s="929">
        <f>+E37+E38+E39</f>
        <v>732</v>
      </c>
      <c r="D37" s="705" t="s">
        <v>7</v>
      </c>
      <c r="E37" s="702">
        <v>284</v>
      </c>
      <c r="F37" s="489">
        <v>270</v>
      </c>
      <c r="G37" s="703">
        <f>+F37/E37</f>
        <v>0.95070422535211263</v>
      </c>
      <c r="H37" s="704">
        <v>0.95</v>
      </c>
      <c r="I37" s="727"/>
    </row>
    <row r="38" spans="2:9">
      <c r="B38" s="928"/>
      <c r="C38" s="929"/>
      <c r="D38" s="705" t="s">
        <v>8</v>
      </c>
      <c r="E38" s="702">
        <v>448</v>
      </c>
      <c r="F38" s="489">
        <v>0</v>
      </c>
      <c r="G38" s="704">
        <v>0</v>
      </c>
      <c r="H38" s="704">
        <v>0.35</v>
      </c>
      <c r="I38" s="727"/>
    </row>
    <row r="39" spans="2:9">
      <c r="B39" s="928"/>
      <c r="C39" s="929"/>
      <c r="D39" s="705" t="s">
        <v>9</v>
      </c>
      <c r="E39" s="701"/>
      <c r="F39" s="701"/>
      <c r="G39" s="701"/>
      <c r="H39" s="701"/>
      <c r="I39" s="726"/>
    </row>
    <row r="40" spans="2:9">
      <c r="B40" s="925" t="s">
        <v>1181</v>
      </c>
      <c r="C40" s="925"/>
      <c r="D40" s="925"/>
      <c r="E40" s="701"/>
      <c r="F40" s="701"/>
      <c r="G40" s="701"/>
      <c r="H40" s="701"/>
      <c r="I40" s="726"/>
    </row>
    <row r="41" spans="2:9">
      <c r="B41" s="930" t="s">
        <v>1179</v>
      </c>
      <c r="C41" s="931">
        <f>+E41+E42+E43</f>
        <v>44</v>
      </c>
      <c r="D41" s="705" t="s">
        <v>7</v>
      </c>
      <c r="E41" s="702">
        <v>4</v>
      </c>
      <c r="F41" s="489">
        <v>0</v>
      </c>
      <c r="G41" s="704">
        <v>0</v>
      </c>
      <c r="H41" s="704">
        <v>0.2</v>
      </c>
      <c r="I41" s="727"/>
    </row>
    <row r="42" spans="2:9">
      <c r="B42" s="930"/>
      <c r="C42" s="931"/>
      <c r="D42" s="705" t="s">
        <v>8</v>
      </c>
      <c r="E42" s="702">
        <v>25</v>
      </c>
      <c r="F42" s="489">
        <v>0</v>
      </c>
      <c r="G42" s="704">
        <v>0</v>
      </c>
      <c r="H42" s="704">
        <v>0.1</v>
      </c>
      <c r="I42" s="727"/>
    </row>
    <row r="43" spans="2:9">
      <c r="B43" s="930"/>
      <c r="C43" s="931"/>
      <c r="D43" s="705" t="s">
        <v>9</v>
      </c>
      <c r="E43" s="702">
        <v>15</v>
      </c>
      <c r="F43" s="489">
        <v>0</v>
      </c>
      <c r="G43" s="704">
        <v>0</v>
      </c>
      <c r="H43" s="704">
        <v>0.1</v>
      </c>
      <c r="I43" s="727"/>
    </row>
    <row r="44" spans="2:9">
      <c r="B44" s="928" t="s">
        <v>2060</v>
      </c>
      <c r="C44" s="932">
        <f>+E44+E45+E46</f>
        <v>73</v>
      </c>
      <c r="D44" s="705" t="s">
        <v>7</v>
      </c>
      <c r="E44" s="702">
        <f>15+35</f>
        <v>50</v>
      </c>
      <c r="F44" s="489">
        <v>14</v>
      </c>
      <c r="G44" s="703">
        <f>+F44/E44</f>
        <v>0.28000000000000003</v>
      </c>
      <c r="H44" s="704">
        <v>0.28000000000000003</v>
      </c>
      <c r="I44" s="727"/>
    </row>
    <row r="45" spans="2:9">
      <c r="B45" s="928"/>
      <c r="C45" s="932"/>
      <c r="D45" s="705" t="s">
        <v>8</v>
      </c>
      <c r="E45" s="702">
        <v>23</v>
      </c>
      <c r="F45" s="489">
        <v>0</v>
      </c>
      <c r="G45" s="704">
        <v>0</v>
      </c>
      <c r="H45" s="704">
        <v>0.33</v>
      </c>
      <c r="I45" s="727"/>
    </row>
    <row r="46" spans="2:9">
      <c r="B46" s="928"/>
      <c r="C46" s="932"/>
      <c r="D46" s="705" t="s">
        <v>9</v>
      </c>
      <c r="E46" s="701"/>
      <c r="F46" s="701"/>
      <c r="G46" s="701"/>
      <c r="H46" s="701"/>
      <c r="I46" s="726"/>
    </row>
    <row r="47" spans="2:9">
      <c r="B47" s="711" t="s">
        <v>1182</v>
      </c>
      <c r="C47" s="702">
        <v>30</v>
      </c>
      <c r="D47" s="705" t="s">
        <v>8</v>
      </c>
      <c r="E47" s="702">
        <v>30</v>
      </c>
      <c r="F47" s="702">
        <v>0</v>
      </c>
      <c r="G47" s="712">
        <v>0</v>
      </c>
      <c r="H47" s="712">
        <v>0.2</v>
      </c>
      <c r="I47" s="730"/>
    </row>
    <row r="48" spans="2:9">
      <c r="B48" s="711" t="s">
        <v>1183</v>
      </c>
      <c r="C48" s="702">
        <v>5</v>
      </c>
      <c r="D48" s="705" t="s">
        <v>8</v>
      </c>
      <c r="E48" s="702">
        <v>5</v>
      </c>
      <c r="F48" s="702">
        <v>0</v>
      </c>
      <c r="G48" s="712">
        <v>0</v>
      </c>
      <c r="H48" s="712">
        <v>0.2</v>
      </c>
      <c r="I48" s="730"/>
    </row>
    <row r="49" spans="2:9">
      <c r="B49" s="925" t="s">
        <v>1180</v>
      </c>
      <c r="C49" s="925"/>
      <c r="D49" s="925"/>
      <c r="E49" s="701"/>
      <c r="F49" s="701"/>
      <c r="G49" s="701"/>
      <c r="H49" s="701"/>
      <c r="I49" s="726"/>
    </row>
    <row r="50" spans="2:9" s="317" customFormat="1">
      <c r="B50" s="713" t="s">
        <v>1184</v>
      </c>
      <c r="C50" s="714">
        <f>+E50</f>
        <v>10</v>
      </c>
      <c r="D50" s="702" t="s">
        <v>7</v>
      </c>
      <c r="E50" s="702">
        <v>10</v>
      </c>
      <c r="F50" s="651">
        <v>0</v>
      </c>
      <c r="G50" s="715">
        <v>0</v>
      </c>
      <c r="H50" s="715">
        <v>0.2</v>
      </c>
      <c r="I50" s="731"/>
    </row>
    <row r="51" spans="2:9">
      <c r="B51" s="925" t="s">
        <v>20</v>
      </c>
      <c r="C51" s="925"/>
      <c r="D51" s="925"/>
      <c r="E51" s="701"/>
      <c r="F51" s="701"/>
      <c r="G51" s="701"/>
      <c r="H51" s="701"/>
      <c r="I51" s="726"/>
    </row>
    <row r="52" spans="2:9">
      <c r="B52" s="713" t="s">
        <v>1186</v>
      </c>
      <c r="C52" s="714">
        <v>100</v>
      </c>
      <c r="D52" s="702" t="s">
        <v>8</v>
      </c>
      <c r="E52" s="702">
        <v>100</v>
      </c>
      <c r="F52" s="651">
        <v>0</v>
      </c>
      <c r="G52" s="715">
        <v>0</v>
      </c>
      <c r="H52" s="715">
        <v>0.15</v>
      </c>
      <c r="I52" s="731"/>
    </row>
    <row r="53" spans="2:9">
      <c r="B53" s="925" t="s">
        <v>27</v>
      </c>
      <c r="C53" s="925"/>
      <c r="D53" s="925"/>
      <c r="E53" s="701"/>
      <c r="F53" s="701"/>
      <c r="G53" s="701"/>
      <c r="H53" s="701"/>
      <c r="I53" s="726"/>
    </row>
    <row r="54" spans="2:9">
      <c r="B54" s="666" t="s">
        <v>1185</v>
      </c>
      <c r="C54" s="489">
        <v>2250</v>
      </c>
      <c r="D54" s="489" t="s">
        <v>8</v>
      </c>
      <c r="E54" s="489">
        <v>2250</v>
      </c>
      <c r="F54" s="489">
        <v>0</v>
      </c>
      <c r="G54" s="704">
        <v>0</v>
      </c>
      <c r="H54" s="704">
        <v>0.05</v>
      </c>
      <c r="I54" s="727"/>
    </row>
    <row r="55" spans="2:9">
      <c r="B55" s="925" t="s">
        <v>27</v>
      </c>
      <c r="C55" s="925"/>
      <c r="D55" s="925"/>
      <c r="E55" s="701"/>
      <c r="F55" s="701"/>
      <c r="G55" s="701"/>
      <c r="H55" s="701"/>
      <c r="I55" s="726"/>
    </row>
    <row r="56" spans="2:9">
      <c r="B56" s="716" t="s">
        <v>1242</v>
      </c>
      <c r="C56" s="489">
        <v>25</v>
      </c>
      <c r="D56" s="489" t="s">
        <v>9</v>
      </c>
      <c r="E56" s="489">
        <v>25</v>
      </c>
      <c r="F56" s="489">
        <v>0</v>
      </c>
      <c r="G56" s="704">
        <v>0</v>
      </c>
      <c r="H56" s="704">
        <v>0.2</v>
      </c>
      <c r="I56" s="727"/>
    </row>
  </sheetData>
  <autoFilter ref="B1:H56" xr:uid="{5446D027-C493-4630-B56C-F3290203859B}"/>
  <mergeCells count="35">
    <mergeCell ref="B2:D2"/>
    <mergeCell ref="B3:B5"/>
    <mergeCell ref="C3:C5"/>
    <mergeCell ref="B6:D6"/>
    <mergeCell ref="B7:B10"/>
    <mergeCell ref="C7:C10"/>
    <mergeCell ref="B12:D12"/>
    <mergeCell ref="B13:B15"/>
    <mergeCell ref="C13:C15"/>
    <mergeCell ref="B33:B35"/>
    <mergeCell ref="C33:C35"/>
    <mergeCell ref="B36:D36"/>
    <mergeCell ref="B16:B18"/>
    <mergeCell ref="C16:C18"/>
    <mergeCell ref="B22:B24"/>
    <mergeCell ref="C22:C24"/>
    <mergeCell ref="B25:D25"/>
    <mergeCell ref="B26:B28"/>
    <mergeCell ref="C26:C28"/>
    <mergeCell ref="B51:D51"/>
    <mergeCell ref="B53:D53"/>
    <mergeCell ref="B55:D55"/>
    <mergeCell ref="B19:B21"/>
    <mergeCell ref="C19:C21"/>
    <mergeCell ref="B49:D49"/>
    <mergeCell ref="B37:B39"/>
    <mergeCell ref="C37:C39"/>
    <mergeCell ref="B40:D40"/>
    <mergeCell ref="B41:B43"/>
    <mergeCell ref="C41:C43"/>
    <mergeCell ref="B44:B46"/>
    <mergeCell ref="C44:C46"/>
    <mergeCell ref="B29:B31"/>
    <mergeCell ref="C29:C31"/>
    <mergeCell ref="B32:D32"/>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D5289C-7413-4744-881E-BB6DD34CE744}">
  <dimension ref="A1:AG169"/>
  <sheetViews>
    <sheetView workbookViewId="0">
      <pane xSplit="1" ySplit="1" topLeftCell="B2" activePane="bottomRight" state="frozen"/>
      <selection pane="topRight" activeCell="B1" sqref="B1"/>
      <selection pane="bottomLeft" activeCell="A2" sqref="A2"/>
      <selection pane="bottomRight" activeCell="C1" sqref="C1"/>
    </sheetView>
  </sheetViews>
  <sheetFormatPr baseColWidth="10" defaultRowHeight="10.199999999999999"/>
  <cols>
    <col min="1" max="1" width="14.5546875" style="317" customWidth="1"/>
    <col min="2" max="2" width="13.6640625" style="299" customWidth="1"/>
    <col min="3" max="3" width="12.44140625" style="553" customWidth="1"/>
    <col min="4" max="4" width="15.77734375" style="299" customWidth="1"/>
    <col min="5" max="5" width="17.44140625" style="299" customWidth="1"/>
    <col min="6" max="6" width="29.33203125" style="317" customWidth="1"/>
    <col min="7" max="7" width="10.88671875" style="317" customWidth="1"/>
    <col min="8" max="8" width="10.6640625" style="317" customWidth="1"/>
    <col min="9" max="9" width="16.5546875" style="317" customWidth="1"/>
    <col min="10" max="10" width="20.33203125" style="317" customWidth="1"/>
    <col min="11" max="11" width="15.6640625" style="317" customWidth="1"/>
    <col min="12" max="12" width="12.5546875" style="317" customWidth="1"/>
    <col min="13" max="15" width="14.6640625" style="317" customWidth="1"/>
    <col min="16" max="16" width="14.6640625" style="554" customWidth="1"/>
    <col min="17" max="17" width="14.6640625" style="555" customWidth="1"/>
    <col min="18" max="18" width="14.6640625" style="317" customWidth="1"/>
    <col min="19" max="19" width="19.21875" style="556" customWidth="1"/>
    <col min="20" max="20" width="42.109375" style="557" customWidth="1"/>
    <col min="21" max="23" width="14.88671875" style="557" customWidth="1"/>
    <col min="24" max="24" width="13.44140625" style="317" customWidth="1"/>
    <col min="25" max="25" width="15.21875" style="317" customWidth="1"/>
    <col min="26" max="29" width="12.6640625" style="317" customWidth="1"/>
    <col min="30" max="30" width="15.44140625" style="317" customWidth="1"/>
    <col min="31" max="32" width="14.6640625" style="317" customWidth="1"/>
    <col min="33" max="33" width="33.33203125" style="317" customWidth="1"/>
    <col min="34" max="16384" width="11.5546875" style="317"/>
  </cols>
  <sheetData>
    <row r="1" spans="1:33" ht="31.8" customHeight="1">
      <c r="A1" s="299"/>
      <c r="B1" s="300" t="s">
        <v>1013</v>
      </c>
      <c r="C1" s="300" t="s">
        <v>60</v>
      </c>
      <c r="D1" s="301" t="s">
        <v>1014</v>
      </c>
      <c r="E1" s="302" t="s">
        <v>1334</v>
      </c>
      <c r="F1" s="303" t="s">
        <v>1015</v>
      </c>
      <c r="G1" s="303" t="s">
        <v>1335</v>
      </c>
      <c r="H1" s="303" t="s">
        <v>1336</v>
      </c>
      <c r="I1" s="304" t="s">
        <v>1016</v>
      </c>
      <c r="J1" s="303" t="s">
        <v>837</v>
      </c>
      <c r="K1" s="305" t="s">
        <v>1017</v>
      </c>
      <c r="L1" s="304" t="s">
        <v>1337</v>
      </c>
      <c r="M1" s="304" t="s">
        <v>1338</v>
      </c>
      <c r="N1" s="306" t="s">
        <v>1339</v>
      </c>
      <c r="O1" s="307" t="s">
        <v>1340</v>
      </c>
      <c r="P1" s="308" t="s">
        <v>1341</v>
      </c>
      <c r="Q1" s="309" t="s">
        <v>1342</v>
      </c>
      <c r="R1" s="308" t="s">
        <v>1343</v>
      </c>
      <c r="S1" s="310" t="s">
        <v>1344</v>
      </c>
      <c r="T1" s="311" t="s">
        <v>1345</v>
      </c>
      <c r="U1" s="307" t="s">
        <v>1346</v>
      </c>
      <c r="V1" s="307" t="s">
        <v>1347</v>
      </c>
      <c r="W1" s="312" t="s">
        <v>1348</v>
      </c>
      <c r="X1" s="307" t="s">
        <v>1349</v>
      </c>
      <c r="Y1" s="307" t="s">
        <v>1350</v>
      </c>
      <c r="Z1" s="312" t="s">
        <v>1351</v>
      </c>
      <c r="AA1" s="312" t="s">
        <v>1352</v>
      </c>
      <c r="AB1" s="313" t="s">
        <v>1353</v>
      </c>
      <c r="AC1" s="314" t="s">
        <v>1354</v>
      </c>
      <c r="AD1" s="315" t="s">
        <v>1355</v>
      </c>
      <c r="AE1" s="316" t="s">
        <v>1356</v>
      </c>
      <c r="AF1" s="316" t="s">
        <v>1357</v>
      </c>
      <c r="AG1" s="307" t="s">
        <v>1358</v>
      </c>
    </row>
    <row r="2" spans="1:33" ht="173.4">
      <c r="B2" s="318" t="s">
        <v>7</v>
      </c>
      <c r="C2" s="319" t="s">
        <v>927</v>
      </c>
      <c r="D2" s="320" t="s">
        <v>1018</v>
      </c>
      <c r="E2" s="321" t="s">
        <v>1359</v>
      </c>
      <c r="F2" s="322" t="s">
        <v>1360</v>
      </c>
      <c r="G2" s="323" t="s">
        <v>1019</v>
      </c>
      <c r="H2" s="323">
        <v>1</v>
      </c>
      <c r="I2" s="324">
        <v>1544063600</v>
      </c>
      <c r="J2" s="324">
        <v>277931448</v>
      </c>
      <c r="K2" s="325">
        <f>+I2+J2</f>
        <v>1821995048</v>
      </c>
      <c r="L2" s="326">
        <v>-24679428.000000004</v>
      </c>
      <c r="M2" s="325">
        <f>+K2+L2</f>
        <v>1797315620</v>
      </c>
      <c r="N2" s="327">
        <v>43776</v>
      </c>
      <c r="O2" s="204">
        <v>16</v>
      </c>
      <c r="P2" s="328">
        <v>44262</v>
      </c>
      <c r="Q2" s="204">
        <v>2</v>
      </c>
      <c r="R2" s="329">
        <v>45263</v>
      </c>
      <c r="S2" s="330">
        <v>1</v>
      </c>
      <c r="T2" s="331" t="s">
        <v>1361</v>
      </c>
      <c r="U2" s="332">
        <v>1209424571</v>
      </c>
      <c r="V2" s="332">
        <v>217696422.78</v>
      </c>
      <c r="W2" s="332">
        <f>+U2+V2</f>
        <v>1427120993.78</v>
      </c>
      <c r="X2" s="333">
        <v>1209424571</v>
      </c>
      <c r="Y2" s="333">
        <v>24395795.099999998</v>
      </c>
      <c r="Z2" s="334">
        <f t="shared" ref="Z2:Z22" si="0">+(X2+Y2)/M2</f>
        <v>0.68647952110937527</v>
      </c>
      <c r="AA2" s="334">
        <f t="shared" ref="AA2:AA22" si="1">+X2/I2</f>
        <v>0.7832738049132173</v>
      </c>
      <c r="AB2" s="333">
        <f>+U2-X2</f>
        <v>0</v>
      </c>
      <c r="AC2" s="335">
        <f>+V2-Y2</f>
        <v>193300627.68000001</v>
      </c>
      <c r="AD2" s="325"/>
      <c r="AE2" s="325"/>
      <c r="AF2" s="325"/>
      <c r="AG2" s="336" t="s">
        <v>1362</v>
      </c>
    </row>
    <row r="3" spans="1:33" ht="91.8" customHeight="1">
      <c r="B3" s="337" t="s">
        <v>7</v>
      </c>
      <c r="C3" s="319" t="s">
        <v>927</v>
      </c>
      <c r="D3" s="320" t="s">
        <v>1018</v>
      </c>
      <c r="E3" s="321" t="s">
        <v>1363</v>
      </c>
      <c r="F3" s="322" t="s">
        <v>1364</v>
      </c>
      <c r="G3" s="323" t="s">
        <v>1019</v>
      </c>
      <c r="H3" s="323">
        <v>1</v>
      </c>
      <c r="I3" s="324">
        <v>1287117625.4237289</v>
      </c>
      <c r="J3" s="324">
        <v>231681172.57627121</v>
      </c>
      <c r="K3" s="325">
        <f t="shared" ref="K3:K68" si="2">+I3+J3</f>
        <v>1518798798.0000002</v>
      </c>
      <c r="L3" s="325">
        <v>0</v>
      </c>
      <c r="M3" s="325">
        <f t="shared" ref="M3:M81" si="3">+K3+L3</f>
        <v>1518798798.0000002</v>
      </c>
      <c r="N3" s="327">
        <v>43776</v>
      </c>
      <c r="O3" s="204">
        <v>16</v>
      </c>
      <c r="P3" s="328">
        <v>44262</v>
      </c>
      <c r="Q3" s="204">
        <v>1</v>
      </c>
      <c r="R3" s="329">
        <v>45263</v>
      </c>
      <c r="S3" s="330">
        <v>0.78</v>
      </c>
      <c r="T3" s="336" t="s">
        <v>1365</v>
      </c>
      <c r="U3" s="338">
        <v>718511398</v>
      </c>
      <c r="V3" s="338">
        <v>129332051.64</v>
      </c>
      <c r="W3" s="332">
        <f t="shared" ref="W3:W74" si="4">+U3+V3</f>
        <v>847843449.63999999</v>
      </c>
      <c r="X3" s="333">
        <v>718511398</v>
      </c>
      <c r="Y3" s="333">
        <v>57723911.640000001</v>
      </c>
      <c r="Z3" s="334">
        <f t="shared" si="0"/>
        <v>0.51108501709520038</v>
      </c>
      <c r="AA3" s="334">
        <f t="shared" si="1"/>
        <v>0.55823289480901994</v>
      </c>
      <c r="AB3" s="333">
        <f>+U3-X3</f>
        <v>0</v>
      </c>
      <c r="AC3" s="335">
        <f>+V3-Y3</f>
        <v>71608140</v>
      </c>
      <c r="AD3" s="325"/>
      <c r="AE3" s="325"/>
      <c r="AF3" s="325"/>
      <c r="AG3" s="331" t="s">
        <v>1366</v>
      </c>
    </row>
    <row r="4" spans="1:33" ht="173.4">
      <c r="B4" s="337" t="s">
        <v>7</v>
      </c>
      <c r="C4" s="319" t="s">
        <v>927</v>
      </c>
      <c r="D4" s="320" t="s">
        <v>1020</v>
      </c>
      <c r="E4" s="321" t="s">
        <v>1367</v>
      </c>
      <c r="F4" s="322" t="s">
        <v>1368</v>
      </c>
      <c r="G4" s="323" t="s">
        <v>1019</v>
      </c>
      <c r="H4" s="323">
        <v>1</v>
      </c>
      <c r="I4" s="324">
        <v>2047271622.0338984</v>
      </c>
      <c r="J4" s="324">
        <v>368508891.96610171</v>
      </c>
      <c r="K4" s="325">
        <f t="shared" si="2"/>
        <v>2415780514</v>
      </c>
      <c r="L4" s="339"/>
      <c r="M4" s="325">
        <f t="shared" si="3"/>
        <v>2415780514</v>
      </c>
      <c r="N4" s="327">
        <v>43776</v>
      </c>
      <c r="O4" s="204">
        <v>16</v>
      </c>
      <c r="P4" s="328">
        <v>44323</v>
      </c>
      <c r="Q4" s="204">
        <v>1</v>
      </c>
      <c r="R4" s="329">
        <v>45242</v>
      </c>
      <c r="S4" s="330">
        <v>0.73599999999999999</v>
      </c>
      <c r="T4" s="336" t="s">
        <v>1369</v>
      </c>
      <c r="U4" s="338">
        <v>1157395292</v>
      </c>
      <c r="V4" s="338">
        <v>208331152.55999997</v>
      </c>
      <c r="W4" s="332">
        <f t="shared" si="4"/>
        <v>1365726444.5599999</v>
      </c>
      <c r="X4" s="333">
        <v>1076128643</v>
      </c>
      <c r="Y4" s="333">
        <v>82534008.419999987</v>
      </c>
      <c r="Z4" s="334">
        <f t="shared" si="0"/>
        <v>0.47962248420553327</v>
      </c>
      <c r="AA4" s="334">
        <f t="shared" si="1"/>
        <v>0.52564038470425378</v>
      </c>
      <c r="AB4" s="333">
        <f t="shared" ref="AB4:AC19" si="5">+U4-X4</f>
        <v>81266649</v>
      </c>
      <c r="AC4" s="335">
        <f t="shared" si="5"/>
        <v>125797144.13999999</v>
      </c>
      <c r="AD4" s="325"/>
      <c r="AE4" s="325"/>
      <c r="AF4" s="325"/>
      <c r="AG4" s="336" t="s">
        <v>1370</v>
      </c>
    </row>
    <row r="5" spans="1:33" ht="255.6" customHeight="1">
      <c r="B5" s="337" t="s">
        <v>7</v>
      </c>
      <c r="C5" s="319" t="s">
        <v>927</v>
      </c>
      <c r="D5" s="320" t="s">
        <v>1020</v>
      </c>
      <c r="E5" s="321" t="s">
        <v>1371</v>
      </c>
      <c r="F5" s="322" t="s">
        <v>1372</v>
      </c>
      <c r="G5" s="323" t="s">
        <v>1019</v>
      </c>
      <c r="H5" s="323">
        <v>1</v>
      </c>
      <c r="I5" s="324">
        <v>2036074911.0169492</v>
      </c>
      <c r="J5" s="324">
        <v>366493483.98305082</v>
      </c>
      <c r="K5" s="325">
        <f t="shared" si="2"/>
        <v>2402568395</v>
      </c>
      <c r="L5" s="339">
        <v>0</v>
      </c>
      <c r="M5" s="325">
        <f t="shared" si="3"/>
        <v>2402568395</v>
      </c>
      <c r="N5" s="327">
        <v>43776</v>
      </c>
      <c r="O5" s="204">
        <v>16</v>
      </c>
      <c r="P5" s="328">
        <v>44262</v>
      </c>
      <c r="Q5" s="204">
        <v>1</v>
      </c>
      <c r="R5" s="329">
        <v>45242</v>
      </c>
      <c r="S5" s="330">
        <v>0.42</v>
      </c>
      <c r="T5" s="336" t="s">
        <v>1373</v>
      </c>
      <c r="U5" s="338">
        <v>722844515.10000002</v>
      </c>
      <c r="V5" s="338">
        <v>130112012.71799999</v>
      </c>
      <c r="W5" s="332">
        <f t="shared" si="4"/>
        <v>852956527.81800008</v>
      </c>
      <c r="X5" s="333">
        <v>722845415</v>
      </c>
      <c r="Y5" s="333">
        <v>34511356.079999998</v>
      </c>
      <c r="Z5" s="334">
        <f t="shared" si="0"/>
        <v>0.31522797546831127</v>
      </c>
      <c r="AA5" s="334">
        <f t="shared" si="1"/>
        <v>0.35501906687655399</v>
      </c>
      <c r="AB5" s="333">
        <f t="shared" si="5"/>
        <v>-899.89999997615814</v>
      </c>
      <c r="AC5" s="335">
        <f t="shared" si="5"/>
        <v>95600656.637999997</v>
      </c>
      <c r="AD5" s="325"/>
      <c r="AE5" s="325"/>
      <c r="AF5" s="325"/>
      <c r="AG5" s="331" t="s">
        <v>1374</v>
      </c>
    </row>
    <row r="6" spans="1:33" ht="91.8">
      <c r="B6" s="340" t="s">
        <v>7</v>
      </c>
      <c r="C6" s="319" t="s">
        <v>927</v>
      </c>
      <c r="D6" s="320" t="s">
        <v>1021</v>
      </c>
      <c r="E6" s="321" t="s">
        <v>1375</v>
      </c>
      <c r="F6" s="322" t="s">
        <v>1376</v>
      </c>
      <c r="G6" s="323" t="s">
        <v>1019</v>
      </c>
      <c r="H6" s="323">
        <v>1</v>
      </c>
      <c r="I6" s="324">
        <v>89120000</v>
      </c>
      <c r="J6" s="324">
        <v>16041600</v>
      </c>
      <c r="K6" s="325">
        <f t="shared" si="2"/>
        <v>105161600</v>
      </c>
      <c r="L6" s="339">
        <v>92724400</v>
      </c>
      <c r="M6" s="325">
        <f t="shared" si="3"/>
        <v>197886000</v>
      </c>
      <c r="N6" s="341">
        <v>43776</v>
      </c>
      <c r="O6" s="204">
        <v>18</v>
      </c>
      <c r="P6" s="342">
        <v>44354</v>
      </c>
      <c r="Q6" s="204">
        <v>1</v>
      </c>
      <c r="R6" s="341">
        <v>45253</v>
      </c>
      <c r="S6" s="330" t="s">
        <v>108</v>
      </c>
      <c r="T6" s="336" t="s">
        <v>1377</v>
      </c>
      <c r="U6" s="338">
        <v>137624444</v>
      </c>
      <c r="V6" s="338">
        <v>24772399.920000002</v>
      </c>
      <c r="W6" s="332">
        <f t="shared" si="4"/>
        <v>162396843.92000002</v>
      </c>
      <c r="X6" s="343">
        <v>127984444</v>
      </c>
      <c r="Y6" s="344">
        <v>0</v>
      </c>
      <c r="Z6" s="334">
        <f t="shared" si="0"/>
        <v>0.6467584568893201</v>
      </c>
      <c r="AA6" s="334">
        <f t="shared" si="1"/>
        <v>1.4360911579892279</v>
      </c>
      <c r="AB6" s="333">
        <f t="shared" si="5"/>
        <v>9640000</v>
      </c>
      <c r="AC6" s="335">
        <f t="shared" si="5"/>
        <v>24772399.920000002</v>
      </c>
      <c r="AD6" s="325"/>
      <c r="AE6" s="325"/>
      <c r="AF6" s="325"/>
      <c r="AG6" s="336" t="s">
        <v>1378</v>
      </c>
    </row>
    <row r="7" spans="1:33" ht="81.599999999999994">
      <c r="B7" s="337" t="s">
        <v>7</v>
      </c>
      <c r="C7" s="319" t="s">
        <v>927</v>
      </c>
      <c r="D7" s="320" t="s">
        <v>1022</v>
      </c>
      <c r="E7" s="321" t="s">
        <v>1379</v>
      </c>
      <c r="F7" s="322" t="s">
        <v>1380</v>
      </c>
      <c r="G7" s="323" t="s">
        <v>1019</v>
      </c>
      <c r="H7" s="323">
        <v>1</v>
      </c>
      <c r="I7" s="324">
        <v>44500000</v>
      </c>
      <c r="J7" s="324">
        <v>8010000</v>
      </c>
      <c r="K7" s="325">
        <f t="shared" si="2"/>
        <v>52510000</v>
      </c>
      <c r="L7" s="339">
        <v>78599800</v>
      </c>
      <c r="M7" s="325">
        <f t="shared" si="3"/>
        <v>131109800</v>
      </c>
      <c r="N7" s="341">
        <v>43776</v>
      </c>
      <c r="O7" s="204">
        <v>12</v>
      </c>
      <c r="P7" s="342">
        <v>44142</v>
      </c>
      <c r="Q7" s="204">
        <v>2</v>
      </c>
      <c r="R7" s="345">
        <v>45079</v>
      </c>
      <c r="S7" s="330" t="s">
        <v>108</v>
      </c>
      <c r="T7" s="336" t="s">
        <v>1381</v>
      </c>
      <c r="U7" s="338">
        <v>101033334</v>
      </c>
      <c r="V7" s="338">
        <v>18186000.120000001</v>
      </c>
      <c r="W7" s="332">
        <f t="shared" si="4"/>
        <v>119219334.12</v>
      </c>
      <c r="X7" s="343">
        <v>94093334</v>
      </c>
      <c r="Y7" s="344"/>
      <c r="Z7" s="334">
        <f t="shared" si="0"/>
        <v>0.7176681987158855</v>
      </c>
      <c r="AA7" s="334">
        <f t="shared" si="1"/>
        <v>2.1144569438202248</v>
      </c>
      <c r="AB7" s="333">
        <f t="shared" si="5"/>
        <v>6940000</v>
      </c>
      <c r="AC7" s="335">
        <f t="shared" si="5"/>
        <v>18186000.120000001</v>
      </c>
      <c r="AD7" s="325"/>
      <c r="AE7" s="325"/>
      <c r="AF7" s="325"/>
      <c r="AG7" s="346" t="s">
        <v>1382</v>
      </c>
    </row>
    <row r="8" spans="1:33" ht="51">
      <c r="B8" s="337" t="s">
        <v>7</v>
      </c>
      <c r="C8" s="319" t="s">
        <v>927</v>
      </c>
      <c r="D8" s="320" t="s">
        <v>1022</v>
      </c>
      <c r="E8" s="321" t="s">
        <v>1383</v>
      </c>
      <c r="F8" s="322" t="s">
        <v>1384</v>
      </c>
      <c r="G8" s="323" t="s">
        <v>1019</v>
      </c>
      <c r="H8" s="323">
        <v>1</v>
      </c>
      <c r="I8" s="324">
        <v>73420000</v>
      </c>
      <c r="J8" s="324">
        <v>13215600</v>
      </c>
      <c r="K8" s="325">
        <f t="shared" si="2"/>
        <v>86635600</v>
      </c>
      <c r="L8" s="339">
        <v>0</v>
      </c>
      <c r="M8" s="325">
        <f t="shared" si="3"/>
        <v>86635600</v>
      </c>
      <c r="N8" s="341">
        <v>43776</v>
      </c>
      <c r="O8" s="204">
        <v>18</v>
      </c>
      <c r="P8" s="342">
        <v>44323</v>
      </c>
      <c r="Q8" s="204">
        <v>1</v>
      </c>
      <c r="R8" s="341">
        <v>45140</v>
      </c>
      <c r="S8" s="330" t="s">
        <v>108</v>
      </c>
      <c r="T8" s="336" t="s">
        <v>1385</v>
      </c>
      <c r="U8" s="338">
        <v>73495556</v>
      </c>
      <c r="V8" s="338">
        <v>13229200.08</v>
      </c>
      <c r="W8" s="332">
        <f t="shared" si="4"/>
        <v>86724756.079999998</v>
      </c>
      <c r="X8" s="343">
        <v>66275556</v>
      </c>
      <c r="Y8" s="344"/>
      <c r="Z8" s="334">
        <f t="shared" si="0"/>
        <v>0.76499217411779918</v>
      </c>
      <c r="AA8" s="334">
        <f t="shared" si="1"/>
        <v>0.90269076545900295</v>
      </c>
      <c r="AB8" s="333">
        <f t="shared" si="5"/>
        <v>7220000</v>
      </c>
      <c r="AC8" s="335">
        <f t="shared" si="5"/>
        <v>13229200.08</v>
      </c>
      <c r="AD8" s="325"/>
      <c r="AE8" s="325"/>
      <c r="AF8" s="325"/>
      <c r="AG8" s="347" t="s">
        <v>1386</v>
      </c>
    </row>
    <row r="9" spans="1:33" ht="112.2">
      <c r="B9" s="348" t="s">
        <v>7</v>
      </c>
      <c r="C9" s="349" t="s">
        <v>1023</v>
      </c>
      <c r="D9" s="350" t="s">
        <v>962</v>
      </c>
      <c r="E9" s="351" t="s">
        <v>961</v>
      </c>
      <c r="F9" s="331" t="s">
        <v>1024</v>
      </c>
      <c r="G9" s="323" t="s">
        <v>1019</v>
      </c>
      <c r="H9" s="323">
        <v>1</v>
      </c>
      <c r="I9" s="324">
        <v>236810000</v>
      </c>
      <c r="J9" s="324">
        <v>42625800</v>
      </c>
      <c r="K9" s="325">
        <f t="shared" si="2"/>
        <v>279435800</v>
      </c>
      <c r="L9" s="339">
        <v>0</v>
      </c>
      <c r="M9" s="325">
        <f t="shared" si="3"/>
        <v>279435800</v>
      </c>
      <c r="N9" s="352">
        <v>44256</v>
      </c>
      <c r="O9" s="353">
        <v>17</v>
      </c>
      <c r="P9" s="342">
        <v>44774</v>
      </c>
      <c r="Q9" s="204">
        <v>2</v>
      </c>
      <c r="R9" s="354">
        <v>45079</v>
      </c>
      <c r="S9" s="330" t="s">
        <v>108</v>
      </c>
      <c r="T9" s="336" t="s">
        <v>1387</v>
      </c>
      <c r="U9" s="338">
        <v>185800000</v>
      </c>
      <c r="V9" s="338">
        <v>33444000</v>
      </c>
      <c r="W9" s="332">
        <v>219244000</v>
      </c>
      <c r="X9" s="343">
        <v>162845000</v>
      </c>
      <c r="Y9" s="343">
        <v>0</v>
      </c>
      <c r="Z9" s="334">
        <f t="shared" si="0"/>
        <v>0.58276355427615212</v>
      </c>
      <c r="AA9" s="334">
        <f t="shared" si="1"/>
        <v>0.68766099404585956</v>
      </c>
      <c r="AB9" s="333">
        <f t="shared" si="5"/>
        <v>22955000</v>
      </c>
      <c r="AC9" s="335">
        <f t="shared" si="5"/>
        <v>33444000</v>
      </c>
      <c r="AD9" s="325"/>
      <c r="AE9" s="325"/>
      <c r="AF9" s="325"/>
      <c r="AG9" s="331" t="s">
        <v>1388</v>
      </c>
    </row>
    <row r="10" spans="1:33" ht="49.8" customHeight="1">
      <c r="B10" s="348" t="s">
        <v>7</v>
      </c>
      <c r="C10" s="349" t="s">
        <v>1023</v>
      </c>
      <c r="D10" s="350" t="s">
        <v>1025</v>
      </c>
      <c r="E10" s="351" t="s">
        <v>1389</v>
      </c>
      <c r="F10" s="331" t="s">
        <v>1390</v>
      </c>
      <c r="G10" s="323" t="s">
        <v>1019</v>
      </c>
      <c r="H10" s="323">
        <v>1</v>
      </c>
      <c r="I10" s="324">
        <v>1598666553.3898306</v>
      </c>
      <c r="J10" s="324">
        <v>287759979.61016947</v>
      </c>
      <c r="K10" s="325">
        <f t="shared" si="2"/>
        <v>1886426533</v>
      </c>
      <c r="L10" s="355">
        <v>0</v>
      </c>
      <c r="M10" s="356">
        <f t="shared" si="3"/>
        <v>1886426533</v>
      </c>
      <c r="N10" s="352">
        <v>44214</v>
      </c>
      <c r="O10" s="204">
        <v>13</v>
      </c>
      <c r="P10" s="357">
        <v>44624</v>
      </c>
      <c r="Q10" s="204">
        <v>2</v>
      </c>
      <c r="R10" s="358">
        <v>45171</v>
      </c>
      <c r="S10" s="334">
        <v>0.6</v>
      </c>
      <c r="T10" s="359" t="s">
        <v>1391</v>
      </c>
      <c r="U10" s="360">
        <v>1598175186.8000002</v>
      </c>
      <c r="V10" s="360">
        <v>287671533.62400001</v>
      </c>
      <c r="W10" s="332">
        <f t="shared" si="4"/>
        <v>1885846720.4240003</v>
      </c>
      <c r="X10" s="344">
        <v>1598175187</v>
      </c>
      <c r="Y10" s="343">
        <v>0</v>
      </c>
      <c r="Z10" s="334">
        <f t="shared" si="0"/>
        <v>0.84719715241621874</v>
      </c>
      <c r="AA10" s="334">
        <f t="shared" si="1"/>
        <v>0.99969263985113799</v>
      </c>
      <c r="AB10" s="333">
        <f t="shared" si="5"/>
        <v>-0.19999980926513672</v>
      </c>
      <c r="AC10" s="335">
        <f t="shared" si="5"/>
        <v>287671533.62400001</v>
      </c>
      <c r="AD10" s="356"/>
      <c r="AE10" s="356"/>
      <c r="AF10" s="356"/>
      <c r="AG10" s="336" t="s">
        <v>1392</v>
      </c>
    </row>
    <row r="11" spans="1:33" ht="173.4">
      <c r="B11" s="361" t="s">
        <v>7</v>
      </c>
      <c r="C11" s="349" t="s">
        <v>1023</v>
      </c>
      <c r="D11" s="362" t="s">
        <v>966</v>
      </c>
      <c r="E11" s="351" t="s">
        <v>965</v>
      </c>
      <c r="F11" s="336" t="s">
        <v>1393</v>
      </c>
      <c r="G11" s="323" t="s">
        <v>1019</v>
      </c>
      <c r="H11" s="323">
        <v>1</v>
      </c>
      <c r="I11" s="324">
        <v>2940309139.8305087</v>
      </c>
      <c r="J11" s="324">
        <v>529255645.16949153</v>
      </c>
      <c r="K11" s="325">
        <f t="shared" si="2"/>
        <v>3469564785</v>
      </c>
      <c r="L11" s="363">
        <v>0</v>
      </c>
      <c r="M11" s="325">
        <f t="shared" si="3"/>
        <v>3469564785</v>
      </c>
      <c r="N11" s="364" t="s">
        <v>1394</v>
      </c>
      <c r="O11" s="204">
        <v>13</v>
      </c>
      <c r="P11" s="357">
        <v>44563</v>
      </c>
      <c r="Q11" s="204">
        <v>2</v>
      </c>
      <c r="R11" s="237">
        <v>45140</v>
      </c>
      <c r="S11" s="330">
        <v>0.28999999999999998</v>
      </c>
      <c r="T11" s="336" t="s">
        <v>1395</v>
      </c>
      <c r="U11" s="338">
        <v>1303003175</v>
      </c>
      <c r="V11" s="338">
        <v>234540571.5</v>
      </c>
      <c r="W11" s="332">
        <f t="shared" si="4"/>
        <v>1537543746.5</v>
      </c>
      <c r="X11" s="343">
        <v>1104929248</v>
      </c>
      <c r="Y11" s="343">
        <v>0</v>
      </c>
      <c r="Z11" s="334">
        <f t="shared" si="0"/>
        <v>0.31846335678092835</v>
      </c>
      <c r="AA11" s="334">
        <f t="shared" si="1"/>
        <v>0.37578676100149544</v>
      </c>
      <c r="AB11" s="333">
        <f t="shared" si="5"/>
        <v>198073927</v>
      </c>
      <c r="AC11" s="335">
        <f t="shared" si="5"/>
        <v>234540571.5</v>
      </c>
      <c r="AD11" s="325"/>
      <c r="AE11" s="325"/>
      <c r="AF11" s="325"/>
      <c r="AG11" s="336" t="s">
        <v>1396</v>
      </c>
    </row>
    <row r="12" spans="1:33" ht="40.799999999999997">
      <c r="B12" s="365" t="s">
        <v>7</v>
      </c>
      <c r="C12" s="349" t="s">
        <v>12</v>
      </c>
      <c r="D12" s="320" t="s">
        <v>1026</v>
      </c>
      <c r="E12" s="366" t="s">
        <v>1397</v>
      </c>
      <c r="F12" s="322" t="s">
        <v>1027</v>
      </c>
      <c r="G12" s="323" t="s">
        <v>1019</v>
      </c>
      <c r="H12" s="323">
        <v>1</v>
      </c>
      <c r="I12" s="324">
        <v>435005000</v>
      </c>
      <c r="J12" s="324">
        <v>78300900</v>
      </c>
      <c r="K12" s="325">
        <f t="shared" si="2"/>
        <v>513305900</v>
      </c>
      <c r="L12" s="339">
        <v>0</v>
      </c>
      <c r="M12" s="325">
        <f t="shared" si="3"/>
        <v>513305900</v>
      </c>
      <c r="N12" s="367">
        <v>43860</v>
      </c>
      <c r="O12" s="204">
        <v>15</v>
      </c>
      <c r="P12" s="209">
        <v>44316</v>
      </c>
      <c r="Q12" s="204" t="s">
        <v>1398</v>
      </c>
      <c r="R12" s="325"/>
      <c r="S12" s="330">
        <v>0.9</v>
      </c>
      <c r="T12" s="368" t="s">
        <v>1399</v>
      </c>
      <c r="U12" s="369">
        <v>369754250</v>
      </c>
      <c r="V12" s="369">
        <v>66555765</v>
      </c>
      <c r="W12" s="332">
        <f t="shared" si="4"/>
        <v>436310015</v>
      </c>
      <c r="X12" s="370">
        <v>369753251</v>
      </c>
      <c r="Y12" s="343">
        <v>0</v>
      </c>
      <c r="Z12" s="334">
        <f t="shared" si="0"/>
        <v>0.72033703684294292</v>
      </c>
      <c r="AA12" s="334">
        <f t="shared" si="1"/>
        <v>0.84999770347467274</v>
      </c>
      <c r="AB12" s="333">
        <f t="shared" si="5"/>
        <v>999</v>
      </c>
      <c r="AC12" s="335">
        <f t="shared" si="5"/>
        <v>66555765</v>
      </c>
      <c r="AD12" s="325"/>
      <c r="AE12" s="325"/>
      <c r="AF12" s="325"/>
      <c r="AG12" s="371" t="s">
        <v>1400</v>
      </c>
    </row>
    <row r="13" spans="1:33" ht="40.799999999999997">
      <c r="B13" s="365" t="s">
        <v>7</v>
      </c>
      <c r="C13" s="349" t="s">
        <v>12</v>
      </c>
      <c r="D13" s="320" t="s">
        <v>1026</v>
      </c>
      <c r="E13" s="366" t="s">
        <v>1401</v>
      </c>
      <c r="F13" s="322" t="s">
        <v>1028</v>
      </c>
      <c r="G13" s="323" t="s">
        <v>1019</v>
      </c>
      <c r="H13" s="323">
        <v>1</v>
      </c>
      <c r="I13" s="324">
        <v>589800000</v>
      </c>
      <c r="J13" s="324">
        <v>106164000</v>
      </c>
      <c r="K13" s="325">
        <f t="shared" si="2"/>
        <v>695964000</v>
      </c>
      <c r="L13" s="339"/>
      <c r="M13" s="325">
        <f t="shared" si="3"/>
        <v>695964000</v>
      </c>
      <c r="N13" s="367">
        <v>43860</v>
      </c>
      <c r="O13" s="204">
        <v>15</v>
      </c>
      <c r="P13" s="209">
        <v>44316</v>
      </c>
      <c r="Q13" s="204" t="s">
        <v>1398</v>
      </c>
      <c r="R13" s="325"/>
      <c r="S13" s="330">
        <v>0.9</v>
      </c>
      <c r="T13" s="368" t="s">
        <v>1402</v>
      </c>
      <c r="U13" s="369">
        <v>501330000</v>
      </c>
      <c r="V13" s="369">
        <v>90239400</v>
      </c>
      <c r="W13" s="332">
        <f t="shared" si="4"/>
        <v>591569400</v>
      </c>
      <c r="X13" s="370">
        <v>489534000</v>
      </c>
      <c r="Y13" s="343">
        <v>0</v>
      </c>
      <c r="Z13" s="334">
        <f t="shared" si="0"/>
        <v>0.70338983050847459</v>
      </c>
      <c r="AA13" s="334">
        <f t="shared" si="1"/>
        <v>0.83</v>
      </c>
      <c r="AB13" s="333">
        <f t="shared" si="5"/>
        <v>11796000</v>
      </c>
      <c r="AC13" s="335">
        <f t="shared" si="5"/>
        <v>90239400</v>
      </c>
      <c r="AD13" s="325"/>
      <c r="AE13" s="325"/>
      <c r="AF13" s="325"/>
      <c r="AG13" s="372" t="s">
        <v>1403</v>
      </c>
    </row>
    <row r="14" spans="1:33" ht="30.6">
      <c r="B14" s="318" t="s">
        <v>7</v>
      </c>
      <c r="C14" s="349" t="s">
        <v>12</v>
      </c>
      <c r="D14" s="320" t="s">
        <v>1029</v>
      </c>
      <c r="E14" s="366" t="s">
        <v>950</v>
      </c>
      <c r="F14" s="322" t="s">
        <v>1030</v>
      </c>
      <c r="G14" s="323" t="s">
        <v>1019</v>
      </c>
      <c r="H14" s="323">
        <v>1</v>
      </c>
      <c r="I14" s="324">
        <v>731820000</v>
      </c>
      <c r="J14" s="324">
        <v>131727600</v>
      </c>
      <c r="K14" s="325">
        <f t="shared" si="2"/>
        <v>863547600</v>
      </c>
      <c r="L14" s="339"/>
      <c r="M14" s="325">
        <f t="shared" si="3"/>
        <v>863547600</v>
      </c>
      <c r="N14" s="367">
        <v>43860</v>
      </c>
      <c r="O14" s="204">
        <v>10</v>
      </c>
      <c r="P14" s="209">
        <v>44346</v>
      </c>
      <c r="Q14" s="204">
        <v>3</v>
      </c>
      <c r="R14" s="209">
        <v>45198</v>
      </c>
      <c r="S14" s="330">
        <v>1</v>
      </c>
      <c r="T14" s="322" t="s">
        <v>1404</v>
      </c>
      <c r="U14" s="373">
        <v>718266349.91525424</v>
      </c>
      <c r="V14" s="373">
        <v>129287942.98474577</v>
      </c>
      <c r="W14" s="332">
        <f t="shared" si="4"/>
        <v>847554292.89999998</v>
      </c>
      <c r="X14" s="370">
        <v>718266350</v>
      </c>
      <c r="Y14" s="343">
        <v>12174451.199999999</v>
      </c>
      <c r="Z14" s="334">
        <f t="shared" si="0"/>
        <v>0.84586049593560342</v>
      </c>
      <c r="AA14" s="334">
        <f t="shared" si="1"/>
        <v>0.98147953048563852</v>
      </c>
      <c r="AB14" s="333">
        <f t="shared" si="5"/>
        <v>-8.474576473236084E-2</v>
      </c>
      <c r="AC14" s="335">
        <f t="shared" si="5"/>
        <v>117113491.78474577</v>
      </c>
      <c r="AD14" s="325"/>
      <c r="AE14" s="325"/>
      <c r="AF14" s="325"/>
      <c r="AG14" s="344"/>
    </row>
    <row r="15" spans="1:33" ht="40.799999999999997">
      <c r="B15" s="365" t="s">
        <v>7</v>
      </c>
      <c r="C15" s="349" t="s">
        <v>12</v>
      </c>
      <c r="D15" s="320" t="s">
        <v>1031</v>
      </c>
      <c r="E15" s="366" t="s">
        <v>955</v>
      </c>
      <c r="F15" s="322" t="s">
        <v>1032</v>
      </c>
      <c r="G15" s="323" t="s">
        <v>1019</v>
      </c>
      <c r="H15" s="323">
        <v>1</v>
      </c>
      <c r="I15" s="324">
        <v>1190297200</v>
      </c>
      <c r="J15" s="324">
        <v>214253496</v>
      </c>
      <c r="K15" s="325">
        <f t="shared" si="2"/>
        <v>1404550696</v>
      </c>
      <c r="L15" s="339"/>
      <c r="M15" s="325">
        <f t="shared" si="3"/>
        <v>1404550696</v>
      </c>
      <c r="N15" s="367">
        <v>43801</v>
      </c>
      <c r="O15" s="204">
        <v>12</v>
      </c>
      <c r="P15" s="209">
        <v>44288</v>
      </c>
      <c r="Q15" s="204">
        <v>3</v>
      </c>
      <c r="R15" s="209" t="s">
        <v>108</v>
      </c>
      <c r="S15" s="330">
        <v>0.94</v>
      </c>
      <c r="T15" s="374" t="s">
        <v>1405</v>
      </c>
      <c r="U15" s="375">
        <v>1011752179.6610169</v>
      </c>
      <c r="V15" s="375">
        <v>182115392.33898306</v>
      </c>
      <c r="W15" s="332">
        <f t="shared" si="4"/>
        <v>1193867572</v>
      </c>
      <c r="X15" s="370">
        <v>1011752180</v>
      </c>
      <c r="Y15" s="343">
        <v>110089878.17898306</v>
      </c>
      <c r="Z15" s="334">
        <f t="shared" si="0"/>
        <v>0.79871952032337534</v>
      </c>
      <c r="AA15" s="334">
        <f t="shared" si="1"/>
        <v>0.8499996303444215</v>
      </c>
      <c r="AB15" s="333">
        <f t="shared" si="5"/>
        <v>-0.33898305892944336</v>
      </c>
      <c r="AC15" s="335">
        <f t="shared" si="5"/>
        <v>72025514.159999996</v>
      </c>
      <c r="AD15" s="325"/>
      <c r="AE15" s="325"/>
      <c r="AF15" s="325"/>
      <c r="AG15" s="346" t="s">
        <v>1406</v>
      </c>
    </row>
    <row r="16" spans="1:33" ht="40.799999999999997">
      <c r="B16" s="365" t="s">
        <v>7</v>
      </c>
      <c r="C16" s="349" t="s">
        <v>12</v>
      </c>
      <c r="D16" s="320" t="s">
        <v>1031</v>
      </c>
      <c r="E16" s="366" t="s">
        <v>956</v>
      </c>
      <c r="F16" s="322" t="s">
        <v>1033</v>
      </c>
      <c r="G16" s="323" t="s">
        <v>1019</v>
      </c>
      <c r="H16" s="323">
        <v>1</v>
      </c>
      <c r="I16" s="324">
        <v>1196188000</v>
      </c>
      <c r="J16" s="324">
        <v>215313840</v>
      </c>
      <c r="K16" s="325">
        <f t="shared" si="2"/>
        <v>1411501840</v>
      </c>
      <c r="L16" s="339"/>
      <c r="M16" s="325">
        <f t="shared" si="3"/>
        <v>1411501840</v>
      </c>
      <c r="N16" s="367">
        <v>43801</v>
      </c>
      <c r="O16" s="204">
        <v>12</v>
      </c>
      <c r="P16" s="209">
        <v>44167</v>
      </c>
      <c r="Q16" s="204">
        <v>3</v>
      </c>
      <c r="R16" s="376">
        <v>44229</v>
      </c>
      <c r="S16" s="330">
        <v>0.96</v>
      </c>
      <c r="T16" s="374" t="s">
        <v>1407</v>
      </c>
      <c r="U16" s="375">
        <v>1034702620</v>
      </c>
      <c r="V16" s="375">
        <v>186246471.59999999</v>
      </c>
      <c r="W16" s="332">
        <f t="shared" si="4"/>
        <v>1220949091.5999999</v>
      </c>
      <c r="X16" s="370">
        <v>1016759800</v>
      </c>
      <c r="Y16" s="343">
        <v>78589551.600000009</v>
      </c>
      <c r="Z16" s="334">
        <f t="shared" si="0"/>
        <v>0.77601694915254227</v>
      </c>
      <c r="AA16" s="334">
        <f t="shared" si="1"/>
        <v>0.85</v>
      </c>
      <c r="AB16" s="333">
        <f t="shared" si="5"/>
        <v>17942820</v>
      </c>
      <c r="AC16" s="335">
        <f t="shared" si="5"/>
        <v>107656919.99999999</v>
      </c>
      <c r="AD16" s="325"/>
      <c r="AE16" s="325"/>
      <c r="AF16" s="325"/>
      <c r="AG16" s="346" t="s">
        <v>1408</v>
      </c>
    </row>
    <row r="17" spans="2:33" ht="40.799999999999997">
      <c r="B17" s="318" t="s">
        <v>7</v>
      </c>
      <c r="C17" s="349" t="s">
        <v>12</v>
      </c>
      <c r="D17" s="320" t="s">
        <v>1034</v>
      </c>
      <c r="E17" s="366" t="s">
        <v>1409</v>
      </c>
      <c r="F17" s="322" t="s">
        <v>1035</v>
      </c>
      <c r="G17" s="323" t="s">
        <v>1019</v>
      </c>
      <c r="H17" s="323">
        <v>1</v>
      </c>
      <c r="I17" s="324">
        <v>1199350000</v>
      </c>
      <c r="J17" s="324">
        <v>215883000</v>
      </c>
      <c r="K17" s="325">
        <f t="shared" si="2"/>
        <v>1415233000</v>
      </c>
      <c r="L17" s="339"/>
      <c r="M17" s="325">
        <f t="shared" si="3"/>
        <v>1415233000</v>
      </c>
      <c r="N17" s="367">
        <v>43802</v>
      </c>
      <c r="O17" s="204">
        <v>12</v>
      </c>
      <c r="P17" s="209">
        <v>44195</v>
      </c>
      <c r="Q17" s="204">
        <v>3</v>
      </c>
      <c r="R17" s="209">
        <v>45198</v>
      </c>
      <c r="S17" s="330">
        <v>1</v>
      </c>
      <c r="T17" s="374" t="s">
        <v>1410</v>
      </c>
      <c r="U17" s="375">
        <v>1079415000</v>
      </c>
      <c r="V17" s="375">
        <v>194294700</v>
      </c>
      <c r="W17" s="332">
        <f t="shared" si="4"/>
        <v>1273709700</v>
      </c>
      <c r="X17" s="370">
        <v>1079414800</v>
      </c>
      <c r="Y17" s="343">
        <v>111179745</v>
      </c>
      <c r="Z17" s="334">
        <f t="shared" si="0"/>
        <v>0.84127104512119211</v>
      </c>
      <c r="AA17" s="334">
        <f t="shared" si="1"/>
        <v>0.89999983324300659</v>
      </c>
      <c r="AB17" s="333">
        <f t="shared" si="5"/>
        <v>200</v>
      </c>
      <c r="AC17" s="335">
        <f t="shared" si="5"/>
        <v>83114955</v>
      </c>
      <c r="AD17" s="325"/>
      <c r="AE17" s="325"/>
      <c r="AF17" s="325"/>
      <c r="AG17" s="344"/>
    </row>
    <row r="18" spans="2:33" ht="40.799999999999997">
      <c r="B18" s="337" t="s">
        <v>7</v>
      </c>
      <c r="C18" s="349" t="s">
        <v>12</v>
      </c>
      <c r="D18" s="377" t="s">
        <v>1411</v>
      </c>
      <c r="E18" s="366" t="s">
        <v>970</v>
      </c>
      <c r="F18" s="322" t="s">
        <v>1036</v>
      </c>
      <c r="G18" s="323" t="s">
        <v>1019</v>
      </c>
      <c r="H18" s="323">
        <v>1</v>
      </c>
      <c r="I18" s="324">
        <v>40657120</v>
      </c>
      <c r="J18" s="324">
        <v>7318281.5999999996</v>
      </c>
      <c r="K18" s="325">
        <f t="shared" si="2"/>
        <v>47975401.600000001</v>
      </c>
      <c r="L18" s="339"/>
      <c r="M18" s="325">
        <f t="shared" si="3"/>
        <v>47975401.600000001</v>
      </c>
      <c r="N18" s="378" t="s">
        <v>1412</v>
      </c>
      <c r="O18" s="204">
        <v>6</v>
      </c>
      <c r="P18" s="209">
        <v>44075</v>
      </c>
      <c r="Q18" s="204">
        <v>1</v>
      </c>
      <c r="R18" s="209">
        <v>45170</v>
      </c>
      <c r="S18" s="330" t="s">
        <v>1413</v>
      </c>
      <c r="T18" s="331" t="s">
        <v>1414</v>
      </c>
      <c r="U18" s="332">
        <v>28285187</v>
      </c>
      <c r="V18" s="332">
        <v>5091333.6599999992</v>
      </c>
      <c r="W18" s="332">
        <f t="shared" si="4"/>
        <v>33376520.66</v>
      </c>
      <c r="X18" s="343">
        <v>28285187</v>
      </c>
      <c r="Y18" s="343">
        <v>0</v>
      </c>
      <c r="Z18" s="334">
        <f t="shared" si="0"/>
        <v>0.58957686765877948</v>
      </c>
      <c r="AA18" s="334">
        <f t="shared" si="1"/>
        <v>0.69570070383735982</v>
      </c>
      <c r="AB18" s="333">
        <f t="shared" si="5"/>
        <v>0</v>
      </c>
      <c r="AC18" s="335">
        <f t="shared" si="5"/>
        <v>5091333.6599999992</v>
      </c>
      <c r="AD18" s="325"/>
      <c r="AE18" s="325"/>
      <c r="AF18" s="325"/>
      <c r="AG18" s="379" t="s">
        <v>1415</v>
      </c>
    </row>
    <row r="19" spans="2:33" ht="30.6">
      <c r="B19" s="318" t="s">
        <v>7</v>
      </c>
      <c r="C19" s="349" t="s">
        <v>12</v>
      </c>
      <c r="D19" s="320" t="s">
        <v>1037</v>
      </c>
      <c r="E19" s="366" t="s">
        <v>964</v>
      </c>
      <c r="F19" s="322" t="s">
        <v>1038</v>
      </c>
      <c r="G19" s="323" t="s">
        <v>1019</v>
      </c>
      <c r="H19" s="323">
        <v>1</v>
      </c>
      <c r="I19" s="324">
        <v>235015000</v>
      </c>
      <c r="J19" s="324">
        <v>42302700</v>
      </c>
      <c r="K19" s="325">
        <f t="shared" si="2"/>
        <v>277317700</v>
      </c>
      <c r="L19" s="339">
        <v>198900800</v>
      </c>
      <c r="M19" s="325">
        <f t="shared" si="3"/>
        <v>476218500</v>
      </c>
      <c r="N19" s="367">
        <v>43832</v>
      </c>
      <c r="O19" s="204">
        <v>13</v>
      </c>
      <c r="P19" s="209">
        <v>44229</v>
      </c>
      <c r="Q19" s="204">
        <v>3</v>
      </c>
      <c r="R19" s="209">
        <v>45200</v>
      </c>
      <c r="S19" s="330">
        <v>1</v>
      </c>
      <c r="T19" s="331" t="s">
        <v>1416</v>
      </c>
      <c r="U19" s="332">
        <v>403575003.67796612</v>
      </c>
      <c r="V19" s="332">
        <v>72643500.662033901</v>
      </c>
      <c r="W19" s="332">
        <f t="shared" si="4"/>
        <v>476218504.34000003</v>
      </c>
      <c r="X19" s="343">
        <v>403575007</v>
      </c>
      <c r="Y19" s="343">
        <v>0</v>
      </c>
      <c r="Z19" s="334">
        <f t="shared" si="0"/>
        <v>0.84745764181777905</v>
      </c>
      <c r="AA19" s="334">
        <f t="shared" si="1"/>
        <v>1.7172308448396911</v>
      </c>
      <c r="AB19" s="333">
        <f t="shared" si="5"/>
        <v>-3.3220338821411133</v>
      </c>
      <c r="AC19" s="335">
        <f t="shared" si="5"/>
        <v>72643500.662033901</v>
      </c>
      <c r="AD19" s="325"/>
      <c r="AE19" s="325"/>
      <c r="AF19" s="325"/>
      <c r="AG19" s="346" t="s">
        <v>1417</v>
      </c>
    </row>
    <row r="20" spans="2:33" ht="61.2">
      <c r="B20" s="337" t="s">
        <v>7</v>
      </c>
      <c r="C20" s="349" t="s">
        <v>12</v>
      </c>
      <c r="D20" s="320" t="s">
        <v>1039</v>
      </c>
      <c r="E20" s="366" t="s">
        <v>958</v>
      </c>
      <c r="F20" s="322" t="s">
        <v>1040</v>
      </c>
      <c r="G20" s="323" t="s">
        <v>1019</v>
      </c>
      <c r="H20" s="323">
        <v>1</v>
      </c>
      <c r="I20" s="324">
        <v>137985000</v>
      </c>
      <c r="J20" s="324">
        <v>24837300</v>
      </c>
      <c r="K20" s="325">
        <f t="shared" si="2"/>
        <v>162822300</v>
      </c>
      <c r="L20" s="339">
        <v>0</v>
      </c>
      <c r="M20" s="325">
        <f t="shared" si="3"/>
        <v>162822300</v>
      </c>
      <c r="N20" s="367">
        <v>44642</v>
      </c>
      <c r="O20" s="204">
        <v>2</v>
      </c>
      <c r="P20" s="209">
        <v>44702</v>
      </c>
      <c r="Q20" s="204">
        <v>1</v>
      </c>
      <c r="R20" s="380" t="s">
        <v>1418</v>
      </c>
      <c r="S20" s="330">
        <v>0.44</v>
      </c>
      <c r="T20" s="374" t="s">
        <v>1419</v>
      </c>
      <c r="U20" s="381">
        <v>96107693</v>
      </c>
      <c r="V20" s="381">
        <v>17299384.739999998</v>
      </c>
      <c r="W20" s="332">
        <f t="shared" si="4"/>
        <v>113407077.73999999</v>
      </c>
      <c r="X20" s="343">
        <v>96107693</v>
      </c>
      <c r="Y20" s="343">
        <v>0</v>
      </c>
      <c r="Z20" s="334">
        <f t="shared" si="0"/>
        <v>0.59026124185692008</v>
      </c>
      <c r="AA20" s="334">
        <f t="shared" si="1"/>
        <v>0.69650826539116573</v>
      </c>
      <c r="AB20" s="333">
        <f t="shared" ref="AB20:AC82" si="6">+U20-X20</f>
        <v>0</v>
      </c>
      <c r="AC20" s="335">
        <f t="shared" si="6"/>
        <v>17299384.739999998</v>
      </c>
      <c r="AD20" s="325"/>
      <c r="AE20" s="325"/>
      <c r="AF20" s="325"/>
      <c r="AG20" s="346" t="s">
        <v>1420</v>
      </c>
    </row>
    <row r="21" spans="2:33" ht="40.799999999999997">
      <c r="B21" s="337" t="s">
        <v>7</v>
      </c>
      <c r="C21" s="349" t="s">
        <v>12</v>
      </c>
      <c r="D21" s="320" t="s">
        <v>1041</v>
      </c>
      <c r="E21" s="366" t="s">
        <v>1421</v>
      </c>
      <c r="F21" s="322" t="s">
        <v>1042</v>
      </c>
      <c r="G21" s="323" t="s">
        <v>1019</v>
      </c>
      <c r="H21" s="323">
        <v>1</v>
      </c>
      <c r="I21" s="324">
        <v>363095255</v>
      </c>
      <c r="J21" s="324">
        <v>65357145.899999999</v>
      </c>
      <c r="K21" s="325">
        <f t="shared" si="2"/>
        <v>428452400.89999998</v>
      </c>
      <c r="L21" s="339">
        <v>0</v>
      </c>
      <c r="M21" s="325">
        <f t="shared" si="3"/>
        <v>428452400.89999998</v>
      </c>
      <c r="N21" s="367">
        <v>44951</v>
      </c>
      <c r="O21" s="204">
        <v>4</v>
      </c>
      <c r="P21" s="376">
        <v>45101</v>
      </c>
      <c r="Q21" s="209" t="s">
        <v>110</v>
      </c>
      <c r="R21" s="209" t="s">
        <v>110</v>
      </c>
      <c r="S21" s="330">
        <v>0.65</v>
      </c>
      <c r="T21" s="331" t="s">
        <v>1422</v>
      </c>
      <c r="U21" s="332">
        <v>299815863</v>
      </c>
      <c r="V21" s="332">
        <v>53966855.339999996</v>
      </c>
      <c r="W21" s="332">
        <f t="shared" si="4"/>
        <v>353782718.33999997</v>
      </c>
      <c r="X21" s="343">
        <v>299815863</v>
      </c>
      <c r="Y21" s="343">
        <v>45750002.219999999</v>
      </c>
      <c r="Z21" s="334">
        <f t="shared" si="0"/>
        <v>0.8065443547383796</v>
      </c>
      <c r="AA21" s="334">
        <f t="shared" si="1"/>
        <v>0.82572233834341902</v>
      </c>
      <c r="AB21" s="333">
        <f t="shared" si="6"/>
        <v>0</v>
      </c>
      <c r="AC21" s="335">
        <f t="shared" si="6"/>
        <v>8216853.1199999973</v>
      </c>
      <c r="AD21" s="325"/>
      <c r="AE21" s="325"/>
      <c r="AF21" s="325"/>
      <c r="AG21" s="331" t="s">
        <v>1423</v>
      </c>
    </row>
    <row r="22" spans="2:33" ht="81.599999999999994">
      <c r="B22" s="957" t="s">
        <v>7</v>
      </c>
      <c r="C22" s="959" t="s">
        <v>13</v>
      </c>
      <c r="D22" s="961" t="s">
        <v>1424</v>
      </c>
      <c r="E22" s="382" t="s">
        <v>968</v>
      </c>
      <c r="F22" s="948" t="s">
        <v>1043</v>
      </c>
      <c r="G22" s="383" t="s">
        <v>1019</v>
      </c>
      <c r="H22" s="383">
        <v>1</v>
      </c>
      <c r="I22" s="324">
        <v>433711882.20338988</v>
      </c>
      <c r="J22" s="324">
        <v>78068138.796610177</v>
      </c>
      <c r="K22" s="325">
        <f t="shared" si="2"/>
        <v>511780021.00000006</v>
      </c>
      <c r="L22" s="339">
        <v>0</v>
      </c>
      <c r="M22" s="325">
        <f t="shared" si="3"/>
        <v>511780021.00000006</v>
      </c>
      <c r="N22" s="367">
        <v>44293</v>
      </c>
      <c r="O22" s="204">
        <v>14</v>
      </c>
      <c r="P22" s="380" t="s">
        <v>1425</v>
      </c>
      <c r="Q22" s="209" t="s">
        <v>110</v>
      </c>
      <c r="R22" s="209" t="s">
        <v>110</v>
      </c>
      <c r="S22" s="330">
        <v>0.2</v>
      </c>
      <c r="T22" s="331" t="s">
        <v>1426</v>
      </c>
      <c r="U22" s="332">
        <v>86742376</v>
      </c>
      <c r="V22" s="332">
        <v>15613627.68</v>
      </c>
      <c r="W22" s="332">
        <f t="shared" si="4"/>
        <v>102356003.68000001</v>
      </c>
      <c r="X22" s="343">
        <v>86742376</v>
      </c>
      <c r="Y22" s="343">
        <v>0</v>
      </c>
      <c r="Z22" s="334">
        <f t="shared" si="0"/>
        <v>0.16949152456265967</v>
      </c>
      <c r="AA22" s="334">
        <f t="shared" si="1"/>
        <v>0.19999999898393842</v>
      </c>
      <c r="AB22" s="333">
        <f t="shared" si="6"/>
        <v>0</v>
      </c>
      <c r="AC22" s="335">
        <f t="shared" si="6"/>
        <v>15613627.68</v>
      </c>
      <c r="AD22" s="325"/>
      <c r="AE22" s="325"/>
      <c r="AF22" s="325"/>
      <c r="AG22" s="384" t="s">
        <v>1427</v>
      </c>
    </row>
    <row r="23" spans="2:33" ht="27.6">
      <c r="B23" s="958"/>
      <c r="C23" s="960"/>
      <c r="D23" s="962"/>
      <c r="E23" s="385" t="s">
        <v>1428</v>
      </c>
      <c r="F23" s="949"/>
      <c r="G23" s="323" t="s">
        <v>1019</v>
      </c>
      <c r="H23" s="323">
        <v>1</v>
      </c>
      <c r="I23" s="324"/>
      <c r="J23" s="324"/>
      <c r="K23" s="325"/>
      <c r="L23" s="339"/>
      <c r="M23" s="325"/>
      <c r="N23" s="378" t="s">
        <v>1429</v>
      </c>
      <c r="O23" s="204">
        <v>14</v>
      </c>
      <c r="P23" s="380" t="s">
        <v>1430</v>
      </c>
      <c r="Q23" s="209"/>
      <c r="R23" s="209"/>
      <c r="S23" s="330"/>
      <c r="T23" s="331" t="s">
        <v>1431</v>
      </c>
      <c r="U23" s="332"/>
      <c r="V23" s="332"/>
      <c r="W23" s="332"/>
      <c r="X23" s="343"/>
      <c r="Y23" s="343"/>
      <c r="Z23" s="334"/>
      <c r="AA23" s="334"/>
      <c r="AB23" s="333"/>
      <c r="AC23" s="335"/>
      <c r="AD23" s="325"/>
      <c r="AE23" s="325"/>
      <c r="AF23" s="325"/>
      <c r="AG23" s="384"/>
    </row>
    <row r="24" spans="2:33" ht="253.2" customHeight="1">
      <c r="B24" s="337" t="s">
        <v>7</v>
      </c>
      <c r="C24" s="349" t="s">
        <v>13</v>
      </c>
      <c r="D24" s="320" t="s">
        <v>1044</v>
      </c>
      <c r="E24" s="382" t="s">
        <v>1432</v>
      </c>
      <c r="F24" s="322" t="s">
        <v>1045</v>
      </c>
      <c r="G24" s="323" t="s">
        <v>1019</v>
      </c>
      <c r="H24" s="323">
        <v>1</v>
      </c>
      <c r="I24" s="324">
        <v>454381488.98305088</v>
      </c>
      <c r="J24" s="324">
        <v>81788668.016949162</v>
      </c>
      <c r="K24" s="325">
        <f t="shared" si="2"/>
        <v>536170157.00000006</v>
      </c>
      <c r="L24" s="339">
        <v>0</v>
      </c>
      <c r="M24" s="325">
        <f t="shared" si="3"/>
        <v>536170157.00000006</v>
      </c>
      <c r="N24" s="367">
        <v>44293</v>
      </c>
      <c r="O24" s="204">
        <v>14</v>
      </c>
      <c r="P24" s="209">
        <v>44719</v>
      </c>
      <c r="Q24" s="204">
        <v>1</v>
      </c>
      <c r="R24" s="386">
        <v>44990</v>
      </c>
      <c r="S24" s="330">
        <v>0.74</v>
      </c>
      <c r="T24" s="387" t="s">
        <v>1433</v>
      </c>
      <c r="U24" s="388">
        <v>288229718</v>
      </c>
      <c r="V24" s="388">
        <v>51881349.239999995</v>
      </c>
      <c r="W24" s="332">
        <f t="shared" si="4"/>
        <v>340111067.24000001</v>
      </c>
      <c r="X24" s="343">
        <v>288229718</v>
      </c>
      <c r="Y24" s="343">
        <v>23766738.84</v>
      </c>
      <c r="Z24" s="334">
        <f t="shared" ref="Z24:Z61" si="7">+(X24+Y24)/M24</f>
        <v>0.58189821415219112</v>
      </c>
      <c r="AA24" s="334">
        <f t="shared" ref="AA24:AA61" si="8">+X24/I24</f>
        <v>0.63433419932023549</v>
      </c>
      <c r="AB24" s="333">
        <f t="shared" si="6"/>
        <v>0</v>
      </c>
      <c r="AC24" s="335">
        <f t="shared" si="6"/>
        <v>28114610.399999995</v>
      </c>
      <c r="AD24" s="325"/>
      <c r="AE24" s="325"/>
      <c r="AF24" s="325"/>
      <c r="AG24" s="331" t="s">
        <v>1434</v>
      </c>
    </row>
    <row r="25" spans="2:33" ht="142.80000000000001">
      <c r="B25" s="348" t="s">
        <v>7</v>
      </c>
      <c r="C25" s="349" t="s">
        <v>13</v>
      </c>
      <c r="D25" s="350" t="s">
        <v>1046</v>
      </c>
      <c r="E25" s="351" t="s">
        <v>963</v>
      </c>
      <c r="F25" s="331" t="s">
        <v>1047</v>
      </c>
      <c r="G25" s="323" t="s">
        <v>1019</v>
      </c>
      <c r="H25" s="323">
        <v>1</v>
      </c>
      <c r="I25" s="324">
        <v>426926215.25423729</v>
      </c>
      <c r="J25" s="324">
        <v>76846718.745762706</v>
      </c>
      <c r="K25" s="325">
        <f t="shared" si="2"/>
        <v>503772934</v>
      </c>
      <c r="L25" s="339">
        <v>0</v>
      </c>
      <c r="M25" s="325">
        <f t="shared" si="3"/>
        <v>503772934</v>
      </c>
      <c r="N25" s="367">
        <v>44293</v>
      </c>
      <c r="O25" s="204">
        <v>14</v>
      </c>
      <c r="P25" s="209">
        <v>44719</v>
      </c>
      <c r="Q25" s="204">
        <v>1</v>
      </c>
      <c r="R25" s="386">
        <v>45004</v>
      </c>
      <c r="S25" s="330">
        <v>0.48</v>
      </c>
      <c r="T25" s="389" t="s">
        <v>1435</v>
      </c>
      <c r="U25" s="390">
        <v>216587967.5</v>
      </c>
      <c r="V25" s="390">
        <v>38985834.149999999</v>
      </c>
      <c r="W25" s="332">
        <f t="shared" si="4"/>
        <v>255573801.65000001</v>
      </c>
      <c r="X25" s="343">
        <v>216587967.5</v>
      </c>
      <c r="Y25" s="343">
        <v>22285548.423</v>
      </c>
      <c r="Z25" s="334">
        <f t="shared" si="7"/>
        <v>0.47416901504875214</v>
      </c>
      <c r="AA25" s="334">
        <f t="shared" si="8"/>
        <v>0.50731943778861288</v>
      </c>
      <c r="AB25" s="333">
        <f t="shared" si="6"/>
        <v>0</v>
      </c>
      <c r="AC25" s="335">
        <f t="shared" si="6"/>
        <v>16700285.726999998</v>
      </c>
      <c r="AD25" s="325"/>
      <c r="AE25" s="325"/>
      <c r="AF25" s="325"/>
      <c r="AG25" s="331" t="s">
        <v>1436</v>
      </c>
    </row>
    <row r="26" spans="2:33" ht="142.80000000000001">
      <c r="B26" s="348" t="s">
        <v>7</v>
      </c>
      <c r="C26" s="349" t="s">
        <v>13</v>
      </c>
      <c r="D26" s="350" t="s">
        <v>1046</v>
      </c>
      <c r="E26" s="351" t="s">
        <v>963</v>
      </c>
      <c r="F26" s="331" t="s">
        <v>1048</v>
      </c>
      <c r="G26" s="323" t="s">
        <v>1019</v>
      </c>
      <c r="H26" s="323">
        <v>1</v>
      </c>
      <c r="I26" s="324">
        <v>426926216.10169494</v>
      </c>
      <c r="J26" s="324">
        <v>76846718.898305088</v>
      </c>
      <c r="K26" s="325">
        <f t="shared" si="2"/>
        <v>503772935</v>
      </c>
      <c r="L26" s="339">
        <v>0</v>
      </c>
      <c r="M26" s="325">
        <f t="shared" si="3"/>
        <v>503772935</v>
      </c>
      <c r="N26" s="367">
        <v>44293</v>
      </c>
      <c r="O26" s="204">
        <v>14</v>
      </c>
      <c r="P26" s="209">
        <v>44719</v>
      </c>
      <c r="Q26" s="204">
        <v>1</v>
      </c>
      <c r="R26" s="386">
        <v>45004</v>
      </c>
      <c r="S26" s="330">
        <v>0.38</v>
      </c>
      <c r="T26" s="389" t="s">
        <v>1437</v>
      </c>
      <c r="U26" s="390">
        <v>216587967.5</v>
      </c>
      <c r="V26" s="390">
        <v>38985834.149999999</v>
      </c>
      <c r="W26" s="332">
        <f t="shared" si="4"/>
        <v>255573801.65000001</v>
      </c>
      <c r="X26" s="343">
        <v>216587967.5</v>
      </c>
      <c r="Y26" s="343">
        <v>22285548.423</v>
      </c>
      <c r="Z26" s="334">
        <f t="shared" si="7"/>
        <v>0.47416901410751655</v>
      </c>
      <c r="AA26" s="334">
        <f t="shared" si="8"/>
        <v>0.50731943678157299</v>
      </c>
      <c r="AB26" s="333">
        <f t="shared" si="6"/>
        <v>0</v>
      </c>
      <c r="AC26" s="335">
        <f t="shared" si="6"/>
        <v>16700285.726999998</v>
      </c>
      <c r="AD26" s="325"/>
      <c r="AE26" s="325"/>
      <c r="AF26" s="325"/>
      <c r="AG26" s="391" t="s">
        <v>1438</v>
      </c>
    </row>
    <row r="27" spans="2:33" ht="20.399999999999999">
      <c r="B27" s="348" t="s">
        <v>7</v>
      </c>
      <c r="C27" s="349" t="s">
        <v>13</v>
      </c>
      <c r="D27" s="350" t="s">
        <v>974</v>
      </c>
      <c r="E27" s="351" t="s">
        <v>1439</v>
      </c>
      <c r="F27" s="331" t="s">
        <v>1440</v>
      </c>
      <c r="G27" s="323" t="s">
        <v>1019</v>
      </c>
      <c r="H27" s="323">
        <v>1</v>
      </c>
      <c r="I27" s="343">
        <v>10805000</v>
      </c>
      <c r="J27" s="343">
        <v>1944900</v>
      </c>
      <c r="K27" s="325">
        <f t="shared" si="2"/>
        <v>12749900</v>
      </c>
      <c r="L27" s="339">
        <v>0</v>
      </c>
      <c r="M27" s="325">
        <f t="shared" si="3"/>
        <v>12749900</v>
      </c>
      <c r="N27" s="367">
        <v>44734</v>
      </c>
      <c r="O27" s="208">
        <v>6</v>
      </c>
      <c r="P27" s="376">
        <v>44917</v>
      </c>
      <c r="Q27" s="392" t="s">
        <v>1430</v>
      </c>
      <c r="R27" s="392" t="s">
        <v>1430</v>
      </c>
      <c r="S27" s="330"/>
      <c r="T27" s="389"/>
      <c r="U27" s="389"/>
      <c r="V27" s="389"/>
      <c r="W27" s="332">
        <f t="shared" si="4"/>
        <v>0</v>
      </c>
      <c r="X27" s="344"/>
      <c r="Y27" s="344"/>
      <c r="Z27" s="334">
        <f t="shared" si="7"/>
        <v>0</v>
      </c>
      <c r="AA27" s="334">
        <f t="shared" si="8"/>
        <v>0</v>
      </c>
      <c r="AB27" s="333">
        <f t="shared" si="6"/>
        <v>0</v>
      </c>
      <c r="AC27" s="335">
        <f t="shared" si="6"/>
        <v>0</v>
      </c>
      <c r="AD27" s="325"/>
      <c r="AE27" s="325"/>
      <c r="AF27" s="325"/>
      <c r="AG27" s="391"/>
    </row>
    <row r="28" spans="2:33" ht="20.399999999999999">
      <c r="B28" s="348" t="s">
        <v>7</v>
      </c>
      <c r="C28" s="349" t="s">
        <v>13</v>
      </c>
      <c r="D28" s="350" t="s">
        <v>974</v>
      </c>
      <c r="E28" s="351" t="s">
        <v>1441</v>
      </c>
      <c r="F28" s="331" t="s">
        <v>1442</v>
      </c>
      <c r="G28" s="323" t="s">
        <v>1019</v>
      </c>
      <c r="H28" s="323">
        <v>1</v>
      </c>
      <c r="I28" s="343">
        <v>10805000</v>
      </c>
      <c r="J28" s="343">
        <v>1944900</v>
      </c>
      <c r="K28" s="325">
        <f t="shared" si="2"/>
        <v>12749900</v>
      </c>
      <c r="L28" s="339">
        <v>0</v>
      </c>
      <c r="M28" s="325">
        <f t="shared" si="3"/>
        <v>12749900</v>
      </c>
      <c r="N28" s="367">
        <v>44734</v>
      </c>
      <c r="O28" s="208">
        <v>6</v>
      </c>
      <c r="P28" s="376">
        <v>44917</v>
      </c>
      <c r="Q28" s="392" t="s">
        <v>1430</v>
      </c>
      <c r="R28" s="392" t="s">
        <v>1430</v>
      </c>
      <c r="S28" s="330"/>
      <c r="T28" s="389"/>
      <c r="U28" s="389"/>
      <c r="V28" s="389"/>
      <c r="W28" s="332">
        <f t="shared" si="4"/>
        <v>0</v>
      </c>
      <c r="X28" s="344"/>
      <c r="Y28" s="344"/>
      <c r="Z28" s="334">
        <f t="shared" si="7"/>
        <v>0</v>
      </c>
      <c r="AA28" s="334">
        <f t="shared" si="8"/>
        <v>0</v>
      </c>
      <c r="AB28" s="333">
        <f t="shared" si="6"/>
        <v>0</v>
      </c>
      <c r="AC28" s="335">
        <f t="shared" si="6"/>
        <v>0</v>
      </c>
      <c r="AD28" s="325"/>
      <c r="AE28" s="325"/>
      <c r="AF28" s="325"/>
      <c r="AG28" s="391"/>
    </row>
    <row r="29" spans="2:33" ht="20.399999999999999">
      <c r="B29" s="348" t="s">
        <v>7</v>
      </c>
      <c r="C29" s="349" t="s">
        <v>13</v>
      </c>
      <c r="D29" s="350" t="s">
        <v>974</v>
      </c>
      <c r="E29" s="351" t="s">
        <v>1443</v>
      </c>
      <c r="F29" s="331" t="s">
        <v>1444</v>
      </c>
      <c r="G29" s="323" t="s">
        <v>1019</v>
      </c>
      <c r="H29" s="323">
        <v>1</v>
      </c>
      <c r="I29" s="343">
        <v>10805000</v>
      </c>
      <c r="J29" s="343">
        <v>1944900</v>
      </c>
      <c r="K29" s="325">
        <f t="shared" si="2"/>
        <v>12749900</v>
      </c>
      <c r="L29" s="339">
        <v>0</v>
      </c>
      <c r="M29" s="325">
        <f t="shared" si="3"/>
        <v>12749900</v>
      </c>
      <c r="N29" s="367">
        <v>44734</v>
      </c>
      <c r="O29" s="208">
        <v>6</v>
      </c>
      <c r="P29" s="376">
        <v>44917</v>
      </c>
      <c r="Q29" s="392" t="s">
        <v>1430</v>
      </c>
      <c r="R29" s="392" t="s">
        <v>1430</v>
      </c>
      <c r="S29" s="330"/>
      <c r="T29" s="389"/>
      <c r="U29" s="389"/>
      <c r="V29" s="389"/>
      <c r="W29" s="332">
        <f t="shared" si="4"/>
        <v>0</v>
      </c>
      <c r="X29" s="344"/>
      <c r="Y29" s="344"/>
      <c r="Z29" s="334">
        <f t="shared" si="7"/>
        <v>0</v>
      </c>
      <c r="AA29" s="334">
        <f t="shared" si="8"/>
        <v>0</v>
      </c>
      <c r="AB29" s="333">
        <f t="shared" si="6"/>
        <v>0</v>
      </c>
      <c r="AC29" s="335">
        <f t="shared" si="6"/>
        <v>0</v>
      </c>
      <c r="AD29" s="325"/>
      <c r="AE29" s="325"/>
      <c r="AF29" s="325"/>
      <c r="AG29" s="391"/>
    </row>
    <row r="30" spans="2:33" ht="20.399999999999999">
      <c r="B30" s="348" t="s">
        <v>7</v>
      </c>
      <c r="C30" s="349" t="s">
        <v>13</v>
      </c>
      <c r="D30" s="350" t="s">
        <v>974</v>
      </c>
      <c r="E30" s="351" t="s">
        <v>1445</v>
      </c>
      <c r="F30" s="331" t="s">
        <v>1446</v>
      </c>
      <c r="G30" s="323" t="s">
        <v>1019</v>
      </c>
      <c r="H30" s="323">
        <v>1</v>
      </c>
      <c r="I30" s="343">
        <v>10805000</v>
      </c>
      <c r="J30" s="343">
        <v>1944900</v>
      </c>
      <c r="K30" s="325">
        <f t="shared" si="2"/>
        <v>12749900</v>
      </c>
      <c r="L30" s="339">
        <v>0</v>
      </c>
      <c r="M30" s="325">
        <f t="shared" si="3"/>
        <v>12749900</v>
      </c>
      <c r="N30" s="367">
        <v>44734</v>
      </c>
      <c r="O30" s="208">
        <v>6</v>
      </c>
      <c r="P30" s="376">
        <v>44917</v>
      </c>
      <c r="Q30" s="392" t="s">
        <v>1430</v>
      </c>
      <c r="R30" s="392" t="s">
        <v>1430</v>
      </c>
      <c r="S30" s="330"/>
      <c r="T30" s="389"/>
      <c r="U30" s="389"/>
      <c r="V30" s="389"/>
      <c r="W30" s="332">
        <f t="shared" si="4"/>
        <v>0</v>
      </c>
      <c r="X30" s="344"/>
      <c r="Y30" s="344"/>
      <c r="Z30" s="334">
        <f t="shared" si="7"/>
        <v>0</v>
      </c>
      <c r="AA30" s="334">
        <f t="shared" si="8"/>
        <v>0</v>
      </c>
      <c r="AB30" s="333">
        <f t="shared" si="6"/>
        <v>0</v>
      </c>
      <c r="AC30" s="335">
        <f t="shared" si="6"/>
        <v>0</v>
      </c>
      <c r="AD30" s="325"/>
      <c r="AE30" s="325"/>
      <c r="AF30" s="325"/>
      <c r="AG30" s="391"/>
    </row>
    <row r="31" spans="2:33" ht="20.399999999999999">
      <c r="B31" s="348" t="s">
        <v>7</v>
      </c>
      <c r="C31" s="349" t="s">
        <v>13</v>
      </c>
      <c r="D31" s="350" t="s">
        <v>972</v>
      </c>
      <c r="E31" s="351" t="s">
        <v>1447</v>
      </c>
      <c r="F31" s="331" t="s">
        <v>1448</v>
      </c>
      <c r="G31" s="323" t="s">
        <v>1019</v>
      </c>
      <c r="H31" s="323">
        <v>1</v>
      </c>
      <c r="I31" s="324">
        <v>97225000</v>
      </c>
      <c r="J31" s="324">
        <v>17500500</v>
      </c>
      <c r="K31" s="325">
        <f t="shared" si="2"/>
        <v>114725500</v>
      </c>
      <c r="L31" s="339">
        <v>0</v>
      </c>
      <c r="M31" s="325">
        <f t="shared" si="3"/>
        <v>114725500</v>
      </c>
      <c r="N31" s="367">
        <v>44734</v>
      </c>
      <c r="O31" s="208">
        <v>6</v>
      </c>
      <c r="P31" s="376">
        <v>44917</v>
      </c>
      <c r="Q31" s="392" t="s">
        <v>1430</v>
      </c>
      <c r="R31" s="392" t="s">
        <v>1430</v>
      </c>
      <c r="S31" s="330"/>
      <c r="T31" s="389"/>
      <c r="U31" s="390">
        <v>19445000</v>
      </c>
      <c r="V31" s="390">
        <v>3500100</v>
      </c>
      <c r="W31" s="332">
        <f t="shared" si="4"/>
        <v>22945100</v>
      </c>
      <c r="X31" s="343">
        <v>19445000</v>
      </c>
      <c r="Y31" s="393">
        <v>0</v>
      </c>
      <c r="Z31" s="334">
        <f t="shared" si="7"/>
        <v>0.16949152542372881</v>
      </c>
      <c r="AA31" s="334">
        <f t="shared" si="8"/>
        <v>0.2</v>
      </c>
      <c r="AB31" s="333">
        <f t="shared" si="6"/>
        <v>0</v>
      </c>
      <c r="AC31" s="335">
        <f t="shared" si="6"/>
        <v>3500100</v>
      </c>
      <c r="AD31" s="325"/>
      <c r="AE31" s="325"/>
      <c r="AF31" s="325"/>
      <c r="AG31" s="391"/>
    </row>
    <row r="32" spans="2:33" ht="20.399999999999999">
      <c r="B32" s="348" t="s">
        <v>7</v>
      </c>
      <c r="C32" s="349" t="s">
        <v>13</v>
      </c>
      <c r="D32" s="350" t="s">
        <v>972</v>
      </c>
      <c r="E32" s="351" t="s">
        <v>1449</v>
      </c>
      <c r="F32" s="331" t="s">
        <v>1450</v>
      </c>
      <c r="G32" s="323" t="s">
        <v>1019</v>
      </c>
      <c r="H32" s="323">
        <v>1</v>
      </c>
      <c r="I32" s="324">
        <v>97315000</v>
      </c>
      <c r="J32" s="324">
        <v>17516700</v>
      </c>
      <c r="K32" s="325">
        <f t="shared" si="2"/>
        <v>114831700</v>
      </c>
      <c r="L32" s="339">
        <v>0</v>
      </c>
      <c r="M32" s="325">
        <f t="shared" si="3"/>
        <v>114831700</v>
      </c>
      <c r="N32" s="367">
        <v>44734</v>
      </c>
      <c r="O32" s="208">
        <v>6</v>
      </c>
      <c r="P32" s="376">
        <v>44917</v>
      </c>
      <c r="Q32" s="392" t="s">
        <v>1430</v>
      </c>
      <c r="R32" s="392" t="s">
        <v>1430</v>
      </c>
      <c r="S32" s="330"/>
      <c r="T32" s="389"/>
      <c r="U32" s="390">
        <v>19463000</v>
      </c>
      <c r="V32" s="390">
        <v>3503340</v>
      </c>
      <c r="W32" s="332">
        <f t="shared" si="4"/>
        <v>22966340</v>
      </c>
      <c r="X32" s="343">
        <v>19463000</v>
      </c>
      <c r="Y32" s="393">
        <v>0</v>
      </c>
      <c r="Z32" s="334">
        <f t="shared" si="7"/>
        <v>0.16949152542372881</v>
      </c>
      <c r="AA32" s="334">
        <f t="shared" si="8"/>
        <v>0.2</v>
      </c>
      <c r="AB32" s="333">
        <f t="shared" si="6"/>
        <v>0</v>
      </c>
      <c r="AC32" s="335">
        <f t="shared" si="6"/>
        <v>3503340</v>
      </c>
      <c r="AD32" s="325"/>
      <c r="AE32" s="325"/>
      <c r="AF32" s="325"/>
      <c r="AG32" s="391"/>
    </row>
    <row r="33" spans="2:33" ht="20.399999999999999">
      <c r="B33" s="348" t="s">
        <v>7</v>
      </c>
      <c r="C33" s="349" t="s">
        <v>13</v>
      </c>
      <c r="D33" s="350" t="s">
        <v>972</v>
      </c>
      <c r="E33" s="351" t="s">
        <v>1451</v>
      </c>
      <c r="F33" s="331" t="s">
        <v>1452</v>
      </c>
      <c r="G33" s="323" t="s">
        <v>1019</v>
      </c>
      <c r="H33" s="323">
        <v>1</v>
      </c>
      <c r="I33" s="324">
        <v>96725000</v>
      </c>
      <c r="J33" s="324">
        <v>17410500</v>
      </c>
      <c r="K33" s="325">
        <f t="shared" si="2"/>
        <v>114135500</v>
      </c>
      <c r="L33" s="339">
        <v>0</v>
      </c>
      <c r="M33" s="325">
        <f t="shared" si="3"/>
        <v>114135500</v>
      </c>
      <c r="N33" s="367">
        <v>44734</v>
      </c>
      <c r="O33" s="208">
        <v>6</v>
      </c>
      <c r="P33" s="376">
        <v>44917</v>
      </c>
      <c r="Q33" s="392" t="s">
        <v>1430</v>
      </c>
      <c r="R33" s="392" t="s">
        <v>1430</v>
      </c>
      <c r="S33" s="330"/>
      <c r="T33" s="389"/>
      <c r="U33" s="390">
        <v>19345000</v>
      </c>
      <c r="V33" s="390">
        <v>3482100</v>
      </c>
      <c r="W33" s="332">
        <f t="shared" si="4"/>
        <v>22827100</v>
      </c>
      <c r="X33" s="343">
        <v>19345000</v>
      </c>
      <c r="Y33" s="393">
        <v>0</v>
      </c>
      <c r="Z33" s="334">
        <f t="shared" si="7"/>
        <v>0.16949152542372881</v>
      </c>
      <c r="AA33" s="334">
        <f t="shared" si="8"/>
        <v>0.2</v>
      </c>
      <c r="AB33" s="333">
        <f t="shared" si="6"/>
        <v>0</v>
      </c>
      <c r="AC33" s="335">
        <f t="shared" si="6"/>
        <v>3482100</v>
      </c>
      <c r="AD33" s="325"/>
      <c r="AE33" s="325"/>
      <c r="AF33" s="325"/>
      <c r="AG33" s="391"/>
    </row>
    <row r="34" spans="2:33" ht="20.399999999999999">
      <c r="B34" s="348" t="s">
        <v>7</v>
      </c>
      <c r="C34" s="349" t="s">
        <v>13</v>
      </c>
      <c r="D34" s="350" t="s">
        <v>972</v>
      </c>
      <c r="E34" s="351" t="s">
        <v>1453</v>
      </c>
      <c r="F34" s="331" t="s">
        <v>1454</v>
      </c>
      <c r="G34" s="323" t="s">
        <v>1019</v>
      </c>
      <c r="H34" s="323">
        <v>1</v>
      </c>
      <c r="I34" s="324">
        <v>96850000</v>
      </c>
      <c r="J34" s="324">
        <v>17433000</v>
      </c>
      <c r="K34" s="325">
        <f t="shared" si="2"/>
        <v>114283000</v>
      </c>
      <c r="L34" s="339">
        <v>0</v>
      </c>
      <c r="M34" s="325">
        <f t="shared" si="3"/>
        <v>114283000</v>
      </c>
      <c r="N34" s="367">
        <v>44734</v>
      </c>
      <c r="O34" s="208">
        <v>6</v>
      </c>
      <c r="P34" s="376">
        <v>44917</v>
      </c>
      <c r="Q34" s="392" t="s">
        <v>1430</v>
      </c>
      <c r="R34" s="392" t="s">
        <v>1430</v>
      </c>
      <c r="S34" s="330"/>
      <c r="T34" s="389"/>
      <c r="U34" s="390">
        <v>19370000</v>
      </c>
      <c r="V34" s="390">
        <v>3486600</v>
      </c>
      <c r="W34" s="332">
        <f t="shared" si="4"/>
        <v>22856600</v>
      </c>
      <c r="X34" s="343">
        <v>19370000</v>
      </c>
      <c r="Y34" s="393">
        <v>0</v>
      </c>
      <c r="Z34" s="334">
        <f t="shared" si="7"/>
        <v>0.16949152542372881</v>
      </c>
      <c r="AA34" s="334">
        <f t="shared" si="8"/>
        <v>0.2</v>
      </c>
      <c r="AB34" s="333">
        <f t="shared" si="6"/>
        <v>0</v>
      </c>
      <c r="AC34" s="335">
        <f t="shared" si="6"/>
        <v>3486600</v>
      </c>
      <c r="AD34" s="325"/>
      <c r="AE34" s="325"/>
      <c r="AF34" s="325"/>
      <c r="AG34" s="391"/>
    </row>
    <row r="35" spans="2:33" ht="20.399999999999999">
      <c r="B35" s="337" t="s">
        <v>7</v>
      </c>
      <c r="C35" s="349" t="s">
        <v>1049</v>
      </c>
      <c r="D35" s="320" t="s">
        <v>1050</v>
      </c>
      <c r="E35" s="382" t="s">
        <v>957</v>
      </c>
      <c r="F35" s="322" t="s">
        <v>1051</v>
      </c>
      <c r="G35" s="323" t="s">
        <v>1019</v>
      </c>
      <c r="H35" s="323">
        <v>1</v>
      </c>
      <c r="I35" s="324">
        <v>210520000</v>
      </c>
      <c r="J35" s="324">
        <v>37893600</v>
      </c>
      <c r="K35" s="325">
        <f t="shared" si="2"/>
        <v>248413600</v>
      </c>
      <c r="L35" s="339">
        <v>172598600</v>
      </c>
      <c r="M35" s="325">
        <f t="shared" si="3"/>
        <v>421012200</v>
      </c>
      <c r="N35" s="378">
        <v>44277</v>
      </c>
      <c r="O35" s="353">
        <v>15</v>
      </c>
      <c r="P35" s="376">
        <v>44734</v>
      </c>
      <c r="Q35" s="204">
        <v>2</v>
      </c>
      <c r="R35" s="367">
        <v>45432</v>
      </c>
      <c r="S35" s="330" t="s">
        <v>1455</v>
      </c>
      <c r="T35" s="344"/>
      <c r="U35" s="343">
        <v>210520001</v>
      </c>
      <c r="V35" s="343">
        <v>37893600.18</v>
      </c>
      <c r="W35" s="332">
        <f t="shared" si="4"/>
        <v>248413601.18000001</v>
      </c>
      <c r="X35" s="343">
        <v>204013334</v>
      </c>
      <c r="Y35" s="393">
        <v>0</v>
      </c>
      <c r="Z35" s="334">
        <f t="shared" si="7"/>
        <v>0.48457819987164269</v>
      </c>
      <c r="AA35" s="334">
        <f t="shared" si="8"/>
        <v>0.96909240927227813</v>
      </c>
      <c r="AB35" s="333">
        <f t="shared" si="6"/>
        <v>6506667</v>
      </c>
      <c r="AC35" s="335">
        <f t="shared" si="6"/>
        <v>37893600.18</v>
      </c>
      <c r="AD35" s="325"/>
      <c r="AE35" s="325"/>
      <c r="AF35" s="325"/>
      <c r="AG35" s="344"/>
    </row>
    <row r="36" spans="2:33" ht="27.6">
      <c r="B36" s="337" t="s">
        <v>7</v>
      </c>
      <c r="C36" s="349" t="s">
        <v>1052</v>
      </c>
      <c r="D36" s="320" t="s">
        <v>1053</v>
      </c>
      <c r="E36" s="382" t="s">
        <v>969</v>
      </c>
      <c r="F36" s="322" t="s">
        <v>1054</v>
      </c>
      <c r="G36" s="323" t="s">
        <v>1019</v>
      </c>
      <c r="H36" s="323">
        <v>1</v>
      </c>
      <c r="I36" s="394">
        <v>140750000</v>
      </c>
      <c r="J36" s="324">
        <v>25335000</v>
      </c>
      <c r="K36" s="325">
        <f t="shared" si="2"/>
        <v>166085000</v>
      </c>
      <c r="L36" s="339"/>
      <c r="M36" s="325">
        <f t="shared" si="3"/>
        <v>166085000</v>
      </c>
      <c r="N36" s="378" t="s">
        <v>1456</v>
      </c>
      <c r="O36" s="353">
        <v>12</v>
      </c>
      <c r="P36" s="376">
        <v>45006</v>
      </c>
      <c r="Q36" s="204">
        <v>1</v>
      </c>
      <c r="R36" s="367">
        <v>45281</v>
      </c>
      <c r="S36" s="330" t="s">
        <v>1455</v>
      </c>
      <c r="T36" s="344"/>
      <c r="U36" s="343">
        <v>123100000</v>
      </c>
      <c r="V36" s="343">
        <v>22158000</v>
      </c>
      <c r="W36" s="332">
        <f t="shared" si="4"/>
        <v>145258000</v>
      </c>
      <c r="X36" s="343">
        <v>101550000</v>
      </c>
      <c r="Y36" s="344"/>
      <c r="Z36" s="334">
        <f t="shared" si="7"/>
        <v>0.61143390432609812</v>
      </c>
      <c r="AA36" s="334">
        <f t="shared" si="8"/>
        <v>0.72149200710479577</v>
      </c>
      <c r="AB36" s="333">
        <f t="shared" si="6"/>
        <v>21550000</v>
      </c>
      <c r="AC36" s="335">
        <f t="shared" si="6"/>
        <v>22158000</v>
      </c>
      <c r="AD36" s="325"/>
      <c r="AE36" s="325"/>
      <c r="AF36" s="325"/>
      <c r="AG36" s="344"/>
    </row>
    <row r="37" spans="2:33" ht="193.8">
      <c r="B37" s="337" t="s">
        <v>7</v>
      </c>
      <c r="C37" s="349" t="s">
        <v>14</v>
      </c>
      <c r="D37" s="320" t="s">
        <v>971</v>
      </c>
      <c r="E37" s="320" t="s">
        <v>1457</v>
      </c>
      <c r="F37" s="395" t="s">
        <v>1056</v>
      </c>
      <c r="G37" s="323" t="s">
        <v>1019</v>
      </c>
      <c r="H37" s="323">
        <v>1</v>
      </c>
      <c r="I37" s="396">
        <v>330790500</v>
      </c>
      <c r="J37" s="396">
        <v>59542290</v>
      </c>
      <c r="K37" s="325">
        <f t="shared" si="2"/>
        <v>390332790</v>
      </c>
      <c r="L37" s="397">
        <v>0</v>
      </c>
      <c r="M37" s="325">
        <f>+K37+L37</f>
        <v>390332790</v>
      </c>
      <c r="N37" s="367">
        <v>44643</v>
      </c>
      <c r="O37" s="204">
        <v>10</v>
      </c>
      <c r="P37" s="209">
        <v>44948</v>
      </c>
      <c r="Q37" s="392" t="s">
        <v>1458</v>
      </c>
      <c r="R37" s="392" t="s">
        <v>108</v>
      </c>
      <c r="S37" s="330">
        <v>0.4</v>
      </c>
      <c r="T37" s="331" t="s">
        <v>1459</v>
      </c>
      <c r="U37" s="332">
        <v>110814817.5</v>
      </c>
      <c r="V37" s="332">
        <v>19946667.149999999</v>
      </c>
      <c r="W37" s="332">
        <f>+U37+V37</f>
        <v>130761484.65000001</v>
      </c>
      <c r="X37" s="343">
        <v>110814817.5</v>
      </c>
      <c r="Y37" s="343">
        <v>11908458</v>
      </c>
      <c r="Z37" s="334">
        <f t="shared" si="7"/>
        <v>0.31440677966101693</v>
      </c>
      <c r="AA37" s="334">
        <f t="shared" si="8"/>
        <v>0.33500000000000002</v>
      </c>
      <c r="AB37" s="333">
        <f>+U37-X37</f>
        <v>0</v>
      </c>
      <c r="AC37" s="335">
        <f>+V37-Y37</f>
        <v>8038209.1499999985</v>
      </c>
      <c r="AD37" s="325"/>
      <c r="AE37" s="325"/>
      <c r="AF37" s="325"/>
      <c r="AG37" s="336" t="s">
        <v>1460</v>
      </c>
    </row>
    <row r="38" spans="2:33" ht="127.2" customHeight="1">
      <c r="B38" s="337" t="s">
        <v>7</v>
      </c>
      <c r="C38" s="351" t="s">
        <v>14</v>
      </c>
      <c r="D38" s="398" t="s">
        <v>971</v>
      </c>
      <c r="E38" s="398" t="s">
        <v>1461</v>
      </c>
      <c r="F38" s="399" t="s">
        <v>1055</v>
      </c>
      <c r="G38" s="323" t="s">
        <v>1019</v>
      </c>
      <c r="H38" s="323">
        <v>1</v>
      </c>
      <c r="I38" s="396">
        <v>224538550</v>
      </c>
      <c r="J38" s="396">
        <v>40416939</v>
      </c>
      <c r="K38" s="325">
        <f t="shared" si="2"/>
        <v>264955489</v>
      </c>
      <c r="L38" s="397">
        <v>0</v>
      </c>
      <c r="M38" s="325">
        <f t="shared" si="3"/>
        <v>264955489</v>
      </c>
      <c r="N38" s="367">
        <v>44643</v>
      </c>
      <c r="O38" s="204">
        <v>10</v>
      </c>
      <c r="P38" s="209">
        <v>44948</v>
      </c>
      <c r="Q38" s="392" t="s">
        <v>1458</v>
      </c>
      <c r="R38" s="392" t="s">
        <v>108</v>
      </c>
      <c r="S38" s="330">
        <v>0.45</v>
      </c>
      <c r="T38" s="331" t="s">
        <v>1462</v>
      </c>
      <c r="U38" s="332">
        <v>75220414.700000003</v>
      </c>
      <c r="V38" s="332">
        <v>13539674.646</v>
      </c>
      <c r="W38" s="332">
        <f t="shared" si="4"/>
        <v>88760089.346000001</v>
      </c>
      <c r="X38" s="343">
        <v>75220414.700000003</v>
      </c>
      <c r="Y38" s="343">
        <v>8083387.7999999998</v>
      </c>
      <c r="Z38" s="334">
        <f t="shared" si="7"/>
        <v>0.31440678135941541</v>
      </c>
      <c r="AA38" s="334">
        <f t="shared" si="8"/>
        <v>0.33500000200411023</v>
      </c>
      <c r="AB38" s="333">
        <f t="shared" si="6"/>
        <v>0</v>
      </c>
      <c r="AC38" s="335">
        <f t="shared" si="6"/>
        <v>5456286.8459999999</v>
      </c>
      <c r="AD38" s="325"/>
      <c r="AE38" s="325"/>
      <c r="AF38" s="325"/>
      <c r="AG38" s="331" t="s">
        <v>1463</v>
      </c>
    </row>
    <row r="39" spans="2:33" ht="20.399999999999999">
      <c r="B39" s="400" t="s">
        <v>7</v>
      </c>
      <c r="C39" s="349" t="s">
        <v>14</v>
      </c>
      <c r="D39" s="320" t="s">
        <v>843</v>
      </c>
      <c r="E39" s="320" t="s">
        <v>1464</v>
      </c>
      <c r="F39" s="395" t="s">
        <v>1057</v>
      </c>
      <c r="G39" s="323" t="s">
        <v>1019</v>
      </c>
      <c r="H39" s="323">
        <v>1</v>
      </c>
      <c r="I39" s="393">
        <v>683485129</v>
      </c>
      <c r="J39" s="393">
        <v>123027323.22</v>
      </c>
      <c r="K39" s="325">
        <f t="shared" si="2"/>
        <v>806512452.22000003</v>
      </c>
      <c r="L39" s="397">
        <v>0</v>
      </c>
      <c r="M39" s="325">
        <f>+K39+L39</f>
        <v>806512452.22000003</v>
      </c>
      <c r="N39" s="367">
        <v>45065</v>
      </c>
      <c r="O39" s="204">
        <v>8</v>
      </c>
      <c r="P39" s="209">
        <v>45309</v>
      </c>
      <c r="Q39" s="392" t="s">
        <v>1430</v>
      </c>
      <c r="R39" s="367" t="s">
        <v>108</v>
      </c>
      <c r="S39" s="330">
        <v>0.2</v>
      </c>
      <c r="T39" s="331" t="s">
        <v>1465</v>
      </c>
      <c r="U39" s="332">
        <v>136697026</v>
      </c>
      <c r="V39" s="332">
        <v>24605464.68</v>
      </c>
      <c r="W39" s="332">
        <f t="shared" si="4"/>
        <v>161302490.68000001</v>
      </c>
      <c r="X39" s="343">
        <v>0</v>
      </c>
      <c r="Y39" s="343">
        <v>0</v>
      </c>
      <c r="Z39" s="334">
        <f t="shared" si="7"/>
        <v>0</v>
      </c>
      <c r="AA39" s="334">
        <f t="shared" si="8"/>
        <v>0</v>
      </c>
      <c r="AB39" s="335">
        <f t="shared" si="6"/>
        <v>136697026</v>
      </c>
      <c r="AC39" s="335">
        <f t="shared" si="6"/>
        <v>24605464.68</v>
      </c>
      <c r="AD39" s="325"/>
      <c r="AE39" s="325"/>
      <c r="AF39" s="325"/>
      <c r="AG39" s="336" t="s">
        <v>1466</v>
      </c>
    </row>
    <row r="40" spans="2:33" ht="55.2" customHeight="1">
      <c r="B40" s="318" t="s">
        <v>7</v>
      </c>
      <c r="C40" s="349" t="s">
        <v>1058</v>
      </c>
      <c r="D40" s="320" t="s">
        <v>1059</v>
      </c>
      <c r="E40" s="401" t="s">
        <v>967</v>
      </c>
      <c r="F40" s="322" t="s">
        <v>1060</v>
      </c>
      <c r="G40" s="323" t="s">
        <v>1019</v>
      </c>
      <c r="H40" s="323">
        <v>1</v>
      </c>
      <c r="I40" s="396">
        <v>190390500</v>
      </c>
      <c r="J40" s="396">
        <v>34270290</v>
      </c>
      <c r="K40" s="325">
        <f t="shared" si="2"/>
        <v>224660790</v>
      </c>
      <c r="L40" s="397">
        <v>0</v>
      </c>
      <c r="M40" s="325">
        <f t="shared" si="3"/>
        <v>224660790</v>
      </c>
      <c r="N40" s="367">
        <v>43930</v>
      </c>
      <c r="O40" s="204">
        <v>5</v>
      </c>
      <c r="P40" s="342">
        <v>44083</v>
      </c>
      <c r="Q40" s="392" t="s">
        <v>1430</v>
      </c>
      <c r="R40" s="367" t="s">
        <v>108</v>
      </c>
      <c r="S40" s="330">
        <v>1</v>
      </c>
      <c r="T40" s="950" t="s">
        <v>1467</v>
      </c>
      <c r="U40" s="402">
        <v>190390500</v>
      </c>
      <c r="V40" s="402">
        <v>34270290</v>
      </c>
      <c r="W40" s="332">
        <f t="shared" si="4"/>
        <v>224660790</v>
      </c>
      <c r="X40" s="343">
        <v>190390500</v>
      </c>
      <c r="Y40" s="343">
        <v>13916332.799999999</v>
      </c>
      <c r="Z40" s="334">
        <f t="shared" si="7"/>
        <v>0.90940138152278382</v>
      </c>
      <c r="AA40" s="334">
        <f t="shared" si="8"/>
        <v>1</v>
      </c>
      <c r="AB40" s="343">
        <f t="shared" si="6"/>
        <v>0</v>
      </c>
      <c r="AC40" s="335">
        <f t="shared" si="6"/>
        <v>20353957.200000003</v>
      </c>
      <c r="AD40" s="325"/>
      <c r="AE40" s="325"/>
      <c r="AF40" s="325"/>
      <c r="AG40" s="344" t="s">
        <v>1296</v>
      </c>
    </row>
    <row r="41" spans="2:33" ht="30.6">
      <c r="B41" s="318" t="s">
        <v>7</v>
      </c>
      <c r="C41" s="349" t="s">
        <v>1058</v>
      </c>
      <c r="D41" s="320" t="s">
        <v>1059</v>
      </c>
      <c r="E41" s="401" t="s">
        <v>967</v>
      </c>
      <c r="F41" s="322" t="s">
        <v>1061</v>
      </c>
      <c r="G41" s="323" t="s">
        <v>1019</v>
      </c>
      <c r="H41" s="323">
        <v>1</v>
      </c>
      <c r="I41" s="396">
        <v>369222900</v>
      </c>
      <c r="J41" s="396">
        <v>66460122</v>
      </c>
      <c r="K41" s="325">
        <f t="shared" si="2"/>
        <v>435683022</v>
      </c>
      <c r="L41" s="397">
        <v>0</v>
      </c>
      <c r="M41" s="325">
        <f t="shared" si="3"/>
        <v>435683022</v>
      </c>
      <c r="N41" s="367">
        <v>43930</v>
      </c>
      <c r="O41" s="204">
        <v>5</v>
      </c>
      <c r="P41" s="342">
        <v>44083</v>
      </c>
      <c r="Q41" s="392" t="s">
        <v>1430</v>
      </c>
      <c r="R41" s="367" t="s">
        <v>108</v>
      </c>
      <c r="S41" s="330">
        <v>1</v>
      </c>
      <c r="T41" s="950"/>
      <c r="U41" s="402">
        <v>369222900</v>
      </c>
      <c r="V41" s="402">
        <v>66460122</v>
      </c>
      <c r="W41" s="332">
        <f t="shared" si="4"/>
        <v>435683022</v>
      </c>
      <c r="X41" s="343">
        <v>369222900</v>
      </c>
      <c r="Y41" s="343">
        <v>35731462.140000001</v>
      </c>
      <c r="Z41" s="334">
        <f t="shared" si="7"/>
        <v>0.92947014616511725</v>
      </c>
      <c r="AA41" s="334">
        <f t="shared" si="8"/>
        <v>1</v>
      </c>
      <c r="AB41" s="343">
        <f t="shared" si="6"/>
        <v>0</v>
      </c>
      <c r="AC41" s="335">
        <f t="shared" si="6"/>
        <v>30728659.859999999</v>
      </c>
      <c r="AD41" s="325"/>
      <c r="AE41" s="325"/>
      <c r="AF41" s="325"/>
      <c r="AG41" s="344" t="s">
        <v>1296</v>
      </c>
    </row>
    <row r="42" spans="2:33" ht="81.599999999999994">
      <c r="B42" s="337" t="s">
        <v>7</v>
      </c>
      <c r="C42" s="349" t="s">
        <v>1058</v>
      </c>
      <c r="D42" s="320" t="s">
        <v>1062</v>
      </c>
      <c r="E42" s="401" t="s">
        <v>959</v>
      </c>
      <c r="F42" s="322" t="s">
        <v>1063</v>
      </c>
      <c r="G42" s="323" t="s">
        <v>1019</v>
      </c>
      <c r="H42" s="323">
        <v>1</v>
      </c>
      <c r="I42" s="396">
        <v>96614297</v>
      </c>
      <c r="J42" s="396">
        <v>17390573.460000001</v>
      </c>
      <c r="K42" s="325">
        <f t="shared" si="2"/>
        <v>114004870.46000001</v>
      </c>
      <c r="L42" s="397">
        <v>0</v>
      </c>
      <c r="M42" s="325">
        <f t="shared" si="3"/>
        <v>114004870.46000001</v>
      </c>
      <c r="N42" s="403" t="s">
        <v>1455</v>
      </c>
      <c r="O42" s="403" t="s">
        <v>1455</v>
      </c>
      <c r="P42" s="403" t="s">
        <v>1455</v>
      </c>
      <c r="Q42" s="392" t="s">
        <v>1430</v>
      </c>
      <c r="R42" s="392" t="s">
        <v>1430</v>
      </c>
      <c r="S42" s="330">
        <v>0.45</v>
      </c>
      <c r="T42" s="331" t="s">
        <v>1468</v>
      </c>
      <c r="U42" s="332">
        <v>31944142</v>
      </c>
      <c r="V42" s="332">
        <v>5749945.5599999996</v>
      </c>
      <c r="W42" s="332">
        <f t="shared" si="4"/>
        <v>37694087.560000002</v>
      </c>
      <c r="X42" s="343">
        <v>31944142</v>
      </c>
      <c r="Y42" s="343">
        <v>0</v>
      </c>
      <c r="Z42" s="334">
        <f t="shared" si="7"/>
        <v>0.28019980086033247</v>
      </c>
      <c r="AA42" s="334">
        <f t="shared" si="8"/>
        <v>0.33063576501519232</v>
      </c>
      <c r="AB42" s="343">
        <f t="shared" si="6"/>
        <v>0</v>
      </c>
      <c r="AC42" s="335">
        <f t="shared" si="6"/>
        <v>5749945.5599999996</v>
      </c>
      <c r="AD42" s="325"/>
      <c r="AE42" s="325"/>
      <c r="AF42" s="325"/>
      <c r="AG42" s="404" t="s">
        <v>1469</v>
      </c>
    </row>
    <row r="43" spans="2:33" ht="30.6">
      <c r="B43" s="318" t="s">
        <v>7</v>
      </c>
      <c r="C43" s="349" t="s">
        <v>1064</v>
      </c>
      <c r="D43" s="320" t="s">
        <v>1065</v>
      </c>
      <c r="E43" s="401" t="s">
        <v>1470</v>
      </c>
      <c r="F43" s="322" t="s">
        <v>1066</v>
      </c>
      <c r="G43" s="323" t="s">
        <v>1019</v>
      </c>
      <c r="H43" s="323">
        <v>1</v>
      </c>
      <c r="I43" s="396">
        <v>49750000</v>
      </c>
      <c r="J43" s="396">
        <v>8955000</v>
      </c>
      <c r="K43" s="325">
        <f t="shared" si="2"/>
        <v>58705000</v>
      </c>
      <c r="L43" s="405"/>
      <c r="M43" s="325">
        <f t="shared" si="3"/>
        <v>58705000</v>
      </c>
      <c r="N43" s="367">
        <v>44147</v>
      </c>
      <c r="O43" s="204">
        <v>5</v>
      </c>
      <c r="P43" s="209">
        <v>44298</v>
      </c>
      <c r="Q43" s="392" t="s">
        <v>1430</v>
      </c>
      <c r="R43" s="392" t="s">
        <v>1430</v>
      </c>
      <c r="S43" s="330">
        <v>1</v>
      </c>
      <c r="T43" s="331" t="s">
        <v>1471</v>
      </c>
      <c r="U43" s="332">
        <v>49750000</v>
      </c>
      <c r="V43" s="332">
        <v>8955000</v>
      </c>
      <c r="W43" s="332">
        <f t="shared" si="4"/>
        <v>58705000</v>
      </c>
      <c r="X43" s="343">
        <v>49750000</v>
      </c>
      <c r="Y43" s="343">
        <v>0</v>
      </c>
      <c r="Z43" s="334">
        <f t="shared" si="7"/>
        <v>0.84745762711864403</v>
      </c>
      <c r="AA43" s="334">
        <f t="shared" si="8"/>
        <v>1</v>
      </c>
      <c r="AB43" s="343">
        <f t="shared" si="6"/>
        <v>0</v>
      </c>
      <c r="AC43" s="335">
        <f t="shared" si="6"/>
        <v>8955000</v>
      </c>
      <c r="AD43" s="325"/>
      <c r="AE43" s="325"/>
      <c r="AF43" s="325"/>
      <c r="AG43" s="344"/>
    </row>
    <row r="44" spans="2:33" ht="30.6">
      <c r="B44" s="318" t="s">
        <v>7</v>
      </c>
      <c r="C44" s="349" t="s">
        <v>1064</v>
      </c>
      <c r="D44" s="320" t="s">
        <v>1067</v>
      </c>
      <c r="E44" s="401" t="s">
        <v>1472</v>
      </c>
      <c r="F44" s="322" t="s">
        <v>1068</v>
      </c>
      <c r="G44" s="323" t="s">
        <v>1019</v>
      </c>
      <c r="H44" s="323">
        <v>1</v>
      </c>
      <c r="I44" s="396">
        <v>42310000</v>
      </c>
      <c r="J44" s="396">
        <v>7615800</v>
      </c>
      <c r="K44" s="325">
        <f t="shared" si="2"/>
        <v>49925800</v>
      </c>
      <c r="L44" s="405"/>
      <c r="M44" s="325">
        <f t="shared" si="3"/>
        <v>49925800</v>
      </c>
      <c r="N44" s="367">
        <v>44179</v>
      </c>
      <c r="O44" s="204">
        <v>5</v>
      </c>
      <c r="P44" s="209">
        <v>44300</v>
      </c>
      <c r="Q44" s="392" t="s">
        <v>1430</v>
      </c>
      <c r="R44" s="392" t="s">
        <v>1430</v>
      </c>
      <c r="S44" s="330">
        <v>1</v>
      </c>
      <c r="T44" s="322" t="s">
        <v>1473</v>
      </c>
      <c r="U44" s="402">
        <v>42310000</v>
      </c>
      <c r="V44" s="402">
        <v>7615800</v>
      </c>
      <c r="W44" s="332">
        <f t="shared" si="4"/>
        <v>49925800</v>
      </c>
      <c r="X44" s="343">
        <v>42310000</v>
      </c>
      <c r="Y44" s="343">
        <v>0</v>
      </c>
      <c r="Z44" s="334">
        <f t="shared" si="7"/>
        <v>0.84745762711864403</v>
      </c>
      <c r="AA44" s="334">
        <f t="shared" si="8"/>
        <v>1</v>
      </c>
      <c r="AB44" s="343">
        <f t="shared" si="6"/>
        <v>0</v>
      </c>
      <c r="AC44" s="335">
        <f t="shared" si="6"/>
        <v>7615800</v>
      </c>
      <c r="AD44" s="325"/>
      <c r="AE44" s="325"/>
      <c r="AF44" s="325"/>
      <c r="AG44" s="344"/>
    </row>
    <row r="45" spans="2:33" ht="30.6">
      <c r="B45" s="318" t="s">
        <v>7</v>
      </c>
      <c r="C45" s="349" t="s">
        <v>1064</v>
      </c>
      <c r="D45" s="320" t="s">
        <v>1069</v>
      </c>
      <c r="E45" s="401" t="s">
        <v>1474</v>
      </c>
      <c r="F45" s="322" t="s">
        <v>1070</v>
      </c>
      <c r="G45" s="323" t="s">
        <v>1019</v>
      </c>
      <c r="H45" s="323">
        <v>1</v>
      </c>
      <c r="I45" s="393">
        <v>30621737.288135596</v>
      </c>
      <c r="J45" s="393">
        <v>5511912.7118644072</v>
      </c>
      <c r="K45" s="325">
        <f t="shared" si="2"/>
        <v>36133650</v>
      </c>
      <c r="L45" s="405"/>
      <c r="M45" s="325">
        <f t="shared" si="3"/>
        <v>36133650</v>
      </c>
      <c r="N45" s="367">
        <v>44147</v>
      </c>
      <c r="O45" s="204">
        <v>5</v>
      </c>
      <c r="P45" s="209">
        <v>44298</v>
      </c>
      <c r="Q45" s="392" t="s">
        <v>1430</v>
      </c>
      <c r="R45" s="392" t="s">
        <v>1430</v>
      </c>
      <c r="S45" s="330">
        <v>1</v>
      </c>
      <c r="T45" s="331" t="s">
        <v>1475</v>
      </c>
      <c r="U45" s="332">
        <v>21435216.101694919</v>
      </c>
      <c r="V45" s="332">
        <v>3858338.898305085</v>
      </c>
      <c r="W45" s="332">
        <f t="shared" si="4"/>
        <v>25293555.000000004</v>
      </c>
      <c r="X45" s="343">
        <v>21435215.644067798</v>
      </c>
      <c r="Y45" s="343">
        <v>0</v>
      </c>
      <c r="Z45" s="334">
        <f t="shared" si="7"/>
        <v>0.59322032631820476</v>
      </c>
      <c r="AA45" s="334">
        <f t="shared" si="8"/>
        <v>0.69999998505548156</v>
      </c>
      <c r="AB45" s="343">
        <f t="shared" si="6"/>
        <v>0.45762712135910988</v>
      </c>
      <c r="AC45" s="335">
        <f t="shared" si="6"/>
        <v>3858338.898305085</v>
      </c>
      <c r="AD45" s="325"/>
      <c r="AE45" s="325"/>
      <c r="AF45" s="325"/>
      <c r="AG45" s="344"/>
    </row>
    <row r="46" spans="2:33" ht="30.6">
      <c r="B46" s="318" t="s">
        <v>7</v>
      </c>
      <c r="C46" s="349" t="s">
        <v>72</v>
      </c>
      <c r="D46" s="320" t="s">
        <v>1071</v>
      </c>
      <c r="E46" s="382" t="s">
        <v>1476</v>
      </c>
      <c r="F46" s="322" t="s">
        <v>1072</v>
      </c>
      <c r="G46" s="323" t="s">
        <v>1019</v>
      </c>
      <c r="H46" s="323">
        <v>1</v>
      </c>
      <c r="I46" s="406">
        <v>133119915</v>
      </c>
      <c r="J46" s="406">
        <v>23961584.699999999</v>
      </c>
      <c r="K46" s="325">
        <f t="shared" si="2"/>
        <v>157081499.69999999</v>
      </c>
      <c r="L46" s="407">
        <v>-27409883.699999999</v>
      </c>
      <c r="M46" s="325">
        <f t="shared" si="3"/>
        <v>129671615.99999999</v>
      </c>
      <c r="N46" s="408">
        <v>44174</v>
      </c>
      <c r="O46" s="204">
        <v>4</v>
      </c>
      <c r="P46" s="209">
        <v>44523</v>
      </c>
      <c r="Q46" s="409"/>
      <c r="R46" s="367"/>
      <c r="S46" s="330">
        <v>1</v>
      </c>
      <c r="T46" s="331" t="s">
        <v>1477</v>
      </c>
      <c r="U46" s="332">
        <v>109891200</v>
      </c>
      <c r="V46" s="332">
        <v>19780416</v>
      </c>
      <c r="W46" s="332">
        <f t="shared" si="4"/>
        <v>129671616</v>
      </c>
      <c r="X46" s="343">
        <v>109891200</v>
      </c>
      <c r="Y46" s="344"/>
      <c r="Z46" s="334">
        <f t="shared" si="7"/>
        <v>0.84745762711864414</v>
      </c>
      <c r="AA46" s="334">
        <f t="shared" si="8"/>
        <v>0.8255053347953234</v>
      </c>
      <c r="AB46" s="343">
        <f t="shared" si="6"/>
        <v>0</v>
      </c>
      <c r="AC46" s="335">
        <f t="shared" si="6"/>
        <v>19780416</v>
      </c>
      <c r="AD46" s="325"/>
      <c r="AE46" s="325"/>
      <c r="AF46" s="325"/>
      <c r="AG46" s="410" t="s">
        <v>1478</v>
      </c>
    </row>
    <row r="47" spans="2:33" ht="30.6">
      <c r="B47" s="318" t="s">
        <v>7</v>
      </c>
      <c r="C47" s="349" t="s">
        <v>72</v>
      </c>
      <c r="D47" s="320" t="s">
        <v>1071</v>
      </c>
      <c r="E47" s="382" t="s">
        <v>1479</v>
      </c>
      <c r="F47" s="322" t="s">
        <v>1073</v>
      </c>
      <c r="G47" s="323" t="s">
        <v>1019</v>
      </c>
      <c r="H47" s="323">
        <v>1</v>
      </c>
      <c r="I47" s="406">
        <v>96143305</v>
      </c>
      <c r="J47" s="406">
        <v>17305794.899999999</v>
      </c>
      <c r="K47" s="325">
        <f t="shared" si="2"/>
        <v>113449099.90000001</v>
      </c>
      <c r="L47" s="407">
        <v>-10256801.9</v>
      </c>
      <c r="M47" s="325">
        <f t="shared" si="3"/>
        <v>103192298</v>
      </c>
      <c r="N47" s="408">
        <v>44161</v>
      </c>
      <c r="O47" s="204">
        <v>4</v>
      </c>
      <c r="P47" s="209">
        <v>44309</v>
      </c>
      <c r="Q47" s="204">
        <v>1</v>
      </c>
      <c r="R47" s="367">
        <v>44350</v>
      </c>
      <c r="S47" s="330">
        <v>1</v>
      </c>
      <c r="T47" s="331" t="s">
        <v>1480</v>
      </c>
      <c r="U47" s="332">
        <v>87451120</v>
      </c>
      <c r="V47" s="332">
        <v>15741201.6</v>
      </c>
      <c r="W47" s="332">
        <f t="shared" si="4"/>
        <v>103192321.59999999</v>
      </c>
      <c r="X47" s="343">
        <v>87451120</v>
      </c>
      <c r="Y47" s="344"/>
      <c r="Z47" s="334">
        <f t="shared" si="7"/>
        <v>0.8474578209315583</v>
      </c>
      <c r="AA47" s="334">
        <f t="shared" si="8"/>
        <v>0.90959136468212742</v>
      </c>
      <c r="AB47" s="343">
        <f t="shared" si="6"/>
        <v>0</v>
      </c>
      <c r="AC47" s="335">
        <f t="shared" si="6"/>
        <v>15741201.6</v>
      </c>
      <c r="AD47" s="325"/>
      <c r="AE47" s="325"/>
      <c r="AF47" s="325"/>
      <c r="AG47" s="344"/>
    </row>
    <row r="48" spans="2:33" ht="30.6">
      <c r="B48" s="337" t="s">
        <v>7</v>
      </c>
      <c r="C48" s="349" t="s">
        <v>72</v>
      </c>
      <c r="D48" s="320" t="s">
        <v>1071</v>
      </c>
      <c r="E48" s="366" t="s">
        <v>1481</v>
      </c>
      <c r="F48" s="322" t="s">
        <v>1074</v>
      </c>
      <c r="G48" s="323" t="s">
        <v>1019</v>
      </c>
      <c r="H48" s="323">
        <v>1</v>
      </c>
      <c r="I48" s="406">
        <v>140515466.10169491</v>
      </c>
      <c r="J48" s="406">
        <v>25292783.898305085</v>
      </c>
      <c r="K48" s="325">
        <f t="shared" si="2"/>
        <v>165808250</v>
      </c>
      <c r="L48" s="407">
        <v>-76044234</v>
      </c>
      <c r="M48" s="325">
        <f t="shared" si="3"/>
        <v>89764016</v>
      </c>
      <c r="N48" s="408">
        <v>44174</v>
      </c>
      <c r="O48" s="204">
        <v>4</v>
      </c>
      <c r="P48" s="209">
        <v>44309</v>
      </c>
      <c r="Q48" s="392" t="s">
        <v>1430</v>
      </c>
      <c r="R48" s="392" t="s">
        <v>1430</v>
      </c>
      <c r="S48" s="330">
        <v>0.66</v>
      </c>
      <c r="T48" s="331" t="s">
        <v>1482</v>
      </c>
      <c r="U48" s="332">
        <v>49272136</v>
      </c>
      <c r="V48" s="332">
        <v>8868984.4800000004</v>
      </c>
      <c r="W48" s="332">
        <f t="shared" si="4"/>
        <v>58141120.480000004</v>
      </c>
      <c r="X48" s="343">
        <v>49272136</v>
      </c>
      <c r="Y48" s="344"/>
      <c r="Z48" s="334">
        <f t="shared" si="7"/>
        <v>0.54890743747472259</v>
      </c>
      <c r="AA48" s="334">
        <f t="shared" si="8"/>
        <v>0.3506527599199678</v>
      </c>
      <c r="AB48" s="343">
        <f t="shared" si="6"/>
        <v>0</v>
      </c>
      <c r="AC48" s="335">
        <f t="shared" si="6"/>
        <v>8868984.4800000004</v>
      </c>
      <c r="AD48" s="325"/>
      <c r="AE48" s="325"/>
      <c r="AF48" s="325"/>
      <c r="AG48" s="344"/>
    </row>
    <row r="49" spans="2:33" ht="30.6">
      <c r="B49" s="318" t="s">
        <v>7</v>
      </c>
      <c r="C49" s="349" t="s">
        <v>72</v>
      </c>
      <c r="D49" s="320" t="s">
        <v>1071</v>
      </c>
      <c r="E49" s="366" t="s">
        <v>1483</v>
      </c>
      <c r="F49" s="322" t="s">
        <v>1484</v>
      </c>
      <c r="G49" s="323" t="s">
        <v>1019</v>
      </c>
      <c r="H49" s="323">
        <v>1</v>
      </c>
      <c r="I49" s="406">
        <v>73955508.5</v>
      </c>
      <c r="J49" s="406">
        <v>13311991.529999999</v>
      </c>
      <c r="K49" s="325">
        <f t="shared" si="2"/>
        <v>87267500.030000001</v>
      </c>
      <c r="L49" s="407">
        <v>-10896956.029999999</v>
      </c>
      <c r="M49" s="325">
        <f t="shared" si="3"/>
        <v>76370544</v>
      </c>
      <c r="N49" s="408">
        <v>44174</v>
      </c>
      <c r="O49" s="204">
        <v>4</v>
      </c>
      <c r="P49" s="209">
        <v>44309</v>
      </c>
      <c r="Q49" s="392" t="s">
        <v>1430</v>
      </c>
      <c r="R49" s="392" t="s">
        <v>1430</v>
      </c>
      <c r="S49" s="330">
        <v>1</v>
      </c>
      <c r="T49" s="331" t="s">
        <v>1485</v>
      </c>
      <c r="U49" s="332">
        <v>64720800</v>
      </c>
      <c r="V49" s="332">
        <v>11649744</v>
      </c>
      <c r="W49" s="332">
        <f t="shared" si="4"/>
        <v>76370544</v>
      </c>
      <c r="X49" s="343">
        <v>64720800</v>
      </c>
      <c r="Y49" s="344"/>
      <c r="Z49" s="334">
        <f t="shared" si="7"/>
        <v>0.84745762711864403</v>
      </c>
      <c r="AA49" s="334">
        <f t="shared" si="8"/>
        <v>0.87513156643362133</v>
      </c>
      <c r="AB49" s="343">
        <f t="shared" si="6"/>
        <v>0</v>
      </c>
      <c r="AC49" s="335">
        <f t="shared" si="6"/>
        <v>11649744</v>
      </c>
      <c r="AD49" s="325"/>
      <c r="AE49" s="325"/>
      <c r="AF49" s="325"/>
      <c r="AG49" s="344"/>
    </row>
    <row r="50" spans="2:33" ht="40.799999999999997">
      <c r="B50" s="400" t="s">
        <v>7</v>
      </c>
      <c r="C50" s="349" t="s">
        <v>72</v>
      </c>
      <c r="D50" s="320" t="s">
        <v>1075</v>
      </c>
      <c r="E50" s="382" t="s">
        <v>1486</v>
      </c>
      <c r="F50" s="322" t="s">
        <v>1076</v>
      </c>
      <c r="G50" s="323" t="s">
        <v>1019</v>
      </c>
      <c r="H50" s="323">
        <v>1</v>
      </c>
      <c r="I50" s="324">
        <v>75181355.932203397</v>
      </c>
      <c r="J50" s="324">
        <v>13532644.06779661</v>
      </c>
      <c r="K50" s="325">
        <f t="shared" si="2"/>
        <v>88714000</v>
      </c>
      <c r="L50" s="411">
        <v>0</v>
      </c>
      <c r="M50" s="325">
        <f t="shared" si="3"/>
        <v>88714000</v>
      </c>
      <c r="N50" s="204" t="s">
        <v>1487</v>
      </c>
      <c r="O50" s="206">
        <v>4</v>
      </c>
      <c r="P50" s="412"/>
      <c r="Q50" s="204">
        <v>3</v>
      </c>
      <c r="R50" s="367">
        <v>45244</v>
      </c>
      <c r="S50" s="330">
        <v>0.2</v>
      </c>
      <c r="T50" s="331" t="s">
        <v>1488</v>
      </c>
      <c r="U50" s="332">
        <v>0</v>
      </c>
      <c r="V50" s="332">
        <v>0</v>
      </c>
      <c r="W50" s="332">
        <f t="shared" si="4"/>
        <v>0</v>
      </c>
      <c r="X50" s="343">
        <v>0</v>
      </c>
      <c r="Y50" s="344"/>
      <c r="Z50" s="334">
        <f t="shared" si="7"/>
        <v>0</v>
      </c>
      <c r="AA50" s="334">
        <f t="shared" si="8"/>
        <v>0</v>
      </c>
      <c r="AB50" s="343">
        <f t="shared" si="6"/>
        <v>0</v>
      </c>
      <c r="AC50" s="335">
        <f t="shared" si="6"/>
        <v>0</v>
      </c>
      <c r="AD50" s="325"/>
      <c r="AE50" s="325"/>
      <c r="AF50" s="325"/>
      <c r="AG50" s="331" t="s">
        <v>1489</v>
      </c>
    </row>
    <row r="51" spans="2:33" ht="30.6">
      <c r="B51" s="400" t="s">
        <v>7</v>
      </c>
      <c r="C51" s="349" t="s">
        <v>72</v>
      </c>
      <c r="D51" s="320" t="s">
        <v>1077</v>
      </c>
      <c r="E51" s="382" t="s">
        <v>1490</v>
      </c>
      <c r="F51" s="322" t="s">
        <v>1491</v>
      </c>
      <c r="G51" s="323" t="s">
        <v>1019</v>
      </c>
      <c r="H51" s="323">
        <v>1</v>
      </c>
      <c r="I51" s="324">
        <v>58974271</v>
      </c>
      <c r="J51" s="324">
        <v>10615368.779999999</v>
      </c>
      <c r="K51" s="325">
        <f t="shared" si="2"/>
        <v>69589639.780000001</v>
      </c>
      <c r="L51" s="411">
        <v>0</v>
      </c>
      <c r="M51" s="325">
        <f t="shared" si="3"/>
        <v>69589639.780000001</v>
      </c>
      <c r="N51" s="367">
        <v>43784</v>
      </c>
      <c r="O51" s="206">
        <v>4</v>
      </c>
      <c r="P51" s="342">
        <v>45152</v>
      </c>
      <c r="Q51" s="204">
        <v>3</v>
      </c>
      <c r="R51" s="367">
        <v>45244</v>
      </c>
      <c r="S51" s="330">
        <v>0.2</v>
      </c>
      <c r="T51" s="331" t="s">
        <v>1492</v>
      </c>
      <c r="U51" s="332">
        <v>0</v>
      </c>
      <c r="V51" s="332">
        <v>0</v>
      </c>
      <c r="W51" s="332">
        <f t="shared" si="4"/>
        <v>0</v>
      </c>
      <c r="X51" s="343">
        <v>0</v>
      </c>
      <c r="Y51" s="344"/>
      <c r="Z51" s="334">
        <f t="shared" si="7"/>
        <v>0</v>
      </c>
      <c r="AA51" s="334">
        <f t="shared" si="8"/>
        <v>0</v>
      </c>
      <c r="AB51" s="343">
        <f t="shared" si="6"/>
        <v>0</v>
      </c>
      <c r="AC51" s="335">
        <f t="shared" si="6"/>
        <v>0</v>
      </c>
      <c r="AD51" s="325"/>
      <c r="AE51" s="325"/>
      <c r="AF51" s="325"/>
      <c r="AG51" s="331" t="s">
        <v>1493</v>
      </c>
    </row>
    <row r="52" spans="2:33" ht="30.6">
      <c r="B52" s="340" t="s">
        <v>7</v>
      </c>
      <c r="C52" s="349" t="s">
        <v>72</v>
      </c>
      <c r="D52" s="320" t="s">
        <v>1078</v>
      </c>
      <c r="E52" s="382" t="s">
        <v>1494</v>
      </c>
      <c r="F52" s="322" t="s">
        <v>1079</v>
      </c>
      <c r="G52" s="323" t="s">
        <v>1019</v>
      </c>
      <c r="H52" s="323">
        <v>1</v>
      </c>
      <c r="I52" s="324">
        <v>49372881.355932206</v>
      </c>
      <c r="J52" s="324">
        <v>8887118.6440677959</v>
      </c>
      <c r="K52" s="325">
        <f t="shared" si="2"/>
        <v>58260000</v>
      </c>
      <c r="L52" s="411">
        <v>0</v>
      </c>
      <c r="M52" s="325">
        <f t="shared" si="3"/>
        <v>58260000</v>
      </c>
      <c r="N52" s="367">
        <v>44356</v>
      </c>
      <c r="O52" s="204" t="s">
        <v>1495</v>
      </c>
      <c r="P52" s="413" t="s">
        <v>1455</v>
      </c>
      <c r="Q52" s="392" t="s">
        <v>1430</v>
      </c>
      <c r="R52" s="392" t="s">
        <v>1430</v>
      </c>
      <c r="S52" s="330" t="s">
        <v>108</v>
      </c>
      <c r="T52" s="410" t="s">
        <v>1496</v>
      </c>
      <c r="U52" s="414">
        <v>0</v>
      </c>
      <c r="V52" s="414">
        <v>0</v>
      </c>
      <c r="W52" s="332">
        <f t="shared" si="4"/>
        <v>0</v>
      </c>
      <c r="X52" s="343">
        <v>0</v>
      </c>
      <c r="Y52" s="344"/>
      <c r="Z52" s="334">
        <f t="shared" si="7"/>
        <v>0</v>
      </c>
      <c r="AA52" s="334">
        <f t="shared" si="8"/>
        <v>0</v>
      </c>
      <c r="AB52" s="343">
        <f t="shared" si="6"/>
        <v>0</v>
      </c>
      <c r="AC52" s="335">
        <f t="shared" si="6"/>
        <v>0</v>
      </c>
      <c r="AD52" s="325"/>
      <c r="AE52" s="325"/>
      <c r="AF52" s="325"/>
      <c r="AG52" s="344"/>
    </row>
    <row r="53" spans="2:33" ht="30.6">
      <c r="B53" s="340" t="s">
        <v>7</v>
      </c>
      <c r="C53" s="349" t="s">
        <v>72</v>
      </c>
      <c r="D53" s="320" t="s">
        <v>1078</v>
      </c>
      <c r="E53" s="382" t="s">
        <v>1497</v>
      </c>
      <c r="F53" s="322" t="s">
        <v>1080</v>
      </c>
      <c r="G53" s="323" t="s">
        <v>1019</v>
      </c>
      <c r="H53" s="323">
        <v>1</v>
      </c>
      <c r="I53" s="324">
        <v>26654661.016949154</v>
      </c>
      <c r="J53" s="324">
        <v>4797838.9830508474</v>
      </c>
      <c r="K53" s="325">
        <f t="shared" si="2"/>
        <v>31452500</v>
      </c>
      <c r="L53" s="411">
        <v>0</v>
      </c>
      <c r="M53" s="325">
        <f t="shared" si="3"/>
        <v>31452500</v>
      </c>
      <c r="N53" s="367">
        <v>44356</v>
      </c>
      <c r="O53" s="204" t="s">
        <v>1495</v>
      </c>
      <c r="P53" s="413" t="s">
        <v>1455</v>
      </c>
      <c r="Q53" s="392" t="s">
        <v>1430</v>
      </c>
      <c r="R53" s="392" t="s">
        <v>1430</v>
      </c>
      <c r="S53" s="330" t="s">
        <v>108</v>
      </c>
      <c r="T53" s="410" t="s">
        <v>1496</v>
      </c>
      <c r="U53" s="414">
        <v>0</v>
      </c>
      <c r="V53" s="414">
        <v>0</v>
      </c>
      <c r="W53" s="332">
        <f t="shared" si="4"/>
        <v>0</v>
      </c>
      <c r="X53" s="343">
        <v>0</v>
      </c>
      <c r="Y53" s="344"/>
      <c r="Z53" s="334">
        <f t="shared" si="7"/>
        <v>0</v>
      </c>
      <c r="AA53" s="334">
        <f t="shared" si="8"/>
        <v>0</v>
      </c>
      <c r="AB53" s="343">
        <f t="shared" si="6"/>
        <v>0</v>
      </c>
      <c r="AC53" s="335">
        <f t="shared" si="6"/>
        <v>0</v>
      </c>
      <c r="AD53" s="325"/>
      <c r="AE53" s="325"/>
      <c r="AF53" s="325"/>
      <c r="AG53" s="344"/>
    </row>
    <row r="54" spans="2:33" ht="30.6">
      <c r="B54" s="318" t="s">
        <v>7</v>
      </c>
      <c r="C54" s="349" t="s">
        <v>72</v>
      </c>
      <c r="D54" s="320" t="s">
        <v>1071</v>
      </c>
      <c r="E54" s="415" t="s">
        <v>1498</v>
      </c>
      <c r="F54" s="322" t="s">
        <v>1081</v>
      </c>
      <c r="G54" s="323" t="s">
        <v>1019</v>
      </c>
      <c r="H54" s="323">
        <v>1</v>
      </c>
      <c r="I54" s="396">
        <v>18352966.101694915</v>
      </c>
      <c r="J54" s="396">
        <v>3303533.8983050846</v>
      </c>
      <c r="K54" s="325">
        <f t="shared" si="2"/>
        <v>21656500</v>
      </c>
      <c r="L54" s="411">
        <v>0</v>
      </c>
      <c r="M54" s="325">
        <f t="shared" si="3"/>
        <v>21656500</v>
      </c>
      <c r="N54" s="367">
        <v>44105</v>
      </c>
      <c r="O54" s="204" t="s">
        <v>1495</v>
      </c>
      <c r="P54" s="413" t="s">
        <v>1455</v>
      </c>
      <c r="Q54" s="392" t="s">
        <v>1430</v>
      </c>
      <c r="R54" s="392" t="s">
        <v>1430</v>
      </c>
      <c r="S54" s="330">
        <v>1</v>
      </c>
      <c r="T54" s="331" t="s">
        <v>1499</v>
      </c>
      <c r="U54" s="332">
        <v>0</v>
      </c>
      <c r="V54" s="332">
        <v>0</v>
      </c>
      <c r="W54" s="332">
        <f t="shared" si="4"/>
        <v>0</v>
      </c>
      <c r="X54" s="343">
        <v>0</v>
      </c>
      <c r="Y54" s="344"/>
      <c r="Z54" s="334">
        <f t="shared" si="7"/>
        <v>0</v>
      </c>
      <c r="AA54" s="334">
        <f t="shared" si="8"/>
        <v>0</v>
      </c>
      <c r="AB54" s="343">
        <f t="shared" si="6"/>
        <v>0</v>
      </c>
      <c r="AC54" s="335">
        <f t="shared" si="6"/>
        <v>0</v>
      </c>
      <c r="AD54" s="325"/>
      <c r="AE54" s="325"/>
      <c r="AF54" s="325"/>
      <c r="AG54" s="344"/>
    </row>
    <row r="55" spans="2:33" ht="30.6">
      <c r="B55" s="318" t="s">
        <v>7</v>
      </c>
      <c r="C55" s="349" t="s">
        <v>72</v>
      </c>
      <c r="D55" s="320" t="s">
        <v>1071</v>
      </c>
      <c r="E55" s="415" t="s">
        <v>1500</v>
      </c>
      <c r="F55" s="322" t="s">
        <v>1082</v>
      </c>
      <c r="G55" s="323" t="s">
        <v>1019</v>
      </c>
      <c r="H55" s="323">
        <v>1</v>
      </c>
      <c r="I55" s="396">
        <v>24623305.084745765</v>
      </c>
      <c r="J55" s="396">
        <v>4432194.9152542371</v>
      </c>
      <c r="K55" s="325">
        <f t="shared" si="2"/>
        <v>29055500</v>
      </c>
      <c r="L55" s="411">
        <v>0</v>
      </c>
      <c r="M55" s="325">
        <f t="shared" si="3"/>
        <v>29055500</v>
      </c>
      <c r="N55" s="367">
        <v>44105</v>
      </c>
      <c r="O55" s="204" t="s">
        <v>1495</v>
      </c>
      <c r="P55" s="413" t="s">
        <v>1455</v>
      </c>
      <c r="Q55" s="392" t="s">
        <v>1430</v>
      </c>
      <c r="R55" s="392" t="s">
        <v>1430</v>
      </c>
      <c r="S55" s="330">
        <v>1</v>
      </c>
      <c r="T55" s="331" t="s">
        <v>1499</v>
      </c>
      <c r="U55" s="332">
        <v>0</v>
      </c>
      <c r="V55" s="332">
        <v>0</v>
      </c>
      <c r="W55" s="332">
        <f t="shared" si="4"/>
        <v>0</v>
      </c>
      <c r="X55" s="343">
        <v>0</v>
      </c>
      <c r="Y55" s="344"/>
      <c r="Z55" s="334">
        <f t="shared" si="7"/>
        <v>0</v>
      </c>
      <c r="AA55" s="334">
        <f t="shared" si="8"/>
        <v>0</v>
      </c>
      <c r="AB55" s="343">
        <f t="shared" si="6"/>
        <v>0</v>
      </c>
      <c r="AC55" s="335">
        <f t="shared" si="6"/>
        <v>0</v>
      </c>
      <c r="AD55" s="325"/>
      <c r="AE55" s="325"/>
      <c r="AF55" s="325"/>
      <c r="AG55" s="344"/>
    </row>
    <row r="56" spans="2:33" ht="30.6">
      <c r="B56" s="318" t="s">
        <v>7</v>
      </c>
      <c r="C56" s="349" t="s">
        <v>72</v>
      </c>
      <c r="D56" s="320" t="s">
        <v>1078</v>
      </c>
      <c r="E56" s="415" t="s">
        <v>1501</v>
      </c>
      <c r="F56" s="322" t="s">
        <v>1083</v>
      </c>
      <c r="G56" s="323" t="s">
        <v>1019</v>
      </c>
      <c r="H56" s="323">
        <v>1</v>
      </c>
      <c r="I56" s="396">
        <v>65582627.118644074</v>
      </c>
      <c r="J56" s="396"/>
      <c r="K56" s="325">
        <f t="shared" si="2"/>
        <v>65582627.118644074</v>
      </c>
      <c r="L56" s="411">
        <v>0</v>
      </c>
      <c r="M56" s="325">
        <f t="shared" si="3"/>
        <v>65582627.118644074</v>
      </c>
      <c r="N56" s="367" t="s">
        <v>1502</v>
      </c>
      <c r="O56" s="204" t="s">
        <v>1503</v>
      </c>
      <c r="P56" s="342">
        <v>44270</v>
      </c>
      <c r="Q56" s="392" t="s">
        <v>1430</v>
      </c>
      <c r="R56" s="392" t="s">
        <v>1430</v>
      </c>
      <c r="S56" s="330">
        <v>1</v>
      </c>
      <c r="T56" s="331" t="s">
        <v>1504</v>
      </c>
      <c r="U56" s="332">
        <v>65582627</v>
      </c>
      <c r="V56" s="332">
        <v>0</v>
      </c>
      <c r="W56" s="332">
        <f t="shared" si="4"/>
        <v>65582627</v>
      </c>
      <c r="X56" s="343">
        <v>65582627</v>
      </c>
      <c r="Y56" s="344"/>
      <c r="Z56" s="334">
        <f t="shared" si="7"/>
        <v>0.99999999819092222</v>
      </c>
      <c r="AA56" s="334">
        <f t="shared" si="8"/>
        <v>0.99999999819092222</v>
      </c>
      <c r="AB56" s="343">
        <f t="shared" si="6"/>
        <v>0</v>
      </c>
      <c r="AC56" s="335">
        <f t="shared" si="6"/>
        <v>0</v>
      </c>
      <c r="AD56" s="325"/>
      <c r="AE56" s="325"/>
      <c r="AF56" s="325"/>
      <c r="AG56" s="344"/>
    </row>
    <row r="57" spans="2:33" ht="30.6">
      <c r="B57" s="318" t="s">
        <v>7</v>
      </c>
      <c r="C57" s="349" t="s">
        <v>72</v>
      </c>
      <c r="D57" s="320" t="s">
        <v>1078</v>
      </c>
      <c r="E57" s="415" t="s">
        <v>1505</v>
      </c>
      <c r="F57" s="322" t="s">
        <v>1084</v>
      </c>
      <c r="G57" s="323" t="s">
        <v>1019</v>
      </c>
      <c r="H57" s="323">
        <v>1</v>
      </c>
      <c r="I57" s="396">
        <v>34936440.677966103</v>
      </c>
      <c r="J57" s="396"/>
      <c r="K57" s="325">
        <f t="shared" si="2"/>
        <v>34936440.677966103</v>
      </c>
      <c r="L57" s="411">
        <v>0</v>
      </c>
      <c r="M57" s="325">
        <f t="shared" si="3"/>
        <v>34936440.677966103</v>
      </c>
      <c r="N57" s="367">
        <v>44231</v>
      </c>
      <c r="O57" s="204" t="s">
        <v>1503</v>
      </c>
      <c r="P57" s="342">
        <v>44259</v>
      </c>
      <c r="Q57" s="392" t="s">
        <v>1430</v>
      </c>
      <c r="R57" s="392" t="s">
        <v>1430</v>
      </c>
      <c r="S57" s="330">
        <v>1</v>
      </c>
      <c r="T57" s="331" t="s">
        <v>1506</v>
      </c>
      <c r="U57" s="332">
        <v>34936440</v>
      </c>
      <c r="V57" s="332">
        <v>0</v>
      </c>
      <c r="W57" s="332">
        <f t="shared" si="4"/>
        <v>34936440</v>
      </c>
      <c r="X57" s="343">
        <v>34936440</v>
      </c>
      <c r="Y57" s="344"/>
      <c r="Z57" s="334">
        <f t="shared" si="7"/>
        <v>0.99999998059429951</v>
      </c>
      <c r="AA57" s="334">
        <f t="shared" si="8"/>
        <v>0.99999998059429951</v>
      </c>
      <c r="AB57" s="343">
        <f t="shared" si="6"/>
        <v>0</v>
      </c>
      <c r="AC57" s="335">
        <f t="shared" si="6"/>
        <v>0</v>
      </c>
      <c r="AD57" s="325"/>
      <c r="AE57" s="325"/>
      <c r="AF57" s="325"/>
      <c r="AG57" s="344"/>
    </row>
    <row r="58" spans="2:33" ht="30.6">
      <c r="B58" s="318" t="s">
        <v>7</v>
      </c>
      <c r="C58" s="349" t="s">
        <v>72</v>
      </c>
      <c r="D58" s="320" t="s">
        <v>1078</v>
      </c>
      <c r="E58" s="415" t="s">
        <v>1507</v>
      </c>
      <c r="F58" s="322" t="s">
        <v>1085</v>
      </c>
      <c r="G58" s="323" t="s">
        <v>1019</v>
      </c>
      <c r="H58" s="323">
        <v>1</v>
      </c>
      <c r="I58" s="396">
        <v>45264831.355932206</v>
      </c>
      <c r="J58" s="396"/>
      <c r="K58" s="325">
        <f t="shared" si="2"/>
        <v>45264831.355932206</v>
      </c>
      <c r="L58" s="411">
        <v>0</v>
      </c>
      <c r="M58" s="325">
        <f t="shared" si="3"/>
        <v>45264831.355932206</v>
      </c>
      <c r="N58" s="367">
        <v>44231</v>
      </c>
      <c r="O58" s="204" t="s">
        <v>1503</v>
      </c>
      <c r="P58" s="342">
        <v>44259</v>
      </c>
      <c r="Q58" s="392" t="s">
        <v>1430</v>
      </c>
      <c r="R58" s="392" t="s">
        <v>1430</v>
      </c>
      <c r="S58" s="330">
        <v>1</v>
      </c>
      <c r="T58" s="331" t="s">
        <v>1508</v>
      </c>
      <c r="U58" s="332">
        <v>45264830</v>
      </c>
      <c r="V58" s="332">
        <v>0</v>
      </c>
      <c r="W58" s="332">
        <f t="shared" si="4"/>
        <v>45264830</v>
      </c>
      <c r="X58" s="343">
        <v>45264830</v>
      </c>
      <c r="Y58" s="344"/>
      <c r="Z58" s="334">
        <f t="shared" si="7"/>
        <v>0.99999997004446572</v>
      </c>
      <c r="AA58" s="334">
        <f t="shared" si="8"/>
        <v>0.99999997004446572</v>
      </c>
      <c r="AB58" s="343">
        <f t="shared" si="6"/>
        <v>0</v>
      </c>
      <c r="AC58" s="335">
        <f t="shared" si="6"/>
        <v>0</v>
      </c>
      <c r="AD58" s="325"/>
      <c r="AE58" s="325"/>
      <c r="AF58" s="325"/>
      <c r="AG58" s="344"/>
    </row>
    <row r="59" spans="2:33" ht="30.6">
      <c r="B59" s="318" t="s">
        <v>7</v>
      </c>
      <c r="C59" s="349" t="s">
        <v>72</v>
      </c>
      <c r="D59" s="320" t="s">
        <v>1078</v>
      </c>
      <c r="E59" s="415" t="s">
        <v>1509</v>
      </c>
      <c r="F59" s="322" t="s">
        <v>1086</v>
      </c>
      <c r="G59" s="323" t="s">
        <v>1019</v>
      </c>
      <c r="H59" s="323">
        <v>1</v>
      </c>
      <c r="I59" s="396">
        <v>62478813.559322037</v>
      </c>
      <c r="J59" s="396"/>
      <c r="K59" s="325">
        <f t="shared" si="2"/>
        <v>62478813.559322037</v>
      </c>
      <c r="L59" s="411">
        <v>0</v>
      </c>
      <c r="M59" s="325">
        <f t="shared" si="3"/>
        <v>62478813.559322037</v>
      </c>
      <c r="N59" s="367">
        <v>44231</v>
      </c>
      <c r="O59" s="204" t="s">
        <v>1503</v>
      </c>
      <c r="P59" s="342">
        <v>44259</v>
      </c>
      <c r="Q59" s="392" t="s">
        <v>1430</v>
      </c>
      <c r="R59" s="392" t="s">
        <v>1430</v>
      </c>
      <c r="S59" s="330">
        <v>1</v>
      </c>
      <c r="T59" s="331" t="s">
        <v>1508</v>
      </c>
      <c r="U59" s="332">
        <v>62478813</v>
      </c>
      <c r="V59" s="332">
        <v>0</v>
      </c>
      <c r="W59" s="332">
        <f t="shared" si="4"/>
        <v>62478813</v>
      </c>
      <c r="X59" s="343">
        <v>62478813</v>
      </c>
      <c r="Y59" s="344"/>
      <c r="Z59" s="334">
        <f t="shared" si="7"/>
        <v>0.99999999104781279</v>
      </c>
      <c r="AA59" s="334">
        <f t="shared" si="8"/>
        <v>0.99999999104781279</v>
      </c>
      <c r="AB59" s="343">
        <f t="shared" si="6"/>
        <v>0</v>
      </c>
      <c r="AC59" s="335">
        <f t="shared" si="6"/>
        <v>0</v>
      </c>
      <c r="AD59" s="325"/>
      <c r="AE59" s="325"/>
      <c r="AF59" s="325"/>
      <c r="AG59" s="344"/>
    </row>
    <row r="60" spans="2:33" ht="30.6">
      <c r="B60" s="400" t="s">
        <v>7</v>
      </c>
      <c r="C60" s="349" t="s">
        <v>1087</v>
      </c>
      <c r="D60" s="416" t="s">
        <v>975</v>
      </c>
      <c r="E60" s="417" t="s">
        <v>1510</v>
      </c>
      <c r="F60" s="418" t="s">
        <v>1511</v>
      </c>
      <c r="G60" s="323" t="s">
        <v>1019</v>
      </c>
      <c r="H60" s="323">
        <v>1</v>
      </c>
      <c r="I60" s="344">
        <v>226895149</v>
      </c>
      <c r="J60" s="419">
        <v>40840127</v>
      </c>
      <c r="K60" s="325">
        <f t="shared" si="2"/>
        <v>267735276</v>
      </c>
      <c r="L60" s="420"/>
      <c r="M60" s="325">
        <f t="shared" si="3"/>
        <v>267735276</v>
      </c>
      <c r="N60" s="367">
        <v>44977</v>
      </c>
      <c r="O60" s="204">
        <v>8</v>
      </c>
      <c r="P60" s="342">
        <v>45200</v>
      </c>
      <c r="Q60" s="392" t="s">
        <v>1430</v>
      </c>
      <c r="R60" s="342">
        <v>45200</v>
      </c>
      <c r="S60" s="330">
        <v>0.2</v>
      </c>
      <c r="T60" s="331" t="s">
        <v>1512</v>
      </c>
      <c r="U60" s="331"/>
      <c r="V60" s="331"/>
      <c r="W60" s="332">
        <f t="shared" si="4"/>
        <v>0</v>
      </c>
      <c r="X60" s="344"/>
      <c r="Y60" s="344"/>
      <c r="Z60" s="334">
        <f t="shared" si="7"/>
        <v>0</v>
      </c>
      <c r="AA60" s="334">
        <f t="shared" si="8"/>
        <v>0</v>
      </c>
      <c r="AB60" s="343">
        <f t="shared" si="6"/>
        <v>0</v>
      </c>
      <c r="AC60" s="335">
        <f t="shared" si="6"/>
        <v>0</v>
      </c>
      <c r="AD60" s="325"/>
      <c r="AE60" s="325"/>
      <c r="AF60" s="325"/>
      <c r="AG60" s="331" t="s">
        <v>1513</v>
      </c>
    </row>
    <row r="61" spans="2:33" ht="40.799999999999997">
      <c r="B61" s="400" t="s">
        <v>7</v>
      </c>
      <c r="C61" s="349" t="s">
        <v>1087</v>
      </c>
      <c r="D61" s="416" t="s">
        <v>1514</v>
      </c>
      <c r="E61" s="417" t="s">
        <v>979</v>
      </c>
      <c r="F61" s="421" t="s">
        <v>1515</v>
      </c>
      <c r="G61" s="323" t="s">
        <v>1019</v>
      </c>
      <c r="H61" s="323">
        <v>1</v>
      </c>
      <c r="I61" s="343">
        <v>171572606</v>
      </c>
      <c r="J61" s="343">
        <v>30883069</v>
      </c>
      <c r="K61" s="325">
        <f t="shared" si="2"/>
        <v>202455675</v>
      </c>
      <c r="L61" s="422">
        <v>0</v>
      </c>
      <c r="M61" s="325">
        <f t="shared" si="3"/>
        <v>202455675</v>
      </c>
      <c r="N61" s="367" t="s">
        <v>1516</v>
      </c>
      <c r="O61" s="204">
        <v>8</v>
      </c>
      <c r="P61" s="423" t="s">
        <v>1455</v>
      </c>
      <c r="Q61" s="392" t="s">
        <v>1430</v>
      </c>
      <c r="R61" s="392" t="s">
        <v>1430</v>
      </c>
      <c r="S61" s="330">
        <v>0.2</v>
      </c>
      <c r="T61" s="331" t="s">
        <v>1517</v>
      </c>
      <c r="U61" s="331"/>
      <c r="V61" s="331"/>
      <c r="W61" s="332">
        <f t="shared" si="4"/>
        <v>0</v>
      </c>
      <c r="X61" s="344"/>
      <c r="Y61" s="344"/>
      <c r="Z61" s="334">
        <f t="shared" si="7"/>
        <v>0</v>
      </c>
      <c r="AA61" s="334">
        <f t="shared" si="8"/>
        <v>0</v>
      </c>
      <c r="AB61" s="343">
        <f t="shared" si="6"/>
        <v>0</v>
      </c>
      <c r="AC61" s="335">
        <f t="shared" si="6"/>
        <v>0</v>
      </c>
      <c r="AD61" s="325"/>
      <c r="AE61" s="325"/>
      <c r="AF61" s="325"/>
      <c r="AG61" s="331"/>
    </row>
    <row r="62" spans="2:33" ht="48">
      <c r="B62" s="400" t="s">
        <v>7</v>
      </c>
      <c r="C62" s="349" t="s">
        <v>1087</v>
      </c>
      <c r="D62" s="416" t="s">
        <v>1518</v>
      </c>
      <c r="E62" s="417" t="s">
        <v>1519</v>
      </c>
      <c r="F62" s="424" t="s">
        <v>1520</v>
      </c>
      <c r="G62" s="323" t="s">
        <v>1019</v>
      </c>
      <c r="H62" s="323">
        <v>1</v>
      </c>
      <c r="I62" s="343">
        <v>222288029.66101697</v>
      </c>
      <c r="J62" s="343">
        <v>40011845.338983029</v>
      </c>
      <c r="K62" s="325">
        <f t="shared" si="2"/>
        <v>262299875</v>
      </c>
      <c r="L62" s="422"/>
      <c r="M62" s="325">
        <f t="shared" si="3"/>
        <v>262299875</v>
      </c>
      <c r="N62" s="190" t="s">
        <v>1521</v>
      </c>
      <c r="O62" s="425"/>
      <c r="P62" s="426"/>
      <c r="Q62" s="427"/>
      <c r="R62" s="427"/>
      <c r="S62" s="330"/>
      <c r="T62" s="331" t="s">
        <v>1522</v>
      </c>
      <c r="U62" s="331"/>
      <c r="V62" s="331"/>
      <c r="W62" s="332"/>
      <c r="X62" s="344"/>
      <c r="Y62" s="344"/>
      <c r="Z62" s="334"/>
      <c r="AA62" s="334"/>
      <c r="AB62" s="343"/>
      <c r="AC62" s="335"/>
      <c r="AD62" s="325"/>
      <c r="AE62" s="325"/>
      <c r="AF62" s="325"/>
      <c r="AG62" s="331" t="s">
        <v>1523</v>
      </c>
    </row>
    <row r="63" spans="2:33" ht="48">
      <c r="B63" s="400" t="s">
        <v>7</v>
      </c>
      <c r="C63" s="349" t="s">
        <v>1087</v>
      </c>
      <c r="D63" s="416" t="s">
        <v>1524</v>
      </c>
      <c r="E63" s="417" t="s">
        <v>1525</v>
      </c>
      <c r="F63" s="424" t="s">
        <v>1526</v>
      </c>
      <c r="G63" s="323" t="s">
        <v>1019</v>
      </c>
      <c r="H63" s="323">
        <v>1</v>
      </c>
      <c r="I63" s="343">
        <v>23206000</v>
      </c>
      <c r="J63" s="343">
        <v>4177080</v>
      </c>
      <c r="K63" s="325">
        <f t="shared" si="2"/>
        <v>27383080</v>
      </c>
      <c r="L63" s="422"/>
      <c r="M63" s="325">
        <f t="shared" si="3"/>
        <v>27383080</v>
      </c>
      <c r="N63" s="190" t="s">
        <v>1521</v>
      </c>
      <c r="O63" s="425"/>
      <c r="P63" s="426"/>
      <c r="Q63" s="427"/>
      <c r="R63" s="427"/>
      <c r="S63" s="330"/>
      <c r="T63" s="331" t="s">
        <v>1517</v>
      </c>
      <c r="U63" s="331"/>
      <c r="V63" s="331"/>
      <c r="W63" s="332"/>
      <c r="X63" s="344"/>
      <c r="Y63" s="344"/>
      <c r="Z63" s="334"/>
      <c r="AA63" s="334"/>
      <c r="AB63" s="343"/>
      <c r="AC63" s="335"/>
      <c r="AD63" s="325"/>
      <c r="AE63" s="325"/>
      <c r="AF63" s="325"/>
      <c r="AG63" s="331" t="s">
        <v>1523</v>
      </c>
    </row>
    <row r="64" spans="2:33" ht="40.799999999999997">
      <c r="B64" s="400" t="s">
        <v>7</v>
      </c>
      <c r="C64" s="349" t="s">
        <v>1527</v>
      </c>
      <c r="D64" s="416" t="s">
        <v>1528</v>
      </c>
      <c r="E64" s="428"/>
      <c r="F64" s="421" t="s">
        <v>1529</v>
      </c>
      <c r="G64" s="323" t="s">
        <v>1019</v>
      </c>
      <c r="H64" s="323">
        <v>1</v>
      </c>
      <c r="I64" s="344"/>
      <c r="J64" s="344"/>
      <c r="K64" s="325">
        <f t="shared" si="2"/>
        <v>0</v>
      </c>
      <c r="L64" s="420"/>
      <c r="M64" s="325">
        <f t="shared" si="3"/>
        <v>0</v>
      </c>
      <c r="N64" s="325"/>
      <c r="O64" s="325"/>
      <c r="P64" s="429"/>
      <c r="Q64" s="409"/>
      <c r="R64" s="325"/>
      <c r="S64" s="330">
        <v>0.1</v>
      </c>
      <c r="T64" s="430" t="s">
        <v>1530</v>
      </c>
      <c r="U64" s="430"/>
      <c r="V64" s="430"/>
      <c r="W64" s="332">
        <f t="shared" si="4"/>
        <v>0</v>
      </c>
      <c r="X64" s="344"/>
      <c r="Y64" s="344"/>
      <c r="Z64" s="334" t="e">
        <f t="shared" ref="Z64:Z127" si="9">+(X64+Y64)/M64</f>
        <v>#DIV/0!</v>
      </c>
      <c r="AA64" s="334" t="e">
        <f t="shared" ref="AA64:AA127" si="10">+X64/I64</f>
        <v>#DIV/0!</v>
      </c>
      <c r="AB64" s="343">
        <f t="shared" si="6"/>
        <v>0</v>
      </c>
      <c r="AC64" s="335">
        <f t="shared" si="6"/>
        <v>0</v>
      </c>
      <c r="AD64" s="325"/>
      <c r="AE64" s="325"/>
      <c r="AF64" s="325"/>
      <c r="AG64" s="331" t="s">
        <v>1531</v>
      </c>
    </row>
    <row r="65" spans="2:33" ht="20.399999999999999">
      <c r="B65" s="400" t="s">
        <v>7</v>
      </c>
      <c r="C65" s="349"/>
      <c r="D65" s="416" t="s">
        <v>1528</v>
      </c>
      <c r="E65" s="431"/>
      <c r="F65" s="432" t="s">
        <v>1532</v>
      </c>
      <c r="G65" s="323" t="s">
        <v>1019</v>
      </c>
      <c r="H65" s="323">
        <v>1</v>
      </c>
      <c r="I65" s="344"/>
      <c r="J65" s="344"/>
      <c r="K65" s="325">
        <f t="shared" si="2"/>
        <v>0</v>
      </c>
      <c r="L65" s="420"/>
      <c r="M65" s="325">
        <f t="shared" si="3"/>
        <v>0</v>
      </c>
      <c r="N65" s="325"/>
      <c r="O65" s="325"/>
      <c r="P65" s="429"/>
      <c r="Q65" s="409"/>
      <c r="R65" s="325"/>
      <c r="S65" s="330">
        <v>0.05</v>
      </c>
      <c r="T65" s="430" t="s">
        <v>1533</v>
      </c>
      <c r="U65" s="430"/>
      <c r="V65" s="430"/>
      <c r="W65" s="332">
        <f t="shared" si="4"/>
        <v>0</v>
      </c>
      <c r="X65" s="344"/>
      <c r="Y65" s="344"/>
      <c r="Z65" s="334" t="e">
        <f t="shared" si="9"/>
        <v>#DIV/0!</v>
      </c>
      <c r="AA65" s="334" t="e">
        <f t="shared" si="10"/>
        <v>#DIV/0!</v>
      </c>
      <c r="AB65" s="343">
        <f t="shared" si="6"/>
        <v>0</v>
      </c>
      <c r="AC65" s="335">
        <f t="shared" si="6"/>
        <v>0</v>
      </c>
      <c r="AD65" s="325"/>
      <c r="AE65" s="325"/>
      <c r="AF65" s="325"/>
      <c r="AG65" s="430" t="s">
        <v>1534</v>
      </c>
    </row>
    <row r="66" spans="2:33" ht="30.6">
      <c r="B66" s="400" t="s">
        <v>7</v>
      </c>
      <c r="C66" s="349" t="s">
        <v>1087</v>
      </c>
      <c r="D66" s="416" t="s">
        <v>1088</v>
      </c>
      <c r="E66" s="428"/>
      <c r="F66" s="433" t="s">
        <v>1535</v>
      </c>
      <c r="G66" s="323" t="s">
        <v>1019</v>
      </c>
      <c r="H66" s="323">
        <v>1</v>
      </c>
      <c r="I66" s="344"/>
      <c r="J66" s="344"/>
      <c r="K66" s="325">
        <f t="shared" si="2"/>
        <v>0</v>
      </c>
      <c r="L66" s="420"/>
      <c r="M66" s="325">
        <f t="shared" si="3"/>
        <v>0</v>
      </c>
      <c r="N66" s="325"/>
      <c r="O66" s="325"/>
      <c r="P66" s="429"/>
      <c r="Q66" s="409"/>
      <c r="R66" s="325"/>
      <c r="S66" s="330"/>
      <c r="T66" s="331" t="s">
        <v>1536</v>
      </c>
      <c r="U66" s="331"/>
      <c r="V66" s="331"/>
      <c r="W66" s="332">
        <f t="shared" si="4"/>
        <v>0</v>
      </c>
      <c r="X66" s="344"/>
      <c r="Y66" s="344"/>
      <c r="Z66" s="334" t="e">
        <f t="shared" si="9"/>
        <v>#DIV/0!</v>
      </c>
      <c r="AA66" s="334" t="e">
        <f t="shared" si="10"/>
        <v>#DIV/0!</v>
      </c>
      <c r="AB66" s="343">
        <f t="shared" si="6"/>
        <v>0</v>
      </c>
      <c r="AC66" s="335">
        <f t="shared" si="6"/>
        <v>0</v>
      </c>
      <c r="AD66" s="325"/>
      <c r="AE66" s="325"/>
      <c r="AF66" s="325"/>
      <c r="AG66" s="331" t="s">
        <v>1537</v>
      </c>
    </row>
    <row r="67" spans="2:33" ht="51">
      <c r="B67" s="400" t="s">
        <v>7</v>
      </c>
      <c r="C67" s="349" t="s">
        <v>1538</v>
      </c>
      <c r="D67" s="416" t="s">
        <v>1539</v>
      </c>
      <c r="E67" s="417" t="s">
        <v>978</v>
      </c>
      <c r="F67" s="434" t="s">
        <v>1540</v>
      </c>
      <c r="G67" s="323" t="s">
        <v>1019</v>
      </c>
      <c r="H67" s="323">
        <v>1</v>
      </c>
      <c r="I67" s="343">
        <v>57175264.406779662</v>
      </c>
      <c r="J67" s="343">
        <v>10291547.593220338</v>
      </c>
      <c r="K67" s="325">
        <f t="shared" si="2"/>
        <v>67466812</v>
      </c>
      <c r="L67" s="420"/>
      <c r="M67" s="325">
        <f t="shared" si="3"/>
        <v>67466812</v>
      </c>
      <c r="N67" s="378" t="s">
        <v>1541</v>
      </c>
      <c r="O67" s="208" t="s">
        <v>1542</v>
      </c>
      <c r="P67" s="209">
        <v>45199</v>
      </c>
      <c r="Q67" s="392" t="s">
        <v>1430</v>
      </c>
      <c r="R67" s="392" t="s">
        <v>1430</v>
      </c>
      <c r="S67" s="330">
        <v>0.2</v>
      </c>
      <c r="T67" s="435" t="s">
        <v>1543</v>
      </c>
      <c r="U67" s="435"/>
      <c r="V67" s="435"/>
      <c r="W67" s="332">
        <f t="shared" si="4"/>
        <v>0</v>
      </c>
      <c r="X67" s="344"/>
      <c r="Y67" s="344"/>
      <c r="Z67" s="334">
        <f t="shared" si="9"/>
        <v>0</v>
      </c>
      <c r="AA67" s="334">
        <f t="shared" si="10"/>
        <v>0</v>
      </c>
      <c r="AB67" s="343">
        <f t="shared" si="6"/>
        <v>0</v>
      </c>
      <c r="AC67" s="335">
        <f t="shared" si="6"/>
        <v>0</v>
      </c>
      <c r="AD67" s="325"/>
      <c r="AE67" s="325"/>
      <c r="AF67" s="325"/>
      <c r="AG67" s="331" t="s">
        <v>1544</v>
      </c>
    </row>
    <row r="68" spans="2:33" ht="30.6">
      <c r="B68" s="400" t="s">
        <v>7</v>
      </c>
      <c r="C68" s="349" t="s">
        <v>1538</v>
      </c>
      <c r="D68" s="416" t="s">
        <v>1539</v>
      </c>
      <c r="E68" s="417" t="s">
        <v>976</v>
      </c>
      <c r="F68" s="433" t="s">
        <v>1545</v>
      </c>
      <c r="G68" s="323" t="s">
        <v>1019</v>
      </c>
      <c r="H68" s="323">
        <v>1</v>
      </c>
      <c r="I68" s="343">
        <v>57560761.016949154</v>
      </c>
      <c r="J68" s="343">
        <v>10360936.983050846</v>
      </c>
      <c r="K68" s="325">
        <f t="shared" si="2"/>
        <v>67921698</v>
      </c>
      <c r="L68" s="420"/>
      <c r="M68" s="325">
        <f t="shared" si="3"/>
        <v>67921698</v>
      </c>
      <c r="N68" s="367">
        <v>45014</v>
      </c>
      <c r="O68" s="204">
        <v>6</v>
      </c>
      <c r="P68" s="209">
        <v>45014</v>
      </c>
      <c r="Q68" s="392" t="s">
        <v>1430</v>
      </c>
      <c r="R68" s="392" t="s">
        <v>1430</v>
      </c>
      <c r="S68" s="330">
        <v>0.2</v>
      </c>
      <c r="T68" s="435" t="s">
        <v>1546</v>
      </c>
      <c r="U68" s="336"/>
      <c r="V68" s="336"/>
      <c r="W68" s="332">
        <f t="shared" si="4"/>
        <v>0</v>
      </c>
      <c r="X68" s="344"/>
      <c r="Y68" s="344"/>
      <c r="Z68" s="334">
        <f t="shared" si="9"/>
        <v>0</v>
      </c>
      <c r="AA68" s="334">
        <f t="shared" si="10"/>
        <v>0</v>
      </c>
      <c r="AB68" s="343">
        <f t="shared" si="6"/>
        <v>0</v>
      </c>
      <c r="AC68" s="335">
        <f t="shared" si="6"/>
        <v>0</v>
      </c>
      <c r="AD68" s="325"/>
      <c r="AE68" s="325"/>
      <c r="AF68" s="325"/>
      <c r="AG68" s="435" t="s">
        <v>1547</v>
      </c>
    </row>
    <row r="69" spans="2:33" ht="20.399999999999999">
      <c r="B69" s="400" t="s">
        <v>7</v>
      </c>
      <c r="C69" s="349" t="s">
        <v>1538</v>
      </c>
      <c r="D69" s="436" t="s">
        <v>1548</v>
      </c>
      <c r="E69" s="417" t="s">
        <v>977</v>
      </c>
      <c r="F69" s="433" t="s">
        <v>1549</v>
      </c>
      <c r="G69" s="323" t="s">
        <v>1019</v>
      </c>
      <c r="H69" s="323">
        <v>1</v>
      </c>
      <c r="I69" s="437">
        <v>49263988</v>
      </c>
      <c r="J69" s="437">
        <v>8867518</v>
      </c>
      <c r="K69" s="325">
        <f t="shared" ref="K69:K74" si="11">+I69+J69</f>
        <v>58131506</v>
      </c>
      <c r="L69" s="420"/>
      <c r="M69" s="325"/>
      <c r="N69" s="367">
        <v>45014</v>
      </c>
      <c r="O69" s="204">
        <v>6</v>
      </c>
      <c r="P69" s="209">
        <v>45198</v>
      </c>
      <c r="Q69" s="392" t="s">
        <v>1430</v>
      </c>
      <c r="R69" s="392" t="s">
        <v>1430</v>
      </c>
      <c r="S69" s="330">
        <v>0.2</v>
      </c>
      <c r="T69" s="435" t="s">
        <v>1550</v>
      </c>
      <c r="U69" s="435"/>
      <c r="V69" s="435"/>
      <c r="W69" s="332">
        <f t="shared" si="4"/>
        <v>0</v>
      </c>
      <c r="X69" s="344"/>
      <c r="Y69" s="344"/>
      <c r="Z69" s="334" t="e">
        <f t="shared" si="9"/>
        <v>#DIV/0!</v>
      </c>
      <c r="AA69" s="334">
        <f t="shared" si="10"/>
        <v>0</v>
      </c>
      <c r="AB69" s="343">
        <f t="shared" si="6"/>
        <v>0</v>
      </c>
      <c r="AC69" s="335">
        <f t="shared" si="6"/>
        <v>0</v>
      </c>
      <c r="AD69" s="325"/>
      <c r="AE69" s="325"/>
      <c r="AF69" s="325"/>
      <c r="AG69" s="435" t="s">
        <v>1551</v>
      </c>
    </row>
    <row r="70" spans="2:33" ht="40.799999999999997">
      <c r="B70" s="400" t="s">
        <v>7</v>
      </c>
      <c r="C70" s="349" t="s">
        <v>1538</v>
      </c>
      <c r="D70" s="416"/>
      <c r="E70" s="428"/>
      <c r="F70" s="438" t="s">
        <v>1552</v>
      </c>
      <c r="G70" s="323" t="s">
        <v>1019</v>
      </c>
      <c r="H70" s="323">
        <v>1</v>
      </c>
      <c r="I70" s="437"/>
      <c r="J70" s="437"/>
      <c r="K70" s="325">
        <f t="shared" si="11"/>
        <v>0</v>
      </c>
      <c r="L70" s="420"/>
      <c r="M70" s="325"/>
      <c r="N70" s="325"/>
      <c r="O70" s="325"/>
      <c r="P70" s="429"/>
      <c r="Q70" s="409"/>
      <c r="R70" s="325"/>
      <c r="S70" s="330">
        <v>0.2</v>
      </c>
      <c r="T70" s="435" t="s">
        <v>1553</v>
      </c>
      <c r="U70" s="430"/>
      <c r="V70" s="430"/>
      <c r="W70" s="332">
        <f t="shared" si="4"/>
        <v>0</v>
      </c>
      <c r="X70" s="344"/>
      <c r="Y70" s="344"/>
      <c r="Z70" s="334" t="e">
        <f t="shared" si="9"/>
        <v>#DIV/0!</v>
      </c>
      <c r="AA70" s="334" t="e">
        <f t="shared" si="10"/>
        <v>#DIV/0!</v>
      </c>
      <c r="AB70" s="343">
        <f t="shared" si="6"/>
        <v>0</v>
      </c>
      <c r="AC70" s="335">
        <f t="shared" si="6"/>
        <v>0</v>
      </c>
      <c r="AD70" s="325"/>
      <c r="AE70" s="325"/>
      <c r="AF70" s="325"/>
      <c r="AG70" s="435" t="s">
        <v>1554</v>
      </c>
    </row>
    <row r="71" spans="2:33" ht="40.799999999999997">
      <c r="B71" s="318" t="s">
        <v>7</v>
      </c>
      <c r="C71" s="349" t="s">
        <v>1090</v>
      </c>
      <c r="D71" s="320" t="s">
        <v>1091</v>
      </c>
      <c r="E71" s="417" t="s">
        <v>973</v>
      </c>
      <c r="F71" s="439" t="s">
        <v>1555</v>
      </c>
      <c r="G71" s="323" t="s">
        <v>1019</v>
      </c>
      <c r="H71" s="323">
        <v>1</v>
      </c>
      <c r="I71" s="437">
        <v>36000000</v>
      </c>
      <c r="J71" s="440">
        <v>6480000</v>
      </c>
      <c r="K71" s="325">
        <f t="shared" si="11"/>
        <v>42480000</v>
      </c>
      <c r="L71" s="441"/>
      <c r="M71" s="325">
        <f t="shared" si="3"/>
        <v>42480000</v>
      </c>
      <c r="N71" s="325"/>
      <c r="O71" s="325"/>
      <c r="P71" s="429"/>
      <c r="Q71" s="409"/>
      <c r="R71" s="325"/>
      <c r="S71" s="330">
        <v>1</v>
      </c>
      <c r="T71" s="344"/>
      <c r="U71" s="343">
        <v>12000000</v>
      </c>
      <c r="V71" s="343">
        <v>2160000</v>
      </c>
      <c r="W71" s="332">
        <f t="shared" si="4"/>
        <v>14160000</v>
      </c>
      <c r="X71" s="343">
        <v>0</v>
      </c>
      <c r="Y71" s="343">
        <v>0</v>
      </c>
      <c r="Z71" s="334">
        <f t="shared" si="9"/>
        <v>0</v>
      </c>
      <c r="AA71" s="334">
        <f t="shared" si="10"/>
        <v>0</v>
      </c>
      <c r="AB71" s="343">
        <f t="shared" si="6"/>
        <v>12000000</v>
      </c>
      <c r="AC71" s="335">
        <f t="shared" si="6"/>
        <v>2160000</v>
      </c>
      <c r="AD71" s="325"/>
      <c r="AE71" s="325"/>
      <c r="AF71" s="325"/>
      <c r="AG71" s="344"/>
    </row>
    <row r="72" spans="2:33" ht="13.8">
      <c r="B72" s="318" t="s">
        <v>7</v>
      </c>
      <c r="C72" s="349" t="s">
        <v>1092</v>
      </c>
      <c r="D72" s="350" t="s">
        <v>954</v>
      </c>
      <c r="E72" s="417" t="s">
        <v>953</v>
      </c>
      <c r="F72" s="439" t="s">
        <v>1093</v>
      </c>
      <c r="G72" s="323" t="s">
        <v>1019</v>
      </c>
      <c r="H72" s="323">
        <v>1</v>
      </c>
      <c r="I72" s="442">
        <v>9900000</v>
      </c>
      <c r="J72" s="442">
        <v>1782000</v>
      </c>
      <c r="K72" s="325">
        <f t="shared" si="11"/>
        <v>11682000</v>
      </c>
      <c r="L72" s="411"/>
      <c r="M72" s="325">
        <f t="shared" si="3"/>
        <v>11682000</v>
      </c>
      <c r="N72" s="367">
        <v>43909</v>
      </c>
      <c r="O72" s="443" t="s">
        <v>1556</v>
      </c>
      <c r="P72" s="209">
        <v>43970</v>
      </c>
      <c r="Q72" s="409" t="s">
        <v>110</v>
      </c>
      <c r="R72" s="409" t="s">
        <v>110</v>
      </c>
      <c r="S72" s="330">
        <v>1</v>
      </c>
      <c r="T72" s="344" t="s">
        <v>1296</v>
      </c>
      <c r="U72" s="343">
        <v>9900000</v>
      </c>
      <c r="V72" s="343">
        <v>1782000</v>
      </c>
      <c r="W72" s="332">
        <f t="shared" si="4"/>
        <v>11682000</v>
      </c>
      <c r="X72" s="343">
        <v>9900000</v>
      </c>
      <c r="Y72" s="343">
        <v>0</v>
      </c>
      <c r="Z72" s="334">
        <f t="shared" si="9"/>
        <v>0.84745762711864403</v>
      </c>
      <c r="AA72" s="334">
        <f t="shared" si="10"/>
        <v>1</v>
      </c>
      <c r="AB72" s="343">
        <f t="shared" si="6"/>
        <v>0</v>
      </c>
      <c r="AC72" s="335">
        <f t="shared" si="6"/>
        <v>1782000</v>
      </c>
      <c r="AD72" s="325"/>
      <c r="AE72" s="325"/>
      <c r="AF72" s="325"/>
      <c r="AG72" s="344" t="s">
        <v>1296</v>
      </c>
    </row>
    <row r="73" spans="2:33" ht="13.8">
      <c r="B73" s="318" t="s">
        <v>7</v>
      </c>
      <c r="C73" s="349" t="s">
        <v>1094</v>
      </c>
      <c r="D73" s="350" t="s">
        <v>960</v>
      </c>
      <c r="E73" s="349"/>
      <c r="F73" s="439" t="s">
        <v>1095</v>
      </c>
      <c r="G73" s="323" t="s">
        <v>1019</v>
      </c>
      <c r="H73" s="323">
        <v>1</v>
      </c>
      <c r="I73" s="442">
        <v>28280000</v>
      </c>
      <c r="J73" s="442">
        <v>5090400</v>
      </c>
      <c r="K73" s="325">
        <f t="shared" si="11"/>
        <v>33370400</v>
      </c>
      <c r="L73" s="411"/>
      <c r="M73" s="325">
        <f t="shared" si="3"/>
        <v>33370400</v>
      </c>
      <c r="N73" s="367">
        <v>44151</v>
      </c>
      <c r="O73" s="204">
        <v>15</v>
      </c>
      <c r="P73" s="209">
        <v>44243</v>
      </c>
      <c r="Q73" s="392" t="s">
        <v>1430</v>
      </c>
      <c r="R73" s="367">
        <v>44243</v>
      </c>
      <c r="S73" s="330">
        <v>1</v>
      </c>
      <c r="T73" s="344" t="s">
        <v>1296</v>
      </c>
      <c r="U73" s="343">
        <v>22624000</v>
      </c>
      <c r="V73" s="343">
        <v>4072320</v>
      </c>
      <c r="W73" s="332">
        <f t="shared" si="4"/>
        <v>26696320</v>
      </c>
      <c r="X73" s="343">
        <v>22624000</v>
      </c>
      <c r="Y73" s="343">
        <v>0</v>
      </c>
      <c r="Z73" s="334">
        <f t="shared" si="9"/>
        <v>0.67796610169491522</v>
      </c>
      <c r="AA73" s="334">
        <f t="shared" si="10"/>
        <v>0.8</v>
      </c>
      <c r="AB73" s="343">
        <f t="shared" si="6"/>
        <v>0</v>
      </c>
      <c r="AC73" s="335">
        <f t="shared" si="6"/>
        <v>4072320</v>
      </c>
      <c r="AD73" s="325"/>
      <c r="AE73" s="325"/>
      <c r="AF73" s="325"/>
      <c r="AG73" s="344" t="s">
        <v>1296</v>
      </c>
    </row>
    <row r="74" spans="2:33" s="444" customFormat="1" ht="81.599999999999994">
      <c r="B74" s="400" t="s">
        <v>8</v>
      </c>
      <c r="C74" s="319" t="s">
        <v>927</v>
      </c>
      <c r="D74" s="350" t="s">
        <v>938</v>
      </c>
      <c r="E74" s="445" t="s">
        <v>937</v>
      </c>
      <c r="F74" s="331" t="s">
        <v>1557</v>
      </c>
      <c r="G74" s="323" t="s">
        <v>1019</v>
      </c>
      <c r="H74" s="323">
        <v>1</v>
      </c>
      <c r="I74" s="442">
        <v>749021800</v>
      </c>
      <c r="J74" s="442">
        <v>134823924</v>
      </c>
      <c r="K74" s="446">
        <f t="shared" si="11"/>
        <v>883845724</v>
      </c>
      <c r="L74" s="446"/>
      <c r="M74" s="325">
        <f t="shared" si="3"/>
        <v>883845724</v>
      </c>
      <c r="N74" s="447">
        <v>44419</v>
      </c>
      <c r="O74" s="325">
        <v>10</v>
      </c>
      <c r="P74" s="448">
        <v>44910</v>
      </c>
      <c r="Q74" s="325">
        <v>2</v>
      </c>
      <c r="R74" s="447">
        <v>45274</v>
      </c>
      <c r="S74" s="330">
        <v>0.25</v>
      </c>
      <c r="T74" s="410" t="s">
        <v>1558</v>
      </c>
      <c r="U74" s="414">
        <v>149804360</v>
      </c>
      <c r="V74" s="414">
        <v>26964784.800000001</v>
      </c>
      <c r="W74" s="332">
        <f t="shared" si="4"/>
        <v>176769144.80000001</v>
      </c>
      <c r="X74" s="449">
        <v>149804360</v>
      </c>
      <c r="Y74" s="450"/>
      <c r="Z74" s="334">
        <f t="shared" si="9"/>
        <v>0.16949152542372881</v>
      </c>
      <c r="AA74" s="334">
        <f t="shared" si="10"/>
        <v>0.2</v>
      </c>
      <c r="AB74" s="343">
        <f t="shared" si="6"/>
        <v>0</v>
      </c>
      <c r="AC74" s="335">
        <f t="shared" si="6"/>
        <v>26964784.800000001</v>
      </c>
      <c r="AD74" s="325"/>
      <c r="AE74" s="325"/>
      <c r="AF74" s="325"/>
      <c r="AG74" s="336" t="s">
        <v>1559</v>
      </c>
    </row>
    <row r="75" spans="2:33" s="444" customFormat="1" ht="142.80000000000001">
      <c r="B75" s="337" t="s">
        <v>8</v>
      </c>
      <c r="C75" s="319" t="s">
        <v>927</v>
      </c>
      <c r="D75" s="350" t="s">
        <v>929</v>
      </c>
      <c r="E75" s="445" t="s">
        <v>939</v>
      </c>
      <c r="F75" s="331" t="s">
        <v>1560</v>
      </c>
      <c r="G75" s="323" t="s">
        <v>1019</v>
      </c>
      <c r="H75" s="323">
        <v>1</v>
      </c>
      <c r="I75" s="442">
        <v>1807401565</v>
      </c>
      <c r="J75" s="442">
        <v>325332281.69999999</v>
      </c>
      <c r="K75" s="446">
        <f t="shared" ref="K75:K129" si="12">+I75+J75</f>
        <v>2132733846.7</v>
      </c>
      <c r="L75" s="446"/>
      <c r="M75" s="325">
        <f t="shared" si="3"/>
        <v>2132733846.7</v>
      </c>
      <c r="N75" s="325" t="s">
        <v>1455</v>
      </c>
      <c r="O75" s="325">
        <v>15</v>
      </c>
      <c r="P75" s="448">
        <v>44999</v>
      </c>
      <c r="Q75" s="325">
        <v>2</v>
      </c>
      <c r="R75" s="451">
        <v>45059</v>
      </c>
      <c r="S75" s="330">
        <v>0.52339999999999998</v>
      </c>
      <c r="T75" s="410" t="s">
        <v>1561</v>
      </c>
      <c r="U75" s="452">
        <v>1089209725</v>
      </c>
      <c r="V75" s="452">
        <v>196057750.5</v>
      </c>
      <c r="W75" s="332">
        <f t="shared" ref="W75:W139" si="13">+U75+V75</f>
        <v>1285267475.5</v>
      </c>
      <c r="X75" s="449">
        <v>817218811</v>
      </c>
      <c r="Y75" s="450"/>
      <c r="Z75" s="334">
        <f t="shared" si="9"/>
        <v>0.38317899454003163</v>
      </c>
      <c r="AA75" s="334">
        <f t="shared" si="10"/>
        <v>0.45215121355723736</v>
      </c>
      <c r="AB75" s="343">
        <f t="shared" si="6"/>
        <v>271990914</v>
      </c>
      <c r="AC75" s="335">
        <f t="shared" si="6"/>
        <v>196057750.5</v>
      </c>
      <c r="AD75" s="325"/>
      <c r="AE75" s="325"/>
      <c r="AF75" s="325"/>
      <c r="AG75" s="344"/>
    </row>
    <row r="76" spans="2:33" s="444" customFormat="1" ht="86.4" customHeight="1">
      <c r="B76" s="400" t="s">
        <v>8</v>
      </c>
      <c r="C76" s="319" t="s">
        <v>927</v>
      </c>
      <c r="D76" s="350" t="s">
        <v>940</v>
      </c>
      <c r="E76" s="453" t="s">
        <v>1562</v>
      </c>
      <c r="F76" s="331" t="s">
        <v>1096</v>
      </c>
      <c r="G76" s="323" t="s">
        <v>1019</v>
      </c>
      <c r="H76" s="323">
        <v>1</v>
      </c>
      <c r="I76" s="454">
        <v>2997176600</v>
      </c>
      <c r="J76" s="455">
        <v>539491788</v>
      </c>
      <c r="K76" s="446">
        <f t="shared" si="12"/>
        <v>3536668388</v>
      </c>
      <c r="L76" s="446"/>
      <c r="M76" s="325">
        <f t="shared" si="3"/>
        <v>3536668388</v>
      </c>
      <c r="N76" s="325" t="s">
        <v>1563</v>
      </c>
      <c r="O76" s="325">
        <v>15</v>
      </c>
      <c r="P76" s="429"/>
      <c r="Q76" s="325"/>
      <c r="R76" s="325"/>
      <c r="S76" s="330">
        <v>0.2</v>
      </c>
      <c r="T76" s="456" t="s">
        <v>1564</v>
      </c>
      <c r="U76" s="456"/>
      <c r="V76" s="456"/>
      <c r="W76" s="332">
        <f t="shared" si="13"/>
        <v>0</v>
      </c>
      <c r="X76" s="450"/>
      <c r="Y76" s="450"/>
      <c r="Z76" s="334">
        <f t="shared" si="9"/>
        <v>0</v>
      </c>
      <c r="AA76" s="334">
        <f t="shared" si="10"/>
        <v>0</v>
      </c>
      <c r="AB76" s="343">
        <f t="shared" si="6"/>
        <v>0</v>
      </c>
      <c r="AC76" s="335">
        <f t="shared" si="6"/>
        <v>0</v>
      </c>
      <c r="AD76" s="325"/>
      <c r="AE76" s="325"/>
      <c r="AF76" s="325"/>
      <c r="AG76" s="336" t="s">
        <v>1565</v>
      </c>
    </row>
    <row r="77" spans="2:33" s="444" customFormat="1" ht="138.6" customHeight="1">
      <c r="B77" s="400" t="s">
        <v>8</v>
      </c>
      <c r="C77" s="319" t="s">
        <v>927</v>
      </c>
      <c r="D77" s="350" t="s">
        <v>942</v>
      </c>
      <c r="E77" s="445" t="s">
        <v>941</v>
      </c>
      <c r="F77" s="322" t="s">
        <v>1566</v>
      </c>
      <c r="G77" s="323" t="s">
        <v>1019</v>
      </c>
      <c r="H77" s="323">
        <v>1</v>
      </c>
      <c r="I77" s="442">
        <v>2222451594</v>
      </c>
      <c r="J77" s="442">
        <v>400041286.91999996</v>
      </c>
      <c r="K77" s="446">
        <f t="shared" si="12"/>
        <v>2622492880.9200001</v>
      </c>
      <c r="L77" s="446"/>
      <c r="M77" s="325">
        <f t="shared" si="3"/>
        <v>2622492880.9200001</v>
      </c>
      <c r="N77" s="325"/>
      <c r="O77" s="325"/>
      <c r="P77" s="429"/>
      <c r="Q77" s="325"/>
      <c r="R77" s="325"/>
      <c r="S77" s="330">
        <v>0.2</v>
      </c>
      <c r="T77" s="322" t="s">
        <v>1567</v>
      </c>
      <c r="U77" s="322"/>
      <c r="V77" s="322"/>
      <c r="W77" s="332">
        <f t="shared" si="13"/>
        <v>0</v>
      </c>
      <c r="X77" s="450"/>
      <c r="Y77" s="450"/>
      <c r="Z77" s="334">
        <f t="shared" si="9"/>
        <v>0</v>
      </c>
      <c r="AA77" s="334">
        <f t="shared" si="10"/>
        <v>0</v>
      </c>
      <c r="AB77" s="343">
        <f t="shared" si="6"/>
        <v>0</v>
      </c>
      <c r="AC77" s="335">
        <f t="shared" si="6"/>
        <v>0</v>
      </c>
      <c r="AD77" s="325"/>
      <c r="AE77" s="325"/>
      <c r="AF77" s="325"/>
      <c r="AG77" s="410" t="s">
        <v>1568</v>
      </c>
    </row>
    <row r="78" spans="2:33" s="444" customFormat="1" ht="193.8">
      <c r="B78" s="348" t="s">
        <v>8</v>
      </c>
      <c r="C78" s="349" t="s">
        <v>927</v>
      </c>
      <c r="D78" s="350" t="s">
        <v>1097</v>
      </c>
      <c r="E78" s="445" t="s">
        <v>943</v>
      </c>
      <c r="F78" s="322" t="s">
        <v>1569</v>
      </c>
      <c r="G78" s="323" t="s">
        <v>1019</v>
      </c>
      <c r="H78" s="323">
        <v>1</v>
      </c>
      <c r="I78" s="442">
        <v>1109093250</v>
      </c>
      <c r="J78" s="442">
        <v>199636785</v>
      </c>
      <c r="K78" s="446">
        <f t="shared" si="12"/>
        <v>1308730035</v>
      </c>
      <c r="L78" s="446"/>
      <c r="M78" s="325">
        <f t="shared" si="3"/>
        <v>1308730035</v>
      </c>
      <c r="N78" s="325"/>
      <c r="O78" s="325"/>
      <c r="P78" s="429"/>
      <c r="Q78" s="325"/>
      <c r="R78" s="325"/>
      <c r="S78" s="330">
        <v>0.75</v>
      </c>
      <c r="T78" s="322" t="s">
        <v>1570</v>
      </c>
      <c r="U78" s="322"/>
      <c r="V78" s="322"/>
      <c r="W78" s="332">
        <f t="shared" si="13"/>
        <v>0</v>
      </c>
      <c r="X78" s="450"/>
      <c r="Y78" s="450"/>
      <c r="Z78" s="334">
        <f t="shared" si="9"/>
        <v>0</v>
      </c>
      <c r="AA78" s="334">
        <f t="shared" si="10"/>
        <v>0</v>
      </c>
      <c r="AB78" s="343">
        <f t="shared" si="6"/>
        <v>0</v>
      </c>
      <c r="AC78" s="335">
        <f t="shared" si="6"/>
        <v>0</v>
      </c>
      <c r="AD78" s="325"/>
      <c r="AE78" s="325"/>
      <c r="AF78" s="325"/>
      <c r="AG78" s="450"/>
    </row>
    <row r="79" spans="2:33" s="444" customFormat="1" ht="30.6">
      <c r="B79" s="457" t="s">
        <v>8</v>
      </c>
      <c r="C79" s="456" t="s">
        <v>927</v>
      </c>
      <c r="D79" s="377" t="s">
        <v>1098</v>
      </c>
      <c r="E79" s="458" t="s">
        <v>108</v>
      </c>
      <c r="F79" s="346" t="s">
        <v>1099</v>
      </c>
      <c r="G79" s="323" t="s">
        <v>1019</v>
      </c>
      <c r="H79" s="323">
        <v>1</v>
      </c>
      <c r="I79" s="459">
        <v>2356444800</v>
      </c>
      <c r="J79" s="459">
        <v>424160064</v>
      </c>
      <c r="K79" s="446">
        <f t="shared" si="12"/>
        <v>2780604864</v>
      </c>
      <c r="L79" s="446"/>
      <c r="M79" s="325">
        <f t="shared" si="3"/>
        <v>2780604864</v>
      </c>
      <c r="N79" s="325"/>
      <c r="O79" s="325"/>
      <c r="P79" s="429"/>
      <c r="Q79" s="325"/>
      <c r="R79" s="325"/>
      <c r="S79" s="330">
        <v>1</v>
      </c>
      <c r="T79" s="460" t="s">
        <v>1571</v>
      </c>
      <c r="U79" s="460"/>
      <c r="V79" s="460"/>
      <c r="W79" s="332">
        <f t="shared" si="13"/>
        <v>0</v>
      </c>
      <c r="X79" s="450"/>
      <c r="Y79" s="450"/>
      <c r="Z79" s="334">
        <f t="shared" si="9"/>
        <v>0</v>
      </c>
      <c r="AA79" s="334">
        <f t="shared" si="10"/>
        <v>0</v>
      </c>
      <c r="AB79" s="343">
        <f t="shared" si="6"/>
        <v>0</v>
      </c>
      <c r="AC79" s="335">
        <f t="shared" si="6"/>
        <v>0</v>
      </c>
      <c r="AD79" s="325"/>
      <c r="AE79" s="325"/>
      <c r="AF79" s="325"/>
      <c r="AG79" s="461" t="s">
        <v>1572</v>
      </c>
    </row>
    <row r="80" spans="2:33" s="444" customFormat="1" ht="40.799999999999997">
      <c r="B80" s="337" t="s">
        <v>8</v>
      </c>
      <c r="C80" s="319" t="s">
        <v>927</v>
      </c>
      <c r="D80" s="320" t="s">
        <v>1100</v>
      </c>
      <c r="E80" s="445" t="s">
        <v>947</v>
      </c>
      <c r="F80" s="322" t="s">
        <v>1573</v>
      </c>
      <c r="G80" s="323" t="s">
        <v>1019</v>
      </c>
      <c r="H80" s="323">
        <v>1</v>
      </c>
      <c r="I80" s="462"/>
      <c r="J80" s="462"/>
      <c r="K80" s="446">
        <f t="shared" si="12"/>
        <v>0</v>
      </c>
      <c r="L80" s="446"/>
      <c r="M80" s="325">
        <f t="shared" si="3"/>
        <v>0</v>
      </c>
      <c r="N80" s="325"/>
      <c r="O80" s="325"/>
      <c r="P80" s="429"/>
      <c r="Q80" s="325"/>
      <c r="R80" s="325"/>
      <c r="S80" s="330" t="s">
        <v>108</v>
      </c>
      <c r="T80" s="322" t="s">
        <v>1574</v>
      </c>
      <c r="U80" s="322"/>
      <c r="V80" s="322"/>
      <c r="W80" s="332">
        <f t="shared" si="13"/>
        <v>0</v>
      </c>
      <c r="X80" s="450"/>
      <c r="Y80" s="450"/>
      <c r="Z80" s="334" t="e">
        <f t="shared" si="9"/>
        <v>#DIV/0!</v>
      </c>
      <c r="AA80" s="334" t="e">
        <f t="shared" si="10"/>
        <v>#DIV/0!</v>
      </c>
      <c r="AB80" s="343">
        <f t="shared" si="6"/>
        <v>0</v>
      </c>
      <c r="AC80" s="335">
        <f t="shared" si="6"/>
        <v>0</v>
      </c>
      <c r="AD80" s="325"/>
      <c r="AE80" s="325"/>
      <c r="AF80" s="325"/>
      <c r="AG80" s="463" t="s">
        <v>1575</v>
      </c>
    </row>
    <row r="81" spans="2:33" s="444" customFormat="1" ht="40.799999999999997">
      <c r="B81" s="337" t="s">
        <v>8</v>
      </c>
      <c r="C81" s="319" t="s">
        <v>927</v>
      </c>
      <c r="D81" s="320" t="s">
        <v>1100</v>
      </c>
      <c r="E81" s="445" t="s">
        <v>947</v>
      </c>
      <c r="F81" s="322" t="s">
        <v>1576</v>
      </c>
      <c r="G81" s="323" t="s">
        <v>1019</v>
      </c>
      <c r="H81" s="323">
        <v>1</v>
      </c>
      <c r="I81" s="462"/>
      <c r="J81" s="462"/>
      <c r="K81" s="446">
        <f t="shared" si="12"/>
        <v>0</v>
      </c>
      <c r="L81" s="446"/>
      <c r="M81" s="325">
        <f t="shared" si="3"/>
        <v>0</v>
      </c>
      <c r="N81" s="325"/>
      <c r="O81" s="325"/>
      <c r="P81" s="429"/>
      <c r="Q81" s="325"/>
      <c r="R81" s="325"/>
      <c r="S81" s="330" t="s">
        <v>108</v>
      </c>
      <c r="T81" s="410" t="s">
        <v>1577</v>
      </c>
      <c r="U81" s="410"/>
      <c r="V81" s="410"/>
      <c r="W81" s="332">
        <f t="shared" si="13"/>
        <v>0</v>
      </c>
      <c r="X81" s="450"/>
      <c r="Y81" s="450"/>
      <c r="Z81" s="334" t="e">
        <f t="shared" si="9"/>
        <v>#DIV/0!</v>
      </c>
      <c r="AA81" s="334" t="e">
        <f t="shared" si="10"/>
        <v>#DIV/0!</v>
      </c>
      <c r="AB81" s="343">
        <f t="shared" si="6"/>
        <v>0</v>
      </c>
      <c r="AC81" s="335">
        <f t="shared" si="6"/>
        <v>0</v>
      </c>
      <c r="AD81" s="325"/>
      <c r="AE81" s="325"/>
      <c r="AF81" s="325"/>
      <c r="AG81" s="463" t="s">
        <v>1575</v>
      </c>
    </row>
    <row r="82" spans="2:33" s="444" customFormat="1" ht="27.6">
      <c r="B82" s="361" t="s">
        <v>8</v>
      </c>
      <c r="C82" s="349" t="s">
        <v>1012</v>
      </c>
      <c r="D82" s="320" t="s">
        <v>1088</v>
      </c>
      <c r="E82" s="257" t="s">
        <v>1578</v>
      </c>
      <c r="F82" s="322" t="s">
        <v>1101</v>
      </c>
      <c r="G82" s="464" t="s">
        <v>805</v>
      </c>
      <c r="H82" s="465">
        <v>0.4</v>
      </c>
      <c r="I82" s="324"/>
      <c r="J82" s="324"/>
      <c r="K82" s="446">
        <f t="shared" si="12"/>
        <v>0</v>
      </c>
      <c r="L82" s="397"/>
      <c r="M82" s="325">
        <f t="shared" ref="M82:M158" si="14">+K82+L82</f>
        <v>0</v>
      </c>
      <c r="N82" s="325"/>
      <c r="O82" s="325"/>
      <c r="P82" s="429"/>
      <c r="Q82" s="325"/>
      <c r="R82" s="325"/>
      <c r="S82" s="330">
        <v>0.15</v>
      </c>
      <c r="T82" s="466" t="s">
        <v>1579</v>
      </c>
      <c r="U82" s="466"/>
      <c r="V82" s="466"/>
      <c r="W82" s="332">
        <f t="shared" si="13"/>
        <v>0</v>
      </c>
      <c r="X82" s="450"/>
      <c r="Y82" s="450"/>
      <c r="Z82" s="334" t="e">
        <f t="shared" si="9"/>
        <v>#DIV/0!</v>
      </c>
      <c r="AA82" s="334" t="e">
        <f t="shared" si="10"/>
        <v>#DIV/0!</v>
      </c>
      <c r="AB82" s="343">
        <f t="shared" si="6"/>
        <v>0</v>
      </c>
      <c r="AC82" s="335">
        <f t="shared" si="6"/>
        <v>0</v>
      </c>
      <c r="AD82" s="325"/>
      <c r="AE82" s="325"/>
      <c r="AF82" s="325"/>
      <c r="AG82" s="450"/>
    </row>
    <row r="83" spans="2:33" s="444" customFormat="1" ht="81.599999999999994">
      <c r="B83" s="361" t="s">
        <v>8</v>
      </c>
      <c r="C83" s="349" t="s">
        <v>1012</v>
      </c>
      <c r="D83" s="320" t="s">
        <v>1088</v>
      </c>
      <c r="E83" s="257" t="s">
        <v>1580</v>
      </c>
      <c r="F83" s="322" t="s">
        <v>1102</v>
      </c>
      <c r="G83" s="464" t="s">
        <v>805</v>
      </c>
      <c r="H83" s="465">
        <v>0.4</v>
      </c>
      <c r="I83" s="324"/>
      <c r="J83" s="324"/>
      <c r="K83" s="446">
        <f t="shared" si="12"/>
        <v>0</v>
      </c>
      <c r="L83" s="397"/>
      <c r="M83" s="325">
        <f t="shared" si="14"/>
        <v>0</v>
      </c>
      <c r="N83" s="325"/>
      <c r="O83" s="325"/>
      <c r="P83" s="429"/>
      <c r="Q83" s="325"/>
      <c r="R83" s="325"/>
      <c r="S83" s="330">
        <v>0.15</v>
      </c>
      <c r="T83" s="203" t="s">
        <v>1581</v>
      </c>
      <c r="U83" s="203"/>
      <c r="V83" s="203"/>
      <c r="W83" s="332">
        <f t="shared" si="13"/>
        <v>0</v>
      </c>
      <c r="X83" s="450"/>
      <c r="Y83" s="450"/>
      <c r="Z83" s="334" t="e">
        <f t="shared" si="9"/>
        <v>#DIV/0!</v>
      </c>
      <c r="AA83" s="334" t="e">
        <f t="shared" si="10"/>
        <v>#DIV/0!</v>
      </c>
      <c r="AB83" s="343">
        <f t="shared" ref="AB83:AC147" si="15">+U83-X83</f>
        <v>0</v>
      </c>
      <c r="AC83" s="335">
        <f t="shared" si="15"/>
        <v>0</v>
      </c>
      <c r="AD83" s="325"/>
      <c r="AE83" s="325"/>
      <c r="AF83" s="325"/>
      <c r="AG83" s="467" t="s">
        <v>1582</v>
      </c>
    </row>
    <row r="84" spans="2:33" s="444" customFormat="1" ht="20.399999999999999">
      <c r="B84" s="318" t="s">
        <v>8</v>
      </c>
      <c r="C84" s="349" t="s">
        <v>12</v>
      </c>
      <c r="D84" s="320" t="s">
        <v>1103</v>
      </c>
      <c r="E84" s="468" t="s">
        <v>1583</v>
      </c>
      <c r="F84" s="322" t="s">
        <v>1104</v>
      </c>
      <c r="G84" s="323" t="s">
        <v>1019</v>
      </c>
      <c r="H84" s="323">
        <v>1</v>
      </c>
      <c r="I84" s="396">
        <v>376179479</v>
      </c>
      <c r="J84" s="396">
        <v>67712306.219999999</v>
      </c>
      <c r="K84" s="446">
        <f t="shared" si="12"/>
        <v>443891785.22000003</v>
      </c>
      <c r="L84" s="469"/>
      <c r="M84" s="325">
        <f t="shared" si="14"/>
        <v>443891785.22000003</v>
      </c>
      <c r="N84" s="325"/>
      <c r="O84" s="325"/>
      <c r="P84" s="429"/>
      <c r="Q84" s="325"/>
      <c r="R84" s="325"/>
      <c r="S84" s="330">
        <v>1</v>
      </c>
      <c r="T84" s="319" t="s">
        <v>1584</v>
      </c>
      <c r="U84" s="470">
        <v>306004448</v>
      </c>
      <c r="V84" s="470">
        <v>55080800.639999993</v>
      </c>
      <c r="W84" s="332">
        <f t="shared" si="13"/>
        <v>361085248.63999999</v>
      </c>
      <c r="X84" s="471">
        <v>306004448</v>
      </c>
      <c r="Y84" s="450"/>
      <c r="Z84" s="334">
        <f t="shared" si="9"/>
        <v>0.68936722460033628</v>
      </c>
      <c r="AA84" s="334">
        <f t="shared" si="10"/>
        <v>0.81345332502839685</v>
      </c>
      <c r="AB84" s="343">
        <f t="shared" si="15"/>
        <v>0</v>
      </c>
      <c r="AC84" s="335">
        <f t="shared" si="15"/>
        <v>55080800.639999993</v>
      </c>
      <c r="AD84" s="325"/>
      <c r="AE84" s="325"/>
      <c r="AF84" s="325"/>
      <c r="AG84" s="450"/>
    </row>
    <row r="85" spans="2:33" s="444" customFormat="1" ht="40.799999999999997">
      <c r="B85" s="318" t="s">
        <v>8</v>
      </c>
      <c r="C85" s="349" t="s">
        <v>12</v>
      </c>
      <c r="D85" s="320" t="s">
        <v>1585</v>
      </c>
      <c r="E85" s="255" t="s">
        <v>1586</v>
      </c>
      <c r="F85" s="322" t="s">
        <v>1587</v>
      </c>
      <c r="G85" s="323" t="s">
        <v>1019</v>
      </c>
      <c r="H85" s="323">
        <v>1</v>
      </c>
      <c r="I85" s="396">
        <v>414696374</v>
      </c>
      <c r="J85" s="396">
        <v>74645347.319999993</v>
      </c>
      <c r="K85" s="446">
        <f t="shared" si="12"/>
        <v>489341721.31999999</v>
      </c>
      <c r="L85" s="469"/>
      <c r="M85" s="325">
        <f t="shared" si="14"/>
        <v>489341721.31999999</v>
      </c>
      <c r="N85" s="325"/>
      <c r="O85" s="325"/>
      <c r="P85" s="429"/>
      <c r="Q85" s="325"/>
      <c r="R85" s="325"/>
      <c r="S85" s="330">
        <v>1</v>
      </c>
      <c r="T85" s="319" t="s">
        <v>1588</v>
      </c>
      <c r="U85" s="470">
        <v>331953870</v>
      </c>
      <c r="V85" s="470">
        <v>59751696.599999994</v>
      </c>
      <c r="W85" s="332">
        <f t="shared" si="13"/>
        <v>391705566.60000002</v>
      </c>
      <c r="X85" s="471">
        <v>331953870</v>
      </c>
      <c r="Y85" s="450"/>
      <c r="Z85" s="334">
        <f t="shared" si="9"/>
        <v>0.67836821496551314</v>
      </c>
      <c r="AA85" s="334">
        <f t="shared" si="10"/>
        <v>0.80047449365930556</v>
      </c>
      <c r="AB85" s="343">
        <f t="shared" si="15"/>
        <v>0</v>
      </c>
      <c r="AC85" s="335">
        <f t="shared" si="15"/>
        <v>59751696.599999994</v>
      </c>
      <c r="AD85" s="325"/>
      <c r="AE85" s="325"/>
      <c r="AF85" s="325"/>
      <c r="AG85" s="450"/>
    </row>
    <row r="86" spans="2:33" s="444" customFormat="1" ht="30.6">
      <c r="B86" s="318" t="s">
        <v>8</v>
      </c>
      <c r="C86" s="349" t="s">
        <v>12</v>
      </c>
      <c r="D86" s="320" t="s">
        <v>1589</v>
      </c>
      <c r="E86" s="255" t="s">
        <v>1590</v>
      </c>
      <c r="F86" s="322" t="s">
        <v>1591</v>
      </c>
      <c r="G86" s="323" t="s">
        <v>1019</v>
      </c>
      <c r="H86" s="323">
        <v>1</v>
      </c>
      <c r="I86" s="396">
        <v>370165000</v>
      </c>
      <c r="J86" s="396">
        <v>66629700</v>
      </c>
      <c r="K86" s="446">
        <f t="shared" si="12"/>
        <v>436794700</v>
      </c>
      <c r="L86" s="469"/>
      <c r="M86" s="325">
        <f t="shared" si="14"/>
        <v>436794700</v>
      </c>
      <c r="N86" s="472">
        <v>44277</v>
      </c>
      <c r="O86" s="325">
        <v>12</v>
      </c>
      <c r="P86" s="473">
        <v>44703</v>
      </c>
      <c r="Q86" s="325"/>
      <c r="R86" s="325"/>
      <c r="S86" s="330">
        <v>1</v>
      </c>
      <c r="T86" s="319" t="s">
        <v>1592</v>
      </c>
      <c r="U86" s="470">
        <v>336000900</v>
      </c>
      <c r="V86" s="470">
        <v>60480162</v>
      </c>
      <c r="W86" s="332">
        <f t="shared" si="13"/>
        <v>396481062</v>
      </c>
      <c r="X86" s="449">
        <v>336000900</v>
      </c>
      <c r="Y86" s="450"/>
      <c r="Z86" s="334">
        <f t="shared" si="9"/>
        <v>0.76924216342368623</v>
      </c>
      <c r="AA86" s="334">
        <f t="shared" si="10"/>
        <v>0.9077057528399497</v>
      </c>
      <c r="AB86" s="343">
        <f t="shared" si="15"/>
        <v>0</v>
      </c>
      <c r="AC86" s="335">
        <f t="shared" si="15"/>
        <v>60480162</v>
      </c>
      <c r="AD86" s="325"/>
      <c r="AE86" s="325"/>
      <c r="AF86" s="325"/>
      <c r="AG86" s="450"/>
    </row>
    <row r="87" spans="2:33" s="444" customFormat="1" ht="142.80000000000001">
      <c r="B87" s="365" t="s">
        <v>8</v>
      </c>
      <c r="C87" s="349" t="s">
        <v>12</v>
      </c>
      <c r="D87" s="320" t="s">
        <v>1105</v>
      </c>
      <c r="E87" s="255" t="s">
        <v>1593</v>
      </c>
      <c r="F87" s="322" t="s">
        <v>1106</v>
      </c>
      <c r="G87" s="323" t="s">
        <v>1019</v>
      </c>
      <c r="H87" s="323">
        <v>1</v>
      </c>
      <c r="I87" s="396">
        <v>1336971600</v>
      </c>
      <c r="J87" s="396">
        <v>240654888</v>
      </c>
      <c r="K87" s="446">
        <f t="shared" si="12"/>
        <v>1577626488</v>
      </c>
      <c r="L87" s="469"/>
      <c r="M87" s="325">
        <f t="shared" si="14"/>
        <v>1577626488</v>
      </c>
      <c r="N87" s="474" t="s">
        <v>1594</v>
      </c>
      <c r="O87" s="475">
        <v>13</v>
      </c>
      <c r="P87" s="476">
        <v>44703</v>
      </c>
      <c r="Q87" s="325">
        <v>1</v>
      </c>
      <c r="R87" s="477">
        <v>45050</v>
      </c>
      <c r="S87" s="330">
        <v>0.95</v>
      </c>
      <c r="T87" s="322" t="s">
        <v>1595</v>
      </c>
      <c r="U87" s="402">
        <v>1336971600</v>
      </c>
      <c r="V87" s="402">
        <v>240654888</v>
      </c>
      <c r="W87" s="332">
        <f t="shared" si="13"/>
        <v>1577626488</v>
      </c>
      <c r="X87" s="449">
        <v>601741820</v>
      </c>
      <c r="Y87" s="449">
        <v>60182550</v>
      </c>
      <c r="Z87" s="334">
        <f t="shared" si="9"/>
        <v>0.41956976193974754</v>
      </c>
      <c r="AA87" s="334">
        <f t="shared" si="10"/>
        <v>0.45007823651601875</v>
      </c>
      <c r="AB87" s="343">
        <f t="shared" si="15"/>
        <v>735229780</v>
      </c>
      <c r="AC87" s="335">
        <f t="shared" si="15"/>
        <v>180472338</v>
      </c>
      <c r="AD87" s="325"/>
      <c r="AE87" s="325"/>
      <c r="AF87" s="325"/>
      <c r="AG87" s="336" t="s">
        <v>1596</v>
      </c>
    </row>
    <row r="88" spans="2:33" s="444" customFormat="1" ht="163.19999999999999">
      <c r="B88" s="365" t="s">
        <v>8</v>
      </c>
      <c r="C88" s="349" t="s">
        <v>12</v>
      </c>
      <c r="D88" s="320" t="s">
        <v>1107</v>
      </c>
      <c r="E88" s="255" t="s">
        <v>1597</v>
      </c>
      <c r="F88" s="322" t="s">
        <v>1108</v>
      </c>
      <c r="G88" s="323" t="s">
        <v>1019</v>
      </c>
      <c r="H88" s="323">
        <v>1</v>
      </c>
      <c r="I88" s="396">
        <v>1453750000</v>
      </c>
      <c r="J88" s="396">
        <v>261675000</v>
      </c>
      <c r="K88" s="446">
        <f t="shared" si="12"/>
        <v>1715425000</v>
      </c>
      <c r="L88" s="469"/>
      <c r="M88" s="325">
        <f t="shared" si="14"/>
        <v>1715425000</v>
      </c>
      <c r="N88" s="478">
        <v>44277</v>
      </c>
      <c r="O88" s="325">
        <v>13</v>
      </c>
      <c r="P88" s="479">
        <v>44703</v>
      </c>
      <c r="Q88" s="325">
        <v>1</v>
      </c>
      <c r="R88" s="478">
        <v>45049</v>
      </c>
      <c r="S88" s="330">
        <v>0.87</v>
      </c>
      <c r="T88" s="322" t="s">
        <v>1598</v>
      </c>
      <c r="U88" s="402">
        <v>1163000000</v>
      </c>
      <c r="V88" s="402">
        <v>209340000</v>
      </c>
      <c r="W88" s="332">
        <f t="shared" si="13"/>
        <v>1372340000</v>
      </c>
      <c r="X88" s="449">
        <v>908586750</v>
      </c>
      <c r="Y88" s="450"/>
      <c r="Z88" s="334">
        <f t="shared" si="9"/>
        <v>0.52965693632773214</v>
      </c>
      <c r="AA88" s="334">
        <f t="shared" si="10"/>
        <v>0.62499518486672401</v>
      </c>
      <c r="AB88" s="343">
        <f t="shared" si="15"/>
        <v>254413250</v>
      </c>
      <c r="AC88" s="335">
        <f t="shared" si="15"/>
        <v>209340000</v>
      </c>
      <c r="AD88" s="325"/>
      <c r="AE88" s="325"/>
      <c r="AF88" s="325"/>
      <c r="AG88" s="336" t="s">
        <v>1596</v>
      </c>
    </row>
    <row r="89" spans="2:33" s="444" customFormat="1" ht="122.4">
      <c r="B89" s="365" t="s">
        <v>8</v>
      </c>
      <c r="C89" s="349" t="s">
        <v>12</v>
      </c>
      <c r="D89" s="320" t="s">
        <v>1109</v>
      </c>
      <c r="E89" s="255" t="s">
        <v>1599</v>
      </c>
      <c r="F89" s="322" t="s">
        <v>1110</v>
      </c>
      <c r="G89" s="323" t="s">
        <v>1019</v>
      </c>
      <c r="H89" s="323">
        <v>1</v>
      </c>
      <c r="I89" s="393">
        <v>1613418197</v>
      </c>
      <c r="J89" s="396">
        <v>290415275.45999998</v>
      </c>
      <c r="K89" s="446">
        <f t="shared" si="12"/>
        <v>1903833472.46</v>
      </c>
      <c r="L89" s="469"/>
      <c r="M89" s="325">
        <f t="shared" si="14"/>
        <v>1903833472.46</v>
      </c>
      <c r="N89" s="472">
        <v>44278</v>
      </c>
      <c r="O89" s="325">
        <v>13</v>
      </c>
      <c r="P89" s="473">
        <v>44704</v>
      </c>
      <c r="Q89" s="325">
        <v>1</v>
      </c>
      <c r="R89" s="451">
        <v>45050</v>
      </c>
      <c r="S89" s="330">
        <v>0.77</v>
      </c>
      <c r="T89" s="322" t="s">
        <v>1600</v>
      </c>
      <c r="U89" s="402">
        <v>1006838753</v>
      </c>
      <c r="V89" s="402">
        <v>181230975.53999996</v>
      </c>
      <c r="W89" s="332">
        <f t="shared" si="13"/>
        <v>1188069728.54</v>
      </c>
      <c r="X89" s="449">
        <v>726042139</v>
      </c>
      <c r="Y89" s="450"/>
      <c r="Z89" s="334">
        <f t="shared" si="9"/>
        <v>0.38135800714852403</v>
      </c>
      <c r="AA89" s="334">
        <f t="shared" si="10"/>
        <v>0.45000244843525833</v>
      </c>
      <c r="AB89" s="343">
        <f t="shared" si="15"/>
        <v>280796614</v>
      </c>
      <c r="AC89" s="335">
        <f t="shared" si="15"/>
        <v>181230975.53999996</v>
      </c>
      <c r="AD89" s="325"/>
      <c r="AE89" s="325"/>
      <c r="AF89" s="325"/>
      <c r="AG89" s="467" t="s">
        <v>1601</v>
      </c>
    </row>
    <row r="90" spans="2:33" s="444" customFormat="1" ht="71.400000000000006">
      <c r="B90" s="400" t="s">
        <v>8</v>
      </c>
      <c r="C90" s="349" t="s">
        <v>12</v>
      </c>
      <c r="D90" s="320" t="s">
        <v>1107</v>
      </c>
      <c r="E90" s="255" t="s">
        <v>1602</v>
      </c>
      <c r="F90" s="322" t="s">
        <v>1111</v>
      </c>
      <c r="G90" s="323" t="s">
        <v>1019</v>
      </c>
      <c r="H90" s="323">
        <v>1</v>
      </c>
      <c r="I90" s="393">
        <v>1396750000</v>
      </c>
      <c r="J90" s="396">
        <v>251415000</v>
      </c>
      <c r="K90" s="446">
        <f t="shared" si="12"/>
        <v>1648165000</v>
      </c>
      <c r="L90" s="469"/>
      <c r="M90" s="325">
        <f t="shared" si="14"/>
        <v>1648165000</v>
      </c>
      <c r="N90" s="478">
        <v>44278</v>
      </c>
      <c r="O90" s="325">
        <v>13</v>
      </c>
      <c r="P90" s="479">
        <v>44643</v>
      </c>
      <c r="Q90" s="325">
        <v>1</v>
      </c>
      <c r="R90" s="480">
        <v>45099</v>
      </c>
      <c r="S90" s="330">
        <v>0.2</v>
      </c>
      <c r="T90" s="322" t="s">
        <v>1603</v>
      </c>
      <c r="U90" s="402">
        <v>419025050</v>
      </c>
      <c r="V90" s="402">
        <v>75424509</v>
      </c>
      <c r="W90" s="332">
        <f t="shared" si="13"/>
        <v>494449559</v>
      </c>
      <c r="X90" s="449">
        <v>419025050</v>
      </c>
      <c r="Y90" s="450"/>
      <c r="Z90" s="334">
        <f t="shared" si="9"/>
        <v>0.2542373184723617</v>
      </c>
      <c r="AA90" s="334">
        <f t="shared" si="10"/>
        <v>0.30000003579738677</v>
      </c>
      <c r="AB90" s="343">
        <f t="shared" si="15"/>
        <v>0</v>
      </c>
      <c r="AC90" s="335">
        <f t="shared" si="15"/>
        <v>75424509</v>
      </c>
      <c r="AD90" s="325"/>
      <c r="AE90" s="325"/>
      <c r="AF90" s="325"/>
      <c r="AG90" s="467" t="s">
        <v>1604</v>
      </c>
    </row>
    <row r="91" spans="2:33" s="444" customFormat="1" ht="20.399999999999999">
      <c r="B91" s="318" t="s">
        <v>8</v>
      </c>
      <c r="C91" s="349" t="s">
        <v>12</v>
      </c>
      <c r="D91" s="320" t="s">
        <v>1112</v>
      </c>
      <c r="E91" s="255" t="s">
        <v>1605</v>
      </c>
      <c r="F91" s="322" t="s">
        <v>1038</v>
      </c>
      <c r="G91" s="323" t="s">
        <v>1019</v>
      </c>
      <c r="H91" s="323">
        <v>1</v>
      </c>
      <c r="I91" s="393">
        <v>311200000</v>
      </c>
      <c r="J91" s="393">
        <v>56016000</v>
      </c>
      <c r="K91" s="446">
        <f t="shared" si="12"/>
        <v>367216000</v>
      </c>
      <c r="L91" s="481">
        <v>0</v>
      </c>
      <c r="M91" s="325">
        <f t="shared" si="14"/>
        <v>367216000</v>
      </c>
      <c r="N91" s="477">
        <v>44312</v>
      </c>
      <c r="O91" s="325">
        <v>15</v>
      </c>
      <c r="P91" s="476">
        <v>44767</v>
      </c>
      <c r="Q91" s="482" t="s">
        <v>1606</v>
      </c>
      <c r="R91" s="477">
        <v>44767</v>
      </c>
      <c r="S91" s="330">
        <v>1</v>
      </c>
      <c r="T91" s="322" t="s">
        <v>1607</v>
      </c>
      <c r="U91" s="402">
        <v>303700000</v>
      </c>
      <c r="V91" s="402">
        <v>54666000</v>
      </c>
      <c r="W91" s="332">
        <f t="shared" si="13"/>
        <v>358366000</v>
      </c>
      <c r="X91" s="449">
        <v>303700000</v>
      </c>
      <c r="Y91" s="450"/>
      <c r="Z91" s="334">
        <f t="shared" si="9"/>
        <v>0.82703368044965364</v>
      </c>
      <c r="AA91" s="334">
        <f t="shared" si="10"/>
        <v>0.97589974293059123</v>
      </c>
      <c r="AB91" s="343">
        <f t="shared" si="15"/>
        <v>0</v>
      </c>
      <c r="AC91" s="335">
        <f t="shared" si="15"/>
        <v>54666000</v>
      </c>
      <c r="AD91" s="325"/>
      <c r="AE91" s="325"/>
      <c r="AF91" s="325"/>
      <c r="AG91" s="347" t="s">
        <v>1608</v>
      </c>
    </row>
    <row r="92" spans="2:33" s="444" customFormat="1" ht="20.399999999999999">
      <c r="B92" s="400" t="s">
        <v>8</v>
      </c>
      <c r="C92" s="349" t="s">
        <v>13</v>
      </c>
      <c r="D92" s="483" t="s">
        <v>1609</v>
      </c>
      <c r="E92" s="463" t="s">
        <v>1610</v>
      </c>
      <c r="F92" s="322" t="s">
        <v>1611</v>
      </c>
      <c r="G92" s="484" t="s">
        <v>805</v>
      </c>
      <c r="H92" s="485">
        <v>0.75</v>
      </c>
      <c r="I92" s="393">
        <v>598403025</v>
      </c>
      <c r="J92" s="393">
        <v>107712545</v>
      </c>
      <c r="K92" s="446">
        <f t="shared" si="12"/>
        <v>706115570</v>
      </c>
      <c r="L92" s="486">
        <v>0</v>
      </c>
      <c r="M92" s="325">
        <f t="shared" si="14"/>
        <v>706115570</v>
      </c>
      <c r="N92" s="346" t="s">
        <v>1610</v>
      </c>
      <c r="O92" s="325"/>
      <c r="P92" s="429"/>
      <c r="Q92" s="325"/>
      <c r="R92" s="325"/>
      <c r="S92" s="330">
        <v>0.2</v>
      </c>
      <c r="T92" s="322" t="s">
        <v>1612</v>
      </c>
      <c r="U92" s="322"/>
      <c r="V92" s="322"/>
      <c r="W92" s="332">
        <f t="shared" si="13"/>
        <v>0</v>
      </c>
      <c r="X92" s="450"/>
      <c r="Y92" s="450"/>
      <c r="Z92" s="334">
        <f t="shared" si="9"/>
        <v>0</v>
      </c>
      <c r="AA92" s="334">
        <f t="shared" si="10"/>
        <v>0</v>
      </c>
      <c r="AB92" s="343">
        <f t="shared" si="15"/>
        <v>0</v>
      </c>
      <c r="AC92" s="335">
        <f t="shared" si="15"/>
        <v>0</v>
      </c>
      <c r="AD92" s="325"/>
      <c r="AE92" s="325"/>
      <c r="AF92" s="325"/>
      <c r="AG92" s="450"/>
    </row>
    <row r="93" spans="2:33" s="444" customFormat="1" ht="20.399999999999999">
      <c r="B93" s="400" t="s">
        <v>8</v>
      </c>
      <c r="C93" s="349" t="s">
        <v>13</v>
      </c>
      <c r="D93" s="483" t="s">
        <v>1613</v>
      </c>
      <c r="E93" s="463" t="s">
        <v>1610</v>
      </c>
      <c r="F93" s="322" t="s">
        <v>1611</v>
      </c>
      <c r="G93" s="484" t="s">
        <v>805</v>
      </c>
      <c r="H93" s="485">
        <v>0.75</v>
      </c>
      <c r="I93" s="393">
        <v>572939865</v>
      </c>
      <c r="J93" s="393">
        <v>103129176</v>
      </c>
      <c r="K93" s="446">
        <f t="shared" si="12"/>
        <v>676069041</v>
      </c>
      <c r="L93" s="486">
        <v>0</v>
      </c>
      <c r="M93" s="325"/>
      <c r="N93" s="346" t="s">
        <v>1610</v>
      </c>
      <c r="O93" s="325"/>
      <c r="P93" s="429"/>
      <c r="Q93" s="325"/>
      <c r="R93" s="325"/>
      <c r="S93" s="330"/>
      <c r="T93" s="322"/>
      <c r="U93" s="322"/>
      <c r="V93" s="322"/>
      <c r="W93" s="332">
        <f t="shared" si="13"/>
        <v>0</v>
      </c>
      <c r="X93" s="450"/>
      <c r="Y93" s="450"/>
      <c r="Z93" s="334" t="e">
        <f t="shared" si="9"/>
        <v>#DIV/0!</v>
      </c>
      <c r="AA93" s="334">
        <f t="shared" si="10"/>
        <v>0</v>
      </c>
      <c r="AB93" s="343">
        <f t="shared" si="15"/>
        <v>0</v>
      </c>
      <c r="AC93" s="335">
        <f t="shared" si="15"/>
        <v>0</v>
      </c>
      <c r="AD93" s="325"/>
      <c r="AE93" s="325"/>
      <c r="AF93" s="325"/>
      <c r="AG93" s="450"/>
    </row>
    <row r="94" spans="2:33" s="444" customFormat="1" ht="20.399999999999999">
      <c r="B94" s="400" t="s">
        <v>8</v>
      </c>
      <c r="C94" s="349" t="s">
        <v>13</v>
      </c>
      <c r="D94" s="483" t="s">
        <v>1614</v>
      </c>
      <c r="E94" s="463" t="s">
        <v>1610</v>
      </c>
      <c r="F94" s="322" t="s">
        <v>1611</v>
      </c>
      <c r="G94" s="484" t="s">
        <v>805</v>
      </c>
      <c r="H94" s="485">
        <v>0.75</v>
      </c>
      <c r="I94" s="393">
        <v>440009280</v>
      </c>
      <c r="J94" s="393">
        <v>79201670</v>
      </c>
      <c r="K94" s="446">
        <f t="shared" si="12"/>
        <v>519210950</v>
      </c>
      <c r="L94" s="486">
        <v>0</v>
      </c>
      <c r="M94" s="325"/>
      <c r="N94" s="346" t="s">
        <v>1610</v>
      </c>
      <c r="O94" s="325"/>
      <c r="P94" s="429"/>
      <c r="Q94" s="325"/>
      <c r="R94" s="325"/>
      <c r="S94" s="330"/>
      <c r="T94" s="322"/>
      <c r="U94" s="322"/>
      <c r="V94" s="322"/>
      <c r="W94" s="332">
        <f t="shared" si="13"/>
        <v>0</v>
      </c>
      <c r="X94" s="450"/>
      <c r="Y94" s="450"/>
      <c r="Z94" s="334" t="e">
        <f t="shared" si="9"/>
        <v>#DIV/0!</v>
      </c>
      <c r="AA94" s="334">
        <f t="shared" si="10"/>
        <v>0</v>
      </c>
      <c r="AB94" s="343">
        <f t="shared" si="15"/>
        <v>0</v>
      </c>
      <c r="AC94" s="335">
        <f t="shared" si="15"/>
        <v>0</v>
      </c>
      <c r="AD94" s="325"/>
      <c r="AE94" s="325"/>
      <c r="AF94" s="325"/>
      <c r="AG94" s="450"/>
    </row>
    <row r="95" spans="2:33" s="444" customFormat="1" ht="30.6">
      <c r="B95" s="400" t="s">
        <v>8</v>
      </c>
      <c r="C95" s="349" t="s">
        <v>13</v>
      </c>
      <c r="D95" s="483" t="s">
        <v>1615</v>
      </c>
      <c r="E95" s="463" t="s">
        <v>1610</v>
      </c>
      <c r="F95" s="322" t="s">
        <v>1611</v>
      </c>
      <c r="G95" s="484" t="s">
        <v>805</v>
      </c>
      <c r="H95" s="485">
        <v>0.75</v>
      </c>
      <c r="I95" s="393">
        <v>445318212</v>
      </c>
      <c r="J95" s="393">
        <v>80157278</v>
      </c>
      <c r="K95" s="446">
        <f t="shared" si="12"/>
        <v>525475490</v>
      </c>
      <c r="L95" s="486">
        <v>0</v>
      </c>
      <c r="M95" s="325"/>
      <c r="N95" s="346" t="s">
        <v>1610</v>
      </c>
      <c r="O95" s="325"/>
      <c r="P95" s="429"/>
      <c r="Q95" s="325"/>
      <c r="R95" s="325"/>
      <c r="S95" s="330"/>
      <c r="T95" s="322"/>
      <c r="U95" s="322"/>
      <c r="V95" s="322"/>
      <c r="W95" s="332">
        <f t="shared" si="13"/>
        <v>0</v>
      </c>
      <c r="X95" s="450"/>
      <c r="Y95" s="450"/>
      <c r="Z95" s="334" t="e">
        <f t="shared" si="9"/>
        <v>#DIV/0!</v>
      </c>
      <c r="AA95" s="334">
        <f t="shared" si="10"/>
        <v>0</v>
      </c>
      <c r="AB95" s="343">
        <f t="shared" si="15"/>
        <v>0</v>
      </c>
      <c r="AC95" s="335">
        <f t="shared" si="15"/>
        <v>0</v>
      </c>
      <c r="AD95" s="325"/>
      <c r="AE95" s="325"/>
      <c r="AF95" s="325"/>
      <c r="AG95" s="450"/>
    </row>
    <row r="96" spans="2:33" s="444" customFormat="1" ht="30.6" customHeight="1">
      <c r="B96" s="400" t="s">
        <v>8</v>
      </c>
      <c r="C96" s="349" t="s">
        <v>13</v>
      </c>
      <c r="D96" s="320" t="s">
        <v>1616</v>
      </c>
      <c r="E96" s="320" t="s">
        <v>1617</v>
      </c>
      <c r="F96" s="322" t="s">
        <v>1618</v>
      </c>
      <c r="G96" s="484" t="s">
        <v>805</v>
      </c>
      <c r="H96" s="485">
        <v>0.75</v>
      </c>
      <c r="I96" s="393">
        <v>156545000</v>
      </c>
      <c r="J96" s="393">
        <v>28178100</v>
      </c>
      <c r="K96" s="446">
        <f t="shared" si="12"/>
        <v>184723100</v>
      </c>
      <c r="L96" s="486">
        <v>0</v>
      </c>
      <c r="M96" s="325">
        <f t="shared" si="14"/>
        <v>184723100</v>
      </c>
      <c r="N96" s="409" t="s">
        <v>1619</v>
      </c>
      <c r="O96" s="325"/>
      <c r="P96" s="429"/>
      <c r="Q96" s="325"/>
      <c r="R96" s="325"/>
      <c r="S96" s="330">
        <v>0.2</v>
      </c>
      <c r="T96" s="322" t="s">
        <v>1620</v>
      </c>
      <c r="U96" s="322"/>
      <c r="V96" s="322"/>
      <c r="W96" s="332">
        <f t="shared" si="13"/>
        <v>0</v>
      </c>
      <c r="X96" s="450"/>
      <c r="Y96" s="450"/>
      <c r="Z96" s="334">
        <f t="shared" si="9"/>
        <v>0</v>
      </c>
      <c r="AA96" s="334">
        <f t="shared" si="10"/>
        <v>0</v>
      </c>
      <c r="AB96" s="343">
        <f t="shared" si="15"/>
        <v>0</v>
      </c>
      <c r="AC96" s="335">
        <f t="shared" si="15"/>
        <v>0</v>
      </c>
      <c r="AD96" s="325"/>
      <c r="AE96" s="325"/>
      <c r="AF96" s="325"/>
      <c r="AG96" s="450"/>
    </row>
    <row r="97" spans="2:33" s="444" customFormat="1" ht="30.6">
      <c r="B97" s="400" t="s">
        <v>8</v>
      </c>
      <c r="C97" s="349" t="s">
        <v>13</v>
      </c>
      <c r="D97" s="320" t="s">
        <v>64</v>
      </c>
      <c r="E97" s="320"/>
      <c r="F97" s="322" t="s">
        <v>1621</v>
      </c>
      <c r="G97" s="487" t="s">
        <v>64</v>
      </c>
      <c r="H97" s="488">
        <v>0</v>
      </c>
      <c r="I97" s="489"/>
      <c r="J97" s="489"/>
      <c r="K97" s="446">
        <f t="shared" si="12"/>
        <v>0</v>
      </c>
      <c r="L97" s="490"/>
      <c r="M97" s="325">
        <f t="shared" si="14"/>
        <v>0</v>
      </c>
      <c r="N97" s="325"/>
      <c r="O97" s="325"/>
      <c r="P97" s="429"/>
      <c r="Q97" s="325"/>
      <c r="R97" s="325"/>
      <c r="S97" s="330">
        <v>0</v>
      </c>
      <c r="T97" s="460" t="s">
        <v>64</v>
      </c>
      <c r="U97" s="460"/>
      <c r="V97" s="460"/>
      <c r="W97" s="332">
        <f t="shared" si="13"/>
        <v>0</v>
      </c>
      <c r="X97" s="450"/>
      <c r="Y97" s="450"/>
      <c r="Z97" s="334" t="e">
        <f t="shared" si="9"/>
        <v>#DIV/0!</v>
      </c>
      <c r="AA97" s="334" t="e">
        <f t="shared" si="10"/>
        <v>#DIV/0!</v>
      </c>
      <c r="AB97" s="343">
        <f t="shared" si="15"/>
        <v>0</v>
      </c>
      <c r="AC97" s="335">
        <f t="shared" si="15"/>
        <v>0</v>
      </c>
      <c r="AD97" s="325"/>
      <c r="AE97" s="325"/>
      <c r="AF97" s="325"/>
      <c r="AG97" s="450"/>
    </row>
    <row r="98" spans="2:33" s="444" customFormat="1" ht="20.399999999999999">
      <c r="B98" s="400" t="s">
        <v>8</v>
      </c>
      <c r="C98" s="349" t="s">
        <v>1155</v>
      </c>
      <c r="D98" s="320" t="s">
        <v>1088</v>
      </c>
      <c r="E98" s="320"/>
      <c r="F98" s="322" t="s">
        <v>1156</v>
      </c>
      <c r="G98" s="487" t="s">
        <v>64</v>
      </c>
      <c r="H98" s="488">
        <v>0</v>
      </c>
      <c r="I98" s="393"/>
      <c r="J98" s="393"/>
      <c r="K98" s="446">
        <f t="shared" si="12"/>
        <v>0</v>
      </c>
      <c r="L98" s="490"/>
      <c r="M98" s="325">
        <f t="shared" si="14"/>
        <v>0</v>
      </c>
      <c r="N98" s="325"/>
      <c r="O98" s="325"/>
      <c r="P98" s="429"/>
      <c r="Q98" s="325"/>
      <c r="R98" s="325"/>
      <c r="S98" s="330">
        <v>0</v>
      </c>
      <c r="T98" s="460" t="s">
        <v>64</v>
      </c>
      <c r="U98" s="460"/>
      <c r="V98" s="460"/>
      <c r="W98" s="332">
        <f t="shared" si="13"/>
        <v>0</v>
      </c>
      <c r="X98" s="450"/>
      <c r="Y98" s="450"/>
      <c r="Z98" s="334" t="e">
        <f t="shared" si="9"/>
        <v>#DIV/0!</v>
      </c>
      <c r="AA98" s="334" t="e">
        <f t="shared" si="10"/>
        <v>#DIV/0!</v>
      </c>
      <c r="AB98" s="343">
        <f t="shared" si="15"/>
        <v>0</v>
      </c>
      <c r="AC98" s="335">
        <f t="shared" si="15"/>
        <v>0</v>
      </c>
      <c r="AD98" s="325"/>
      <c r="AE98" s="325"/>
      <c r="AF98" s="325"/>
      <c r="AG98" s="450"/>
    </row>
    <row r="99" spans="2:33" s="444" customFormat="1" ht="20.399999999999999">
      <c r="B99" s="400" t="s">
        <v>8</v>
      </c>
      <c r="C99" s="349" t="s">
        <v>1113</v>
      </c>
      <c r="D99" s="377" t="s">
        <v>1114</v>
      </c>
      <c r="E99" s="377" t="s">
        <v>1622</v>
      </c>
      <c r="F99" s="322" t="s">
        <v>1115</v>
      </c>
      <c r="G99" s="323" t="s">
        <v>1019</v>
      </c>
      <c r="H99" s="323">
        <v>1</v>
      </c>
      <c r="I99" s="393">
        <v>430000000</v>
      </c>
      <c r="J99" s="393">
        <f>I99*18%</f>
        <v>77400000</v>
      </c>
      <c r="K99" s="446">
        <f t="shared" si="12"/>
        <v>507400000</v>
      </c>
      <c r="L99" s="397"/>
      <c r="M99" s="325">
        <f t="shared" si="14"/>
        <v>507400000</v>
      </c>
      <c r="N99" s="325"/>
      <c r="O99" s="325"/>
      <c r="P99" s="429"/>
      <c r="Q99" s="325"/>
      <c r="R99" s="325"/>
      <c r="S99" s="330">
        <v>0.2</v>
      </c>
      <c r="T99" s="331" t="s">
        <v>1623</v>
      </c>
      <c r="U99" s="332">
        <v>74127000</v>
      </c>
      <c r="V99" s="332">
        <v>13342860</v>
      </c>
      <c r="W99" s="332">
        <f t="shared" si="13"/>
        <v>87469860</v>
      </c>
      <c r="X99" s="449">
        <v>74127000</v>
      </c>
      <c r="Y99" s="450"/>
      <c r="Z99" s="334">
        <f t="shared" si="9"/>
        <v>0.14609184075679937</v>
      </c>
      <c r="AA99" s="334">
        <f t="shared" si="10"/>
        <v>0.17238837209302327</v>
      </c>
      <c r="AB99" s="343">
        <f t="shared" si="15"/>
        <v>0</v>
      </c>
      <c r="AC99" s="335">
        <f t="shared" si="15"/>
        <v>13342860</v>
      </c>
      <c r="AD99" s="325"/>
      <c r="AE99" s="325"/>
      <c r="AF99" s="325"/>
      <c r="AG99" s="450"/>
    </row>
    <row r="100" spans="2:33" s="444" customFormat="1" ht="61.2">
      <c r="B100" s="400" t="s">
        <v>8</v>
      </c>
      <c r="C100" s="349" t="s">
        <v>1058</v>
      </c>
      <c r="D100" s="350" t="s">
        <v>1624</v>
      </c>
      <c r="E100" s="257" t="s">
        <v>1625</v>
      </c>
      <c r="F100" s="322" t="s">
        <v>1626</v>
      </c>
      <c r="G100" s="323" t="s">
        <v>1019</v>
      </c>
      <c r="H100" s="323">
        <v>1</v>
      </c>
      <c r="I100" s="393">
        <v>797954808</v>
      </c>
      <c r="J100" s="393">
        <f>I100*18%</f>
        <v>143631865.44</v>
      </c>
      <c r="K100" s="446">
        <f t="shared" si="12"/>
        <v>941586673.44000006</v>
      </c>
      <c r="L100" s="486">
        <v>0</v>
      </c>
      <c r="M100" s="325">
        <f>+K100+L100</f>
        <v>941586673.44000006</v>
      </c>
      <c r="N100" s="325"/>
      <c r="O100" s="325"/>
      <c r="P100" s="429"/>
      <c r="Q100" s="325"/>
      <c r="R100" s="325"/>
      <c r="S100" s="330">
        <v>0.2</v>
      </c>
      <c r="T100" s="410" t="s">
        <v>1627</v>
      </c>
      <c r="U100" s="410"/>
      <c r="V100" s="410"/>
      <c r="W100" s="332">
        <f t="shared" si="13"/>
        <v>0</v>
      </c>
      <c r="X100" s="450"/>
      <c r="Y100" s="450"/>
      <c r="Z100" s="334">
        <f t="shared" si="9"/>
        <v>0</v>
      </c>
      <c r="AA100" s="334">
        <f t="shared" si="10"/>
        <v>0</v>
      </c>
      <c r="AB100" s="343">
        <f t="shared" si="15"/>
        <v>0</v>
      </c>
      <c r="AC100" s="335">
        <f t="shared" si="15"/>
        <v>0</v>
      </c>
      <c r="AD100" s="325"/>
      <c r="AE100" s="325"/>
      <c r="AF100" s="325"/>
      <c r="AG100" s="450"/>
    </row>
    <row r="101" spans="2:33" s="444" customFormat="1" ht="81.599999999999994">
      <c r="B101" s="337" t="s">
        <v>8</v>
      </c>
      <c r="C101" s="349" t="s">
        <v>1058</v>
      </c>
      <c r="D101" s="350" t="s">
        <v>1628</v>
      </c>
      <c r="E101" s="257" t="s">
        <v>1629</v>
      </c>
      <c r="F101" s="322" t="s">
        <v>1630</v>
      </c>
      <c r="G101" s="323" t="s">
        <v>1019</v>
      </c>
      <c r="H101" s="323">
        <v>1</v>
      </c>
      <c r="I101" s="491">
        <v>600277941</v>
      </c>
      <c r="J101" s="492">
        <f>I101*18%</f>
        <v>108050029.38</v>
      </c>
      <c r="K101" s="446">
        <f t="shared" si="12"/>
        <v>708327970.38</v>
      </c>
      <c r="L101" s="486">
        <v>0</v>
      </c>
      <c r="M101" s="325">
        <f t="shared" si="14"/>
        <v>708327970.38</v>
      </c>
      <c r="N101" s="325"/>
      <c r="O101" s="325"/>
      <c r="P101" s="429"/>
      <c r="Q101" s="325"/>
      <c r="R101" s="325"/>
      <c r="S101" s="330">
        <v>0.65</v>
      </c>
      <c r="T101" s="430" t="s">
        <v>1631</v>
      </c>
      <c r="U101" s="430"/>
      <c r="V101" s="430"/>
      <c r="W101" s="332">
        <f t="shared" si="13"/>
        <v>0</v>
      </c>
      <c r="X101" s="450"/>
      <c r="Y101" s="450"/>
      <c r="Z101" s="334">
        <f t="shared" si="9"/>
        <v>0</v>
      </c>
      <c r="AA101" s="334">
        <f t="shared" si="10"/>
        <v>0</v>
      </c>
      <c r="AB101" s="343">
        <f t="shared" si="15"/>
        <v>0</v>
      </c>
      <c r="AC101" s="335">
        <f t="shared" si="15"/>
        <v>0</v>
      </c>
      <c r="AD101" s="325"/>
      <c r="AE101" s="325"/>
      <c r="AF101" s="325"/>
      <c r="AG101" s="450"/>
    </row>
    <row r="102" spans="2:33" s="444" customFormat="1" ht="20.399999999999999">
      <c r="B102" s="400" t="s">
        <v>8</v>
      </c>
      <c r="C102" s="349" t="s">
        <v>1058</v>
      </c>
      <c r="D102" s="320" t="s">
        <v>1088</v>
      </c>
      <c r="E102" s="320"/>
      <c r="F102" s="322" t="s">
        <v>1116</v>
      </c>
      <c r="G102" s="464" t="s">
        <v>805</v>
      </c>
      <c r="H102" s="465">
        <v>0.6</v>
      </c>
      <c r="I102" s="489"/>
      <c r="J102" s="489"/>
      <c r="K102" s="446">
        <f t="shared" si="12"/>
        <v>0</v>
      </c>
      <c r="L102" s="409"/>
      <c r="M102" s="325">
        <f t="shared" si="14"/>
        <v>0</v>
      </c>
      <c r="N102" s="325"/>
      <c r="O102" s="325"/>
      <c r="P102" s="429"/>
      <c r="Q102" s="325"/>
      <c r="R102" s="325"/>
      <c r="S102" s="330">
        <v>0.15</v>
      </c>
      <c r="T102" s="410" t="s">
        <v>1632</v>
      </c>
      <c r="U102" s="410"/>
      <c r="V102" s="410"/>
      <c r="W102" s="332">
        <f t="shared" si="13"/>
        <v>0</v>
      </c>
      <c r="X102" s="450"/>
      <c r="Y102" s="450"/>
      <c r="Z102" s="334" t="e">
        <f t="shared" si="9"/>
        <v>#DIV/0!</v>
      </c>
      <c r="AA102" s="334" t="e">
        <f t="shared" si="10"/>
        <v>#DIV/0!</v>
      </c>
      <c r="AB102" s="343">
        <f t="shared" si="15"/>
        <v>0</v>
      </c>
      <c r="AC102" s="335">
        <f t="shared" si="15"/>
        <v>0</v>
      </c>
      <c r="AD102" s="325"/>
      <c r="AE102" s="325"/>
      <c r="AF102" s="325"/>
      <c r="AG102" s="450"/>
    </row>
    <row r="103" spans="2:33" s="444" customFormat="1" ht="40.799999999999997">
      <c r="B103" s="365" t="s">
        <v>8</v>
      </c>
      <c r="C103" s="349" t="s">
        <v>1089</v>
      </c>
      <c r="D103" s="320" t="s">
        <v>1117</v>
      </c>
      <c r="E103" s="320" t="s">
        <v>1633</v>
      </c>
      <c r="F103" s="322" t="s">
        <v>1118</v>
      </c>
      <c r="G103" s="323" t="s">
        <v>1019</v>
      </c>
      <c r="H103" s="323">
        <v>1</v>
      </c>
      <c r="I103" s="493">
        <v>37459194.915254243</v>
      </c>
      <c r="J103" s="493">
        <v>6742655.0847457638</v>
      </c>
      <c r="K103" s="446">
        <f t="shared" si="12"/>
        <v>44201850.000000007</v>
      </c>
      <c r="L103" s="494"/>
      <c r="M103" s="326">
        <f t="shared" si="14"/>
        <v>44201850.000000007</v>
      </c>
      <c r="N103" s="326"/>
      <c r="O103" s="326"/>
      <c r="P103" s="429"/>
      <c r="Q103" s="326"/>
      <c r="R103" s="326"/>
      <c r="S103" s="330">
        <v>1</v>
      </c>
      <c r="T103" s="410" t="s">
        <v>1634</v>
      </c>
      <c r="U103" s="414">
        <v>7249103</v>
      </c>
      <c r="V103" s="414">
        <v>1304838.54</v>
      </c>
      <c r="W103" s="332">
        <f t="shared" si="13"/>
        <v>8553941.5399999991</v>
      </c>
      <c r="X103" s="449">
        <v>7249103</v>
      </c>
      <c r="Y103" s="471">
        <v>0</v>
      </c>
      <c r="Z103" s="334">
        <f t="shared" si="9"/>
        <v>0.16399999095060497</v>
      </c>
      <c r="AA103" s="334">
        <f t="shared" si="10"/>
        <v>0.19351998932171388</v>
      </c>
      <c r="AB103" s="343">
        <f t="shared" si="15"/>
        <v>0</v>
      </c>
      <c r="AC103" s="335">
        <f t="shared" si="15"/>
        <v>1304838.54</v>
      </c>
      <c r="AD103" s="326"/>
      <c r="AE103" s="326"/>
      <c r="AF103" s="326"/>
      <c r="AG103" s="450"/>
    </row>
    <row r="104" spans="2:33" s="444" customFormat="1" ht="91.8">
      <c r="B104" s="400" t="s">
        <v>8</v>
      </c>
      <c r="C104" s="349" t="s">
        <v>1089</v>
      </c>
      <c r="D104" s="320" t="s">
        <v>1088</v>
      </c>
      <c r="E104" s="320"/>
      <c r="F104" s="322" t="s">
        <v>1635</v>
      </c>
      <c r="G104" s="488" t="s">
        <v>805</v>
      </c>
      <c r="H104" s="488">
        <v>0.05</v>
      </c>
      <c r="I104" s="442"/>
      <c r="J104" s="442"/>
      <c r="K104" s="446">
        <f t="shared" si="12"/>
        <v>0</v>
      </c>
      <c r="L104" s="494"/>
      <c r="M104" s="325"/>
      <c r="N104" s="325"/>
      <c r="O104" s="325"/>
      <c r="P104" s="429"/>
      <c r="Q104" s="325"/>
      <c r="R104" s="325"/>
      <c r="S104" s="330">
        <v>0.1</v>
      </c>
      <c r="T104" s="410" t="s">
        <v>1636</v>
      </c>
      <c r="U104" s="410"/>
      <c r="V104" s="410"/>
      <c r="W104" s="332">
        <f t="shared" si="13"/>
        <v>0</v>
      </c>
      <c r="X104" s="450"/>
      <c r="Y104" s="450"/>
      <c r="Z104" s="334" t="e">
        <f t="shared" si="9"/>
        <v>#DIV/0!</v>
      </c>
      <c r="AA104" s="334" t="e">
        <f t="shared" si="10"/>
        <v>#DIV/0!</v>
      </c>
      <c r="AB104" s="343">
        <f t="shared" si="15"/>
        <v>0</v>
      </c>
      <c r="AC104" s="335">
        <f t="shared" si="15"/>
        <v>0</v>
      </c>
      <c r="AD104" s="325"/>
      <c r="AE104" s="325"/>
      <c r="AF104" s="325"/>
      <c r="AG104" s="495" t="s">
        <v>1637</v>
      </c>
    </row>
    <row r="105" spans="2:33" s="496" customFormat="1" ht="71.400000000000006">
      <c r="B105" s="318" t="s">
        <v>8</v>
      </c>
      <c r="C105" s="349" t="s">
        <v>72</v>
      </c>
      <c r="D105" s="320" t="s">
        <v>946</v>
      </c>
      <c r="E105" s="320" t="s">
        <v>1638</v>
      </c>
      <c r="F105" s="322" t="s">
        <v>1639</v>
      </c>
      <c r="G105" s="497" t="s">
        <v>1019</v>
      </c>
      <c r="H105" s="323">
        <v>1</v>
      </c>
      <c r="I105" s="396">
        <v>203373500</v>
      </c>
      <c r="J105" s="396">
        <v>36607230</v>
      </c>
      <c r="K105" s="446">
        <f t="shared" si="12"/>
        <v>239980730</v>
      </c>
      <c r="L105" s="486">
        <v>0</v>
      </c>
      <c r="M105" s="325">
        <f t="shared" si="14"/>
        <v>239980730</v>
      </c>
      <c r="N105" s="474">
        <v>44697</v>
      </c>
      <c r="O105" s="325">
        <v>6</v>
      </c>
      <c r="P105" s="243" t="s">
        <v>1640</v>
      </c>
      <c r="Q105" s="498" t="s">
        <v>1641</v>
      </c>
      <c r="R105" s="451">
        <v>44925</v>
      </c>
      <c r="S105" s="330">
        <v>1</v>
      </c>
      <c r="T105" s="331" t="s">
        <v>1642</v>
      </c>
      <c r="U105" s="331"/>
      <c r="V105" s="331"/>
      <c r="W105" s="332">
        <f t="shared" si="13"/>
        <v>0</v>
      </c>
      <c r="X105" s="461"/>
      <c r="Y105" s="461"/>
      <c r="Z105" s="334">
        <f t="shared" si="9"/>
        <v>0</v>
      </c>
      <c r="AA105" s="334">
        <f t="shared" si="10"/>
        <v>0</v>
      </c>
      <c r="AB105" s="343">
        <f t="shared" si="15"/>
        <v>0</v>
      </c>
      <c r="AC105" s="335">
        <f t="shared" si="15"/>
        <v>0</v>
      </c>
      <c r="AD105" s="325"/>
      <c r="AE105" s="325"/>
      <c r="AF105" s="325"/>
      <c r="AG105" s="499" t="s">
        <v>1643</v>
      </c>
    </row>
    <row r="106" spans="2:33" s="444" customFormat="1" ht="61.2">
      <c r="B106" s="400" t="s">
        <v>8</v>
      </c>
      <c r="C106" s="349" t="s">
        <v>72</v>
      </c>
      <c r="D106" s="320" t="s">
        <v>948</v>
      </c>
      <c r="E106" s="320" t="s">
        <v>1644</v>
      </c>
      <c r="F106" s="322" t="s">
        <v>1645</v>
      </c>
      <c r="G106" s="497" t="s">
        <v>1019</v>
      </c>
      <c r="H106" s="323">
        <v>1</v>
      </c>
      <c r="I106" s="393">
        <v>911150000</v>
      </c>
      <c r="J106" s="393">
        <v>164007000</v>
      </c>
      <c r="K106" s="446">
        <f t="shared" si="12"/>
        <v>1075157000</v>
      </c>
      <c r="L106" s="486">
        <v>0</v>
      </c>
      <c r="M106" s="325">
        <f t="shared" si="14"/>
        <v>1075157000</v>
      </c>
      <c r="N106" s="500" t="s">
        <v>1646</v>
      </c>
      <c r="O106" s="500" t="s">
        <v>1647</v>
      </c>
      <c r="P106" s="501" t="s">
        <v>1648</v>
      </c>
      <c r="Q106" s="463" t="s">
        <v>1649</v>
      </c>
      <c r="R106" s="325"/>
      <c r="S106" s="330" t="s">
        <v>1650</v>
      </c>
      <c r="T106" s="322" t="s">
        <v>1651</v>
      </c>
      <c r="U106" s="322"/>
      <c r="V106" s="322"/>
      <c r="W106" s="332">
        <f t="shared" si="13"/>
        <v>0</v>
      </c>
      <c r="X106" s="450"/>
      <c r="Y106" s="450"/>
      <c r="Z106" s="334">
        <f t="shared" si="9"/>
        <v>0</v>
      </c>
      <c r="AA106" s="334">
        <f t="shared" si="10"/>
        <v>0</v>
      </c>
      <c r="AB106" s="343">
        <f t="shared" si="15"/>
        <v>0</v>
      </c>
      <c r="AC106" s="335">
        <f t="shared" si="15"/>
        <v>0</v>
      </c>
      <c r="AD106" s="325"/>
      <c r="AE106" s="325"/>
      <c r="AF106" s="325"/>
      <c r="AG106" s="502" t="s">
        <v>1652</v>
      </c>
    </row>
    <row r="107" spans="2:33" s="496" customFormat="1" ht="26.4">
      <c r="B107" s="318" t="s">
        <v>8</v>
      </c>
      <c r="C107" s="349" t="s">
        <v>1120</v>
      </c>
      <c r="D107" s="483" t="s">
        <v>931</v>
      </c>
      <c r="E107" s="483"/>
      <c r="F107" s="344" t="s">
        <v>1121</v>
      </c>
      <c r="G107" s="323" t="s">
        <v>1019</v>
      </c>
      <c r="H107" s="323">
        <v>1</v>
      </c>
      <c r="I107" s="503">
        <v>20000000</v>
      </c>
      <c r="J107" s="503">
        <v>3600000</v>
      </c>
      <c r="K107" s="446">
        <f t="shared" si="12"/>
        <v>23600000</v>
      </c>
      <c r="L107" s="494"/>
      <c r="M107" s="325">
        <f t="shared" si="14"/>
        <v>23600000</v>
      </c>
      <c r="N107" s="325"/>
      <c r="O107" s="325"/>
      <c r="P107" s="429"/>
      <c r="Q107" s="325"/>
      <c r="R107" s="325"/>
      <c r="S107" s="330">
        <v>1</v>
      </c>
      <c r="T107" s="504" t="s">
        <v>1653</v>
      </c>
      <c r="U107" s="504">
        <v>13333333.666666668</v>
      </c>
      <c r="V107" s="504">
        <v>2400000.06</v>
      </c>
      <c r="W107" s="332">
        <f t="shared" si="13"/>
        <v>15733333.726666668</v>
      </c>
      <c r="X107" s="449">
        <v>13333333.666666668</v>
      </c>
      <c r="Y107" s="461"/>
      <c r="Z107" s="334">
        <f t="shared" si="9"/>
        <v>0.56497176553672324</v>
      </c>
      <c r="AA107" s="334">
        <f t="shared" si="10"/>
        <v>0.66666668333333334</v>
      </c>
      <c r="AB107" s="343">
        <f t="shared" si="15"/>
        <v>0</v>
      </c>
      <c r="AC107" s="335">
        <f t="shared" si="15"/>
        <v>2400000.06</v>
      </c>
      <c r="AD107" s="325"/>
      <c r="AE107" s="325"/>
      <c r="AF107" s="325"/>
      <c r="AG107" s="461"/>
    </row>
    <row r="108" spans="2:33" s="444" customFormat="1" ht="30.6">
      <c r="B108" s="318" t="s">
        <v>8</v>
      </c>
      <c r="C108" s="349" t="s">
        <v>1122</v>
      </c>
      <c r="D108" s="483" t="s">
        <v>932</v>
      </c>
      <c r="E108" s="320" t="s">
        <v>1654</v>
      </c>
      <c r="F108" s="331" t="s">
        <v>1123</v>
      </c>
      <c r="G108" s="323" t="s">
        <v>1019</v>
      </c>
      <c r="H108" s="323">
        <v>1</v>
      </c>
      <c r="I108" s="505">
        <v>22800000</v>
      </c>
      <c r="J108" s="505">
        <v>4104000</v>
      </c>
      <c r="K108" s="446">
        <f t="shared" si="12"/>
        <v>26904000</v>
      </c>
      <c r="L108" s="411"/>
      <c r="M108" s="325">
        <f t="shared" si="14"/>
        <v>26904000</v>
      </c>
      <c r="N108" s="506">
        <v>44410</v>
      </c>
      <c r="O108" s="325">
        <v>3</v>
      </c>
      <c r="P108" s="476">
        <v>44866</v>
      </c>
      <c r="Q108" s="325" t="s">
        <v>1430</v>
      </c>
      <c r="R108" s="506">
        <v>44866</v>
      </c>
      <c r="S108" s="330">
        <v>1</v>
      </c>
      <c r="T108" s="507" t="s">
        <v>1655</v>
      </c>
      <c r="U108" s="508">
        <v>22800000</v>
      </c>
      <c r="V108" s="508">
        <v>4104000</v>
      </c>
      <c r="W108" s="332">
        <f t="shared" si="13"/>
        <v>26904000</v>
      </c>
      <c r="X108" s="449">
        <v>22800000</v>
      </c>
      <c r="Y108" s="450"/>
      <c r="Z108" s="334">
        <f t="shared" si="9"/>
        <v>0.84745762711864403</v>
      </c>
      <c r="AA108" s="334">
        <f t="shared" si="10"/>
        <v>1</v>
      </c>
      <c r="AB108" s="343">
        <f t="shared" si="15"/>
        <v>0</v>
      </c>
      <c r="AC108" s="335">
        <f t="shared" si="15"/>
        <v>4104000</v>
      </c>
      <c r="AD108" s="325"/>
      <c r="AE108" s="325"/>
      <c r="AF108" s="325"/>
      <c r="AG108" s="450"/>
    </row>
    <row r="109" spans="2:33" s="444" customFormat="1" ht="20.399999999999999">
      <c r="B109" s="318" t="s">
        <v>8</v>
      </c>
      <c r="C109" s="349" t="s">
        <v>1122</v>
      </c>
      <c r="D109" s="483" t="s">
        <v>933</v>
      </c>
      <c r="E109" s="320" t="s">
        <v>1656</v>
      </c>
      <c r="F109" s="331" t="s">
        <v>1124</v>
      </c>
      <c r="G109" s="323" t="s">
        <v>1019</v>
      </c>
      <c r="H109" s="323">
        <v>1</v>
      </c>
      <c r="I109" s="505">
        <v>33840000</v>
      </c>
      <c r="J109" s="505">
        <v>6091200</v>
      </c>
      <c r="K109" s="446">
        <f t="shared" si="12"/>
        <v>39931200</v>
      </c>
      <c r="L109" s="411"/>
      <c r="M109" s="325">
        <f t="shared" si="14"/>
        <v>39931200</v>
      </c>
      <c r="N109" s="506">
        <v>44264</v>
      </c>
      <c r="O109" s="325" t="s">
        <v>1657</v>
      </c>
      <c r="P109" s="476">
        <v>44284</v>
      </c>
      <c r="Q109" s="325" t="s">
        <v>1430</v>
      </c>
      <c r="R109" s="477">
        <v>44284</v>
      </c>
      <c r="S109" s="330">
        <v>1</v>
      </c>
      <c r="T109" s="507" t="s">
        <v>1655</v>
      </c>
      <c r="U109" s="508">
        <v>33840000</v>
      </c>
      <c r="V109" s="508">
        <v>6091200</v>
      </c>
      <c r="W109" s="332">
        <f t="shared" si="13"/>
        <v>39931200</v>
      </c>
      <c r="X109" s="449">
        <v>33840000</v>
      </c>
      <c r="Y109" s="450"/>
      <c r="Z109" s="334">
        <f t="shared" si="9"/>
        <v>0.84745762711864403</v>
      </c>
      <c r="AA109" s="334">
        <f t="shared" si="10"/>
        <v>1</v>
      </c>
      <c r="AB109" s="343">
        <f t="shared" si="15"/>
        <v>0</v>
      </c>
      <c r="AC109" s="335">
        <f t="shared" si="15"/>
        <v>6091200</v>
      </c>
      <c r="AD109" s="325"/>
      <c r="AE109" s="325"/>
      <c r="AF109" s="325"/>
      <c r="AG109" s="450"/>
    </row>
    <row r="110" spans="2:33" s="444" customFormat="1" ht="20.399999999999999">
      <c r="B110" s="318" t="s">
        <v>8</v>
      </c>
      <c r="C110" s="349" t="s">
        <v>1122</v>
      </c>
      <c r="D110" s="483" t="s">
        <v>934</v>
      </c>
      <c r="E110" s="483" t="s">
        <v>108</v>
      </c>
      <c r="F110" s="331" t="s">
        <v>1125</v>
      </c>
      <c r="G110" s="323" t="s">
        <v>1019</v>
      </c>
      <c r="H110" s="323">
        <v>1</v>
      </c>
      <c r="I110" s="505">
        <v>20000000</v>
      </c>
      <c r="J110" s="505">
        <v>3600000</v>
      </c>
      <c r="K110" s="446">
        <f t="shared" si="12"/>
        <v>23600000</v>
      </c>
      <c r="L110" s="411"/>
      <c r="M110" s="325">
        <f t="shared" si="14"/>
        <v>23600000</v>
      </c>
      <c r="N110" s="477" t="s">
        <v>1455</v>
      </c>
      <c r="O110" s="325">
        <v>3</v>
      </c>
      <c r="P110" s="476" t="s">
        <v>1455</v>
      </c>
      <c r="Q110" s="325" t="s">
        <v>1430</v>
      </c>
      <c r="R110" s="477" t="s">
        <v>1455</v>
      </c>
      <c r="S110" s="330">
        <v>1</v>
      </c>
      <c r="T110" s="507" t="s">
        <v>1655</v>
      </c>
      <c r="U110" s="508">
        <v>20000000</v>
      </c>
      <c r="V110" s="508">
        <v>3600000</v>
      </c>
      <c r="W110" s="332">
        <f t="shared" si="13"/>
        <v>23600000</v>
      </c>
      <c r="X110" s="449">
        <v>20000000</v>
      </c>
      <c r="Y110" s="450"/>
      <c r="Z110" s="334">
        <f t="shared" si="9"/>
        <v>0.84745762711864403</v>
      </c>
      <c r="AA110" s="334">
        <f t="shared" si="10"/>
        <v>1</v>
      </c>
      <c r="AB110" s="343">
        <f t="shared" si="15"/>
        <v>0</v>
      </c>
      <c r="AC110" s="335">
        <f t="shared" si="15"/>
        <v>3600000</v>
      </c>
      <c r="AD110" s="325"/>
      <c r="AE110" s="325"/>
      <c r="AF110" s="325"/>
      <c r="AG110" s="450"/>
    </row>
    <row r="111" spans="2:33" s="444" customFormat="1" ht="20.399999999999999">
      <c r="B111" s="318" t="s">
        <v>8</v>
      </c>
      <c r="C111" s="349" t="s">
        <v>1122</v>
      </c>
      <c r="D111" s="483" t="s">
        <v>935</v>
      </c>
      <c r="E111" s="483" t="s">
        <v>108</v>
      </c>
      <c r="F111" s="331" t="s">
        <v>1126</v>
      </c>
      <c r="G111" s="323" t="s">
        <v>1019</v>
      </c>
      <c r="H111" s="323">
        <v>1</v>
      </c>
      <c r="I111" s="505">
        <v>35955000</v>
      </c>
      <c r="J111" s="505">
        <v>6471900</v>
      </c>
      <c r="K111" s="446">
        <f t="shared" si="12"/>
        <v>42426900</v>
      </c>
      <c r="L111" s="411"/>
      <c r="M111" s="325">
        <f t="shared" si="14"/>
        <v>42426900</v>
      </c>
      <c r="N111" s="477" t="s">
        <v>1455</v>
      </c>
      <c r="O111" s="325">
        <v>3</v>
      </c>
      <c r="P111" s="476" t="s">
        <v>1455</v>
      </c>
      <c r="Q111" s="325" t="s">
        <v>1430</v>
      </c>
      <c r="R111" s="477" t="s">
        <v>1455</v>
      </c>
      <c r="S111" s="330">
        <v>1</v>
      </c>
      <c r="T111" s="507" t="s">
        <v>1655</v>
      </c>
      <c r="U111" s="508">
        <v>35955000</v>
      </c>
      <c r="V111" s="508">
        <v>6471900</v>
      </c>
      <c r="W111" s="332">
        <f t="shared" si="13"/>
        <v>42426900</v>
      </c>
      <c r="X111" s="449">
        <v>35955000</v>
      </c>
      <c r="Y111" s="450"/>
      <c r="Z111" s="334">
        <f t="shared" si="9"/>
        <v>0.84745762711864403</v>
      </c>
      <c r="AA111" s="334">
        <f t="shared" si="10"/>
        <v>1</v>
      </c>
      <c r="AB111" s="343">
        <f t="shared" si="15"/>
        <v>0</v>
      </c>
      <c r="AC111" s="335">
        <f t="shared" si="15"/>
        <v>6471900</v>
      </c>
      <c r="AD111" s="325"/>
      <c r="AE111" s="325"/>
      <c r="AF111" s="325"/>
      <c r="AG111" s="450"/>
    </row>
    <row r="112" spans="2:33" s="444" customFormat="1" ht="20.399999999999999">
      <c r="B112" s="318" t="s">
        <v>8</v>
      </c>
      <c r="C112" s="349" t="s">
        <v>1122</v>
      </c>
      <c r="D112" s="483" t="s">
        <v>936</v>
      </c>
      <c r="E112" s="483" t="s">
        <v>108</v>
      </c>
      <c r="F112" s="331" t="s">
        <v>1127</v>
      </c>
      <c r="G112" s="323" t="s">
        <v>1019</v>
      </c>
      <c r="H112" s="323">
        <v>1</v>
      </c>
      <c r="I112" s="505">
        <v>20000000</v>
      </c>
      <c r="J112" s="505">
        <v>3600000</v>
      </c>
      <c r="K112" s="446">
        <f t="shared" si="12"/>
        <v>23600000</v>
      </c>
      <c r="L112" s="411"/>
      <c r="M112" s="325">
        <f t="shared" si="14"/>
        <v>23600000</v>
      </c>
      <c r="N112" s="477" t="s">
        <v>1455</v>
      </c>
      <c r="O112" s="325">
        <v>3</v>
      </c>
      <c r="P112" s="476" t="s">
        <v>1455</v>
      </c>
      <c r="Q112" s="325" t="s">
        <v>1430</v>
      </c>
      <c r="R112" s="477" t="s">
        <v>1455</v>
      </c>
      <c r="S112" s="330">
        <v>1</v>
      </c>
      <c r="T112" s="507" t="s">
        <v>1655</v>
      </c>
      <c r="U112" s="508">
        <v>20000000</v>
      </c>
      <c r="V112" s="508">
        <v>3600000</v>
      </c>
      <c r="W112" s="332">
        <f t="shared" si="13"/>
        <v>23600000</v>
      </c>
      <c r="X112" s="449">
        <v>20000000</v>
      </c>
      <c r="Y112" s="450"/>
      <c r="Z112" s="334">
        <f t="shared" si="9"/>
        <v>0.84745762711864403</v>
      </c>
      <c r="AA112" s="334">
        <f t="shared" si="10"/>
        <v>1</v>
      </c>
      <c r="AB112" s="343">
        <f t="shared" si="15"/>
        <v>0</v>
      </c>
      <c r="AC112" s="335">
        <f t="shared" si="15"/>
        <v>3600000</v>
      </c>
      <c r="AD112" s="325"/>
      <c r="AE112" s="325"/>
      <c r="AF112" s="325"/>
      <c r="AG112" s="450"/>
    </row>
    <row r="113" spans="2:33" s="444" customFormat="1" ht="20.399999999999999">
      <c r="B113" s="318" t="s">
        <v>8</v>
      </c>
      <c r="C113" s="349" t="s">
        <v>1122</v>
      </c>
      <c r="D113" s="483" t="s">
        <v>1658</v>
      </c>
      <c r="E113" s="320" t="s">
        <v>1659</v>
      </c>
      <c r="F113" s="331" t="s">
        <v>1660</v>
      </c>
      <c r="G113" s="323" t="s">
        <v>1019</v>
      </c>
      <c r="H113" s="323">
        <v>1</v>
      </c>
      <c r="I113" s="505">
        <v>73000000</v>
      </c>
      <c r="J113" s="505">
        <v>13140000</v>
      </c>
      <c r="K113" s="446">
        <f t="shared" si="12"/>
        <v>86140000</v>
      </c>
      <c r="L113" s="411"/>
      <c r="M113" s="325">
        <f t="shared" si="14"/>
        <v>86140000</v>
      </c>
      <c r="N113" s="506">
        <v>44616</v>
      </c>
      <c r="O113" s="325">
        <v>3</v>
      </c>
      <c r="P113" s="476">
        <v>44616</v>
      </c>
      <c r="Q113" s="325" t="s">
        <v>1430</v>
      </c>
      <c r="R113" s="506">
        <v>44616</v>
      </c>
      <c r="S113" s="330">
        <v>1</v>
      </c>
      <c r="T113" s="507" t="s">
        <v>1655</v>
      </c>
      <c r="U113" s="508">
        <v>73000000</v>
      </c>
      <c r="V113" s="508">
        <v>13140000</v>
      </c>
      <c r="W113" s="332">
        <f t="shared" si="13"/>
        <v>86140000</v>
      </c>
      <c r="X113" s="332">
        <v>73000000</v>
      </c>
      <c r="Y113" s="450"/>
      <c r="Z113" s="334">
        <f t="shared" si="9"/>
        <v>0.84745762711864403</v>
      </c>
      <c r="AA113" s="334">
        <f t="shared" si="10"/>
        <v>1</v>
      </c>
      <c r="AB113" s="343">
        <f t="shared" si="15"/>
        <v>0</v>
      </c>
      <c r="AC113" s="335">
        <f t="shared" si="15"/>
        <v>13140000</v>
      </c>
      <c r="AD113" s="325"/>
      <c r="AE113" s="325"/>
      <c r="AF113" s="325"/>
      <c r="AG113" s="450"/>
    </row>
    <row r="114" spans="2:33" s="444" customFormat="1">
      <c r="B114" s="318" t="s">
        <v>8</v>
      </c>
      <c r="C114" s="349" t="s">
        <v>1122</v>
      </c>
      <c r="D114" s="483" t="s">
        <v>108</v>
      </c>
      <c r="E114" s="483" t="s">
        <v>108</v>
      </c>
      <c r="F114" s="331" t="s">
        <v>1128</v>
      </c>
      <c r="G114" s="323" t="s">
        <v>1019</v>
      </c>
      <c r="H114" s="323">
        <v>1</v>
      </c>
      <c r="I114" s="505">
        <v>150000000</v>
      </c>
      <c r="J114" s="505"/>
      <c r="K114" s="446">
        <f t="shared" si="12"/>
        <v>150000000</v>
      </c>
      <c r="L114" s="411"/>
      <c r="M114" s="325">
        <f t="shared" si="14"/>
        <v>150000000</v>
      </c>
      <c r="N114" s="325"/>
      <c r="O114" s="325"/>
      <c r="P114" s="429"/>
      <c r="Q114" s="325"/>
      <c r="R114" s="325"/>
      <c r="S114" s="330">
        <v>1</v>
      </c>
      <c r="T114" s="507" t="s">
        <v>1655</v>
      </c>
      <c r="U114" s="508">
        <v>90000000</v>
      </c>
      <c r="V114" s="508">
        <v>0</v>
      </c>
      <c r="W114" s="332">
        <f t="shared" si="13"/>
        <v>90000000</v>
      </c>
      <c r="X114" s="471">
        <v>90000000</v>
      </c>
      <c r="Y114" s="450"/>
      <c r="Z114" s="334">
        <f t="shared" si="9"/>
        <v>0.6</v>
      </c>
      <c r="AA114" s="334">
        <f t="shared" si="10"/>
        <v>0.6</v>
      </c>
      <c r="AB114" s="343">
        <f t="shared" si="15"/>
        <v>0</v>
      </c>
      <c r="AC114" s="335">
        <f t="shared" si="15"/>
        <v>0</v>
      </c>
      <c r="AD114" s="325"/>
      <c r="AE114" s="325"/>
      <c r="AF114" s="325"/>
      <c r="AG114" s="450"/>
    </row>
    <row r="115" spans="2:33" s="444" customFormat="1" ht="20.399999999999999">
      <c r="B115" s="318" t="s">
        <v>8</v>
      </c>
      <c r="C115" s="349" t="s">
        <v>1661</v>
      </c>
      <c r="D115" s="483" t="s">
        <v>1662</v>
      </c>
      <c r="E115" s="483" t="s">
        <v>108</v>
      </c>
      <c r="F115" s="331" t="s">
        <v>1663</v>
      </c>
      <c r="G115" s="323" t="s">
        <v>1019</v>
      </c>
      <c r="H115" s="323">
        <v>1</v>
      </c>
      <c r="I115" s="505">
        <v>19686790</v>
      </c>
      <c r="J115" s="505"/>
      <c r="K115" s="446">
        <f t="shared" si="12"/>
        <v>19686790</v>
      </c>
      <c r="L115" s="411"/>
      <c r="M115" s="325">
        <f t="shared" si="14"/>
        <v>19686790</v>
      </c>
      <c r="N115" s="443" t="s">
        <v>108</v>
      </c>
      <c r="O115" s="443" t="s">
        <v>108</v>
      </c>
      <c r="P115" s="429"/>
      <c r="Q115" s="325"/>
      <c r="R115" s="325"/>
      <c r="S115" s="330">
        <v>1</v>
      </c>
      <c r="T115" s="507" t="s">
        <v>1655</v>
      </c>
      <c r="U115" s="507"/>
      <c r="V115" s="507"/>
      <c r="W115" s="332">
        <f t="shared" si="13"/>
        <v>0</v>
      </c>
      <c r="X115" s="450"/>
      <c r="Y115" s="450"/>
      <c r="Z115" s="334">
        <f t="shared" si="9"/>
        <v>0</v>
      </c>
      <c r="AA115" s="334">
        <f t="shared" si="10"/>
        <v>0</v>
      </c>
      <c r="AB115" s="343">
        <f t="shared" si="15"/>
        <v>0</v>
      </c>
      <c r="AC115" s="335">
        <f t="shared" si="15"/>
        <v>0</v>
      </c>
      <c r="AD115" s="325"/>
      <c r="AE115" s="325"/>
      <c r="AF115" s="325"/>
      <c r="AG115" s="450"/>
    </row>
    <row r="116" spans="2:33" s="444" customFormat="1" ht="30.6">
      <c r="B116" s="361" t="s">
        <v>8</v>
      </c>
      <c r="C116" s="349" t="s">
        <v>1129</v>
      </c>
      <c r="D116" s="350" t="s">
        <v>1088</v>
      </c>
      <c r="E116" s="350"/>
      <c r="F116" s="331" t="s">
        <v>1130</v>
      </c>
      <c r="G116" s="323" t="s">
        <v>1019</v>
      </c>
      <c r="H116" s="323">
        <v>1</v>
      </c>
      <c r="I116" s="509"/>
      <c r="J116" s="509"/>
      <c r="K116" s="446">
        <f t="shared" si="12"/>
        <v>0</v>
      </c>
      <c r="L116" s="510"/>
      <c r="M116" s="325">
        <f t="shared" si="14"/>
        <v>0</v>
      </c>
      <c r="N116" s="325"/>
      <c r="O116" s="325"/>
      <c r="P116" s="429"/>
      <c r="Q116" s="325"/>
      <c r="R116" s="325"/>
      <c r="S116" s="330">
        <v>0.15</v>
      </c>
      <c r="T116" s="511" t="s">
        <v>1246</v>
      </c>
      <c r="U116" s="332"/>
      <c r="V116" s="332"/>
      <c r="W116" s="332"/>
      <c r="X116" s="332"/>
      <c r="Y116" s="461">
        <v>0</v>
      </c>
      <c r="Z116" s="334" t="e">
        <f t="shared" si="9"/>
        <v>#DIV/0!</v>
      </c>
      <c r="AA116" s="334" t="e">
        <f t="shared" si="10"/>
        <v>#DIV/0!</v>
      </c>
      <c r="AB116" s="343">
        <f t="shared" si="15"/>
        <v>0</v>
      </c>
      <c r="AC116" s="335">
        <f t="shared" si="15"/>
        <v>0</v>
      </c>
      <c r="AD116" s="325"/>
      <c r="AE116" s="325"/>
      <c r="AF116" s="325"/>
      <c r="AG116" s="450"/>
    </row>
    <row r="117" spans="2:33" s="444" customFormat="1" ht="13.2">
      <c r="B117" s="337" t="s">
        <v>8</v>
      </c>
      <c r="C117" s="349" t="s">
        <v>1131</v>
      </c>
      <c r="D117" s="362" t="s">
        <v>945</v>
      </c>
      <c r="E117" s="483" t="s">
        <v>930</v>
      </c>
      <c r="F117" s="460" t="s">
        <v>1132</v>
      </c>
      <c r="G117" s="323" t="s">
        <v>1019</v>
      </c>
      <c r="H117" s="323">
        <v>1</v>
      </c>
      <c r="I117" s="508">
        <v>236360000</v>
      </c>
      <c r="J117" s="508">
        <v>42544800</v>
      </c>
      <c r="K117" s="446">
        <f t="shared" si="12"/>
        <v>278904800</v>
      </c>
      <c r="L117" s="512"/>
      <c r="M117" s="325">
        <f t="shared" si="14"/>
        <v>278904800</v>
      </c>
      <c r="N117" s="506">
        <v>44645</v>
      </c>
      <c r="O117" s="325">
        <v>15</v>
      </c>
      <c r="P117" s="476">
        <v>45102</v>
      </c>
      <c r="Q117" s="325" t="s">
        <v>1430</v>
      </c>
      <c r="R117" s="477">
        <v>45102</v>
      </c>
      <c r="S117" s="330" t="s">
        <v>108</v>
      </c>
      <c r="T117" s="322" t="s">
        <v>1664</v>
      </c>
      <c r="U117" s="332">
        <v>129998000</v>
      </c>
      <c r="V117" s="332">
        <v>23399640</v>
      </c>
      <c r="W117" s="332">
        <f>+U117+V117</f>
        <v>153397640</v>
      </c>
      <c r="X117" s="332">
        <v>106362000</v>
      </c>
      <c r="Y117" s="450"/>
      <c r="Z117" s="334">
        <f t="shared" si="9"/>
        <v>0.38135593220338981</v>
      </c>
      <c r="AA117" s="334">
        <f t="shared" si="10"/>
        <v>0.45</v>
      </c>
      <c r="AB117" s="343">
        <f t="shared" si="15"/>
        <v>23636000</v>
      </c>
      <c r="AC117" s="335">
        <f t="shared" si="15"/>
        <v>23399640</v>
      </c>
      <c r="AD117" s="325"/>
      <c r="AE117" s="325"/>
      <c r="AF117" s="325"/>
      <c r="AG117" s="450"/>
    </row>
    <row r="118" spans="2:33" s="444" customFormat="1" ht="20.399999999999999">
      <c r="B118" s="400" t="s">
        <v>8</v>
      </c>
      <c r="C118" s="349" t="s">
        <v>1131</v>
      </c>
      <c r="D118" s="362" t="s">
        <v>949</v>
      </c>
      <c r="E118" s="362"/>
      <c r="F118" s="460" t="s">
        <v>1132</v>
      </c>
      <c r="G118" s="323" t="s">
        <v>1019</v>
      </c>
      <c r="H118" s="323">
        <v>1</v>
      </c>
      <c r="I118" s="508">
        <v>172500000</v>
      </c>
      <c r="J118" s="508">
        <v>31050000</v>
      </c>
      <c r="K118" s="446">
        <f t="shared" si="12"/>
        <v>203550000</v>
      </c>
      <c r="L118" s="512"/>
      <c r="M118" s="325">
        <f t="shared" si="14"/>
        <v>203550000</v>
      </c>
      <c r="N118" s="325"/>
      <c r="O118" s="325"/>
      <c r="P118" s="429"/>
      <c r="Q118" s="325"/>
      <c r="R118" s="325"/>
      <c r="S118" s="330">
        <v>0.1</v>
      </c>
      <c r="T118" s="322" t="s">
        <v>1665</v>
      </c>
      <c r="U118" s="322"/>
      <c r="V118" s="322"/>
      <c r="W118" s="332">
        <f t="shared" si="13"/>
        <v>0</v>
      </c>
      <c r="X118" s="513"/>
      <c r="Y118" s="450">
        <v>0</v>
      </c>
      <c r="Z118" s="334">
        <f t="shared" si="9"/>
        <v>0</v>
      </c>
      <c r="AA118" s="334">
        <f t="shared" si="10"/>
        <v>0</v>
      </c>
      <c r="AB118" s="343">
        <f t="shared" si="15"/>
        <v>0</v>
      </c>
      <c r="AC118" s="335">
        <f t="shared" si="15"/>
        <v>0</v>
      </c>
      <c r="AD118" s="325"/>
      <c r="AE118" s="325"/>
      <c r="AF118" s="325"/>
      <c r="AG118" s="450"/>
    </row>
    <row r="119" spans="2:33" s="444" customFormat="1" ht="20.399999999999999">
      <c r="B119" s="337" t="s">
        <v>8</v>
      </c>
      <c r="C119" s="349" t="s">
        <v>1133</v>
      </c>
      <c r="D119" s="350" t="s">
        <v>944</v>
      </c>
      <c r="E119" s="350"/>
      <c r="F119" s="460" t="s">
        <v>1134</v>
      </c>
      <c r="G119" s="323" t="s">
        <v>1019</v>
      </c>
      <c r="H119" s="323">
        <v>1</v>
      </c>
      <c r="I119" s="514">
        <v>192998000</v>
      </c>
      <c r="J119" s="514"/>
      <c r="K119" s="446">
        <f t="shared" si="12"/>
        <v>192998000</v>
      </c>
      <c r="L119" s="515"/>
      <c r="M119" s="325">
        <f t="shared" si="14"/>
        <v>192998000</v>
      </c>
      <c r="N119" s="325"/>
      <c r="O119" s="325"/>
      <c r="P119" s="429"/>
      <c r="Q119" s="325"/>
      <c r="R119" s="325"/>
      <c r="S119" s="330" t="s">
        <v>108</v>
      </c>
      <c r="T119" s="460" t="s">
        <v>1664</v>
      </c>
      <c r="U119" s="508">
        <v>48984300</v>
      </c>
      <c r="V119" s="508">
        <v>8817174</v>
      </c>
      <c r="W119" s="332">
        <f t="shared" si="13"/>
        <v>57801474</v>
      </c>
      <c r="X119" s="513">
        <v>48984300</v>
      </c>
      <c r="Y119" s="450">
        <v>0</v>
      </c>
      <c r="Z119" s="334">
        <f t="shared" si="9"/>
        <v>0.25380729333982738</v>
      </c>
      <c r="AA119" s="334">
        <f t="shared" si="10"/>
        <v>0.25380729333982738</v>
      </c>
      <c r="AB119" s="343">
        <f t="shared" si="15"/>
        <v>0</v>
      </c>
      <c r="AC119" s="335">
        <f t="shared" si="15"/>
        <v>8817174</v>
      </c>
      <c r="AD119" s="325"/>
      <c r="AE119" s="325"/>
      <c r="AF119" s="325"/>
      <c r="AG119" s="450"/>
    </row>
    <row r="120" spans="2:33" s="444" customFormat="1">
      <c r="B120" s="337" t="s">
        <v>8</v>
      </c>
      <c r="C120" s="349" t="s">
        <v>1133</v>
      </c>
      <c r="D120" s="362" t="s">
        <v>1135</v>
      </c>
      <c r="E120" s="362"/>
      <c r="F120" s="460" t="s">
        <v>1136</v>
      </c>
      <c r="G120" s="323" t="s">
        <v>1019</v>
      </c>
      <c r="H120" s="323">
        <v>1</v>
      </c>
      <c r="I120" s="514">
        <v>85520000</v>
      </c>
      <c r="J120" s="516"/>
      <c r="K120" s="446">
        <f t="shared" si="12"/>
        <v>85520000</v>
      </c>
      <c r="L120" s="515"/>
      <c r="M120" s="325">
        <f t="shared" si="14"/>
        <v>85520000</v>
      </c>
      <c r="N120" s="325"/>
      <c r="O120" s="325"/>
      <c r="P120" s="429"/>
      <c r="Q120" s="325"/>
      <c r="R120" s="325"/>
      <c r="S120" s="330" t="s">
        <v>108</v>
      </c>
      <c r="T120" s="460" t="s">
        <v>1664</v>
      </c>
      <c r="U120" s="508">
        <v>17067600</v>
      </c>
      <c r="V120" s="508">
        <v>3072168</v>
      </c>
      <c r="W120" s="332">
        <f t="shared" si="13"/>
        <v>20139768</v>
      </c>
      <c r="X120" s="471">
        <v>17067600</v>
      </c>
      <c r="Y120" s="450">
        <v>0</v>
      </c>
      <c r="Z120" s="334">
        <f t="shared" si="9"/>
        <v>0.19957436856875585</v>
      </c>
      <c r="AA120" s="334">
        <f t="shared" si="10"/>
        <v>0.19957436856875585</v>
      </c>
      <c r="AB120" s="343">
        <f t="shared" si="15"/>
        <v>0</v>
      </c>
      <c r="AC120" s="335">
        <f t="shared" si="15"/>
        <v>3072168</v>
      </c>
      <c r="AD120" s="325"/>
      <c r="AE120" s="325"/>
      <c r="AF120" s="325"/>
      <c r="AG120" s="450"/>
    </row>
    <row r="121" spans="2:33" s="444" customFormat="1" ht="20.399999999999999">
      <c r="B121" s="400" t="s">
        <v>8</v>
      </c>
      <c r="C121" s="349" t="s">
        <v>532</v>
      </c>
      <c r="D121" s="362" t="s">
        <v>64</v>
      </c>
      <c r="E121" s="362"/>
      <c r="F121" s="331" t="s">
        <v>1137</v>
      </c>
      <c r="G121" s="517" t="s">
        <v>64</v>
      </c>
      <c r="H121" s="518">
        <v>0</v>
      </c>
      <c r="I121" s="450"/>
      <c r="J121" s="450"/>
      <c r="K121" s="446">
        <f t="shared" si="12"/>
        <v>0</v>
      </c>
      <c r="L121" s="519"/>
      <c r="M121" s="325">
        <f t="shared" si="14"/>
        <v>0</v>
      </c>
      <c r="N121" s="325"/>
      <c r="O121" s="325"/>
      <c r="P121" s="429"/>
      <c r="Q121" s="325"/>
      <c r="R121" s="325"/>
      <c r="S121" s="330">
        <v>0</v>
      </c>
      <c r="T121" s="460" t="s">
        <v>64</v>
      </c>
      <c r="U121" s="460"/>
      <c r="V121" s="460"/>
      <c r="W121" s="332">
        <f t="shared" si="13"/>
        <v>0</v>
      </c>
      <c r="X121" s="450"/>
      <c r="Y121" s="450"/>
      <c r="Z121" s="334" t="e">
        <f t="shared" si="9"/>
        <v>#DIV/0!</v>
      </c>
      <c r="AA121" s="334" t="e">
        <f t="shared" si="10"/>
        <v>#DIV/0!</v>
      </c>
      <c r="AB121" s="343">
        <f t="shared" si="15"/>
        <v>0</v>
      </c>
      <c r="AC121" s="335">
        <f t="shared" si="15"/>
        <v>0</v>
      </c>
      <c r="AD121" s="325"/>
      <c r="AE121" s="325"/>
      <c r="AF121" s="325"/>
      <c r="AG121" s="450"/>
    </row>
    <row r="122" spans="2:33" s="444" customFormat="1" ht="20.399999999999999">
      <c r="B122" s="400" t="s">
        <v>8</v>
      </c>
      <c r="C122" s="349" t="s">
        <v>797</v>
      </c>
      <c r="D122" s="362" t="s">
        <v>1138</v>
      </c>
      <c r="E122" s="362"/>
      <c r="F122" s="336" t="s">
        <v>1139</v>
      </c>
      <c r="G122" s="520" t="s">
        <v>805</v>
      </c>
      <c r="H122" s="518">
        <v>0.6</v>
      </c>
      <c r="I122" s="450"/>
      <c r="J122" s="450"/>
      <c r="K122" s="446">
        <f t="shared" si="12"/>
        <v>0</v>
      </c>
      <c r="L122" s="519"/>
      <c r="M122" s="325">
        <f t="shared" si="14"/>
        <v>0</v>
      </c>
      <c r="N122" s="325"/>
      <c r="O122" s="325"/>
      <c r="P122" s="429"/>
      <c r="Q122" s="325"/>
      <c r="R122" s="325"/>
      <c r="S122" s="330">
        <v>0.15</v>
      </c>
      <c r="T122" s="331" t="s">
        <v>47</v>
      </c>
      <c r="U122" s="331"/>
      <c r="V122" s="331"/>
      <c r="W122" s="332">
        <f t="shared" si="13"/>
        <v>0</v>
      </c>
      <c r="X122" s="450"/>
      <c r="Y122" s="450"/>
      <c r="Z122" s="334" t="e">
        <f t="shared" si="9"/>
        <v>#DIV/0!</v>
      </c>
      <c r="AA122" s="334" t="e">
        <f t="shared" si="10"/>
        <v>#DIV/0!</v>
      </c>
      <c r="AB122" s="343">
        <f t="shared" si="15"/>
        <v>0</v>
      </c>
      <c r="AC122" s="335">
        <f t="shared" si="15"/>
        <v>0</v>
      </c>
      <c r="AD122" s="325"/>
      <c r="AE122" s="325"/>
      <c r="AF122" s="325"/>
      <c r="AG122" s="450"/>
    </row>
    <row r="123" spans="2:33" s="444" customFormat="1" ht="20.399999999999999">
      <c r="B123" s="318" t="s">
        <v>8</v>
      </c>
      <c r="C123" s="349" t="s">
        <v>1666</v>
      </c>
      <c r="D123" s="350" t="s">
        <v>1667</v>
      </c>
      <c r="E123" s="521" t="s">
        <v>1668</v>
      </c>
      <c r="F123" s="336" t="s">
        <v>1669</v>
      </c>
      <c r="G123" s="323" t="s">
        <v>1019</v>
      </c>
      <c r="H123" s="323">
        <v>1</v>
      </c>
      <c r="I123" s="514">
        <v>5913100</v>
      </c>
      <c r="J123" s="343">
        <v>1064358</v>
      </c>
      <c r="K123" s="446">
        <f t="shared" si="12"/>
        <v>6977458</v>
      </c>
      <c r="L123" s="519"/>
      <c r="M123" s="325">
        <f t="shared" si="14"/>
        <v>6977458</v>
      </c>
      <c r="N123" s="522">
        <v>44512</v>
      </c>
      <c r="O123" s="325">
        <v>12</v>
      </c>
      <c r="P123" s="523">
        <v>44512</v>
      </c>
      <c r="Q123" s="325" t="s">
        <v>1430</v>
      </c>
      <c r="R123" s="325" t="s">
        <v>1430</v>
      </c>
      <c r="S123" s="330">
        <v>1</v>
      </c>
      <c r="T123" s="460" t="s">
        <v>1296</v>
      </c>
      <c r="U123" s="331"/>
      <c r="V123" s="331"/>
      <c r="W123" s="332">
        <f t="shared" si="13"/>
        <v>0</v>
      </c>
      <c r="X123" s="450"/>
      <c r="Y123" s="450"/>
      <c r="Z123" s="334">
        <f t="shared" si="9"/>
        <v>0</v>
      </c>
      <c r="AA123" s="334">
        <f t="shared" si="10"/>
        <v>0</v>
      </c>
      <c r="AB123" s="343">
        <f t="shared" si="15"/>
        <v>0</v>
      </c>
      <c r="AC123" s="335">
        <f t="shared" si="15"/>
        <v>0</v>
      </c>
      <c r="AD123" s="325"/>
      <c r="AE123" s="325"/>
      <c r="AF123" s="325"/>
      <c r="AG123" s="450"/>
    </row>
    <row r="124" spans="2:33" s="444" customFormat="1" ht="20.399999999999999">
      <c r="B124" s="318" t="s">
        <v>8</v>
      </c>
      <c r="C124" s="349" t="s">
        <v>1666</v>
      </c>
      <c r="D124" s="350" t="s">
        <v>1667</v>
      </c>
      <c r="E124" s="521" t="s">
        <v>1670</v>
      </c>
      <c r="F124" s="336" t="s">
        <v>1669</v>
      </c>
      <c r="G124" s="323" t="s">
        <v>1019</v>
      </c>
      <c r="H124" s="323">
        <v>1</v>
      </c>
      <c r="I124" s="514">
        <v>7947500</v>
      </c>
      <c r="J124" s="343">
        <v>1349550</v>
      </c>
      <c r="K124" s="446">
        <f t="shared" si="12"/>
        <v>9297050</v>
      </c>
      <c r="L124" s="519"/>
      <c r="M124" s="325">
        <f t="shared" si="14"/>
        <v>9297050</v>
      </c>
      <c r="N124" s="522">
        <v>44512</v>
      </c>
      <c r="O124" s="325">
        <v>12</v>
      </c>
      <c r="P124" s="523">
        <v>44512</v>
      </c>
      <c r="Q124" s="325" t="s">
        <v>1430</v>
      </c>
      <c r="R124" s="325" t="s">
        <v>1430</v>
      </c>
      <c r="S124" s="330">
        <v>1</v>
      </c>
      <c r="T124" s="460" t="s">
        <v>1296</v>
      </c>
      <c r="U124" s="331"/>
      <c r="V124" s="331"/>
      <c r="W124" s="332">
        <f t="shared" si="13"/>
        <v>0</v>
      </c>
      <c r="X124" s="450"/>
      <c r="Y124" s="450"/>
      <c r="Z124" s="334">
        <f t="shared" si="9"/>
        <v>0</v>
      </c>
      <c r="AA124" s="334">
        <f t="shared" si="10"/>
        <v>0</v>
      </c>
      <c r="AB124" s="343">
        <f t="shared" si="15"/>
        <v>0</v>
      </c>
      <c r="AC124" s="335">
        <f t="shared" si="15"/>
        <v>0</v>
      </c>
      <c r="AD124" s="325"/>
      <c r="AE124" s="325"/>
      <c r="AF124" s="325"/>
      <c r="AG124" s="450"/>
    </row>
    <row r="125" spans="2:33" s="444" customFormat="1" ht="30.6">
      <c r="B125" s="318" t="s">
        <v>8</v>
      </c>
      <c r="C125" s="349" t="s">
        <v>1666</v>
      </c>
      <c r="D125" s="350" t="s">
        <v>1671</v>
      </c>
      <c r="E125" s="349" t="s">
        <v>1672</v>
      </c>
      <c r="F125" s="336" t="s">
        <v>1673</v>
      </c>
      <c r="G125" s="323" t="s">
        <v>1019</v>
      </c>
      <c r="H125" s="323">
        <v>2</v>
      </c>
      <c r="I125" s="514">
        <v>5084745</v>
      </c>
      <c r="J125" s="343">
        <v>915255</v>
      </c>
      <c r="K125" s="446">
        <f>+I125+J125</f>
        <v>6000000</v>
      </c>
      <c r="L125" s="519"/>
      <c r="M125" s="325">
        <f t="shared" si="14"/>
        <v>6000000</v>
      </c>
      <c r="N125" s="524" t="s">
        <v>1674</v>
      </c>
      <c r="O125" s="325" t="s">
        <v>1675</v>
      </c>
      <c r="P125" s="525">
        <v>44348</v>
      </c>
      <c r="Q125" s="325" t="s">
        <v>1430</v>
      </c>
      <c r="R125" s="325" t="s">
        <v>1430</v>
      </c>
      <c r="S125" s="330">
        <v>1</v>
      </c>
      <c r="T125" s="460" t="s">
        <v>1296</v>
      </c>
      <c r="U125" s="331"/>
      <c r="V125" s="331"/>
      <c r="W125" s="332">
        <f t="shared" si="13"/>
        <v>0</v>
      </c>
      <c r="X125" s="450"/>
      <c r="Y125" s="450"/>
      <c r="Z125" s="334">
        <f t="shared" si="9"/>
        <v>0</v>
      </c>
      <c r="AA125" s="334">
        <f t="shared" si="10"/>
        <v>0</v>
      </c>
      <c r="AB125" s="343">
        <f t="shared" si="15"/>
        <v>0</v>
      </c>
      <c r="AC125" s="335">
        <f t="shared" si="15"/>
        <v>0</v>
      </c>
      <c r="AD125" s="325"/>
      <c r="AE125" s="325"/>
      <c r="AF125" s="325"/>
      <c r="AG125" s="450"/>
    </row>
    <row r="126" spans="2:33" s="444" customFormat="1" ht="40.799999999999997">
      <c r="B126" s="318" t="s">
        <v>8</v>
      </c>
      <c r="C126" s="349" t="s">
        <v>1676</v>
      </c>
      <c r="D126" s="350" t="s">
        <v>1671</v>
      </c>
      <c r="E126" s="521" t="s">
        <v>1677</v>
      </c>
      <c r="F126" s="336" t="s">
        <v>1678</v>
      </c>
      <c r="G126" s="323" t="s">
        <v>1019</v>
      </c>
      <c r="H126" s="323">
        <v>1</v>
      </c>
      <c r="I126" s="514">
        <v>6610169</v>
      </c>
      <c r="J126" s="343">
        <v>1189831</v>
      </c>
      <c r="K126" s="446">
        <f t="shared" si="12"/>
        <v>7800000</v>
      </c>
      <c r="L126" s="519"/>
      <c r="M126" s="325">
        <f t="shared" si="14"/>
        <v>7800000</v>
      </c>
      <c r="N126" s="526">
        <v>44621</v>
      </c>
      <c r="O126" s="325" t="s">
        <v>1675</v>
      </c>
      <c r="P126" s="525">
        <v>44630</v>
      </c>
      <c r="Q126" s="325" t="s">
        <v>1430</v>
      </c>
      <c r="R126" s="325" t="s">
        <v>1430</v>
      </c>
      <c r="S126" s="330">
        <v>1</v>
      </c>
      <c r="T126" s="460" t="s">
        <v>1296</v>
      </c>
      <c r="U126" s="331"/>
      <c r="V126" s="331"/>
      <c r="W126" s="332">
        <f t="shared" si="13"/>
        <v>0</v>
      </c>
      <c r="X126" s="450"/>
      <c r="Y126" s="450"/>
      <c r="Z126" s="334">
        <f t="shared" si="9"/>
        <v>0</v>
      </c>
      <c r="AA126" s="334">
        <f t="shared" si="10"/>
        <v>0</v>
      </c>
      <c r="AB126" s="343">
        <f t="shared" si="15"/>
        <v>0</v>
      </c>
      <c r="AC126" s="335">
        <f t="shared" si="15"/>
        <v>0</v>
      </c>
      <c r="AD126" s="325"/>
      <c r="AE126" s="325"/>
      <c r="AF126" s="325"/>
      <c r="AG126" s="450"/>
    </row>
    <row r="127" spans="2:33" s="444" customFormat="1" ht="40.799999999999997">
      <c r="B127" s="318" t="s">
        <v>8</v>
      </c>
      <c r="C127" s="349" t="s">
        <v>1676</v>
      </c>
      <c r="D127" s="350" t="s">
        <v>1679</v>
      </c>
      <c r="E127" s="521" t="s">
        <v>1680</v>
      </c>
      <c r="F127" s="336" t="s">
        <v>1678</v>
      </c>
      <c r="G127" s="323" t="s">
        <v>1019</v>
      </c>
      <c r="H127" s="323">
        <v>1</v>
      </c>
      <c r="I127" s="514">
        <v>3075000</v>
      </c>
      <c r="J127" s="343">
        <v>553500</v>
      </c>
      <c r="K127" s="446">
        <f t="shared" si="12"/>
        <v>3628500</v>
      </c>
      <c r="L127" s="519"/>
      <c r="M127" s="325">
        <f t="shared" si="14"/>
        <v>3628500</v>
      </c>
      <c r="N127" s="526">
        <v>44653</v>
      </c>
      <c r="O127" s="443" t="s">
        <v>1681</v>
      </c>
      <c r="P127" s="525">
        <v>44681</v>
      </c>
      <c r="Q127" s="325" t="s">
        <v>1430</v>
      </c>
      <c r="R127" s="325" t="s">
        <v>1430</v>
      </c>
      <c r="S127" s="330">
        <v>1</v>
      </c>
      <c r="T127" s="460" t="s">
        <v>1296</v>
      </c>
      <c r="U127" s="331"/>
      <c r="V127" s="331"/>
      <c r="W127" s="332">
        <f t="shared" si="13"/>
        <v>0</v>
      </c>
      <c r="X127" s="450"/>
      <c r="Y127" s="450"/>
      <c r="Z127" s="334">
        <f t="shared" si="9"/>
        <v>0</v>
      </c>
      <c r="AA127" s="334">
        <f t="shared" si="10"/>
        <v>0</v>
      </c>
      <c r="AB127" s="343">
        <f t="shared" si="15"/>
        <v>0</v>
      </c>
      <c r="AC127" s="335">
        <f t="shared" si="15"/>
        <v>0</v>
      </c>
      <c r="AD127" s="325"/>
      <c r="AE127" s="325"/>
      <c r="AF127" s="325"/>
      <c r="AG127" s="450"/>
    </row>
    <row r="128" spans="2:33" s="444" customFormat="1">
      <c r="B128" s="318" t="s">
        <v>8</v>
      </c>
      <c r="C128" s="349" t="s">
        <v>1682</v>
      </c>
      <c r="D128" s="350" t="s">
        <v>1683</v>
      </c>
      <c r="E128" s="331" t="s">
        <v>1684</v>
      </c>
      <c r="F128" s="336" t="s">
        <v>1685</v>
      </c>
      <c r="G128" s="323" t="s">
        <v>1019</v>
      </c>
      <c r="H128" s="323">
        <v>1</v>
      </c>
      <c r="I128" s="514">
        <v>19455400</v>
      </c>
      <c r="J128" s="343">
        <v>3501972</v>
      </c>
      <c r="K128" s="446">
        <f t="shared" si="12"/>
        <v>22957372</v>
      </c>
      <c r="L128" s="519"/>
      <c r="M128" s="325">
        <f t="shared" si="14"/>
        <v>22957372</v>
      </c>
      <c r="N128" s="526" t="s">
        <v>1686</v>
      </c>
      <c r="O128" s="443" t="s">
        <v>1687</v>
      </c>
      <c r="P128" s="525">
        <v>44907</v>
      </c>
      <c r="Q128" s="325" t="s">
        <v>1430</v>
      </c>
      <c r="R128" s="325" t="s">
        <v>1430</v>
      </c>
      <c r="S128" s="330">
        <v>1</v>
      </c>
      <c r="T128" s="460" t="s">
        <v>1296</v>
      </c>
      <c r="U128" s="331"/>
      <c r="V128" s="331"/>
      <c r="W128" s="332">
        <f t="shared" si="13"/>
        <v>0</v>
      </c>
      <c r="X128" s="450"/>
      <c r="Y128" s="450"/>
      <c r="Z128" s="334">
        <f t="shared" ref="Z128:Z160" si="16">+(X128+Y128)/M128</f>
        <v>0</v>
      </c>
      <c r="AA128" s="334">
        <f t="shared" ref="AA128:AA160" si="17">+X128/I128</f>
        <v>0</v>
      </c>
      <c r="AB128" s="343">
        <f t="shared" si="15"/>
        <v>0</v>
      </c>
      <c r="AC128" s="335">
        <f t="shared" si="15"/>
        <v>0</v>
      </c>
      <c r="AD128" s="325"/>
      <c r="AE128" s="325"/>
      <c r="AF128" s="325"/>
      <c r="AG128" s="450"/>
    </row>
    <row r="129" spans="2:33" s="444" customFormat="1" ht="30.6">
      <c r="B129" s="318" t="s">
        <v>8</v>
      </c>
      <c r="C129" s="349" t="s">
        <v>1666</v>
      </c>
      <c r="D129" s="350" t="s">
        <v>1688</v>
      </c>
      <c r="E129" s="331" t="s">
        <v>1689</v>
      </c>
      <c r="F129" s="336" t="s">
        <v>1163</v>
      </c>
      <c r="G129" s="323" t="s">
        <v>1019</v>
      </c>
      <c r="H129" s="323">
        <v>1</v>
      </c>
      <c r="I129" s="514">
        <v>6460506</v>
      </c>
      <c r="J129" s="514">
        <v>1162891</v>
      </c>
      <c r="K129" s="446">
        <f t="shared" si="12"/>
        <v>7623397</v>
      </c>
      <c r="L129" s="519"/>
      <c r="M129" s="325">
        <f t="shared" si="14"/>
        <v>7623397</v>
      </c>
      <c r="N129" s="526">
        <v>44725</v>
      </c>
      <c r="O129" s="443" t="s">
        <v>1690</v>
      </c>
      <c r="P129" s="429"/>
      <c r="Q129" s="325"/>
      <c r="R129" s="325"/>
      <c r="S129" s="330">
        <v>1</v>
      </c>
      <c r="T129" s="460" t="s">
        <v>1296</v>
      </c>
      <c r="U129" s="460"/>
      <c r="V129" s="460"/>
      <c r="W129" s="332">
        <f t="shared" si="13"/>
        <v>0</v>
      </c>
      <c r="X129" s="450"/>
      <c r="Y129" s="450"/>
      <c r="Z129" s="334">
        <f t="shared" si="16"/>
        <v>0</v>
      </c>
      <c r="AA129" s="334">
        <f t="shared" si="17"/>
        <v>0</v>
      </c>
      <c r="AB129" s="343">
        <f t="shared" si="15"/>
        <v>0</v>
      </c>
      <c r="AC129" s="335">
        <f t="shared" si="15"/>
        <v>0</v>
      </c>
      <c r="AD129" s="325"/>
      <c r="AE129" s="325"/>
      <c r="AF129" s="325"/>
      <c r="AG129" s="499" t="s">
        <v>1691</v>
      </c>
    </row>
    <row r="130" spans="2:33" ht="20.399999999999999">
      <c r="B130" s="400" t="s">
        <v>9</v>
      </c>
      <c r="C130" s="319" t="s">
        <v>927</v>
      </c>
      <c r="D130" s="320" t="s">
        <v>928</v>
      </c>
      <c r="E130" s="331" t="s">
        <v>926</v>
      </c>
      <c r="F130" s="331" t="s">
        <v>1692</v>
      </c>
      <c r="G130" s="323" t="s">
        <v>1019</v>
      </c>
      <c r="H130" s="323">
        <v>1</v>
      </c>
      <c r="I130" s="527">
        <v>5050953372</v>
      </c>
      <c r="J130" s="527">
        <v>909171606.95999992</v>
      </c>
      <c r="K130" s="527">
        <f t="shared" ref="K130:K136" si="18">+I130+J130</f>
        <v>5960124978.96</v>
      </c>
      <c r="L130" s="528"/>
      <c r="M130" s="325">
        <f t="shared" si="14"/>
        <v>5960124978.96</v>
      </c>
      <c r="N130" s="529">
        <v>44935</v>
      </c>
      <c r="O130" s="443">
        <v>18</v>
      </c>
      <c r="P130" s="429"/>
      <c r="Q130" s="325"/>
      <c r="R130" s="325"/>
      <c r="S130" s="330">
        <v>0.2</v>
      </c>
      <c r="T130" s="344" t="s">
        <v>1693</v>
      </c>
      <c r="U130" s="343">
        <v>1010190674</v>
      </c>
      <c r="V130" s="343">
        <v>181834321.31999999</v>
      </c>
      <c r="W130" s="332">
        <f t="shared" si="13"/>
        <v>1192024995.3199999</v>
      </c>
      <c r="X130" s="344"/>
      <c r="Y130" s="344"/>
      <c r="Z130" s="334">
        <f t="shared" si="16"/>
        <v>0</v>
      </c>
      <c r="AA130" s="334">
        <f t="shared" si="17"/>
        <v>0</v>
      </c>
      <c r="AB130" s="343">
        <f t="shared" si="15"/>
        <v>1010190674</v>
      </c>
      <c r="AC130" s="335">
        <f t="shared" si="15"/>
        <v>181834321.31999999</v>
      </c>
      <c r="AD130" s="325"/>
      <c r="AE130" s="325"/>
      <c r="AF130" s="325"/>
      <c r="AG130" s="344" t="s">
        <v>1694</v>
      </c>
    </row>
    <row r="131" spans="2:33" s="530" customFormat="1" ht="20.399999999999999">
      <c r="B131" s="400" t="s">
        <v>9</v>
      </c>
      <c r="C131" s="319" t="s">
        <v>927</v>
      </c>
      <c r="D131" s="320" t="s">
        <v>929</v>
      </c>
      <c r="E131" s="331" t="s">
        <v>926</v>
      </c>
      <c r="F131" s="331" t="s">
        <v>1695</v>
      </c>
      <c r="G131" s="323" t="s">
        <v>1019</v>
      </c>
      <c r="H131" s="323">
        <v>1</v>
      </c>
      <c r="I131" s="527">
        <v>5623788973</v>
      </c>
      <c r="J131" s="527">
        <v>1012282015.14</v>
      </c>
      <c r="K131" s="527">
        <f t="shared" si="18"/>
        <v>6636070988.1400003</v>
      </c>
      <c r="L131" s="528"/>
      <c r="M131" s="325">
        <f t="shared" si="14"/>
        <v>6636070988.1400003</v>
      </c>
      <c r="N131" s="529">
        <v>44950</v>
      </c>
      <c r="O131" s="443">
        <v>18</v>
      </c>
      <c r="P131" s="429"/>
      <c r="Q131" s="325"/>
      <c r="R131" s="325"/>
      <c r="S131" s="330">
        <v>0.2</v>
      </c>
      <c r="T131" s="344" t="s">
        <v>1693</v>
      </c>
      <c r="U131" s="393">
        <v>1124757795</v>
      </c>
      <c r="V131" s="393">
        <v>202456403.09999999</v>
      </c>
      <c r="W131" s="332">
        <f t="shared" si="13"/>
        <v>1327214198.0999999</v>
      </c>
      <c r="X131" s="531"/>
      <c r="Y131" s="531"/>
      <c r="Z131" s="334">
        <f t="shared" si="16"/>
        <v>0</v>
      </c>
      <c r="AA131" s="334">
        <f t="shared" si="17"/>
        <v>0</v>
      </c>
      <c r="AB131" s="343">
        <f t="shared" si="15"/>
        <v>1124757795</v>
      </c>
      <c r="AC131" s="335">
        <f t="shared" si="15"/>
        <v>202456403.09999999</v>
      </c>
      <c r="AD131" s="325"/>
      <c r="AE131" s="325"/>
      <c r="AF131" s="325"/>
      <c r="AG131" s="344" t="s">
        <v>1694</v>
      </c>
    </row>
    <row r="132" spans="2:33" s="530" customFormat="1" ht="30.6">
      <c r="B132" s="400" t="s">
        <v>9</v>
      </c>
      <c r="C132" s="319" t="s">
        <v>1696</v>
      </c>
      <c r="D132" s="350" t="s">
        <v>867</v>
      </c>
      <c r="E132" s="331" t="s">
        <v>925</v>
      </c>
      <c r="F132" s="322" t="s">
        <v>1141</v>
      </c>
      <c r="G132" s="323" t="s">
        <v>1019</v>
      </c>
      <c r="H132" s="323">
        <v>1</v>
      </c>
      <c r="I132" s="527">
        <v>1211797955</v>
      </c>
      <c r="J132" s="527">
        <v>218123631.90000001</v>
      </c>
      <c r="K132" s="527">
        <f t="shared" si="18"/>
        <v>1429921586.9000001</v>
      </c>
      <c r="L132" s="532"/>
      <c r="M132" s="325">
        <f t="shared" si="14"/>
        <v>1429921586.9000001</v>
      </c>
      <c r="N132" s="529">
        <v>44820</v>
      </c>
      <c r="O132" s="443">
        <v>26</v>
      </c>
      <c r="P132" s="429"/>
      <c r="Q132" s="325"/>
      <c r="R132" s="325"/>
      <c r="S132" s="330">
        <v>0.2</v>
      </c>
      <c r="T132" s="344" t="s">
        <v>1693</v>
      </c>
      <c r="U132" s="343">
        <v>242359591</v>
      </c>
      <c r="V132" s="343">
        <v>43624726.379999995</v>
      </c>
      <c r="W132" s="332">
        <f t="shared" si="13"/>
        <v>285984317.38</v>
      </c>
      <c r="X132" s="531"/>
      <c r="Y132" s="531"/>
      <c r="Z132" s="334">
        <f t="shared" si="16"/>
        <v>0</v>
      </c>
      <c r="AA132" s="334">
        <f t="shared" si="17"/>
        <v>0</v>
      </c>
      <c r="AB132" s="343">
        <f t="shared" si="15"/>
        <v>242359591</v>
      </c>
      <c r="AC132" s="335">
        <f t="shared" si="15"/>
        <v>43624726.379999995</v>
      </c>
      <c r="AD132" s="462" t="s">
        <v>847</v>
      </c>
      <c r="AE132" s="462" t="s">
        <v>110</v>
      </c>
      <c r="AF132" s="462" t="s">
        <v>110</v>
      </c>
      <c r="AG132" s="336" t="s">
        <v>871</v>
      </c>
    </row>
    <row r="133" spans="2:33" s="530" customFormat="1" ht="20.399999999999999">
      <c r="B133" s="400" t="s">
        <v>9</v>
      </c>
      <c r="C133" s="349" t="s">
        <v>1023</v>
      </c>
      <c r="D133" s="350" t="s">
        <v>1697</v>
      </c>
      <c r="E133" s="331" t="s">
        <v>1698</v>
      </c>
      <c r="F133" s="322" t="s">
        <v>1142</v>
      </c>
      <c r="G133" s="520" t="s">
        <v>805</v>
      </c>
      <c r="H133" s="518">
        <v>0.75</v>
      </c>
      <c r="I133" s="527">
        <v>3438195768</v>
      </c>
      <c r="J133" s="527">
        <v>266868366</v>
      </c>
      <c r="K133" s="527">
        <f t="shared" si="18"/>
        <v>3705064134</v>
      </c>
      <c r="L133" s="532"/>
      <c r="M133" s="325">
        <f t="shared" si="14"/>
        <v>3705064134</v>
      </c>
      <c r="N133" s="325"/>
      <c r="O133" s="325">
        <v>15</v>
      </c>
      <c r="P133" s="429"/>
      <c r="Q133" s="325"/>
      <c r="R133" s="325"/>
      <c r="S133" s="330">
        <v>0.15</v>
      </c>
      <c r="T133" s="533" t="s">
        <v>1699</v>
      </c>
      <c r="U133" s="533"/>
      <c r="V133" s="533"/>
      <c r="W133" s="332">
        <f t="shared" si="13"/>
        <v>0</v>
      </c>
      <c r="X133" s="531"/>
      <c r="Y133" s="531"/>
      <c r="Z133" s="334">
        <f t="shared" si="16"/>
        <v>0</v>
      </c>
      <c r="AA133" s="334">
        <f t="shared" si="17"/>
        <v>0</v>
      </c>
      <c r="AB133" s="343">
        <f t="shared" si="15"/>
        <v>0</v>
      </c>
      <c r="AC133" s="335">
        <f t="shared" si="15"/>
        <v>0</v>
      </c>
      <c r="AD133" s="325"/>
      <c r="AE133" s="325"/>
      <c r="AF133" s="325"/>
      <c r="AG133" s="533" t="s">
        <v>1700</v>
      </c>
    </row>
    <row r="134" spans="2:33" s="530" customFormat="1" ht="20.399999999999999">
      <c r="B134" s="400" t="s">
        <v>9</v>
      </c>
      <c r="C134" s="349" t="s">
        <v>66</v>
      </c>
      <c r="D134" s="320" t="s">
        <v>1701</v>
      </c>
      <c r="E134" s="331" t="s">
        <v>1702</v>
      </c>
      <c r="F134" s="322" t="s">
        <v>1703</v>
      </c>
      <c r="G134" s="520" t="s">
        <v>805</v>
      </c>
      <c r="H134" s="518">
        <v>0.75</v>
      </c>
      <c r="I134" s="527">
        <v>245583900</v>
      </c>
      <c r="J134" s="527">
        <v>44205102</v>
      </c>
      <c r="K134" s="527">
        <f t="shared" si="18"/>
        <v>289789002</v>
      </c>
      <c r="L134" s="528"/>
      <c r="M134" s="325">
        <f t="shared" si="14"/>
        <v>289789002</v>
      </c>
      <c r="N134" s="325"/>
      <c r="O134" s="325">
        <v>10</v>
      </c>
      <c r="P134" s="429"/>
      <c r="Q134" s="325"/>
      <c r="R134" s="325"/>
      <c r="S134" s="330">
        <v>0.15</v>
      </c>
      <c r="T134" s="533" t="s">
        <v>1704</v>
      </c>
      <c r="U134" s="338">
        <v>49116780</v>
      </c>
      <c r="V134" s="338">
        <v>8841020.4000000004</v>
      </c>
      <c r="W134" s="332">
        <f t="shared" si="13"/>
        <v>57957800.399999999</v>
      </c>
      <c r="X134" s="531"/>
      <c r="Y134" s="531"/>
      <c r="Z134" s="334">
        <f t="shared" si="16"/>
        <v>0</v>
      </c>
      <c r="AA134" s="334">
        <f t="shared" si="17"/>
        <v>0</v>
      </c>
      <c r="AB134" s="343">
        <f t="shared" si="15"/>
        <v>49116780</v>
      </c>
      <c r="AC134" s="335">
        <f t="shared" si="15"/>
        <v>8841020.4000000004</v>
      </c>
      <c r="AD134" s="325"/>
      <c r="AE134" s="325"/>
      <c r="AF134" s="325"/>
      <c r="AG134" s="533" t="s">
        <v>1700</v>
      </c>
    </row>
    <row r="135" spans="2:33" s="530" customFormat="1" ht="40.799999999999997">
      <c r="B135" s="400" t="s">
        <v>9</v>
      </c>
      <c r="C135" s="349" t="s">
        <v>66</v>
      </c>
      <c r="D135" s="320" t="s">
        <v>1088</v>
      </c>
      <c r="E135" s="319"/>
      <c r="F135" s="322" t="s">
        <v>1705</v>
      </c>
      <c r="G135" s="520" t="s">
        <v>805</v>
      </c>
      <c r="H135" s="518">
        <v>0.1</v>
      </c>
      <c r="I135" s="521"/>
      <c r="J135" s="521"/>
      <c r="K135" s="527">
        <f t="shared" si="18"/>
        <v>0</v>
      </c>
      <c r="L135" s="528"/>
      <c r="M135" s="325"/>
      <c r="N135" s="325"/>
      <c r="O135" s="325"/>
      <c r="P135" s="429"/>
      <c r="Q135" s="325"/>
      <c r="R135" s="325"/>
      <c r="S135" s="330">
        <v>0.1</v>
      </c>
      <c r="T135" s="336" t="s">
        <v>1706</v>
      </c>
      <c r="U135" s="336"/>
      <c r="V135" s="336"/>
      <c r="W135" s="332">
        <f t="shared" si="13"/>
        <v>0</v>
      </c>
      <c r="X135" s="531"/>
      <c r="Y135" s="531"/>
      <c r="Z135" s="334" t="e">
        <f t="shared" si="16"/>
        <v>#DIV/0!</v>
      </c>
      <c r="AA135" s="334" t="e">
        <f t="shared" si="17"/>
        <v>#DIV/0!</v>
      </c>
      <c r="AB135" s="343">
        <f t="shared" si="15"/>
        <v>0</v>
      </c>
      <c r="AC135" s="335">
        <f t="shared" si="15"/>
        <v>0</v>
      </c>
      <c r="AD135" s="325"/>
      <c r="AE135" s="325"/>
      <c r="AF135" s="325"/>
      <c r="AG135" s="336" t="s">
        <v>1707</v>
      </c>
    </row>
    <row r="136" spans="2:33" s="530" customFormat="1" ht="40.799999999999997">
      <c r="B136" s="400" t="s">
        <v>9</v>
      </c>
      <c r="C136" s="349" t="s">
        <v>66</v>
      </c>
      <c r="D136" s="320" t="s">
        <v>951</v>
      </c>
      <c r="E136" s="319" t="s">
        <v>1708</v>
      </c>
      <c r="F136" s="322" t="s">
        <v>1709</v>
      </c>
      <c r="G136" s="520" t="s">
        <v>805</v>
      </c>
      <c r="H136" s="518">
        <v>0.75</v>
      </c>
      <c r="I136" s="369">
        <v>1025900000</v>
      </c>
      <c r="J136" s="369">
        <v>184662000</v>
      </c>
      <c r="K136" s="527">
        <f t="shared" si="18"/>
        <v>1210562000</v>
      </c>
      <c r="L136" s="528"/>
      <c r="M136" s="325"/>
      <c r="N136" s="325"/>
      <c r="O136" s="325"/>
      <c r="P136" s="429"/>
      <c r="Q136" s="325"/>
      <c r="R136" s="325"/>
      <c r="S136" s="330">
        <v>0.15</v>
      </c>
      <c r="T136" s="336" t="s">
        <v>1710</v>
      </c>
      <c r="U136" s="336"/>
      <c r="V136" s="336"/>
      <c r="W136" s="332">
        <f t="shared" si="13"/>
        <v>0</v>
      </c>
      <c r="X136" s="531"/>
      <c r="Y136" s="531"/>
      <c r="Z136" s="334" t="e">
        <f t="shared" si="16"/>
        <v>#DIV/0!</v>
      </c>
      <c r="AA136" s="334">
        <f t="shared" si="17"/>
        <v>0</v>
      </c>
      <c r="AB136" s="343">
        <f t="shared" si="15"/>
        <v>0</v>
      </c>
      <c r="AC136" s="335">
        <f t="shared" si="15"/>
        <v>0</v>
      </c>
      <c r="AD136" s="325"/>
      <c r="AE136" s="325"/>
      <c r="AF136" s="325"/>
      <c r="AG136" s="533" t="s">
        <v>1700</v>
      </c>
    </row>
    <row r="137" spans="2:33" s="530" customFormat="1" ht="40.799999999999997">
      <c r="B137" s="400" t="s">
        <v>9</v>
      </c>
      <c r="C137" s="349" t="s">
        <v>66</v>
      </c>
      <c r="D137" s="320" t="s">
        <v>64</v>
      </c>
      <c r="E137" s="319"/>
      <c r="F137" s="322" t="s">
        <v>1143</v>
      </c>
      <c r="G137" s="487" t="s">
        <v>64</v>
      </c>
      <c r="H137" s="488">
        <v>0</v>
      </c>
      <c r="I137" s="534"/>
      <c r="J137" s="534"/>
      <c r="K137" s="528"/>
      <c r="L137" s="528"/>
      <c r="M137" s="325">
        <f t="shared" si="14"/>
        <v>0</v>
      </c>
      <c r="N137" s="325"/>
      <c r="O137" s="325"/>
      <c r="P137" s="429"/>
      <c r="Q137" s="325"/>
      <c r="R137" s="325"/>
      <c r="S137" s="330">
        <v>0.05</v>
      </c>
      <c r="T137" s="336" t="s">
        <v>1711</v>
      </c>
      <c r="U137" s="336"/>
      <c r="V137" s="336"/>
      <c r="W137" s="332">
        <f t="shared" si="13"/>
        <v>0</v>
      </c>
      <c r="X137" s="531"/>
      <c r="Y137" s="531"/>
      <c r="Z137" s="334" t="e">
        <f t="shared" si="16"/>
        <v>#DIV/0!</v>
      </c>
      <c r="AA137" s="334" t="e">
        <f t="shared" si="17"/>
        <v>#DIV/0!</v>
      </c>
      <c r="AB137" s="343">
        <f t="shared" si="15"/>
        <v>0</v>
      </c>
      <c r="AC137" s="335">
        <f t="shared" si="15"/>
        <v>0</v>
      </c>
      <c r="AD137" s="325"/>
      <c r="AE137" s="325"/>
      <c r="AF137" s="325"/>
      <c r="AG137" s="336" t="s">
        <v>1712</v>
      </c>
    </row>
    <row r="138" spans="2:33" s="530" customFormat="1" ht="30.6">
      <c r="B138" s="400" t="s">
        <v>1713</v>
      </c>
      <c r="C138" s="349" t="s">
        <v>66</v>
      </c>
      <c r="D138" s="320" t="s">
        <v>1088</v>
      </c>
      <c r="E138" s="319"/>
      <c r="F138" s="322" t="s">
        <v>1144</v>
      </c>
      <c r="G138" s="535" t="s">
        <v>805</v>
      </c>
      <c r="H138" s="536">
        <v>0.75</v>
      </c>
      <c r="I138" s="489"/>
      <c r="J138" s="489"/>
      <c r="K138" s="528"/>
      <c r="L138" s="528"/>
      <c r="M138" s="325">
        <f t="shared" si="14"/>
        <v>0</v>
      </c>
      <c r="N138" s="325"/>
      <c r="O138" s="325"/>
      <c r="P138" s="429"/>
      <c r="Q138" s="325"/>
      <c r="R138" s="325"/>
      <c r="S138" s="330">
        <v>0.2</v>
      </c>
      <c r="T138" s="336" t="s">
        <v>1714</v>
      </c>
      <c r="U138" s="336"/>
      <c r="V138" s="336"/>
      <c r="W138" s="332">
        <f t="shared" si="13"/>
        <v>0</v>
      </c>
      <c r="X138" s="531"/>
      <c r="Y138" s="531"/>
      <c r="Z138" s="334" t="e">
        <f t="shared" si="16"/>
        <v>#DIV/0!</v>
      </c>
      <c r="AA138" s="334" t="e">
        <f t="shared" si="17"/>
        <v>#DIV/0!</v>
      </c>
      <c r="AB138" s="343">
        <f t="shared" si="15"/>
        <v>0</v>
      </c>
      <c r="AC138" s="335">
        <f t="shared" si="15"/>
        <v>0</v>
      </c>
      <c r="AD138" s="325"/>
      <c r="AE138" s="325"/>
      <c r="AF138" s="325"/>
      <c r="AG138" s="531"/>
    </row>
    <row r="139" spans="2:33" s="530" customFormat="1" ht="30.6">
      <c r="B139" s="400" t="s">
        <v>9</v>
      </c>
      <c r="C139" s="349" t="s">
        <v>66</v>
      </c>
      <c r="D139" s="320" t="s">
        <v>64</v>
      </c>
      <c r="E139" s="319"/>
      <c r="F139" s="322" t="s">
        <v>1715</v>
      </c>
      <c r="G139" s="487" t="s">
        <v>64</v>
      </c>
      <c r="H139" s="488">
        <v>0</v>
      </c>
      <c r="I139" s="537"/>
      <c r="J139" s="537"/>
      <c r="K139" s="528"/>
      <c r="L139" s="528"/>
      <c r="M139" s="325"/>
      <c r="N139" s="538"/>
      <c r="O139" s="325"/>
      <c r="P139" s="429"/>
      <c r="Q139" s="325"/>
      <c r="R139" s="325"/>
      <c r="S139" s="330"/>
      <c r="T139" s="336"/>
      <c r="U139" s="336"/>
      <c r="V139" s="336"/>
      <c r="W139" s="332">
        <f t="shared" si="13"/>
        <v>0</v>
      </c>
      <c r="X139" s="531"/>
      <c r="Y139" s="531"/>
      <c r="Z139" s="334" t="e">
        <f t="shared" si="16"/>
        <v>#DIV/0!</v>
      </c>
      <c r="AA139" s="334" t="e">
        <f t="shared" si="17"/>
        <v>#DIV/0!</v>
      </c>
      <c r="AB139" s="343">
        <f t="shared" si="15"/>
        <v>0</v>
      </c>
      <c r="AC139" s="335">
        <f t="shared" si="15"/>
        <v>0</v>
      </c>
      <c r="AD139" s="325"/>
      <c r="AE139" s="325"/>
      <c r="AF139" s="325"/>
      <c r="AG139" s="531"/>
    </row>
    <row r="140" spans="2:33" s="530" customFormat="1" ht="30.6">
      <c r="B140" s="400" t="s">
        <v>9</v>
      </c>
      <c r="C140" s="349" t="s">
        <v>13</v>
      </c>
      <c r="D140" s="320" t="s">
        <v>843</v>
      </c>
      <c r="E140" s="319" t="s">
        <v>1716</v>
      </c>
      <c r="F140" s="322" t="s">
        <v>1717</v>
      </c>
      <c r="G140" s="323" t="s">
        <v>1019</v>
      </c>
      <c r="H140" s="323">
        <v>1</v>
      </c>
      <c r="I140" s="527">
        <f>695792678/1.18</f>
        <v>589654811.86440682</v>
      </c>
      <c r="J140" s="527">
        <f>+I140*18%</f>
        <v>106137866.13559322</v>
      </c>
      <c r="K140" s="527">
        <f>+I140+J140</f>
        <v>695792678</v>
      </c>
      <c r="L140" s="397"/>
      <c r="M140" s="325">
        <f t="shared" si="14"/>
        <v>695792678</v>
      </c>
      <c r="N140" s="529">
        <v>44818</v>
      </c>
      <c r="O140" s="325">
        <v>14</v>
      </c>
      <c r="P140" s="429"/>
      <c r="Q140" s="325"/>
      <c r="R140" s="325"/>
      <c r="S140" s="330">
        <v>0.2</v>
      </c>
      <c r="T140" s="344" t="s">
        <v>1693</v>
      </c>
      <c r="U140" s="344"/>
      <c r="V140" s="393">
        <v>118452924.06779662</v>
      </c>
      <c r="W140" s="369">
        <v>21321526.332203392</v>
      </c>
      <c r="X140" s="343">
        <v>118452924</v>
      </c>
      <c r="Y140" s="531"/>
      <c r="Z140" s="334">
        <f t="shared" si="16"/>
        <v>0.17024169374774595</v>
      </c>
      <c r="AA140" s="334">
        <f t="shared" si="17"/>
        <v>0.20088519862234019</v>
      </c>
      <c r="AB140" s="343">
        <f t="shared" si="15"/>
        <v>-118452924</v>
      </c>
      <c r="AC140" s="335">
        <f t="shared" si="15"/>
        <v>118452924.06779662</v>
      </c>
      <c r="AD140" s="462" t="s">
        <v>847</v>
      </c>
      <c r="AE140" s="462" t="s">
        <v>848</v>
      </c>
      <c r="AF140" s="462" t="s">
        <v>847</v>
      </c>
      <c r="AG140" s="533" t="s">
        <v>1718</v>
      </c>
    </row>
    <row r="141" spans="2:33" s="530" customFormat="1" ht="30.6">
      <c r="B141" s="400" t="s">
        <v>9</v>
      </c>
      <c r="C141" s="349" t="s">
        <v>13</v>
      </c>
      <c r="D141" s="320" t="s">
        <v>843</v>
      </c>
      <c r="E141" s="319" t="s">
        <v>1719</v>
      </c>
      <c r="F141" s="322" t="s">
        <v>1720</v>
      </c>
      <c r="G141" s="323" t="s">
        <v>1019</v>
      </c>
      <c r="H141" s="323">
        <v>1</v>
      </c>
      <c r="I141" s="527">
        <f>698872252/1.18</f>
        <v>592264620.33898306</v>
      </c>
      <c r="J141" s="527">
        <f>+I141*18%</f>
        <v>106607631.66101694</v>
      </c>
      <c r="K141" s="527">
        <f t="shared" ref="K141:K152" si="19">+I141+J141</f>
        <v>698872252</v>
      </c>
      <c r="L141" s="397"/>
      <c r="M141" s="325">
        <f t="shared" si="14"/>
        <v>698872252</v>
      </c>
      <c r="N141" s="529">
        <v>44818</v>
      </c>
      <c r="O141" s="325">
        <v>14</v>
      </c>
      <c r="P141" s="429"/>
      <c r="Q141" s="325"/>
      <c r="R141" s="325"/>
      <c r="S141" s="330">
        <v>0.2</v>
      </c>
      <c r="T141" s="344" t="s">
        <v>1693</v>
      </c>
      <c r="U141" s="370">
        <v>117930962</v>
      </c>
      <c r="V141" s="370">
        <v>21227573.16</v>
      </c>
      <c r="W141" s="332">
        <f t="shared" ref="W141:W160" si="20">+U141+V141</f>
        <v>139158535.16</v>
      </c>
      <c r="X141" s="393">
        <v>117930962</v>
      </c>
      <c r="Y141" s="531"/>
      <c r="Z141" s="334">
        <f t="shared" si="16"/>
        <v>0.16874466207881436</v>
      </c>
      <c r="AA141" s="334">
        <f t="shared" si="17"/>
        <v>0.19911870125300096</v>
      </c>
      <c r="AB141" s="343">
        <f t="shared" si="15"/>
        <v>0</v>
      </c>
      <c r="AC141" s="335">
        <f t="shared" si="15"/>
        <v>21227573.16</v>
      </c>
      <c r="AD141" s="462" t="s">
        <v>847</v>
      </c>
      <c r="AE141" s="462" t="s">
        <v>848</v>
      </c>
      <c r="AF141" s="462" t="s">
        <v>847</v>
      </c>
      <c r="AG141" s="533" t="s">
        <v>1718</v>
      </c>
    </row>
    <row r="142" spans="2:33" s="530" customFormat="1" ht="30.6">
      <c r="B142" s="400" t="s">
        <v>9</v>
      </c>
      <c r="C142" s="349" t="s">
        <v>13</v>
      </c>
      <c r="D142" s="320" t="s">
        <v>857</v>
      </c>
      <c r="E142" s="319" t="s">
        <v>1721</v>
      </c>
      <c r="F142" s="322" t="s">
        <v>1722</v>
      </c>
      <c r="G142" s="323" t="s">
        <v>1019</v>
      </c>
      <c r="H142" s="323">
        <v>1</v>
      </c>
      <c r="I142" s="527">
        <f>911721237/1.18</f>
        <v>772645116.10169494</v>
      </c>
      <c r="J142" s="527">
        <f>+I142*18%</f>
        <v>139076120.89830509</v>
      </c>
      <c r="K142" s="527">
        <f t="shared" si="19"/>
        <v>911721237</v>
      </c>
      <c r="L142" s="397"/>
      <c r="M142" s="325">
        <f t="shared" si="14"/>
        <v>911721237</v>
      </c>
      <c r="N142" s="529">
        <v>44818</v>
      </c>
      <c r="O142" s="325">
        <v>14</v>
      </c>
      <c r="P142" s="429"/>
      <c r="Q142" s="325"/>
      <c r="R142" s="325"/>
      <c r="S142" s="330">
        <v>0.2</v>
      </c>
      <c r="T142" s="344" t="s">
        <v>1693</v>
      </c>
      <c r="U142" s="343">
        <v>154529023.220339</v>
      </c>
      <c r="V142" s="343">
        <v>27815224.179661021</v>
      </c>
      <c r="W142" s="332">
        <f t="shared" si="20"/>
        <v>182344247.40000004</v>
      </c>
      <c r="X142" s="393">
        <v>154529023</v>
      </c>
      <c r="Y142" s="531"/>
      <c r="Z142" s="334">
        <f t="shared" si="16"/>
        <v>0.16949152518205518</v>
      </c>
      <c r="AA142" s="334">
        <f t="shared" si="17"/>
        <v>0.1999999997148251</v>
      </c>
      <c r="AB142" s="343">
        <f t="shared" si="15"/>
        <v>0.22033900022506714</v>
      </c>
      <c r="AC142" s="335">
        <f t="shared" si="15"/>
        <v>27815224.179661021</v>
      </c>
      <c r="AD142" s="462" t="s">
        <v>847</v>
      </c>
      <c r="AE142" s="462" t="s">
        <v>848</v>
      </c>
      <c r="AF142" s="462" t="s">
        <v>847</v>
      </c>
      <c r="AG142" s="533" t="s">
        <v>1718</v>
      </c>
    </row>
    <row r="143" spans="2:33" s="530" customFormat="1" ht="30.6">
      <c r="B143" s="400" t="s">
        <v>9</v>
      </c>
      <c r="C143" s="349" t="s">
        <v>13</v>
      </c>
      <c r="D143" s="320" t="s">
        <v>862</v>
      </c>
      <c r="E143" s="319" t="s">
        <v>1723</v>
      </c>
      <c r="F143" s="322" t="s">
        <v>1724</v>
      </c>
      <c r="G143" s="323" t="s">
        <v>1019</v>
      </c>
      <c r="H143" s="323">
        <v>1</v>
      </c>
      <c r="I143" s="527">
        <v>452734936</v>
      </c>
      <c r="J143" s="527">
        <f>+I143*18%</f>
        <v>81492288.480000004</v>
      </c>
      <c r="K143" s="527">
        <f t="shared" si="19"/>
        <v>534227224.48000002</v>
      </c>
      <c r="L143" s="397"/>
      <c r="M143" s="325">
        <f t="shared" si="14"/>
        <v>534227224.48000002</v>
      </c>
      <c r="N143" s="529">
        <v>44818</v>
      </c>
      <c r="O143" s="325">
        <v>14</v>
      </c>
      <c r="P143" s="429"/>
      <c r="Q143" s="325"/>
      <c r="R143" s="325"/>
      <c r="S143" s="330">
        <v>0.2</v>
      </c>
      <c r="T143" s="344" t="s">
        <v>1693</v>
      </c>
      <c r="U143" s="343">
        <v>118452924</v>
      </c>
      <c r="V143" s="343">
        <v>21321526.32</v>
      </c>
      <c r="W143" s="332">
        <f t="shared" si="20"/>
        <v>139774450.31999999</v>
      </c>
      <c r="X143" s="531"/>
      <c r="Y143" s="531"/>
      <c r="Z143" s="334">
        <f t="shared" si="16"/>
        <v>0</v>
      </c>
      <c r="AA143" s="334">
        <f t="shared" si="17"/>
        <v>0</v>
      </c>
      <c r="AB143" s="343">
        <f t="shared" si="15"/>
        <v>118452924</v>
      </c>
      <c r="AC143" s="335">
        <f t="shared" si="15"/>
        <v>21321526.32</v>
      </c>
      <c r="AD143" s="462" t="s">
        <v>847</v>
      </c>
      <c r="AE143" s="462" t="s">
        <v>848</v>
      </c>
      <c r="AF143" s="462" t="s">
        <v>847</v>
      </c>
      <c r="AG143" s="533" t="s">
        <v>1725</v>
      </c>
    </row>
    <row r="144" spans="2:33" s="530" customFormat="1" ht="30.6">
      <c r="B144" s="400" t="s">
        <v>9</v>
      </c>
      <c r="C144" s="349" t="s">
        <v>13</v>
      </c>
      <c r="D144" s="320" t="s">
        <v>1088</v>
      </c>
      <c r="E144" s="319"/>
      <c r="F144" s="322" t="s">
        <v>1145</v>
      </c>
      <c r="G144" s="535" t="s">
        <v>805</v>
      </c>
      <c r="H144" s="536">
        <v>0.75</v>
      </c>
      <c r="I144" s="527"/>
      <c r="J144" s="527"/>
      <c r="K144" s="527">
        <f t="shared" si="19"/>
        <v>0</v>
      </c>
      <c r="L144" s="397"/>
      <c r="M144" s="325">
        <f t="shared" si="14"/>
        <v>0</v>
      </c>
      <c r="N144" s="325"/>
      <c r="O144" s="325"/>
      <c r="P144" s="429"/>
      <c r="Q144" s="325"/>
      <c r="R144" s="325"/>
      <c r="S144" s="330">
        <v>0.15</v>
      </c>
      <c r="T144" s="533" t="s">
        <v>1726</v>
      </c>
      <c r="U144" s="533"/>
      <c r="V144" s="533"/>
      <c r="W144" s="332">
        <f t="shared" si="20"/>
        <v>0</v>
      </c>
      <c r="X144" s="531"/>
      <c r="Y144" s="531"/>
      <c r="Z144" s="334" t="e">
        <f t="shared" si="16"/>
        <v>#DIV/0!</v>
      </c>
      <c r="AA144" s="334" t="e">
        <f t="shared" si="17"/>
        <v>#DIV/0!</v>
      </c>
      <c r="AB144" s="343">
        <f t="shared" si="15"/>
        <v>0</v>
      </c>
      <c r="AC144" s="335">
        <f t="shared" si="15"/>
        <v>0</v>
      </c>
      <c r="AD144" s="325"/>
      <c r="AE144" s="325"/>
      <c r="AF144" s="325"/>
      <c r="AG144" s="336" t="s">
        <v>1727</v>
      </c>
    </row>
    <row r="145" spans="2:33" s="530" customFormat="1" ht="30.6">
      <c r="B145" s="400" t="s">
        <v>9</v>
      </c>
      <c r="C145" s="349" t="s">
        <v>13</v>
      </c>
      <c r="D145" s="320" t="s">
        <v>1088</v>
      </c>
      <c r="E145" s="319"/>
      <c r="F145" s="322" t="s">
        <v>1146</v>
      </c>
      <c r="G145" s="535" t="s">
        <v>805</v>
      </c>
      <c r="H145" s="536">
        <v>0.75</v>
      </c>
      <c r="I145" s="527"/>
      <c r="J145" s="527"/>
      <c r="K145" s="527">
        <f t="shared" si="19"/>
        <v>0</v>
      </c>
      <c r="L145" s="397"/>
      <c r="M145" s="325">
        <f t="shared" si="14"/>
        <v>0</v>
      </c>
      <c r="N145" s="325"/>
      <c r="O145" s="325"/>
      <c r="P145" s="429"/>
      <c r="Q145" s="325"/>
      <c r="R145" s="325"/>
      <c r="S145" s="330">
        <v>0.15</v>
      </c>
      <c r="T145" s="533" t="s">
        <v>1726</v>
      </c>
      <c r="U145" s="533"/>
      <c r="V145" s="533"/>
      <c r="W145" s="332">
        <f t="shared" si="20"/>
        <v>0</v>
      </c>
      <c r="X145" s="531"/>
      <c r="Y145" s="531"/>
      <c r="Z145" s="334" t="e">
        <f t="shared" si="16"/>
        <v>#DIV/0!</v>
      </c>
      <c r="AA145" s="334" t="e">
        <f t="shared" si="17"/>
        <v>#DIV/0!</v>
      </c>
      <c r="AB145" s="343">
        <f t="shared" si="15"/>
        <v>0</v>
      </c>
      <c r="AC145" s="335">
        <f t="shared" si="15"/>
        <v>0</v>
      </c>
      <c r="AD145" s="325"/>
      <c r="AE145" s="325"/>
      <c r="AF145" s="325"/>
      <c r="AG145" s="331" t="s">
        <v>1728</v>
      </c>
    </row>
    <row r="146" spans="2:33" s="530" customFormat="1" ht="20.399999999999999">
      <c r="B146" s="400" t="s">
        <v>9</v>
      </c>
      <c r="C146" s="349" t="s">
        <v>13</v>
      </c>
      <c r="D146" s="320" t="s">
        <v>1088</v>
      </c>
      <c r="E146" s="319"/>
      <c r="F146" s="322" t="s">
        <v>1164</v>
      </c>
      <c r="G146" s="487" t="s">
        <v>1729</v>
      </c>
      <c r="H146" s="488">
        <v>0</v>
      </c>
      <c r="I146" s="527"/>
      <c r="J146" s="527"/>
      <c r="K146" s="527">
        <f t="shared" si="19"/>
        <v>0</v>
      </c>
      <c r="L146" s="397"/>
      <c r="M146" s="325">
        <f t="shared" si="14"/>
        <v>0</v>
      </c>
      <c r="N146" s="325"/>
      <c r="O146" s="325"/>
      <c r="P146" s="429"/>
      <c r="Q146" s="325"/>
      <c r="R146" s="325"/>
      <c r="S146" s="330">
        <v>0.05</v>
      </c>
      <c r="T146" s="533" t="s">
        <v>1730</v>
      </c>
      <c r="U146" s="533"/>
      <c r="V146" s="533"/>
      <c r="W146" s="332">
        <f t="shared" si="20"/>
        <v>0</v>
      </c>
      <c r="X146" s="531"/>
      <c r="Y146" s="531"/>
      <c r="Z146" s="334" t="e">
        <f t="shared" si="16"/>
        <v>#DIV/0!</v>
      </c>
      <c r="AA146" s="334" t="e">
        <f t="shared" si="17"/>
        <v>#DIV/0!</v>
      </c>
      <c r="AB146" s="343">
        <f t="shared" si="15"/>
        <v>0</v>
      </c>
      <c r="AC146" s="335">
        <f t="shared" si="15"/>
        <v>0</v>
      </c>
      <c r="AD146" s="325"/>
      <c r="AE146" s="325"/>
      <c r="AF146" s="325"/>
      <c r="AG146" s="531"/>
    </row>
    <row r="147" spans="2:33" s="530" customFormat="1" ht="20.399999999999999">
      <c r="B147" s="400" t="s">
        <v>9</v>
      </c>
      <c r="C147" s="349" t="s">
        <v>1147</v>
      </c>
      <c r="D147" s="350" t="s">
        <v>1148</v>
      </c>
      <c r="E147" s="349"/>
      <c r="F147" s="439" t="s">
        <v>1149</v>
      </c>
      <c r="G147" s="535" t="s">
        <v>805</v>
      </c>
      <c r="H147" s="536">
        <v>0.75</v>
      </c>
      <c r="I147" s="527"/>
      <c r="J147" s="527"/>
      <c r="K147" s="527">
        <f t="shared" si="19"/>
        <v>0</v>
      </c>
      <c r="L147" s="411"/>
      <c r="M147" s="325">
        <f t="shared" si="14"/>
        <v>0</v>
      </c>
      <c r="N147" s="325"/>
      <c r="O147" s="325"/>
      <c r="P147" s="429"/>
      <c r="Q147" s="325"/>
      <c r="R147" s="325"/>
      <c r="S147" s="330">
        <v>0.2</v>
      </c>
      <c r="T147" s="531" t="s">
        <v>1731</v>
      </c>
      <c r="U147" s="531"/>
      <c r="V147" s="531"/>
      <c r="W147" s="332">
        <f t="shared" si="20"/>
        <v>0</v>
      </c>
      <c r="X147" s="531"/>
      <c r="Y147" s="531"/>
      <c r="Z147" s="334" t="e">
        <f t="shared" si="16"/>
        <v>#DIV/0!</v>
      </c>
      <c r="AA147" s="334" t="e">
        <f t="shared" si="17"/>
        <v>#DIV/0!</v>
      </c>
      <c r="AB147" s="343">
        <f t="shared" si="15"/>
        <v>0</v>
      </c>
      <c r="AC147" s="335">
        <f t="shared" si="15"/>
        <v>0</v>
      </c>
      <c r="AD147" s="325"/>
      <c r="AE147" s="325"/>
      <c r="AF147" s="325"/>
      <c r="AG147" s="531"/>
    </row>
    <row r="148" spans="2:33" s="530" customFormat="1" ht="40.799999999999997">
      <c r="B148" s="400" t="s">
        <v>9</v>
      </c>
      <c r="C148" s="349" t="s">
        <v>1089</v>
      </c>
      <c r="D148" s="350" t="s">
        <v>1088</v>
      </c>
      <c r="E148" s="349"/>
      <c r="F148" s="439" t="s">
        <v>1150</v>
      </c>
      <c r="G148" s="487" t="s">
        <v>1729</v>
      </c>
      <c r="H148" s="488">
        <v>0</v>
      </c>
      <c r="I148" s="527"/>
      <c r="J148" s="527"/>
      <c r="K148" s="527">
        <f t="shared" si="19"/>
        <v>0</v>
      </c>
      <c r="L148" s="411"/>
      <c r="M148" s="325">
        <f t="shared" si="14"/>
        <v>0</v>
      </c>
      <c r="N148" s="325"/>
      <c r="O148" s="325"/>
      <c r="P148" s="429"/>
      <c r="Q148" s="325"/>
      <c r="R148" s="325"/>
      <c r="S148" s="330">
        <v>0.05</v>
      </c>
      <c r="T148" s="336" t="s">
        <v>783</v>
      </c>
      <c r="U148" s="336"/>
      <c r="V148" s="336"/>
      <c r="W148" s="332">
        <f t="shared" si="20"/>
        <v>0</v>
      </c>
      <c r="X148" s="531"/>
      <c r="Y148" s="531"/>
      <c r="Z148" s="334" t="e">
        <f t="shared" si="16"/>
        <v>#DIV/0!</v>
      </c>
      <c r="AA148" s="334" t="e">
        <f t="shared" si="17"/>
        <v>#DIV/0!</v>
      </c>
      <c r="AB148" s="343">
        <f t="shared" ref="AB148:AC160" si="21">+U148-X148</f>
        <v>0</v>
      </c>
      <c r="AC148" s="335">
        <f t="shared" si="21"/>
        <v>0</v>
      </c>
      <c r="AD148" s="325"/>
      <c r="AE148" s="325"/>
      <c r="AF148" s="325"/>
      <c r="AG148" s="531" t="s">
        <v>1732</v>
      </c>
    </row>
    <row r="149" spans="2:33" s="530" customFormat="1" ht="20.399999999999999">
      <c r="B149" s="400" t="s">
        <v>9</v>
      </c>
      <c r="C149" s="349" t="s">
        <v>1089</v>
      </c>
      <c r="D149" s="350" t="s">
        <v>1088</v>
      </c>
      <c r="E149" s="349"/>
      <c r="F149" s="439" t="s">
        <v>1166</v>
      </c>
      <c r="G149" s="487" t="s">
        <v>1729</v>
      </c>
      <c r="H149" s="488">
        <v>0</v>
      </c>
      <c r="I149" s="527"/>
      <c r="J149" s="527"/>
      <c r="K149" s="527">
        <f t="shared" si="19"/>
        <v>0</v>
      </c>
      <c r="L149" s="411"/>
      <c r="M149" s="325">
        <f t="shared" si="14"/>
        <v>0</v>
      </c>
      <c r="N149" s="325"/>
      <c r="O149" s="325"/>
      <c r="P149" s="429"/>
      <c r="Q149" s="325"/>
      <c r="R149" s="325"/>
      <c r="S149" s="330">
        <v>0.05</v>
      </c>
      <c r="T149" s="531" t="s">
        <v>1733</v>
      </c>
      <c r="U149" s="531"/>
      <c r="V149" s="531"/>
      <c r="W149" s="332">
        <f t="shared" si="20"/>
        <v>0</v>
      </c>
      <c r="X149" s="531"/>
      <c r="Y149" s="531"/>
      <c r="Z149" s="334" t="e">
        <f t="shared" si="16"/>
        <v>#DIV/0!</v>
      </c>
      <c r="AA149" s="334" t="e">
        <f t="shared" si="17"/>
        <v>#DIV/0!</v>
      </c>
      <c r="AB149" s="343">
        <f t="shared" si="21"/>
        <v>0</v>
      </c>
      <c r="AC149" s="335">
        <f t="shared" si="21"/>
        <v>0</v>
      </c>
      <c r="AD149" s="325"/>
      <c r="AE149" s="325"/>
      <c r="AF149" s="325"/>
      <c r="AG149" s="531" t="s">
        <v>1732</v>
      </c>
    </row>
    <row r="150" spans="2:33" s="530" customFormat="1" ht="20.399999999999999">
      <c r="B150" s="400" t="s">
        <v>9</v>
      </c>
      <c r="C150" s="349" t="s">
        <v>1089</v>
      </c>
      <c r="D150" s="350" t="s">
        <v>1088</v>
      </c>
      <c r="E150" s="349"/>
      <c r="F150" s="439" t="s">
        <v>1165</v>
      </c>
      <c r="G150" s="487" t="s">
        <v>1729</v>
      </c>
      <c r="H150" s="488">
        <v>0</v>
      </c>
      <c r="I150" s="527"/>
      <c r="J150" s="527"/>
      <c r="K150" s="527">
        <f t="shared" si="19"/>
        <v>0</v>
      </c>
      <c r="L150" s="411"/>
      <c r="M150" s="325">
        <f t="shared" si="14"/>
        <v>0</v>
      </c>
      <c r="N150" s="325"/>
      <c r="O150" s="325"/>
      <c r="P150" s="429"/>
      <c r="Q150" s="325"/>
      <c r="R150" s="325"/>
      <c r="S150" s="330">
        <v>0.05</v>
      </c>
      <c r="T150" s="531" t="s">
        <v>1165</v>
      </c>
      <c r="U150" s="531"/>
      <c r="V150" s="531"/>
      <c r="W150" s="332">
        <f t="shared" si="20"/>
        <v>0</v>
      </c>
      <c r="X150" s="531"/>
      <c r="Y150" s="531"/>
      <c r="Z150" s="334" t="e">
        <f t="shared" si="16"/>
        <v>#DIV/0!</v>
      </c>
      <c r="AA150" s="334" t="e">
        <f t="shared" si="17"/>
        <v>#DIV/0!</v>
      </c>
      <c r="AB150" s="343">
        <f t="shared" si="21"/>
        <v>0</v>
      </c>
      <c r="AC150" s="335">
        <f t="shared" si="21"/>
        <v>0</v>
      </c>
      <c r="AD150" s="325"/>
      <c r="AE150" s="325"/>
      <c r="AF150" s="325"/>
      <c r="AG150" s="531" t="s">
        <v>1732</v>
      </c>
    </row>
    <row r="151" spans="2:33" s="530" customFormat="1" ht="20.399999999999999">
      <c r="B151" s="400" t="s">
        <v>1713</v>
      </c>
      <c r="C151" s="349" t="s">
        <v>1140</v>
      </c>
      <c r="D151" s="350" t="s">
        <v>874</v>
      </c>
      <c r="E151" s="349" t="s">
        <v>1698</v>
      </c>
      <c r="F151" s="439" t="s">
        <v>1151</v>
      </c>
      <c r="G151" s="323" t="s">
        <v>1019</v>
      </c>
      <c r="H151" s="536">
        <v>1</v>
      </c>
      <c r="I151" s="527">
        <v>50000000</v>
      </c>
      <c r="J151" s="527">
        <v>9000000</v>
      </c>
      <c r="K151" s="527">
        <f t="shared" si="19"/>
        <v>59000000</v>
      </c>
      <c r="L151" s="411"/>
      <c r="M151" s="325">
        <f t="shared" si="14"/>
        <v>59000000</v>
      </c>
      <c r="N151" s="529">
        <v>44832</v>
      </c>
      <c r="O151" s="325">
        <f>3*12</f>
        <v>36</v>
      </c>
      <c r="P151" s="429"/>
      <c r="Q151" s="325"/>
      <c r="R151" s="325"/>
      <c r="S151" s="330">
        <v>0.2</v>
      </c>
      <c r="T151" s="531" t="s">
        <v>1734</v>
      </c>
      <c r="U151" s="531"/>
      <c r="V151" s="531"/>
      <c r="W151" s="332">
        <f t="shared" si="20"/>
        <v>0</v>
      </c>
      <c r="X151" s="531"/>
      <c r="Y151" s="531"/>
      <c r="Z151" s="334">
        <f t="shared" si="16"/>
        <v>0</v>
      </c>
      <c r="AA151" s="334">
        <f t="shared" si="17"/>
        <v>0</v>
      </c>
      <c r="AB151" s="343">
        <f t="shared" si="21"/>
        <v>0</v>
      </c>
      <c r="AC151" s="335">
        <f t="shared" si="21"/>
        <v>0</v>
      </c>
      <c r="AD151" s="462"/>
      <c r="AE151" s="462"/>
      <c r="AF151" s="462" t="s">
        <v>847</v>
      </c>
      <c r="AG151" s="533" t="s">
        <v>877</v>
      </c>
    </row>
    <row r="152" spans="2:33" s="530" customFormat="1">
      <c r="B152" s="337" t="s">
        <v>9</v>
      </c>
      <c r="C152" s="349" t="s">
        <v>1119</v>
      </c>
      <c r="D152" s="350" t="s">
        <v>1152</v>
      </c>
      <c r="E152" s="349"/>
      <c r="F152" s="439" t="s">
        <v>1153</v>
      </c>
      <c r="G152" s="323" t="s">
        <v>1019</v>
      </c>
      <c r="H152" s="323">
        <v>1</v>
      </c>
      <c r="I152" s="527"/>
      <c r="J152" s="527"/>
      <c r="K152" s="527">
        <f t="shared" si="19"/>
        <v>0</v>
      </c>
      <c r="L152" s="510"/>
      <c r="M152" s="325">
        <f t="shared" si="14"/>
        <v>0</v>
      </c>
      <c r="N152" s="325"/>
      <c r="O152" s="325"/>
      <c r="P152" s="429"/>
      <c r="Q152" s="325"/>
      <c r="R152" s="325"/>
      <c r="S152" s="330">
        <v>0.68</v>
      </c>
      <c r="T152" s="531" t="s">
        <v>1735</v>
      </c>
      <c r="U152" s="531"/>
      <c r="V152" s="531"/>
      <c r="W152" s="332">
        <f t="shared" si="20"/>
        <v>0</v>
      </c>
      <c r="X152" s="531"/>
      <c r="Y152" s="531"/>
      <c r="Z152" s="334" t="e">
        <f t="shared" si="16"/>
        <v>#DIV/0!</v>
      </c>
      <c r="AA152" s="334" t="e">
        <f t="shared" si="17"/>
        <v>#DIV/0!</v>
      </c>
      <c r="AB152" s="343">
        <f t="shared" si="21"/>
        <v>0</v>
      </c>
      <c r="AC152" s="335">
        <f t="shared" si="21"/>
        <v>0</v>
      </c>
      <c r="AD152" s="325"/>
      <c r="AE152" s="325"/>
      <c r="AF152" s="325"/>
      <c r="AG152" s="539"/>
    </row>
    <row r="153" spans="2:33" s="444" customFormat="1" ht="61.2">
      <c r="B153" s="951" t="s">
        <v>11</v>
      </c>
      <c r="C153" s="952" t="s">
        <v>1023</v>
      </c>
      <c r="D153" s="953" t="s">
        <v>1154</v>
      </c>
      <c r="E153" s="428"/>
      <c r="F153" s="331" t="s">
        <v>1736</v>
      </c>
      <c r="G153" s="323" t="s">
        <v>1019</v>
      </c>
      <c r="H153" s="323">
        <v>1</v>
      </c>
      <c r="I153" s="954"/>
      <c r="J153" s="954"/>
      <c r="K153" s="954">
        <v>168762121244</v>
      </c>
      <c r="L153" s="955">
        <v>0</v>
      </c>
      <c r="M153" s="956">
        <f t="shared" si="14"/>
        <v>168762121244</v>
      </c>
      <c r="N153" s="355"/>
      <c r="O153" s="355"/>
      <c r="P153" s="540"/>
      <c r="Q153" s="355"/>
      <c r="R153" s="355"/>
      <c r="S153" s="334">
        <v>0.26</v>
      </c>
      <c r="T153" s="533" t="s">
        <v>1737</v>
      </c>
      <c r="U153" s="533"/>
      <c r="V153" s="533"/>
      <c r="W153" s="332">
        <f t="shared" si="20"/>
        <v>0</v>
      </c>
      <c r="X153" s="450"/>
      <c r="Y153" s="450"/>
      <c r="Z153" s="334">
        <f t="shared" si="16"/>
        <v>0</v>
      </c>
      <c r="AA153" s="334" t="e">
        <f t="shared" si="17"/>
        <v>#DIV/0!</v>
      </c>
      <c r="AB153" s="343">
        <f t="shared" si="21"/>
        <v>0</v>
      </c>
      <c r="AC153" s="335">
        <f t="shared" si="21"/>
        <v>0</v>
      </c>
      <c r="AD153" s="355"/>
      <c r="AE153" s="355"/>
      <c r="AF153" s="355"/>
      <c r="AG153" s="541" t="s">
        <v>1738</v>
      </c>
    </row>
    <row r="154" spans="2:33" s="444" customFormat="1" ht="81.599999999999994">
      <c r="B154" s="951"/>
      <c r="C154" s="952"/>
      <c r="D154" s="953"/>
      <c r="E154" s="428"/>
      <c r="F154" s="331" t="s">
        <v>1739</v>
      </c>
      <c r="G154" s="323" t="s">
        <v>1019</v>
      </c>
      <c r="H154" s="323">
        <v>1</v>
      </c>
      <c r="I154" s="954"/>
      <c r="J154" s="954"/>
      <c r="K154" s="954"/>
      <c r="L154" s="955"/>
      <c r="M154" s="956"/>
      <c r="N154" s="355"/>
      <c r="O154" s="355"/>
      <c r="P154" s="540"/>
      <c r="Q154" s="355"/>
      <c r="R154" s="355"/>
      <c r="S154" s="334">
        <v>0.75</v>
      </c>
      <c r="T154" s="533" t="s">
        <v>1740</v>
      </c>
      <c r="U154" s="533"/>
      <c r="V154" s="533"/>
      <c r="W154" s="332">
        <f t="shared" si="20"/>
        <v>0</v>
      </c>
      <c r="X154" s="450"/>
      <c r="Y154" s="450"/>
      <c r="Z154" s="334" t="e">
        <f t="shared" si="16"/>
        <v>#DIV/0!</v>
      </c>
      <c r="AA154" s="334" t="e">
        <f t="shared" si="17"/>
        <v>#DIV/0!</v>
      </c>
      <c r="AB154" s="343">
        <f t="shared" si="21"/>
        <v>0</v>
      </c>
      <c r="AC154" s="335">
        <f t="shared" si="21"/>
        <v>0</v>
      </c>
      <c r="AD154" s="355"/>
      <c r="AE154" s="355"/>
      <c r="AF154" s="355"/>
      <c r="AG154" s="450"/>
    </row>
    <row r="155" spans="2:33" s="444" customFormat="1" ht="51">
      <c r="B155" s="542" t="s">
        <v>1297</v>
      </c>
      <c r="C155" s="349" t="s">
        <v>797</v>
      </c>
      <c r="D155" s="362"/>
      <c r="E155" s="428"/>
      <c r="F155" s="331" t="s">
        <v>1741</v>
      </c>
      <c r="G155" s="323" t="s">
        <v>1019</v>
      </c>
      <c r="H155" s="323">
        <v>1</v>
      </c>
      <c r="I155" s="527">
        <v>6100000</v>
      </c>
      <c r="J155" s="543"/>
      <c r="K155" s="544">
        <f t="shared" ref="K155:K160" si="22">+I155+J155</f>
        <v>6100000</v>
      </c>
      <c r="L155" s="534"/>
      <c r="M155" s="325">
        <f t="shared" si="14"/>
        <v>6100000</v>
      </c>
      <c r="N155" s="355"/>
      <c r="O155" s="355">
        <v>14</v>
      </c>
      <c r="P155" s="451">
        <v>45059</v>
      </c>
      <c r="Q155" s="355"/>
      <c r="R155" s="451">
        <v>45059</v>
      </c>
      <c r="S155" s="334"/>
      <c r="T155" s="533"/>
      <c r="U155" s="533"/>
      <c r="V155" s="533"/>
      <c r="W155" s="332">
        <f t="shared" si="20"/>
        <v>0</v>
      </c>
      <c r="X155" s="450"/>
      <c r="Y155" s="450"/>
      <c r="Z155" s="334">
        <f t="shared" si="16"/>
        <v>0</v>
      </c>
      <c r="AA155" s="334">
        <f t="shared" si="17"/>
        <v>0</v>
      </c>
      <c r="AB155" s="343">
        <f t="shared" si="21"/>
        <v>0</v>
      </c>
      <c r="AC155" s="335">
        <f t="shared" si="21"/>
        <v>0</v>
      </c>
      <c r="AD155" s="355"/>
      <c r="AE155" s="355"/>
      <c r="AF155" s="355"/>
      <c r="AG155" s="450"/>
    </row>
    <row r="156" spans="2:33" s="444" customFormat="1" ht="30.6">
      <c r="B156" s="545" t="s">
        <v>1297</v>
      </c>
      <c r="C156" s="349" t="s">
        <v>12</v>
      </c>
      <c r="D156" s="362" t="s">
        <v>1701</v>
      </c>
      <c r="E156" s="362" t="s">
        <v>1742</v>
      </c>
      <c r="F156" s="331" t="s">
        <v>1743</v>
      </c>
      <c r="G156" s="323" t="s">
        <v>1019</v>
      </c>
      <c r="H156" s="323">
        <v>1</v>
      </c>
      <c r="I156" s="544">
        <v>539924250</v>
      </c>
      <c r="J156" s="546">
        <v>97186365</v>
      </c>
      <c r="K156" s="544">
        <f t="shared" si="22"/>
        <v>637110615</v>
      </c>
      <c r="L156" s="534"/>
      <c r="M156" s="325">
        <f t="shared" si="14"/>
        <v>637110615</v>
      </c>
      <c r="N156" s="355"/>
      <c r="O156" s="547"/>
      <c r="P156" s="540"/>
      <c r="Q156" s="355"/>
      <c r="R156" s="355"/>
      <c r="S156" s="334"/>
      <c r="T156" s="533"/>
      <c r="U156" s="533"/>
      <c r="V156" s="533"/>
      <c r="W156" s="332">
        <f t="shared" si="20"/>
        <v>0</v>
      </c>
      <c r="X156" s="450"/>
      <c r="Y156" s="450"/>
      <c r="Z156" s="334">
        <f t="shared" si="16"/>
        <v>0</v>
      </c>
      <c r="AA156" s="334">
        <f t="shared" si="17"/>
        <v>0</v>
      </c>
      <c r="AB156" s="343">
        <f t="shared" si="21"/>
        <v>0</v>
      </c>
      <c r="AC156" s="335">
        <f t="shared" si="21"/>
        <v>0</v>
      </c>
      <c r="AD156" s="355"/>
      <c r="AE156" s="355"/>
      <c r="AF156" s="355"/>
      <c r="AG156" s="450"/>
    </row>
    <row r="157" spans="2:33" s="444" customFormat="1" ht="30.6">
      <c r="B157" s="545" t="s">
        <v>1297</v>
      </c>
      <c r="C157" s="349" t="s">
        <v>13</v>
      </c>
      <c r="D157" s="362" t="s">
        <v>952</v>
      </c>
      <c r="E157" s="362" t="s">
        <v>1744</v>
      </c>
      <c r="F157" s="331" t="s">
        <v>1745</v>
      </c>
      <c r="G157" s="323" t="s">
        <v>1019</v>
      </c>
      <c r="H157" s="323">
        <v>1</v>
      </c>
      <c r="I157" s="544">
        <v>258674625</v>
      </c>
      <c r="J157" s="546">
        <v>46561433</v>
      </c>
      <c r="K157" s="544">
        <f t="shared" si="22"/>
        <v>305236058</v>
      </c>
      <c r="L157" s="534"/>
      <c r="M157" s="325">
        <f t="shared" si="14"/>
        <v>305236058</v>
      </c>
      <c r="N157" s="355"/>
      <c r="O157" s="355"/>
      <c r="P157" s="540"/>
      <c r="Q157" s="355"/>
      <c r="R157" s="355"/>
      <c r="S157" s="334"/>
      <c r="T157" s="533"/>
      <c r="U157" s="533"/>
      <c r="V157" s="533"/>
      <c r="W157" s="332">
        <f t="shared" si="20"/>
        <v>0</v>
      </c>
      <c r="X157" s="450"/>
      <c r="Y157" s="450"/>
      <c r="Z157" s="334">
        <f t="shared" si="16"/>
        <v>0</v>
      </c>
      <c r="AA157" s="334">
        <f t="shared" si="17"/>
        <v>0</v>
      </c>
      <c r="AB157" s="343">
        <f t="shared" si="21"/>
        <v>0</v>
      </c>
      <c r="AC157" s="335">
        <f t="shared" si="21"/>
        <v>0</v>
      </c>
      <c r="AD157" s="355"/>
      <c r="AE157" s="355"/>
      <c r="AF157" s="355"/>
      <c r="AG157" s="450"/>
    </row>
    <row r="158" spans="2:33" s="444" customFormat="1" ht="40.799999999999997">
      <c r="B158" s="545" t="s">
        <v>1297</v>
      </c>
      <c r="C158" s="349" t="s">
        <v>12</v>
      </c>
      <c r="D158" s="548" t="s">
        <v>951</v>
      </c>
      <c r="E158" s="548" t="s">
        <v>1746</v>
      </c>
      <c r="F158" s="549" t="s">
        <v>1747</v>
      </c>
      <c r="G158" s="323" t="s">
        <v>1019</v>
      </c>
      <c r="H158" s="323">
        <v>1</v>
      </c>
      <c r="I158" s="550">
        <v>2043100000</v>
      </c>
      <c r="J158" s="546">
        <v>367758000</v>
      </c>
      <c r="K158" s="544">
        <f t="shared" si="22"/>
        <v>2410858000</v>
      </c>
      <c r="L158" s="534"/>
      <c r="M158" s="325">
        <f t="shared" si="14"/>
        <v>2410858000</v>
      </c>
      <c r="N158" s="355"/>
      <c r="O158" s="355"/>
      <c r="P158" s="540"/>
      <c r="Q158" s="355"/>
      <c r="R158" s="355"/>
      <c r="S158" s="334"/>
      <c r="T158" s="533"/>
      <c r="U158" s="533"/>
      <c r="V158" s="533"/>
      <c r="W158" s="332">
        <f t="shared" si="20"/>
        <v>0</v>
      </c>
      <c r="X158" s="450"/>
      <c r="Y158" s="450"/>
      <c r="Z158" s="334">
        <f t="shared" si="16"/>
        <v>0</v>
      </c>
      <c r="AA158" s="334">
        <f t="shared" si="17"/>
        <v>0</v>
      </c>
      <c r="AB158" s="343">
        <f t="shared" si="21"/>
        <v>0</v>
      </c>
      <c r="AC158" s="335">
        <f t="shared" si="21"/>
        <v>0</v>
      </c>
      <c r="AD158" s="355"/>
      <c r="AE158" s="355"/>
      <c r="AF158" s="355"/>
      <c r="AG158" s="450"/>
    </row>
    <row r="159" spans="2:33" s="444" customFormat="1">
      <c r="B159" s="545" t="s">
        <v>1297</v>
      </c>
      <c r="C159" s="349" t="s">
        <v>1666</v>
      </c>
      <c r="D159" s="362" t="s">
        <v>1748</v>
      </c>
      <c r="E159" s="362"/>
      <c r="F159" s="460" t="s">
        <v>1749</v>
      </c>
      <c r="G159" s="323"/>
      <c r="H159" s="323"/>
      <c r="I159" s="544">
        <v>11006275</v>
      </c>
      <c r="J159" s="546">
        <v>1881130</v>
      </c>
      <c r="K159" s="544">
        <f t="shared" si="22"/>
        <v>12887405</v>
      </c>
      <c r="L159" s="534"/>
      <c r="M159" s="325">
        <f>+K159+L159</f>
        <v>12887405</v>
      </c>
      <c r="N159" s="355"/>
      <c r="O159" s="355"/>
      <c r="P159" s="540"/>
      <c r="Q159" s="355"/>
      <c r="R159" s="355"/>
      <c r="S159" s="334"/>
      <c r="T159" s="533"/>
      <c r="U159" s="533"/>
      <c r="V159" s="533"/>
      <c r="W159" s="332">
        <f t="shared" si="20"/>
        <v>0</v>
      </c>
      <c r="X159" s="450"/>
      <c r="Y159" s="450"/>
      <c r="Z159" s="334">
        <f t="shared" si="16"/>
        <v>0</v>
      </c>
      <c r="AA159" s="334">
        <f t="shared" si="17"/>
        <v>0</v>
      </c>
      <c r="AB159" s="343">
        <f t="shared" si="21"/>
        <v>0</v>
      </c>
      <c r="AC159" s="335">
        <f t="shared" si="21"/>
        <v>0</v>
      </c>
      <c r="AD159" s="355"/>
      <c r="AE159" s="355"/>
      <c r="AF159" s="355"/>
      <c r="AG159" s="450"/>
    </row>
    <row r="160" spans="2:33" s="444" customFormat="1" ht="40.799999999999997">
      <c r="B160" s="545" t="s">
        <v>1297</v>
      </c>
      <c r="C160" s="349" t="s">
        <v>1750</v>
      </c>
      <c r="D160" s="551" t="s">
        <v>1751</v>
      </c>
      <c r="E160" s="362" t="s">
        <v>1752</v>
      </c>
      <c r="F160" s="331" t="s">
        <v>1753</v>
      </c>
      <c r="G160" s="323" t="s">
        <v>1019</v>
      </c>
      <c r="H160" s="323">
        <v>1</v>
      </c>
      <c r="I160" s="552">
        <v>14820000</v>
      </c>
      <c r="J160" s="546">
        <v>780000</v>
      </c>
      <c r="K160" s="544">
        <f t="shared" si="22"/>
        <v>15600000</v>
      </c>
      <c r="L160" s="534"/>
      <c r="M160" s="325">
        <f>+K160+L160</f>
        <v>15600000</v>
      </c>
      <c r="N160" s="355"/>
      <c r="O160" s="355"/>
      <c r="P160" s="540"/>
      <c r="Q160" s="355"/>
      <c r="R160" s="355"/>
      <c r="S160" s="334"/>
      <c r="T160" s="533"/>
      <c r="U160" s="533"/>
      <c r="V160" s="533"/>
      <c r="W160" s="332">
        <f t="shared" si="20"/>
        <v>0</v>
      </c>
      <c r="X160" s="450"/>
      <c r="Y160" s="450"/>
      <c r="Z160" s="334">
        <f t="shared" si="16"/>
        <v>0</v>
      </c>
      <c r="AA160" s="334">
        <f t="shared" si="17"/>
        <v>0</v>
      </c>
      <c r="AB160" s="343">
        <f t="shared" si="21"/>
        <v>0</v>
      </c>
      <c r="AC160" s="335">
        <f t="shared" si="21"/>
        <v>0</v>
      </c>
      <c r="AD160" s="355"/>
      <c r="AE160" s="355"/>
      <c r="AF160" s="355"/>
      <c r="AG160" s="450"/>
    </row>
    <row r="162" spans="2:3">
      <c r="B162" s="947" t="s">
        <v>1754</v>
      </c>
      <c r="C162" s="947"/>
    </row>
    <row r="163" spans="2:3">
      <c r="B163" s="362" t="s">
        <v>1755</v>
      </c>
      <c r="C163" s="558">
        <v>0</v>
      </c>
    </row>
    <row r="164" spans="2:3">
      <c r="B164" s="362" t="s">
        <v>1157</v>
      </c>
      <c r="C164" s="558">
        <v>0.05</v>
      </c>
    </row>
    <row r="165" spans="2:3">
      <c r="B165" s="362" t="s">
        <v>1158</v>
      </c>
      <c r="C165" s="558">
        <v>0.15</v>
      </c>
    </row>
    <row r="166" spans="2:3">
      <c r="B166" s="362" t="s">
        <v>1159</v>
      </c>
      <c r="C166" s="558">
        <v>0.4</v>
      </c>
    </row>
    <row r="167" spans="2:3">
      <c r="B167" s="362" t="s">
        <v>1160</v>
      </c>
      <c r="C167" s="558">
        <v>0.6</v>
      </c>
    </row>
    <row r="168" spans="2:3">
      <c r="B168" s="362" t="s">
        <v>1161</v>
      </c>
      <c r="C168" s="558">
        <v>0.75</v>
      </c>
    </row>
    <row r="169" spans="2:3">
      <c r="B169" s="362" t="s">
        <v>1162</v>
      </c>
      <c r="C169" s="558">
        <v>1</v>
      </c>
    </row>
  </sheetData>
  <autoFilter ref="B1:AG160" xr:uid="{C1F9D414-C005-4C8E-814A-ABA5420AD7C9}"/>
  <mergeCells count="14">
    <mergeCell ref="B162:C162"/>
    <mergeCell ref="F22:F23"/>
    <mergeCell ref="T40:T41"/>
    <mergeCell ref="B153:B154"/>
    <mergeCell ref="C153:C154"/>
    <mergeCell ref="D153:D154"/>
    <mergeCell ref="I153:I154"/>
    <mergeCell ref="J153:J154"/>
    <mergeCell ref="K153:K154"/>
    <mergeCell ref="L153:L154"/>
    <mergeCell ref="M153:M154"/>
    <mergeCell ref="B22:B23"/>
    <mergeCell ref="C22:C23"/>
    <mergeCell ref="D22:D23"/>
  </mergeCell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DFCF3-6AFD-4BDE-814B-95860A42039D}">
  <dimension ref="A1:S599"/>
  <sheetViews>
    <sheetView workbookViewId="0">
      <pane xSplit="1" ySplit="3" topLeftCell="B4" activePane="bottomRight" state="frozen"/>
      <selection pane="topRight" activeCell="B1" sqref="B1"/>
      <selection pane="bottomLeft" activeCell="A4" sqref="A4"/>
      <selection pane="bottomRight" activeCell="D313" sqref="D313:D316"/>
    </sheetView>
  </sheetViews>
  <sheetFormatPr baseColWidth="10" defaultRowHeight="14.4"/>
  <cols>
    <col min="1" max="1" width="18.88671875" style="12" customWidth="1"/>
    <col min="2" max="2" width="25.88671875" style="78" customWidth="1"/>
    <col min="3" max="3" width="16.77734375" style="77" customWidth="1"/>
    <col min="4" max="4" width="23.5546875" style="81" customWidth="1"/>
    <col min="5" max="5" width="16.77734375" style="79" bestFit="1" customWidth="1"/>
    <col min="6" max="6" width="14.6640625" style="80" customWidth="1"/>
    <col min="7" max="7" width="43.44140625" style="81" customWidth="1"/>
    <col min="8" max="9" width="1.88671875" style="80" bestFit="1" customWidth="1"/>
    <col min="10" max="10" width="2.21875" style="80" bestFit="1" customWidth="1"/>
    <col min="11" max="11" width="1.88671875" style="80" bestFit="1" customWidth="1"/>
    <col min="12" max="12" width="2.21875" style="80" bestFit="1" customWidth="1"/>
    <col min="13" max="15" width="1.88671875" style="80" bestFit="1" customWidth="1"/>
    <col min="16" max="19" width="2.109375" style="80" bestFit="1" customWidth="1"/>
    <col min="20" max="20" width="69.109375" customWidth="1"/>
  </cols>
  <sheetData>
    <row r="1" spans="2:19">
      <c r="B1" s="988" t="s">
        <v>115</v>
      </c>
      <c r="C1" s="989" t="s">
        <v>116</v>
      </c>
      <c r="D1" s="992" t="s">
        <v>117</v>
      </c>
      <c r="E1" s="993" t="s">
        <v>118</v>
      </c>
      <c r="F1" s="992" t="s">
        <v>119</v>
      </c>
      <c r="G1" s="994" t="s">
        <v>120</v>
      </c>
      <c r="H1" s="987" t="s">
        <v>121</v>
      </c>
      <c r="I1" s="987"/>
      <c r="J1" s="987"/>
      <c r="K1" s="987"/>
      <c r="L1" s="987"/>
      <c r="M1" s="987"/>
      <c r="N1" s="987"/>
      <c r="O1" s="987"/>
      <c r="P1" s="987"/>
      <c r="Q1" s="987"/>
      <c r="R1" s="987"/>
      <c r="S1" s="987"/>
    </row>
    <row r="2" spans="2:19">
      <c r="B2" s="988"/>
      <c r="C2" s="990"/>
      <c r="D2" s="992"/>
      <c r="E2" s="993"/>
      <c r="F2" s="992"/>
      <c r="G2" s="994"/>
      <c r="H2" s="987" t="s">
        <v>122</v>
      </c>
      <c r="I2" s="987"/>
      <c r="J2" s="987"/>
      <c r="K2" s="987" t="s">
        <v>123</v>
      </c>
      <c r="L2" s="987"/>
      <c r="M2" s="987"/>
      <c r="N2" s="987" t="s">
        <v>124</v>
      </c>
      <c r="O2" s="987"/>
      <c r="P2" s="987"/>
      <c r="Q2" s="987" t="s">
        <v>125</v>
      </c>
      <c r="R2" s="987"/>
      <c r="S2" s="987"/>
    </row>
    <row r="3" spans="2:19">
      <c r="B3" s="988"/>
      <c r="C3" s="991"/>
      <c r="D3" s="992"/>
      <c r="E3" s="993"/>
      <c r="F3" s="992"/>
      <c r="G3" s="994"/>
      <c r="H3" s="29" t="s">
        <v>126</v>
      </c>
      <c r="I3" s="29" t="s">
        <v>127</v>
      </c>
      <c r="J3" s="29" t="s">
        <v>128</v>
      </c>
      <c r="K3" s="29" t="s">
        <v>129</v>
      </c>
      <c r="L3" s="29" t="s">
        <v>128</v>
      </c>
      <c r="M3" s="29" t="s">
        <v>126</v>
      </c>
      <c r="N3" s="29" t="s">
        <v>126</v>
      </c>
      <c r="O3" s="29" t="s">
        <v>129</v>
      </c>
      <c r="P3" s="29" t="s">
        <v>130</v>
      </c>
      <c r="Q3" s="29" t="s">
        <v>131</v>
      </c>
      <c r="R3" s="29" t="s">
        <v>132</v>
      </c>
      <c r="S3" s="29" t="s">
        <v>133</v>
      </c>
    </row>
    <row r="4" spans="2:19">
      <c r="B4" s="30" t="s">
        <v>134</v>
      </c>
      <c r="C4" s="31"/>
      <c r="D4" s="33"/>
      <c r="E4" s="32"/>
      <c r="F4" s="31"/>
      <c r="G4" s="33"/>
      <c r="H4" s="33"/>
      <c r="I4" s="33"/>
      <c r="J4" s="33"/>
      <c r="K4" s="33"/>
      <c r="L4" s="33"/>
      <c r="M4" s="33"/>
      <c r="N4" s="33"/>
      <c r="O4" s="33"/>
      <c r="P4" s="33"/>
      <c r="Q4" s="33"/>
      <c r="R4" s="33"/>
      <c r="S4" s="33"/>
    </row>
    <row r="5" spans="2:19">
      <c r="B5" s="34" t="s">
        <v>135</v>
      </c>
      <c r="C5" s="35"/>
      <c r="D5" s="38"/>
      <c r="E5" s="36"/>
      <c r="F5" s="37"/>
      <c r="G5" s="38"/>
      <c r="H5" s="38"/>
      <c r="I5" s="38"/>
      <c r="J5" s="38"/>
      <c r="K5" s="38"/>
      <c r="L5" s="38"/>
      <c r="M5" s="38"/>
      <c r="N5" s="38"/>
      <c r="O5" s="38"/>
      <c r="P5" s="38"/>
      <c r="Q5" s="38"/>
      <c r="R5" s="38"/>
      <c r="S5" s="38"/>
    </row>
    <row r="6" spans="2:19" ht="16.2" customHeight="1">
      <c r="B6" s="972" t="s">
        <v>136</v>
      </c>
      <c r="C6" s="968">
        <v>10</v>
      </c>
      <c r="D6" s="967" t="s">
        <v>137</v>
      </c>
      <c r="E6" s="973">
        <v>500000000</v>
      </c>
      <c r="F6" s="970" t="s">
        <v>6</v>
      </c>
      <c r="G6" s="39" t="s">
        <v>138</v>
      </c>
      <c r="H6" s="40" t="s">
        <v>139</v>
      </c>
      <c r="I6" s="40" t="s">
        <v>139</v>
      </c>
      <c r="J6" s="41"/>
      <c r="K6" s="41"/>
      <c r="L6" s="41"/>
      <c r="M6" s="41"/>
      <c r="N6" s="41"/>
      <c r="O6" s="41"/>
      <c r="P6" s="41"/>
      <c r="Q6" s="41"/>
      <c r="R6" s="41"/>
      <c r="S6" s="41"/>
    </row>
    <row r="7" spans="2:19">
      <c r="B7" s="972"/>
      <c r="C7" s="968"/>
      <c r="D7" s="967"/>
      <c r="E7" s="973"/>
      <c r="F7" s="970"/>
      <c r="G7" s="39" t="s">
        <v>140</v>
      </c>
      <c r="H7" s="40" t="s">
        <v>139</v>
      </c>
      <c r="I7" s="40" t="s">
        <v>139</v>
      </c>
      <c r="J7" s="40" t="s">
        <v>139</v>
      </c>
      <c r="K7" s="40" t="s">
        <v>139</v>
      </c>
      <c r="L7" s="41"/>
      <c r="M7" s="41"/>
      <c r="N7" s="41"/>
      <c r="O7" s="41"/>
      <c r="P7" s="41"/>
      <c r="Q7" s="41"/>
      <c r="R7" s="41"/>
      <c r="S7" s="41"/>
    </row>
    <row r="8" spans="2:19">
      <c r="B8" s="972"/>
      <c r="C8" s="968"/>
      <c r="D8" s="967"/>
      <c r="E8" s="973"/>
      <c r="F8" s="970"/>
      <c r="G8" s="39" t="s">
        <v>141</v>
      </c>
      <c r="H8" s="41"/>
      <c r="I8" s="40" t="s">
        <v>139</v>
      </c>
      <c r="J8" s="40" t="s">
        <v>139</v>
      </c>
      <c r="K8" s="40" t="s">
        <v>139</v>
      </c>
      <c r="L8" s="40" t="s">
        <v>139</v>
      </c>
      <c r="M8" s="41"/>
      <c r="N8" s="41"/>
      <c r="O8" s="41"/>
      <c r="P8" s="41"/>
      <c r="Q8" s="41"/>
      <c r="R8" s="41"/>
      <c r="S8" s="41"/>
    </row>
    <row r="9" spans="2:19">
      <c r="B9" s="972"/>
      <c r="C9" s="968"/>
      <c r="D9" s="967"/>
      <c r="E9" s="973"/>
      <c r="F9" s="970"/>
      <c r="G9" s="39" t="s">
        <v>142</v>
      </c>
      <c r="H9" s="41"/>
      <c r="I9" s="41"/>
      <c r="J9" s="41"/>
      <c r="K9" s="40" t="s">
        <v>139</v>
      </c>
      <c r="L9" s="40" t="s">
        <v>139</v>
      </c>
      <c r="M9" s="40" t="s">
        <v>139</v>
      </c>
      <c r="N9" s="40" t="s">
        <v>139</v>
      </c>
      <c r="O9" s="40" t="s">
        <v>139</v>
      </c>
      <c r="P9" s="40" t="s">
        <v>139</v>
      </c>
      <c r="Q9" s="41"/>
      <c r="R9" s="41"/>
      <c r="S9" s="41"/>
    </row>
    <row r="10" spans="2:19">
      <c r="B10" s="972"/>
      <c r="C10" s="968"/>
      <c r="D10" s="967"/>
      <c r="E10" s="973"/>
      <c r="F10" s="970"/>
      <c r="G10" s="39" t="s">
        <v>143</v>
      </c>
      <c r="H10" s="41"/>
      <c r="I10" s="41"/>
      <c r="J10" s="41"/>
      <c r="K10" s="41"/>
      <c r="L10" s="41"/>
      <c r="M10" s="40" t="s">
        <v>139</v>
      </c>
      <c r="N10" s="40" t="s">
        <v>139</v>
      </c>
      <c r="O10" s="40" t="s">
        <v>139</v>
      </c>
      <c r="P10" s="40" t="s">
        <v>139</v>
      </c>
      <c r="Q10" s="41"/>
      <c r="R10" s="41"/>
      <c r="S10" s="41"/>
    </row>
    <row r="11" spans="2:19">
      <c r="B11" s="972"/>
      <c r="C11" s="968"/>
      <c r="D11" s="967"/>
      <c r="E11" s="973"/>
      <c r="F11" s="970"/>
      <c r="G11" s="39" t="s">
        <v>144</v>
      </c>
      <c r="H11" s="41"/>
      <c r="I11" s="41"/>
      <c r="J11" s="41"/>
      <c r="K11" s="41"/>
      <c r="L11" s="41"/>
      <c r="M11" s="41"/>
      <c r="N11" s="41"/>
      <c r="O11" s="41"/>
      <c r="P11" s="41"/>
      <c r="Q11" s="40" t="s">
        <v>139</v>
      </c>
      <c r="R11" s="40" t="s">
        <v>139</v>
      </c>
      <c r="S11" s="41"/>
    </row>
    <row r="12" spans="2:19">
      <c r="B12" s="972"/>
      <c r="C12" s="968"/>
      <c r="D12" s="967"/>
      <c r="E12" s="973"/>
      <c r="F12" s="970"/>
      <c r="G12" s="39" t="s">
        <v>145</v>
      </c>
      <c r="H12" s="41"/>
      <c r="I12" s="40" t="s">
        <v>139</v>
      </c>
      <c r="J12" s="40" t="s">
        <v>139</v>
      </c>
      <c r="K12" s="40" t="s">
        <v>139</v>
      </c>
      <c r="L12" s="40" t="s">
        <v>139</v>
      </c>
      <c r="M12" s="40" t="s">
        <v>139</v>
      </c>
      <c r="N12" s="40" t="s">
        <v>139</v>
      </c>
      <c r="O12" s="40" t="s">
        <v>139</v>
      </c>
      <c r="P12" s="40" t="s">
        <v>139</v>
      </c>
      <c r="Q12" s="40" t="s">
        <v>139</v>
      </c>
      <c r="R12" s="40" t="s">
        <v>139</v>
      </c>
      <c r="S12" s="40" t="s">
        <v>139</v>
      </c>
    </row>
    <row r="13" spans="2:19">
      <c r="B13" s="972"/>
      <c r="C13" s="968"/>
      <c r="D13" s="967"/>
      <c r="E13" s="973"/>
      <c r="F13" s="970"/>
      <c r="G13" s="39" t="s">
        <v>146</v>
      </c>
      <c r="H13" s="41"/>
      <c r="I13" s="41"/>
      <c r="J13" s="41"/>
      <c r="K13" s="41"/>
      <c r="L13" s="41"/>
      <c r="M13" s="41"/>
      <c r="N13" s="41"/>
      <c r="O13" s="41"/>
      <c r="P13" s="41"/>
      <c r="Q13" s="41"/>
      <c r="R13" s="41"/>
      <c r="S13" s="40" t="s">
        <v>139</v>
      </c>
    </row>
    <row r="14" spans="2:19">
      <c r="B14" s="972"/>
      <c r="C14" s="968">
        <v>69</v>
      </c>
      <c r="D14" s="967" t="s">
        <v>147</v>
      </c>
      <c r="E14" s="973">
        <v>2923241508</v>
      </c>
      <c r="F14" s="970" t="s">
        <v>8</v>
      </c>
      <c r="G14" s="39" t="s">
        <v>148</v>
      </c>
      <c r="H14" s="42" t="s">
        <v>149</v>
      </c>
      <c r="I14" s="42" t="s">
        <v>149</v>
      </c>
      <c r="J14" s="42" t="s">
        <v>149</v>
      </c>
      <c r="K14" s="42" t="s">
        <v>149</v>
      </c>
      <c r="L14" s="42" t="s">
        <v>149</v>
      </c>
      <c r="M14" s="41"/>
      <c r="N14" s="41"/>
      <c r="O14" s="41"/>
      <c r="P14" s="41"/>
      <c r="Q14" s="41"/>
      <c r="R14" s="41"/>
      <c r="S14" s="41"/>
    </row>
    <row r="15" spans="2:19">
      <c r="B15" s="972"/>
      <c r="C15" s="968"/>
      <c r="D15" s="967"/>
      <c r="E15" s="973"/>
      <c r="F15" s="970"/>
      <c r="G15" s="39" t="s">
        <v>150</v>
      </c>
      <c r="H15" s="42" t="s">
        <v>149</v>
      </c>
      <c r="I15" s="42" t="s">
        <v>149</v>
      </c>
      <c r="J15" s="42" t="s">
        <v>149</v>
      </c>
      <c r="K15" s="42" t="s">
        <v>149</v>
      </c>
      <c r="L15" s="42" t="s">
        <v>149</v>
      </c>
      <c r="M15" s="42" t="s">
        <v>149</v>
      </c>
      <c r="N15" s="42" t="s">
        <v>149</v>
      </c>
      <c r="O15" s="41"/>
      <c r="P15" s="41"/>
      <c r="Q15" s="41"/>
      <c r="R15" s="41"/>
      <c r="S15" s="41"/>
    </row>
    <row r="16" spans="2:19">
      <c r="B16" s="972"/>
      <c r="C16" s="968"/>
      <c r="D16" s="967"/>
      <c r="E16" s="973"/>
      <c r="F16" s="970"/>
      <c r="G16" s="39" t="s">
        <v>151</v>
      </c>
      <c r="H16" s="41"/>
      <c r="I16" s="41"/>
      <c r="J16" s="42" t="s">
        <v>149</v>
      </c>
      <c r="K16" s="42" t="s">
        <v>149</v>
      </c>
      <c r="L16" s="42" t="s">
        <v>149</v>
      </c>
      <c r="M16" s="42" t="s">
        <v>149</v>
      </c>
      <c r="N16" s="42" t="s">
        <v>149</v>
      </c>
      <c r="O16" s="42" t="s">
        <v>149</v>
      </c>
      <c r="P16" s="42" t="s">
        <v>149</v>
      </c>
      <c r="Q16" s="41"/>
      <c r="R16" s="41"/>
      <c r="S16" s="41"/>
    </row>
    <row r="17" spans="2:19">
      <c r="B17" s="972"/>
      <c r="C17" s="968"/>
      <c r="D17" s="967"/>
      <c r="E17" s="973"/>
      <c r="F17" s="970"/>
      <c r="G17" s="39" t="s">
        <v>152</v>
      </c>
      <c r="H17" s="41"/>
      <c r="I17" s="41"/>
      <c r="J17" s="41"/>
      <c r="K17" s="41"/>
      <c r="L17" s="41"/>
      <c r="M17" s="41"/>
      <c r="N17" s="42" t="s">
        <v>149</v>
      </c>
      <c r="O17" s="42" t="s">
        <v>149</v>
      </c>
      <c r="P17" s="42" t="s">
        <v>149</v>
      </c>
      <c r="Q17" s="42" t="s">
        <v>149</v>
      </c>
      <c r="R17" s="42" t="s">
        <v>149</v>
      </c>
      <c r="S17" s="41"/>
    </row>
    <row r="18" spans="2:19">
      <c r="B18" s="972"/>
      <c r="C18" s="968"/>
      <c r="D18" s="967"/>
      <c r="E18" s="973"/>
      <c r="F18" s="970"/>
      <c r="G18" s="39" t="s">
        <v>153</v>
      </c>
      <c r="H18" s="41"/>
      <c r="I18" s="41"/>
      <c r="J18" s="41"/>
      <c r="K18" s="41"/>
      <c r="L18" s="41"/>
      <c r="M18" s="41"/>
      <c r="N18" s="41"/>
      <c r="O18" s="41"/>
      <c r="P18" s="42" t="s">
        <v>149</v>
      </c>
      <c r="Q18" s="42" t="s">
        <v>149</v>
      </c>
      <c r="R18" s="42" t="s">
        <v>149</v>
      </c>
      <c r="S18" s="42" t="s">
        <v>149</v>
      </c>
    </row>
    <row r="19" spans="2:19">
      <c r="B19" s="972"/>
      <c r="C19" s="968"/>
      <c r="D19" s="967"/>
      <c r="E19" s="973"/>
      <c r="F19" s="970"/>
      <c r="G19" s="39" t="s">
        <v>146</v>
      </c>
      <c r="H19" s="41"/>
      <c r="I19" s="41"/>
      <c r="J19" s="41"/>
      <c r="K19" s="41"/>
      <c r="L19" s="41"/>
      <c r="M19" s="41"/>
      <c r="N19" s="41"/>
      <c r="O19" s="41"/>
      <c r="P19" s="41"/>
      <c r="Q19" s="41"/>
      <c r="R19" s="41"/>
      <c r="S19" s="42" t="s">
        <v>149</v>
      </c>
    </row>
    <row r="20" spans="2:19">
      <c r="B20" s="972"/>
      <c r="C20" s="968"/>
      <c r="D20" s="967"/>
      <c r="E20" s="973"/>
      <c r="F20" s="970"/>
      <c r="G20" s="39" t="s">
        <v>148</v>
      </c>
      <c r="H20" s="42" t="s">
        <v>149</v>
      </c>
      <c r="I20" s="42" t="s">
        <v>149</v>
      </c>
      <c r="J20" s="42" t="s">
        <v>149</v>
      </c>
      <c r="K20" s="42" t="s">
        <v>149</v>
      </c>
      <c r="L20" s="42" t="s">
        <v>149</v>
      </c>
      <c r="M20" s="42"/>
      <c r="N20" s="42"/>
      <c r="O20" s="41"/>
      <c r="P20" s="41"/>
      <c r="Q20" s="41"/>
      <c r="R20" s="41"/>
      <c r="S20" s="41"/>
    </row>
    <row r="21" spans="2:19">
      <c r="B21" s="972"/>
      <c r="C21" s="968"/>
      <c r="D21" s="967"/>
      <c r="E21" s="973"/>
      <c r="F21" s="970"/>
      <c r="G21" s="39" t="s">
        <v>150</v>
      </c>
      <c r="H21" s="42" t="s">
        <v>149</v>
      </c>
      <c r="I21" s="42" t="s">
        <v>149</v>
      </c>
      <c r="J21" s="42" t="s">
        <v>149</v>
      </c>
      <c r="K21" s="42" t="s">
        <v>149</v>
      </c>
      <c r="L21" s="42" t="s">
        <v>149</v>
      </c>
      <c r="M21" s="42" t="s">
        <v>149</v>
      </c>
      <c r="N21" s="42" t="s">
        <v>149</v>
      </c>
      <c r="O21" s="41"/>
      <c r="P21" s="41"/>
      <c r="Q21" s="41"/>
      <c r="R21" s="41"/>
      <c r="S21" s="41"/>
    </row>
    <row r="22" spans="2:19">
      <c r="B22" s="972"/>
      <c r="C22" s="968"/>
      <c r="D22" s="967"/>
      <c r="E22" s="973"/>
      <c r="F22" s="970"/>
      <c r="G22" s="39" t="s">
        <v>151</v>
      </c>
      <c r="H22" s="42"/>
      <c r="I22" s="42"/>
      <c r="J22" s="42" t="s">
        <v>149</v>
      </c>
      <c r="K22" s="42" t="s">
        <v>149</v>
      </c>
      <c r="L22" s="42" t="s">
        <v>149</v>
      </c>
      <c r="M22" s="42" t="s">
        <v>149</v>
      </c>
      <c r="N22" s="42" t="s">
        <v>149</v>
      </c>
      <c r="O22" s="42" t="s">
        <v>149</v>
      </c>
      <c r="P22" s="42" t="s">
        <v>149</v>
      </c>
      <c r="Q22" s="41"/>
      <c r="R22" s="41"/>
      <c r="S22" s="41"/>
    </row>
    <row r="23" spans="2:19">
      <c r="B23" s="972"/>
      <c r="C23" s="968"/>
      <c r="D23" s="967"/>
      <c r="E23" s="973"/>
      <c r="F23" s="970"/>
      <c r="G23" s="39" t="s">
        <v>152</v>
      </c>
      <c r="H23" s="41"/>
      <c r="I23" s="41"/>
      <c r="J23" s="41"/>
      <c r="K23" s="41"/>
      <c r="L23" s="41"/>
      <c r="M23" s="41"/>
      <c r="N23" s="42" t="s">
        <v>149</v>
      </c>
      <c r="O23" s="42" t="s">
        <v>149</v>
      </c>
      <c r="P23" s="42" t="s">
        <v>149</v>
      </c>
      <c r="Q23" s="42" t="s">
        <v>149</v>
      </c>
      <c r="R23" s="42" t="s">
        <v>149</v>
      </c>
      <c r="S23" s="41"/>
    </row>
    <row r="24" spans="2:19">
      <c r="B24" s="972"/>
      <c r="C24" s="968"/>
      <c r="D24" s="967"/>
      <c r="E24" s="973"/>
      <c r="F24" s="970"/>
      <c r="G24" s="39" t="s">
        <v>153</v>
      </c>
      <c r="H24" s="41"/>
      <c r="I24" s="41"/>
      <c r="J24" s="41"/>
      <c r="K24" s="41"/>
      <c r="L24" s="41"/>
      <c r="M24" s="41"/>
      <c r="N24" s="41"/>
      <c r="O24" s="41"/>
      <c r="P24" s="42" t="s">
        <v>149</v>
      </c>
      <c r="Q24" s="42" t="s">
        <v>149</v>
      </c>
      <c r="R24" s="42" t="s">
        <v>149</v>
      </c>
      <c r="S24" s="42" t="s">
        <v>149</v>
      </c>
    </row>
    <row r="25" spans="2:19">
      <c r="B25" s="972"/>
      <c r="C25" s="968"/>
      <c r="D25" s="967"/>
      <c r="E25" s="973"/>
      <c r="F25" s="970"/>
      <c r="G25" s="39" t="s">
        <v>146</v>
      </c>
      <c r="H25" s="41"/>
      <c r="I25" s="41"/>
      <c r="J25" s="41"/>
      <c r="K25" s="41"/>
      <c r="L25" s="41"/>
      <c r="M25" s="41"/>
      <c r="N25" s="41"/>
      <c r="O25" s="41"/>
      <c r="P25" s="41"/>
      <c r="Q25" s="41"/>
      <c r="R25" s="41"/>
      <c r="S25" s="42" t="s">
        <v>149</v>
      </c>
    </row>
    <row r="26" spans="2:19">
      <c r="B26" s="972"/>
      <c r="C26" s="968"/>
      <c r="D26" s="967"/>
      <c r="E26" s="973"/>
      <c r="F26" s="970"/>
      <c r="G26" s="39" t="s">
        <v>148</v>
      </c>
      <c r="H26" s="42" t="s">
        <v>149</v>
      </c>
      <c r="I26" s="42" t="s">
        <v>149</v>
      </c>
      <c r="J26" s="42" t="s">
        <v>149</v>
      </c>
      <c r="K26" s="42" t="s">
        <v>149</v>
      </c>
      <c r="L26" s="42" t="s">
        <v>149</v>
      </c>
      <c r="M26" s="42"/>
      <c r="N26" s="41"/>
      <c r="O26" s="41"/>
      <c r="P26" s="41"/>
      <c r="Q26" s="41"/>
      <c r="R26" s="41"/>
      <c r="S26" s="41"/>
    </row>
    <row r="27" spans="2:19">
      <c r="B27" s="972"/>
      <c r="C27" s="968"/>
      <c r="D27" s="967"/>
      <c r="E27" s="973"/>
      <c r="F27" s="970"/>
      <c r="G27" s="39" t="s">
        <v>150</v>
      </c>
      <c r="H27" s="42" t="s">
        <v>149</v>
      </c>
      <c r="I27" s="42" t="s">
        <v>149</v>
      </c>
      <c r="J27" s="42" t="s">
        <v>149</v>
      </c>
      <c r="K27" s="42" t="s">
        <v>149</v>
      </c>
      <c r="L27" s="42" t="s">
        <v>149</v>
      </c>
      <c r="M27" s="42" t="s">
        <v>149</v>
      </c>
      <c r="N27" s="42" t="s">
        <v>149</v>
      </c>
      <c r="O27" s="41"/>
      <c r="P27" s="41"/>
      <c r="Q27" s="41"/>
      <c r="R27" s="41"/>
      <c r="S27" s="41"/>
    </row>
    <row r="28" spans="2:19">
      <c r="B28" s="972"/>
      <c r="C28" s="968"/>
      <c r="D28" s="967"/>
      <c r="E28" s="973"/>
      <c r="F28" s="970"/>
      <c r="G28" s="39" t="s">
        <v>151</v>
      </c>
      <c r="H28" s="42"/>
      <c r="I28" s="42"/>
      <c r="J28" s="42" t="s">
        <v>149</v>
      </c>
      <c r="K28" s="42" t="s">
        <v>149</v>
      </c>
      <c r="L28" s="42" t="s">
        <v>149</v>
      </c>
      <c r="M28" s="42" t="s">
        <v>149</v>
      </c>
      <c r="N28" s="42" t="s">
        <v>149</v>
      </c>
      <c r="O28" s="42" t="s">
        <v>149</v>
      </c>
      <c r="P28" s="42" t="s">
        <v>149</v>
      </c>
      <c r="Q28" s="41"/>
      <c r="R28" s="41"/>
      <c r="S28" s="41"/>
    </row>
    <row r="29" spans="2:19">
      <c r="B29" s="972"/>
      <c r="C29" s="968"/>
      <c r="D29" s="967"/>
      <c r="E29" s="973"/>
      <c r="F29" s="970"/>
      <c r="G29" s="39" t="s">
        <v>152</v>
      </c>
      <c r="H29" s="41"/>
      <c r="I29" s="41"/>
      <c r="J29" s="41"/>
      <c r="K29" s="41"/>
      <c r="L29" s="41"/>
      <c r="M29" s="41"/>
      <c r="N29" s="42" t="s">
        <v>149</v>
      </c>
      <c r="O29" s="42" t="s">
        <v>149</v>
      </c>
      <c r="P29" s="42" t="s">
        <v>149</v>
      </c>
      <c r="Q29" s="42" t="s">
        <v>149</v>
      </c>
      <c r="R29" s="42" t="s">
        <v>149</v>
      </c>
      <c r="S29" s="41"/>
    </row>
    <row r="30" spans="2:19">
      <c r="B30" s="972"/>
      <c r="C30" s="968"/>
      <c r="D30" s="967"/>
      <c r="E30" s="973"/>
      <c r="F30" s="970"/>
      <c r="G30" s="39" t="s">
        <v>153</v>
      </c>
      <c r="H30" s="41"/>
      <c r="I30" s="41"/>
      <c r="J30" s="41"/>
      <c r="K30" s="41"/>
      <c r="L30" s="41"/>
      <c r="M30" s="41"/>
      <c r="N30" s="41"/>
      <c r="O30" s="41"/>
      <c r="P30" s="42" t="s">
        <v>149</v>
      </c>
      <c r="Q30" s="42" t="s">
        <v>149</v>
      </c>
      <c r="R30" s="42" t="s">
        <v>149</v>
      </c>
      <c r="S30" s="42" t="s">
        <v>149</v>
      </c>
    </row>
    <row r="31" spans="2:19">
      <c r="B31" s="972"/>
      <c r="C31" s="968"/>
      <c r="D31" s="967"/>
      <c r="E31" s="973"/>
      <c r="F31" s="970"/>
      <c r="G31" s="39" t="s">
        <v>146</v>
      </c>
      <c r="H31" s="41"/>
      <c r="I31" s="41"/>
      <c r="J31" s="41"/>
      <c r="K31" s="41"/>
      <c r="L31" s="41"/>
      <c r="M31" s="41"/>
      <c r="N31" s="41"/>
      <c r="O31" s="41"/>
      <c r="P31" s="41"/>
      <c r="Q31" s="41"/>
      <c r="R31" s="41"/>
      <c r="S31" s="42" t="s">
        <v>149</v>
      </c>
    </row>
    <row r="32" spans="2:19">
      <c r="B32" s="972"/>
      <c r="C32" s="968"/>
      <c r="D32" s="967"/>
      <c r="E32" s="973"/>
      <c r="F32" s="970"/>
      <c r="G32" s="39" t="s">
        <v>140</v>
      </c>
      <c r="H32" s="42" t="s">
        <v>149</v>
      </c>
      <c r="I32" s="42" t="s">
        <v>149</v>
      </c>
      <c r="J32" s="41"/>
      <c r="K32" s="41"/>
      <c r="L32" s="41"/>
      <c r="M32" s="41"/>
      <c r="N32" s="41"/>
      <c r="O32" s="41"/>
      <c r="P32" s="41"/>
      <c r="Q32" s="41"/>
      <c r="R32" s="41"/>
      <c r="S32" s="41"/>
    </row>
    <row r="33" spans="2:19">
      <c r="B33" s="972"/>
      <c r="C33" s="968"/>
      <c r="D33" s="967"/>
      <c r="E33" s="973"/>
      <c r="F33" s="970"/>
      <c r="G33" s="39" t="s">
        <v>148</v>
      </c>
      <c r="H33" s="42" t="s">
        <v>149</v>
      </c>
      <c r="I33" s="42" t="s">
        <v>149</v>
      </c>
      <c r="J33" s="42" t="s">
        <v>149</v>
      </c>
      <c r="K33" s="42" t="s">
        <v>149</v>
      </c>
      <c r="L33" s="42" t="s">
        <v>149</v>
      </c>
      <c r="M33" s="41"/>
      <c r="N33" s="41"/>
      <c r="O33" s="41"/>
      <c r="P33" s="41"/>
      <c r="Q33" s="41"/>
      <c r="R33" s="41"/>
      <c r="S33" s="41"/>
    </row>
    <row r="34" spans="2:19">
      <c r="B34" s="972"/>
      <c r="C34" s="968"/>
      <c r="D34" s="967"/>
      <c r="E34" s="973"/>
      <c r="F34" s="970"/>
      <c r="G34" s="39" t="s">
        <v>150</v>
      </c>
      <c r="H34" s="42" t="s">
        <v>149</v>
      </c>
      <c r="I34" s="42" t="s">
        <v>149</v>
      </c>
      <c r="J34" s="42" t="s">
        <v>149</v>
      </c>
      <c r="K34" s="42" t="s">
        <v>149</v>
      </c>
      <c r="L34" s="42" t="s">
        <v>149</v>
      </c>
      <c r="M34" s="42" t="s">
        <v>149</v>
      </c>
      <c r="N34" s="42" t="s">
        <v>149</v>
      </c>
      <c r="O34" s="41"/>
      <c r="P34" s="41"/>
      <c r="Q34" s="41"/>
      <c r="R34" s="41"/>
      <c r="S34" s="41"/>
    </row>
    <row r="35" spans="2:19">
      <c r="B35" s="972"/>
      <c r="C35" s="968"/>
      <c r="D35" s="967"/>
      <c r="E35" s="973"/>
      <c r="F35" s="970"/>
      <c r="G35" s="39" t="s">
        <v>151</v>
      </c>
      <c r="H35" s="41"/>
      <c r="I35" s="41"/>
      <c r="J35" s="42" t="s">
        <v>149</v>
      </c>
      <c r="K35" s="42" t="s">
        <v>149</v>
      </c>
      <c r="L35" s="42" t="s">
        <v>149</v>
      </c>
      <c r="M35" s="42" t="s">
        <v>149</v>
      </c>
      <c r="N35" s="42" t="s">
        <v>149</v>
      </c>
      <c r="O35" s="42" t="s">
        <v>149</v>
      </c>
      <c r="P35" s="42" t="s">
        <v>149</v>
      </c>
      <c r="Q35" s="41"/>
      <c r="R35" s="41"/>
      <c r="S35" s="41"/>
    </row>
    <row r="36" spans="2:19">
      <c r="B36" s="972"/>
      <c r="C36" s="968"/>
      <c r="D36" s="967"/>
      <c r="E36" s="973"/>
      <c r="F36" s="970"/>
      <c r="G36" s="39" t="s">
        <v>152</v>
      </c>
      <c r="H36" s="41"/>
      <c r="I36" s="41"/>
      <c r="J36" s="41"/>
      <c r="K36" s="41"/>
      <c r="L36" s="41"/>
      <c r="M36" s="41"/>
      <c r="N36" s="42" t="s">
        <v>149</v>
      </c>
      <c r="O36" s="42" t="s">
        <v>149</v>
      </c>
      <c r="P36" s="42" t="s">
        <v>149</v>
      </c>
      <c r="Q36" s="42" t="s">
        <v>149</v>
      </c>
      <c r="R36" s="42" t="s">
        <v>149</v>
      </c>
      <c r="S36" s="41"/>
    </row>
    <row r="37" spans="2:19">
      <c r="B37" s="972"/>
      <c r="C37" s="968"/>
      <c r="D37" s="967"/>
      <c r="E37" s="973"/>
      <c r="F37" s="970"/>
      <c r="G37" s="39" t="s">
        <v>153</v>
      </c>
      <c r="H37" s="41"/>
      <c r="I37" s="41"/>
      <c r="J37" s="41"/>
      <c r="K37" s="41"/>
      <c r="L37" s="41"/>
      <c r="M37" s="41"/>
      <c r="N37" s="41"/>
      <c r="O37" s="41"/>
      <c r="P37" s="42" t="s">
        <v>149</v>
      </c>
      <c r="Q37" s="42" t="s">
        <v>149</v>
      </c>
      <c r="R37" s="42" t="s">
        <v>149</v>
      </c>
      <c r="S37" s="42" t="s">
        <v>149</v>
      </c>
    </row>
    <row r="38" spans="2:19">
      <c r="B38" s="972"/>
      <c r="C38" s="968"/>
      <c r="D38" s="967"/>
      <c r="E38" s="973"/>
      <c r="F38" s="970"/>
      <c r="G38" s="39" t="s">
        <v>146</v>
      </c>
      <c r="H38" s="41"/>
      <c r="I38" s="41"/>
      <c r="J38" s="41"/>
      <c r="K38" s="41"/>
      <c r="L38" s="41"/>
      <c r="M38" s="41"/>
      <c r="N38" s="41"/>
      <c r="O38" s="41"/>
      <c r="P38" s="41"/>
      <c r="Q38" s="41"/>
      <c r="R38" s="41"/>
      <c r="S38" s="42" t="s">
        <v>149</v>
      </c>
    </row>
    <row r="39" spans="2:19">
      <c r="B39" s="972"/>
      <c r="C39" s="968"/>
      <c r="D39" s="967"/>
      <c r="E39" s="973"/>
      <c r="F39" s="970"/>
      <c r="G39" s="39" t="s">
        <v>154</v>
      </c>
      <c r="H39" s="42" t="s">
        <v>149</v>
      </c>
      <c r="I39" s="42" t="s">
        <v>149</v>
      </c>
      <c r="J39" s="42" t="s">
        <v>149</v>
      </c>
      <c r="K39" s="41"/>
      <c r="L39" s="41"/>
      <c r="M39" s="41"/>
      <c r="N39" s="41"/>
      <c r="O39" s="41"/>
      <c r="P39" s="41"/>
      <c r="Q39" s="41"/>
      <c r="R39" s="41"/>
      <c r="S39" s="41"/>
    </row>
    <row r="40" spans="2:19">
      <c r="B40" s="972"/>
      <c r="C40" s="968"/>
      <c r="D40" s="967"/>
      <c r="E40" s="973"/>
      <c r="F40" s="970"/>
      <c r="G40" s="39" t="s">
        <v>140</v>
      </c>
      <c r="H40" s="41"/>
      <c r="I40" s="41"/>
      <c r="J40" s="41"/>
      <c r="K40" s="42" t="s">
        <v>149</v>
      </c>
      <c r="L40" s="42" t="s">
        <v>149</v>
      </c>
      <c r="M40" s="42" t="s">
        <v>149</v>
      </c>
      <c r="N40" s="41"/>
      <c r="O40" s="41"/>
      <c r="P40" s="41"/>
      <c r="Q40" s="41"/>
      <c r="R40" s="41"/>
      <c r="S40" s="41"/>
    </row>
    <row r="41" spans="2:19">
      <c r="B41" s="972"/>
      <c r="C41" s="968"/>
      <c r="D41" s="967"/>
      <c r="E41" s="973"/>
      <c r="F41" s="970"/>
      <c r="G41" s="39" t="s">
        <v>148</v>
      </c>
      <c r="H41" s="41"/>
      <c r="I41" s="41"/>
      <c r="J41" s="41"/>
      <c r="K41" s="42" t="s">
        <v>149</v>
      </c>
      <c r="L41" s="42" t="s">
        <v>149</v>
      </c>
      <c r="M41" s="42" t="s">
        <v>149</v>
      </c>
      <c r="N41" s="41"/>
      <c r="O41" s="41"/>
      <c r="P41" s="41"/>
      <c r="Q41" s="41"/>
      <c r="R41" s="41"/>
      <c r="S41" s="41"/>
    </row>
    <row r="42" spans="2:19">
      <c r="B42" s="972"/>
      <c r="C42" s="968"/>
      <c r="D42" s="967"/>
      <c r="E42" s="973"/>
      <c r="F42" s="970"/>
      <c r="G42" s="39" t="s">
        <v>150</v>
      </c>
      <c r="H42" s="41"/>
      <c r="I42" s="41"/>
      <c r="J42" s="41"/>
      <c r="K42" s="41"/>
      <c r="L42" s="41"/>
      <c r="M42" s="42" t="s">
        <v>149</v>
      </c>
      <c r="N42" s="42" t="s">
        <v>149</v>
      </c>
      <c r="O42" s="42" t="s">
        <v>149</v>
      </c>
      <c r="P42" s="41"/>
      <c r="Q42" s="41"/>
      <c r="R42" s="41"/>
      <c r="S42" s="41"/>
    </row>
    <row r="43" spans="2:19">
      <c r="B43" s="972"/>
      <c r="C43" s="968"/>
      <c r="D43" s="967"/>
      <c r="E43" s="973"/>
      <c r="F43" s="970"/>
      <c r="G43" s="39" t="s">
        <v>151</v>
      </c>
      <c r="H43" s="41"/>
      <c r="I43" s="41"/>
      <c r="J43" s="41"/>
      <c r="K43" s="41"/>
      <c r="L43" s="41"/>
      <c r="M43" s="41"/>
      <c r="N43" s="42" t="s">
        <v>149</v>
      </c>
      <c r="O43" s="42" t="s">
        <v>149</v>
      </c>
      <c r="P43" s="41"/>
      <c r="Q43" s="41"/>
      <c r="R43" s="41"/>
      <c r="S43" s="41"/>
    </row>
    <row r="44" spans="2:19">
      <c r="B44" s="972"/>
      <c r="C44" s="968"/>
      <c r="D44" s="967"/>
      <c r="E44" s="973"/>
      <c r="F44" s="970"/>
      <c r="G44" s="39" t="s">
        <v>152</v>
      </c>
      <c r="H44" s="41"/>
      <c r="I44" s="41"/>
      <c r="J44" s="41"/>
      <c r="K44" s="41"/>
      <c r="L44" s="41"/>
      <c r="M44" s="41"/>
      <c r="N44" s="41"/>
      <c r="O44" s="41"/>
      <c r="P44" s="42" t="s">
        <v>149</v>
      </c>
      <c r="Q44" s="42" t="s">
        <v>149</v>
      </c>
      <c r="R44" s="41"/>
      <c r="S44" s="41"/>
    </row>
    <row r="45" spans="2:19">
      <c r="B45" s="972"/>
      <c r="C45" s="968"/>
      <c r="D45" s="967"/>
      <c r="E45" s="973"/>
      <c r="F45" s="970"/>
      <c r="G45" s="39" t="s">
        <v>153</v>
      </c>
      <c r="H45" s="41"/>
      <c r="I45" s="41"/>
      <c r="J45" s="41"/>
      <c r="K45" s="41"/>
      <c r="L45" s="41"/>
      <c r="M45" s="41"/>
      <c r="N45" s="41"/>
      <c r="O45" s="41"/>
      <c r="P45" s="41"/>
      <c r="Q45" s="42" t="s">
        <v>149</v>
      </c>
      <c r="R45" s="42" t="s">
        <v>149</v>
      </c>
      <c r="S45" s="42" t="s">
        <v>149</v>
      </c>
    </row>
    <row r="46" spans="2:19">
      <c r="B46" s="972"/>
      <c r="C46" s="968"/>
      <c r="D46" s="967"/>
      <c r="E46" s="973"/>
      <c r="F46" s="970"/>
      <c r="G46" s="39" t="s">
        <v>146</v>
      </c>
      <c r="H46" s="41"/>
      <c r="I46" s="41"/>
      <c r="J46" s="41"/>
      <c r="K46" s="41"/>
      <c r="L46" s="41"/>
      <c r="M46" s="41"/>
      <c r="N46" s="41"/>
      <c r="O46" s="41"/>
      <c r="P46" s="41"/>
      <c r="Q46" s="42" t="s">
        <v>149</v>
      </c>
      <c r="R46" s="42" t="s">
        <v>149</v>
      </c>
      <c r="S46" s="42" t="s">
        <v>149</v>
      </c>
    </row>
    <row r="47" spans="2:19">
      <c r="B47" s="972"/>
      <c r="C47" s="968"/>
      <c r="D47" s="967"/>
      <c r="E47" s="973">
        <v>292735000</v>
      </c>
      <c r="F47" s="970"/>
      <c r="G47" s="39" t="s">
        <v>155</v>
      </c>
      <c r="H47" s="43" t="s">
        <v>149</v>
      </c>
      <c r="I47" s="43" t="s">
        <v>149</v>
      </c>
      <c r="J47" s="43" t="s">
        <v>149</v>
      </c>
      <c r="K47" s="43" t="s">
        <v>149</v>
      </c>
      <c r="L47" s="43" t="s">
        <v>149</v>
      </c>
      <c r="M47" s="43" t="s">
        <v>149</v>
      </c>
      <c r="N47" s="43" t="s">
        <v>149</v>
      </c>
      <c r="O47" s="43" t="s">
        <v>149</v>
      </c>
      <c r="P47" s="43" t="s">
        <v>149</v>
      </c>
      <c r="Q47" s="43" t="s">
        <v>149</v>
      </c>
      <c r="R47" s="43" t="s">
        <v>149</v>
      </c>
      <c r="S47" s="43" t="s">
        <v>149</v>
      </c>
    </row>
    <row r="48" spans="2:19">
      <c r="B48" s="972"/>
      <c r="C48" s="968"/>
      <c r="D48" s="967"/>
      <c r="E48" s="973"/>
      <c r="F48" s="970"/>
      <c r="G48" s="39" t="s">
        <v>155</v>
      </c>
      <c r="H48" s="43" t="s">
        <v>149</v>
      </c>
      <c r="I48" s="43" t="s">
        <v>149</v>
      </c>
      <c r="J48" s="43" t="s">
        <v>149</v>
      </c>
      <c r="K48" s="43" t="s">
        <v>149</v>
      </c>
      <c r="L48" s="43" t="s">
        <v>149</v>
      </c>
      <c r="M48" s="43" t="s">
        <v>149</v>
      </c>
      <c r="N48" s="43" t="s">
        <v>149</v>
      </c>
      <c r="O48" s="43" t="s">
        <v>149</v>
      </c>
      <c r="P48" s="43" t="s">
        <v>149</v>
      </c>
      <c r="Q48" s="43" t="s">
        <v>149</v>
      </c>
      <c r="R48" s="43" t="s">
        <v>149</v>
      </c>
      <c r="S48" s="43" t="s">
        <v>149</v>
      </c>
    </row>
    <row r="49" spans="2:19">
      <c r="B49" s="972"/>
      <c r="C49" s="968">
        <v>29.8</v>
      </c>
      <c r="D49" s="974" t="s">
        <v>156</v>
      </c>
      <c r="E49" s="983">
        <v>1687136692</v>
      </c>
      <c r="F49" s="980" t="s">
        <v>9</v>
      </c>
      <c r="G49" s="39" t="s">
        <v>157</v>
      </c>
      <c r="H49" s="42" t="s">
        <v>149</v>
      </c>
      <c r="I49" s="42" t="s">
        <v>149</v>
      </c>
      <c r="J49" s="42" t="s">
        <v>149</v>
      </c>
      <c r="K49" s="41"/>
      <c r="L49" s="41"/>
      <c r="M49" s="41"/>
      <c r="N49" s="41"/>
      <c r="O49" s="41"/>
      <c r="P49" s="41"/>
      <c r="Q49" s="41"/>
      <c r="R49" s="41"/>
      <c r="S49" s="41"/>
    </row>
    <row r="50" spans="2:19">
      <c r="B50" s="972"/>
      <c r="C50" s="968"/>
      <c r="D50" s="975"/>
      <c r="E50" s="984"/>
      <c r="F50" s="981"/>
      <c r="G50" s="39" t="s">
        <v>140</v>
      </c>
      <c r="H50" s="41"/>
      <c r="I50" s="42" t="s">
        <v>139</v>
      </c>
      <c r="J50" s="42" t="s">
        <v>139</v>
      </c>
      <c r="K50" s="42" t="s">
        <v>139</v>
      </c>
      <c r="L50" s="42" t="s">
        <v>139</v>
      </c>
      <c r="M50" s="41"/>
      <c r="N50" s="41"/>
      <c r="O50" s="41"/>
      <c r="P50" s="41"/>
      <c r="Q50" s="41"/>
      <c r="R50" s="41"/>
      <c r="S50" s="41"/>
    </row>
    <row r="51" spans="2:19">
      <c r="B51" s="972"/>
      <c r="C51" s="968"/>
      <c r="D51" s="975"/>
      <c r="E51" s="984"/>
      <c r="F51" s="981"/>
      <c r="G51" s="39" t="s">
        <v>141</v>
      </c>
      <c r="H51" s="41"/>
      <c r="I51" s="41"/>
      <c r="J51" s="42" t="s">
        <v>139</v>
      </c>
      <c r="K51" s="42" t="s">
        <v>139</v>
      </c>
      <c r="L51" s="42" t="s">
        <v>139</v>
      </c>
      <c r="M51" s="42" t="s">
        <v>139</v>
      </c>
      <c r="N51" s="41"/>
      <c r="O51" s="41"/>
      <c r="P51" s="41"/>
      <c r="Q51" s="41"/>
      <c r="R51" s="41"/>
      <c r="S51" s="41"/>
    </row>
    <row r="52" spans="2:19">
      <c r="B52" s="972"/>
      <c r="C52" s="968"/>
      <c r="D52" s="975"/>
      <c r="E52" s="984"/>
      <c r="F52" s="981"/>
      <c r="G52" s="39" t="s">
        <v>142</v>
      </c>
      <c r="H52" s="41"/>
      <c r="I52" s="41"/>
      <c r="J52" s="41"/>
      <c r="K52" s="41"/>
      <c r="L52" s="42" t="s">
        <v>139</v>
      </c>
      <c r="M52" s="42" t="s">
        <v>139</v>
      </c>
      <c r="N52" s="42" t="s">
        <v>139</v>
      </c>
      <c r="O52" s="42" t="s">
        <v>139</v>
      </c>
      <c r="P52" s="42" t="s">
        <v>139</v>
      </c>
      <c r="Q52" s="42" t="s">
        <v>139</v>
      </c>
      <c r="R52" s="42" t="s">
        <v>139</v>
      </c>
      <c r="S52" s="41"/>
    </row>
    <row r="53" spans="2:19">
      <c r="B53" s="972"/>
      <c r="C53" s="968"/>
      <c r="D53" s="975"/>
      <c r="E53" s="984"/>
      <c r="F53" s="981"/>
      <c r="G53" s="39" t="s">
        <v>143</v>
      </c>
      <c r="H53" s="41"/>
      <c r="I53" s="41"/>
      <c r="J53" s="41"/>
      <c r="K53" s="41"/>
      <c r="L53" s="41"/>
      <c r="M53" s="41"/>
      <c r="N53" s="41"/>
      <c r="O53" s="41"/>
      <c r="P53" s="41"/>
      <c r="Q53" s="42" t="s">
        <v>139</v>
      </c>
      <c r="R53" s="42" t="s">
        <v>139</v>
      </c>
      <c r="S53" s="41"/>
    </row>
    <row r="54" spans="2:19">
      <c r="B54" s="972"/>
      <c r="C54" s="968"/>
      <c r="D54" s="975"/>
      <c r="E54" s="984"/>
      <c r="F54" s="981"/>
      <c r="G54" s="39" t="s">
        <v>144</v>
      </c>
      <c r="H54" s="41"/>
      <c r="I54" s="41"/>
      <c r="J54" s="42" t="s">
        <v>139</v>
      </c>
      <c r="K54" s="42" t="s">
        <v>139</v>
      </c>
      <c r="L54" s="42" t="s">
        <v>139</v>
      </c>
      <c r="M54" s="42" t="s">
        <v>139</v>
      </c>
      <c r="N54" s="42" t="s">
        <v>139</v>
      </c>
      <c r="O54" s="42" t="s">
        <v>139</v>
      </c>
      <c r="P54" s="42" t="s">
        <v>139</v>
      </c>
      <c r="Q54" s="42" t="s">
        <v>139</v>
      </c>
      <c r="R54" s="42" t="s">
        <v>139</v>
      </c>
      <c r="S54" s="41"/>
    </row>
    <row r="55" spans="2:19">
      <c r="B55" s="972"/>
      <c r="C55" s="968"/>
      <c r="D55" s="975"/>
      <c r="E55" s="984"/>
      <c r="F55" s="981"/>
      <c r="G55" s="39" t="s">
        <v>145</v>
      </c>
      <c r="H55" s="41"/>
      <c r="I55" s="41"/>
      <c r="J55" s="41"/>
      <c r="K55" s="41"/>
      <c r="L55" s="41"/>
      <c r="M55" s="41"/>
      <c r="N55" s="41"/>
      <c r="O55" s="41"/>
      <c r="P55" s="41"/>
      <c r="Q55" s="41"/>
      <c r="R55" s="42" t="s">
        <v>139</v>
      </c>
      <c r="S55" s="42" t="s">
        <v>139</v>
      </c>
    </row>
    <row r="56" spans="2:19">
      <c r="B56" s="972"/>
      <c r="C56" s="968"/>
      <c r="D56" s="976"/>
      <c r="E56" s="984"/>
      <c r="F56" s="982"/>
      <c r="G56" s="39" t="s">
        <v>146</v>
      </c>
      <c r="H56" s="41"/>
      <c r="I56" s="41"/>
      <c r="J56" s="41"/>
      <c r="K56" s="41"/>
      <c r="L56" s="41"/>
      <c r="M56" s="41"/>
      <c r="N56" s="41"/>
      <c r="O56" s="41"/>
      <c r="P56" s="41"/>
      <c r="Q56" s="41"/>
      <c r="R56" s="42" t="s">
        <v>139</v>
      </c>
      <c r="S56" s="42" t="s">
        <v>139</v>
      </c>
    </row>
    <row r="57" spans="2:19">
      <c r="B57" s="972"/>
      <c r="C57" s="968"/>
      <c r="D57" s="967" t="s">
        <v>158</v>
      </c>
      <c r="E57" s="984"/>
      <c r="F57" s="970" t="s">
        <v>9</v>
      </c>
      <c r="G57" s="39" t="s">
        <v>140</v>
      </c>
      <c r="H57" s="41"/>
      <c r="I57" s="42" t="s">
        <v>149</v>
      </c>
      <c r="J57" s="42" t="s">
        <v>149</v>
      </c>
      <c r="K57" s="42" t="s">
        <v>149</v>
      </c>
      <c r="L57" s="42" t="s">
        <v>149</v>
      </c>
      <c r="M57" s="41"/>
      <c r="N57" s="41"/>
      <c r="O57" s="41"/>
      <c r="P57" s="41"/>
      <c r="Q57" s="41"/>
      <c r="R57" s="41"/>
      <c r="S57" s="41"/>
    </row>
    <row r="58" spans="2:19">
      <c r="B58" s="972"/>
      <c r="C58" s="968"/>
      <c r="D58" s="967"/>
      <c r="E58" s="984"/>
      <c r="F58" s="970"/>
      <c r="G58" s="39" t="s">
        <v>141</v>
      </c>
      <c r="H58" s="41"/>
      <c r="I58" s="41"/>
      <c r="J58" s="42" t="s">
        <v>149</v>
      </c>
      <c r="K58" s="42" t="s">
        <v>149</v>
      </c>
      <c r="L58" s="42" t="s">
        <v>149</v>
      </c>
      <c r="M58" s="41"/>
      <c r="N58" s="41"/>
      <c r="O58" s="41"/>
      <c r="P58" s="41"/>
      <c r="Q58" s="41"/>
      <c r="R58" s="41"/>
      <c r="S58" s="41"/>
    </row>
    <row r="59" spans="2:19">
      <c r="B59" s="972"/>
      <c r="C59" s="968"/>
      <c r="D59" s="967"/>
      <c r="E59" s="984"/>
      <c r="F59" s="970"/>
      <c r="G59" s="39" t="s">
        <v>142</v>
      </c>
      <c r="H59" s="41"/>
      <c r="I59" s="41"/>
      <c r="J59" s="41"/>
      <c r="K59" s="41"/>
      <c r="L59" s="41"/>
      <c r="M59" s="42" t="s">
        <v>149</v>
      </c>
      <c r="N59" s="42" t="s">
        <v>149</v>
      </c>
      <c r="O59" s="42" t="s">
        <v>149</v>
      </c>
      <c r="P59" s="42" t="s">
        <v>149</v>
      </c>
      <c r="Q59" s="41"/>
      <c r="R59" s="41"/>
      <c r="S59" s="41"/>
    </row>
    <row r="60" spans="2:19">
      <c r="B60" s="972"/>
      <c r="C60" s="968"/>
      <c r="D60" s="967"/>
      <c r="E60" s="984"/>
      <c r="F60" s="970"/>
      <c r="G60" s="39" t="s">
        <v>143</v>
      </c>
      <c r="H60" s="41"/>
      <c r="I60" s="41"/>
      <c r="J60" s="41"/>
      <c r="K60" s="41"/>
      <c r="L60" s="41"/>
      <c r="M60" s="41"/>
      <c r="N60" s="41"/>
      <c r="O60" s="41"/>
      <c r="P60" s="42" t="s">
        <v>149</v>
      </c>
      <c r="Q60" s="42" t="s">
        <v>149</v>
      </c>
      <c r="R60" s="42" t="s">
        <v>149</v>
      </c>
      <c r="S60" s="42" t="s">
        <v>149</v>
      </c>
    </row>
    <row r="61" spans="2:19">
      <c r="B61" s="972"/>
      <c r="C61" s="968"/>
      <c r="D61" s="967"/>
      <c r="E61" s="984"/>
      <c r="F61" s="970"/>
      <c r="G61" s="39" t="s">
        <v>144</v>
      </c>
      <c r="H61" s="41"/>
      <c r="I61" s="41"/>
      <c r="J61" s="42" t="s">
        <v>139</v>
      </c>
      <c r="K61" s="42" t="s">
        <v>139</v>
      </c>
      <c r="L61" s="42" t="s">
        <v>139</v>
      </c>
      <c r="M61" s="42" t="s">
        <v>139</v>
      </c>
      <c r="N61" s="42" t="s">
        <v>139</v>
      </c>
      <c r="O61" s="42" t="s">
        <v>139</v>
      </c>
      <c r="P61" s="42" t="s">
        <v>139</v>
      </c>
      <c r="Q61" s="41"/>
      <c r="R61" s="41"/>
      <c r="S61" s="41"/>
    </row>
    <row r="62" spans="2:19">
      <c r="B62" s="972"/>
      <c r="C62" s="968"/>
      <c r="D62" s="967"/>
      <c r="E62" s="984"/>
      <c r="F62" s="970"/>
      <c r="G62" s="39" t="s">
        <v>145</v>
      </c>
      <c r="H62" s="41"/>
      <c r="I62" s="41"/>
      <c r="J62" s="41"/>
      <c r="K62" s="41"/>
      <c r="L62" s="41"/>
      <c r="M62" s="41"/>
      <c r="N62" s="41"/>
      <c r="O62" s="41"/>
      <c r="P62" s="41"/>
      <c r="Q62" s="42" t="s">
        <v>139</v>
      </c>
      <c r="R62" s="42" t="s">
        <v>139</v>
      </c>
      <c r="S62" s="42" t="s">
        <v>139</v>
      </c>
    </row>
    <row r="63" spans="2:19">
      <c r="B63" s="972"/>
      <c r="C63" s="968"/>
      <c r="D63" s="967"/>
      <c r="E63" s="984"/>
      <c r="F63" s="970"/>
      <c r="G63" s="39" t="s">
        <v>146</v>
      </c>
      <c r="H63" s="41"/>
      <c r="I63" s="41"/>
      <c r="J63" s="41"/>
      <c r="K63" s="41"/>
      <c r="L63" s="41"/>
      <c r="M63" s="41"/>
      <c r="N63" s="41"/>
      <c r="O63" s="41"/>
      <c r="P63" s="41"/>
      <c r="Q63" s="42" t="s">
        <v>139</v>
      </c>
      <c r="R63" s="42" t="s">
        <v>139</v>
      </c>
      <c r="S63" s="42" t="s">
        <v>139</v>
      </c>
    </row>
    <row r="64" spans="2:19">
      <c r="B64" s="972"/>
      <c r="C64" s="968"/>
      <c r="D64" s="967" t="s">
        <v>159</v>
      </c>
      <c r="E64" s="984"/>
      <c r="F64" s="970" t="s">
        <v>9</v>
      </c>
      <c r="G64" s="39" t="s">
        <v>160</v>
      </c>
      <c r="H64" s="41"/>
      <c r="I64" s="42" t="s">
        <v>139</v>
      </c>
      <c r="J64" s="42" t="s">
        <v>139</v>
      </c>
      <c r="K64" s="41"/>
      <c r="L64" s="41"/>
      <c r="M64" s="41"/>
      <c r="N64" s="41"/>
      <c r="O64" s="41"/>
      <c r="P64" s="41"/>
      <c r="Q64" s="41"/>
      <c r="R64" s="41"/>
      <c r="S64" s="41"/>
    </row>
    <row r="65" spans="2:19">
      <c r="B65" s="972"/>
      <c r="C65" s="968"/>
      <c r="D65" s="967"/>
      <c r="E65" s="984"/>
      <c r="F65" s="970"/>
      <c r="G65" s="39" t="s">
        <v>141</v>
      </c>
      <c r="H65" s="41"/>
      <c r="I65" s="42" t="s">
        <v>139</v>
      </c>
      <c r="J65" s="42" t="s">
        <v>139</v>
      </c>
      <c r="K65" s="42" t="s">
        <v>139</v>
      </c>
      <c r="L65" s="41"/>
      <c r="M65" s="41"/>
      <c r="N65" s="41"/>
      <c r="O65" s="41"/>
      <c r="P65" s="41"/>
      <c r="Q65" s="41"/>
      <c r="R65" s="41"/>
      <c r="S65" s="41"/>
    </row>
    <row r="66" spans="2:19">
      <c r="B66" s="972"/>
      <c r="C66" s="968"/>
      <c r="D66" s="967"/>
      <c r="E66" s="984"/>
      <c r="F66" s="970"/>
      <c r="G66" s="39" t="s">
        <v>142</v>
      </c>
      <c r="H66" s="41"/>
      <c r="I66" s="41"/>
      <c r="J66" s="41"/>
      <c r="K66" s="41"/>
      <c r="L66" s="42" t="s">
        <v>139</v>
      </c>
      <c r="M66" s="42" t="s">
        <v>139</v>
      </c>
      <c r="N66" s="42" t="s">
        <v>139</v>
      </c>
      <c r="O66" s="42" t="s">
        <v>139</v>
      </c>
      <c r="P66" s="42" t="s">
        <v>139</v>
      </c>
      <c r="Q66" s="41"/>
      <c r="R66" s="41"/>
      <c r="S66" s="41"/>
    </row>
    <row r="67" spans="2:19">
      <c r="B67" s="972"/>
      <c r="C67" s="968"/>
      <c r="D67" s="967"/>
      <c r="E67" s="984"/>
      <c r="F67" s="970"/>
      <c r="G67" s="39" t="s">
        <v>143</v>
      </c>
      <c r="H67" s="41"/>
      <c r="I67" s="41"/>
      <c r="J67" s="41"/>
      <c r="K67" s="41"/>
      <c r="L67" s="41"/>
      <c r="M67" s="41"/>
      <c r="N67" s="41"/>
      <c r="O67" s="41"/>
      <c r="P67" s="42" t="s">
        <v>139</v>
      </c>
      <c r="Q67" s="42" t="s">
        <v>139</v>
      </c>
      <c r="R67" s="41"/>
      <c r="S67" s="41"/>
    </row>
    <row r="68" spans="2:19">
      <c r="B68" s="972"/>
      <c r="C68" s="968"/>
      <c r="D68" s="967"/>
      <c r="E68" s="984"/>
      <c r="F68" s="970"/>
      <c r="G68" s="39" t="s">
        <v>144</v>
      </c>
      <c r="H68" s="41"/>
      <c r="I68" s="41"/>
      <c r="J68" s="41"/>
      <c r="K68" s="41"/>
      <c r="L68" s="41"/>
      <c r="M68" s="41"/>
      <c r="N68" s="41"/>
      <c r="O68" s="41"/>
      <c r="P68" s="41"/>
      <c r="Q68" s="41"/>
      <c r="R68" s="42" t="s">
        <v>139</v>
      </c>
      <c r="S68" s="41"/>
    </row>
    <row r="69" spans="2:19">
      <c r="B69" s="972"/>
      <c r="C69" s="968"/>
      <c r="D69" s="967"/>
      <c r="E69" s="984"/>
      <c r="F69" s="970"/>
      <c r="G69" s="39" t="s">
        <v>145</v>
      </c>
      <c r="H69" s="41"/>
      <c r="I69" s="41"/>
      <c r="J69" s="41"/>
      <c r="K69" s="41"/>
      <c r="L69" s="41"/>
      <c r="M69" s="41"/>
      <c r="N69" s="41"/>
      <c r="O69" s="41"/>
      <c r="P69" s="41"/>
      <c r="Q69" s="41"/>
      <c r="R69" s="42" t="s">
        <v>139</v>
      </c>
      <c r="S69" s="41"/>
    </row>
    <row r="70" spans="2:19">
      <c r="B70" s="972"/>
      <c r="C70" s="968"/>
      <c r="D70" s="967"/>
      <c r="E70" s="984"/>
      <c r="F70" s="970"/>
      <c r="G70" s="39" t="s">
        <v>146</v>
      </c>
      <c r="H70" s="41"/>
      <c r="I70" s="41"/>
      <c r="J70" s="41"/>
      <c r="K70" s="41"/>
      <c r="L70" s="41"/>
      <c r="M70" s="41"/>
      <c r="N70" s="41"/>
      <c r="O70" s="41"/>
      <c r="P70" s="41"/>
      <c r="Q70" s="41"/>
      <c r="R70" s="42" t="s">
        <v>139</v>
      </c>
      <c r="S70" s="42" t="s">
        <v>139</v>
      </c>
    </row>
    <row r="71" spans="2:19">
      <c r="B71" s="972"/>
      <c r="C71" s="968"/>
      <c r="D71" s="967" t="s">
        <v>161</v>
      </c>
      <c r="E71" s="984"/>
      <c r="F71" s="970" t="s">
        <v>9</v>
      </c>
      <c r="G71" s="39" t="s">
        <v>160</v>
      </c>
      <c r="H71" s="41"/>
      <c r="I71" s="42" t="s">
        <v>139</v>
      </c>
      <c r="J71" s="41"/>
      <c r="K71" s="41"/>
      <c r="L71" s="41"/>
      <c r="M71" s="41"/>
      <c r="N71" s="41"/>
      <c r="O71" s="41"/>
      <c r="P71" s="41"/>
      <c r="Q71" s="41"/>
      <c r="R71" s="41"/>
      <c r="S71" s="41"/>
    </row>
    <row r="72" spans="2:19">
      <c r="B72" s="972"/>
      <c r="C72" s="968"/>
      <c r="D72" s="967"/>
      <c r="E72" s="984"/>
      <c r="F72" s="970"/>
      <c r="G72" s="39" t="s">
        <v>141</v>
      </c>
      <c r="H72" s="41"/>
      <c r="I72" s="42" t="s">
        <v>139</v>
      </c>
      <c r="J72" s="41"/>
      <c r="K72" s="41"/>
      <c r="L72" s="41"/>
      <c r="M72" s="41"/>
      <c r="N72" s="41"/>
      <c r="O72" s="41"/>
      <c r="P72" s="41"/>
      <c r="Q72" s="41"/>
      <c r="R72" s="41"/>
      <c r="S72" s="41"/>
    </row>
    <row r="73" spans="2:19">
      <c r="B73" s="972"/>
      <c r="C73" s="968"/>
      <c r="D73" s="967"/>
      <c r="E73" s="984"/>
      <c r="F73" s="970"/>
      <c r="G73" s="39" t="s">
        <v>142</v>
      </c>
      <c r="H73" s="41"/>
      <c r="I73" s="41"/>
      <c r="J73" s="42" t="s">
        <v>139</v>
      </c>
      <c r="K73" s="42" t="s">
        <v>139</v>
      </c>
      <c r="L73" s="42" t="s">
        <v>139</v>
      </c>
      <c r="M73" s="42" t="s">
        <v>139</v>
      </c>
      <c r="N73" s="42" t="s">
        <v>139</v>
      </c>
      <c r="O73" s="41"/>
      <c r="P73" s="41"/>
      <c r="Q73" s="41"/>
      <c r="R73" s="41"/>
      <c r="S73" s="41"/>
    </row>
    <row r="74" spans="2:19">
      <c r="B74" s="972"/>
      <c r="C74" s="968"/>
      <c r="D74" s="967"/>
      <c r="E74" s="984"/>
      <c r="F74" s="970"/>
      <c r="G74" s="39" t="s">
        <v>143</v>
      </c>
      <c r="H74" s="41"/>
      <c r="I74" s="41"/>
      <c r="J74" s="41"/>
      <c r="K74" s="41"/>
      <c r="L74" s="41"/>
      <c r="M74" s="42" t="s">
        <v>139</v>
      </c>
      <c r="N74" s="42" t="s">
        <v>139</v>
      </c>
      <c r="O74" s="41"/>
      <c r="P74" s="41"/>
      <c r="Q74" s="41"/>
      <c r="R74" s="41"/>
      <c r="S74" s="41"/>
    </row>
    <row r="75" spans="2:19">
      <c r="B75" s="972"/>
      <c r="C75" s="968"/>
      <c r="D75" s="967"/>
      <c r="E75" s="984"/>
      <c r="F75" s="970"/>
      <c r="G75" s="39" t="s">
        <v>144</v>
      </c>
      <c r="H75" s="41"/>
      <c r="I75" s="41"/>
      <c r="J75" s="41"/>
      <c r="K75" s="41"/>
      <c r="L75" s="41"/>
      <c r="M75" s="41"/>
      <c r="N75" s="42" t="s">
        <v>139</v>
      </c>
      <c r="O75" s="42" t="s">
        <v>139</v>
      </c>
      <c r="P75" s="41"/>
      <c r="Q75" s="41"/>
      <c r="R75" s="41"/>
      <c r="S75" s="41"/>
    </row>
    <row r="76" spans="2:19">
      <c r="B76" s="972"/>
      <c r="C76" s="968"/>
      <c r="D76" s="967"/>
      <c r="E76" s="984"/>
      <c r="F76" s="970"/>
      <c r="G76" s="39" t="s">
        <v>145</v>
      </c>
      <c r="H76" s="41"/>
      <c r="I76" s="41"/>
      <c r="J76" s="41"/>
      <c r="K76" s="41"/>
      <c r="L76" s="41"/>
      <c r="M76" s="41"/>
      <c r="N76" s="42" t="s">
        <v>139</v>
      </c>
      <c r="O76" s="42" t="s">
        <v>139</v>
      </c>
      <c r="P76" s="41"/>
      <c r="Q76" s="41"/>
      <c r="R76" s="41"/>
      <c r="S76" s="41"/>
    </row>
    <row r="77" spans="2:19">
      <c r="B77" s="972"/>
      <c r="C77" s="968"/>
      <c r="D77" s="967"/>
      <c r="E77" s="984"/>
      <c r="F77" s="970"/>
      <c r="G77" s="39" t="s">
        <v>146</v>
      </c>
      <c r="H77" s="41"/>
      <c r="I77" s="41"/>
      <c r="J77" s="41"/>
      <c r="K77" s="41"/>
      <c r="L77" s="41"/>
      <c r="M77" s="41"/>
      <c r="N77" s="41"/>
      <c r="O77" s="41"/>
      <c r="P77" s="41"/>
      <c r="Q77" s="41"/>
      <c r="R77" s="41"/>
      <c r="S77" s="42" t="s">
        <v>149</v>
      </c>
    </row>
    <row r="78" spans="2:19">
      <c r="B78" s="972"/>
      <c r="C78" s="968"/>
      <c r="D78" s="967" t="s">
        <v>162</v>
      </c>
      <c r="E78" s="984"/>
      <c r="F78" s="970" t="s">
        <v>9</v>
      </c>
      <c r="G78" s="39" t="s">
        <v>140</v>
      </c>
      <c r="H78" s="41"/>
      <c r="I78" s="42" t="s">
        <v>139</v>
      </c>
      <c r="J78" s="42" t="s">
        <v>139</v>
      </c>
      <c r="K78" s="41"/>
      <c r="L78" s="41"/>
      <c r="M78" s="41"/>
      <c r="N78" s="41"/>
      <c r="O78" s="41"/>
      <c r="P78" s="41"/>
      <c r="Q78" s="41"/>
      <c r="R78" s="41"/>
      <c r="S78" s="41"/>
    </row>
    <row r="79" spans="2:19">
      <c r="B79" s="972"/>
      <c r="C79" s="968"/>
      <c r="D79" s="967"/>
      <c r="E79" s="984"/>
      <c r="F79" s="970"/>
      <c r="G79" s="39" t="s">
        <v>141</v>
      </c>
      <c r="H79" s="41"/>
      <c r="I79" s="41"/>
      <c r="J79" s="42" t="s">
        <v>139</v>
      </c>
      <c r="K79" s="42" t="s">
        <v>139</v>
      </c>
      <c r="L79" s="42" t="s">
        <v>139</v>
      </c>
      <c r="M79" s="42" t="s">
        <v>139</v>
      </c>
      <c r="N79" s="41"/>
      <c r="O79" s="41"/>
      <c r="P79" s="41"/>
      <c r="Q79" s="41"/>
      <c r="R79" s="41"/>
      <c r="S79" s="41"/>
    </row>
    <row r="80" spans="2:19">
      <c r="B80" s="972"/>
      <c r="C80" s="968"/>
      <c r="D80" s="967"/>
      <c r="E80" s="984"/>
      <c r="F80" s="970"/>
      <c r="G80" s="39" t="s">
        <v>142</v>
      </c>
      <c r="H80" s="41"/>
      <c r="I80" s="41"/>
      <c r="J80" s="41"/>
      <c r="K80" s="41"/>
      <c r="L80" s="42" t="s">
        <v>139</v>
      </c>
      <c r="M80" s="42" t="s">
        <v>139</v>
      </c>
      <c r="N80" s="42" t="s">
        <v>139</v>
      </c>
      <c r="O80" s="42" t="s">
        <v>139</v>
      </c>
      <c r="P80" s="42" t="s">
        <v>139</v>
      </c>
      <c r="Q80" s="41"/>
      <c r="R80" s="41"/>
      <c r="S80" s="41"/>
    </row>
    <row r="81" spans="2:19">
      <c r="B81" s="972"/>
      <c r="C81" s="968"/>
      <c r="D81" s="967"/>
      <c r="E81" s="984"/>
      <c r="F81" s="970"/>
      <c r="G81" s="39" t="s">
        <v>143</v>
      </c>
      <c r="H81" s="41"/>
      <c r="I81" s="41"/>
      <c r="J81" s="41"/>
      <c r="K81" s="41"/>
      <c r="L81" s="41"/>
      <c r="M81" s="41"/>
      <c r="N81" s="41"/>
      <c r="O81" s="41"/>
      <c r="P81" s="41"/>
      <c r="Q81" s="42" t="s">
        <v>139</v>
      </c>
      <c r="R81" s="42" t="s">
        <v>139</v>
      </c>
      <c r="S81" s="42" t="s">
        <v>139</v>
      </c>
    </row>
    <row r="82" spans="2:19">
      <c r="B82" s="972"/>
      <c r="C82" s="968"/>
      <c r="D82" s="967"/>
      <c r="E82" s="984"/>
      <c r="F82" s="970"/>
      <c r="G82" s="39" t="s">
        <v>144</v>
      </c>
      <c r="H82" s="41"/>
      <c r="I82" s="41"/>
      <c r="J82" s="41"/>
      <c r="K82" s="41"/>
      <c r="L82" s="41"/>
      <c r="M82" s="41"/>
      <c r="N82" s="41"/>
      <c r="O82" s="41"/>
      <c r="P82" s="41"/>
      <c r="Q82" s="42" t="s">
        <v>139</v>
      </c>
      <c r="R82" s="42" t="s">
        <v>139</v>
      </c>
      <c r="S82" s="42" t="s">
        <v>139</v>
      </c>
    </row>
    <row r="83" spans="2:19">
      <c r="B83" s="972"/>
      <c r="C83" s="968"/>
      <c r="D83" s="967"/>
      <c r="E83" s="984"/>
      <c r="F83" s="970"/>
      <c r="G83" s="39" t="s">
        <v>145</v>
      </c>
      <c r="H83" s="41"/>
      <c r="I83" s="41"/>
      <c r="J83" s="41"/>
      <c r="K83" s="41"/>
      <c r="L83" s="41"/>
      <c r="M83" s="41"/>
      <c r="N83" s="41"/>
      <c r="O83" s="41"/>
      <c r="P83" s="41"/>
      <c r="Q83" s="42" t="s">
        <v>139</v>
      </c>
      <c r="R83" s="42" t="s">
        <v>139</v>
      </c>
      <c r="S83" s="42" t="s">
        <v>139</v>
      </c>
    </row>
    <row r="84" spans="2:19">
      <c r="B84" s="972"/>
      <c r="C84" s="968"/>
      <c r="D84" s="967"/>
      <c r="E84" s="984"/>
      <c r="F84" s="970"/>
      <c r="G84" s="39" t="s">
        <v>146</v>
      </c>
      <c r="H84" s="41"/>
      <c r="I84" s="41"/>
      <c r="J84" s="41"/>
      <c r="K84" s="41"/>
      <c r="L84" s="41"/>
      <c r="M84" s="41"/>
      <c r="N84" s="41"/>
      <c r="O84" s="41"/>
      <c r="P84" s="41"/>
      <c r="Q84" s="42" t="s">
        <v>139</v>
      </c>
      <c r="R84" s="42" t="s">
        <v>139</v>
      </c>
      <c r="S84" s="42" t="s">
        <v>139</v>
      </c>
    </row>
    <row r="85" spans="2:19">
      <c r="B85" s="972"/>
      <c r="C85" s="968"/>
      <c r="D85" s="967" t="s">
        <v>163</v>
      </c>
      <c r="E85" s="984"/>
      <c r="F85" s="970" t="s">
        <v>9</v>
      </c>
      <c r="G85" s="39" t="s">
        <v>140</v>
      </c>
      <c r="H85" s="41"/>
      <c r="I85" s="42" t="s">
        <v>139</v>
      </c>
      <c r="J85" s="42" t="s">
        <v>139</v>
      </c>
      <c r="K85" s="42" t="s">
        <v>139</v>
      </c>
      <c r="L85" s="42" t="s">
        <v>139</v>
      </c>
      <c r="M85" s="42"/>
      <c r="N85" s="41"/>
      <c r="O85" s="41"/>
      <c r="P85" s="41"/>
      <c r="Q85" s="41"/>
      <c r="R85" s="41"/>
      <c r="S85" s="41"/>
    </row>
    <row r="86" spans="2:19">
      <c r="B86" s="972"/>
      <c r="C86" s="968"/>
      <c r="D86" s="967"/>
      <c r="E86" s="984"/>
      <c r="F86" s="970"/>
      <c r="G86" s="39" t="s">
        <v>141</v>
      </c>
      <c r="H86" s="41"/>
      <c r="I86" s="41"/>
      <c r="J86" s="41"/>
      <c r="K86" s="42" t="s">
        <v>139</v>
      </c>
      <c r="L86" s="42" t="s">
        <v>139</v>
      </c>
      <c r="M86" s="42" t="s">
        <v>139</v>
      </c>
      <c r="N86" s="42" t="s">
        <v>139</v>
      </c>
      <c r="O86" s="42" t="s">
        <v>139</v>
      </c>
      <c r="P86" s="42" t="s">
        <v>139</v>
      </c>
      <c r="Q86" s="41"/>
      <c r="R86" s="41"/>
      <c r="S86" s="41"/>
    </row>
    <row r="87" spans="2:19">
      <c r="B87" s="972"/>
      <c r="C87" s="968"/>
      <c r="D87" s="967"/>
      <c r="E87" s="984"/>
      <c r="F87" s="970"/>
      <c r="G87" s="39" t="s">
        <v>142</v>
      </c>
      <c r="H87" s="41"/>
      <c r="I87" s="41"/>
      <c r="J87" s="41"/>
      <c r="K87" s="41"/>
      <c r="L87" s="41"/>
      <c r="M87" s="41"/>
      <c r="N87" s="42" t="s">
        <v>139</v>
      </c>
      <c r="O87" s="42" t="s">
        <v>139</v>
      </c>
      <c r="P87" s="42" t="s">
        <v>139</v>
      </c>
      <c r="Q87" s="42" t="s">
        <v>139</v>
      </c>
      <c r="R87" s="42" t="s">
        <v>139</v>
      </c>
      <c r="S87" s="42" t="s">
        <v>139</v>
      </c>
    </row>
    <row r="88" spans="2:19">
      <c r="B88" s="972"/>
      <c r="C88" s="968"/>
      <c r="D88" s="967"/>
      <c r="E88" s="984"/>
      <c r="F88" s="970"/>
      <c r="G88" s="39" t="s">
        <v>143</v>
      </c>
      <c r="H88" s="41"/>
      <c r="I88" s="41"/>
      <c r="J88" s="41"/>
      <c r="K88" s="41"/>
      <c r="L88" s="41"/>
      <c r="M88" s="41"/>
      <c r="N88" s="41"/>
      <c r="O88" s="41"/>
      <c r="P88" s="41"/>
      <c r="Q88" s="41"/>
      <c r="R88" s="41"/>
      <c r="S88" s="42" t="s">
        <v>139</v>
      </c>
    </row>
    <row r="89" spans="2:19">
      <c r="B89" s="972"/>
      <c r="C89" s="968"/>
      <c r="D89" s="967"/>
      <c r="E89" s="984"/>
      <c r="F89" s="970"/>
      <c r="G89" s="39" t="s">
        <v>144</v>
      </c>
      <c r="H89" s="41"/>
      <c r="I89" s="41"/>
      <c r="J89" s="41"/>
      <c r="K89" s="41"/>
      <c r="L89" s="41"/>
      <c r="M89" s="41"/>
      <c r="N89" s="41"/>
      <c r="O89" s="41"/>
      <c r="P89" s="41"/>
      <c r="Q89" s="41"/>
      <c r="R89" s="41"/>
      <c r="S89" s="42" t="s">
        <v>139</v>
      </c>
    </row>
    <row r="90" spans="2:19">
      <c r="B90" s="972"/>
      <c r="C90" s="968"/>
      <c r="D90" s="967"/>
      <c r="E90" s="984"/>
      <c r="F90" s="970"/>
      <c r="G90" s="39" t="s">
        <v>145</v>
      </c>
      <c r="H90" s="41"/>
      <c r="I90" s="41"/>
      <c r="J90" s="41"/>
      <c r="K90" s="41"/>
      <c r="L90" s="41"/>
      <c r="M90" s="41"/>
      <c r="N90" s="41"/>
      <c r="O90" s="41"/>
      <c r="P90" s="41"/>
      <c r="Q90" s="41"/>
      <c r="R90" s="41"/>
      <c r="S90" s="42" t="s">
        <v>139</v>
      </c>
    </row>
    <row r="91" spans="2:19">
      <c r="B91" s="972"/>
      <c r="C91" s="968"/>
      <c r="D91" s="967"/>
      <c r="E91" s="984"/>
      <c r="F91" s="970"/>
      <c r="G91" s="39" t="s">
        <v>146</v>
      </c>
      <c r="H91" s="41"/>
      <c r="I91" s="41"/>
      <c r="J91" s="41"/>
      <c r="K91" s="41"/>
      <c r="L91" s="41"/>
      <c r="M91" s="41"/>
      <c r="N91" s="41"/>
      <c r="O91" s="41"/>
      <c r="P91" s="41"/>
      <c r="Q91" s="41"/>
      <c r="R91" s="41"/>
      <c r="S91" s="42" t="s">
        <v>139</v>
      </c>
    </row>
    <row r="92" spans="2:19">
      <c r="B92" s="972"/>
      <c r="C92" s="968"/>
      <c r="D92" s="967" t="s">
        <v>164</v>
      </c>
      <c r="E92" s="984"/>
      <c r="F92" s="970" t="s">
        <v>9</v>
      </c>
      <c r="G92" s="39" t="s">
        <v>140</v>
      </c>
      <c r="H92" s="41"/>
      <c r="I92" s="42" t="s">
        <v>139</v>
      </c>
      <c r="J92" s="42" t="s">
        <v>139</v>
      </c>
      <c r="K92" s="41"/>
      <c r="L92" s="41"/>
      <c r="M92" s="41"/>
      <c r="N92" s="41"/>
      <c r="O92" s="41"/>
      <c r="P92" s="41"/>
      <c r="Q92" s="41"/>
      <c r="R92" s="41"/>
      <c r="S92" s="41"/>
    </row>
    <row r="93" spans="2:19">
      <c r="B93" s="972"/>
      <c r="C93" s="968"/>
      <c r="D93" s="967"/>
      <c r="E93" s="984"/>
      <c r="F93" s="970"/>
      <c r="G93" s="39" t="s">
        <v>141</v>
      </c>
      <c r="H93" s="41"/>
      <c r="I93" s="42" t="s">
        <v>139</v>
      </c>
      <c r="J93" s="42" t="s">
        <v>139</v>
      </c>
      <c r="K93" s="41"/>
      <c r="L93" s="41"/>
      <c r="M93" s="41"/>
      <c r="N93" s="41"/>
      <c r="O93" s="41"/>
      <c r="P93" s="41"/>
      <c r="Q93" s="41"/>
      <c r="R93" s="41"/>
      <c r="S93" s="41"/>
    </row>
    <row r="94" spans="2:19">
      <c r="B94" s="972"/>
      <c r="C94" s="968"/>
      <c r="D94" s="967"/>
      <c r="E94" s="984"/>
      <c r="F94" s="970"/>
      <c r="G94" s="39" t="s">
        <v>142</v>
      </c>
      <c r="H94" s="41"/>
      <c r="I94" s="41"/>
      <c r="J94" s="42" t="s">
        <v>139</v>
      </c>
      <c r="K94" s="42" t="s">
        <v>139</v>
      </c>
      <c r="L94" s="42" t="s">
        <v>139</v>
      </c>
      <c r="M94" s="42" t="s">
        <v>139</v>
      </c>
      <c r="N94" s="41"/>
      <c r="O94" s="41"/>
      <c r="P94" s="41"/>
      <c r="Q94" s="41"/>
      <c r="R94" s="41"/>
      <c r="S94" s="41"/>
    </row>
    <row r="95" spans="2:19">
      <c r="B95" s="972"/>
      <c r="C95" s="968"/>
      <c r="D95" s="967"/>
      <c r="E95" s="984"/>
      <c r="F95" s="970"/>
      <c r="G95" s="39" t="s">
        <v>143</v>
      </c>
      <c r="H95" s="41"/>
      <c r="I95" s="41"/>
      <c r="J95" s="41"/>
      <c r="K95" s="41"/>
      <c r="L95" s="42" t="s">
        <v>139</v>
      </c>
      <c r="M95" s="42" t="s">
        <v>139</v>
      </c>
      <c r="N95" s="42" t="s">
        <v>139</v>
      </c>
      <c r="O95" s="41"/>
      <c r="P95" s="41"/>
      <c r="Q95" s="41"/>
      <c r="R95" s="41"/>
      <c r="S95" s="41"/>
    </row>
    <row r="96" spans="2:19">
      <c r="B96" s="972"/>
      <c r="C96" s="968"/>
      <c r="D96" s="967"/>
      <c r="E96" s="984"/>
      <c r="F96" s="970"/>
      <c r="G96" s="39" t="s">
        <v>144</v>
      </c>
      <c r="H96" s="41"/>
      <c r="I96" s="41"/>
      <c r="J96" s="41"/>
      <c r="K96" s="41"/>
      <c r="L96" s="41"/>
      <c r="M96" s="41"/>
      <c r="N96" s="42" t="s">
        <v>139</v>
      </c>
      <c r="O96" s="41"/>
      <c r="P96" s="41"/>
      <c r="Q96" s="41"/>
      <c r="R96" s="41"/>
      <c r="S96" s="41"/>
    </row>
    <row r="97" spans="2:19">
      <c r="B97" s="972"/>
      <c r="C97" s="968"/>
      <c r="D97" s="967"/>
      <c r="E97" s="984"/>
      <c r="F97" s="970"/>
      <c r="G97" s="39" t="s">
        <v>145</v>
      </c>
      <c r="H97" s="41"/>
      <c r="I97" s="41"/>
      <c r="J97" s="41"/>
      <c r="K97" s="41"/>
      <c r="L97" s="41"/>
      <c r="M97" s="41"/>
      <c r="N97" s="42" t="s">
        <v>139</v>
      </c>
      <c r="O97" s="42" t="s">
        <v>139</v>
      </c>
      <c r="P97" s="42" t="s">
        <v>139</v>
      </c>
      <c r="Q97" s="42" t="s">
        <v>139</v>
      </c>
      <c r="R97" s="41"/>
      <c r="S97" s="41"/>
    </row>
    <row r="98" spans="2:19">
      <c r="B98" s="972"/>
      <c r="C98" s="968"/>
      <c r="D98" s="967"/>
      <c r="E98" s="985"/>
      <c r="F98" s="970"/>
      <c r="G98" s="39" t="s">
        <v>146</v>
      </c>
      <c r="H98" s="41"/>
      <c r="I98" s="41"/>
      <c r="J98" s="41"/>
      <c r="K98" s="41"/>
      <c r="L98" s="41"/>
      <c r="M98" s="41"/>
      <c r="N98" s="41"/>
      <c r="O98" s="41"/>
      <c r="P98" s="41"/>
      <c r="Q98" s="41"/>
      <c r="R98" s="42" t="s">
        <v>139</v>
      </c>
      <c r="S98" s="42" t="s">
        <v>139</v>
      </c>
    </row>
    <row r="99" spans="2:19">
      <c r="B99" s="972"/>
      <c r="C99" s="968"/>
      <c r="D99" s="967" t="s">
        <v>165</v>
      </c>
      <c r="E99" s="986">
        <v>0</v>
      </c>
      <c r="F99" s="970" t="s">
        <v>9</v>
      </c>
      <c r="G99" s="39"/>
      <c r="H99" s="41"/>
      <c r="I99" s="41"/>
      <c r="J99" s="41"/>
      <c r="K99" s="41"/>
      <c r="L99" s="41"/>
      <c r="M99" s="41"/>
      <c r="N99" s="41"/>
      <c r="O99" s="41"/>
      <c r="P99" s="41"/>
      <c r="Q99" s="41"/>
      <c r="R99" s="41"/>
      <c r="S99" s="41"/>
    </row>
    <row r="100" spans="2:19">
      <c r="B100" s="972"/>
      <c r="C100" s="968"/>
      <c r="D100" s="967"/>
      <c r="E100" s="986"/>
      <c r="F100" s="970"/>
      <c r="G100" s="39" t="s">
        <v>140</v>
      </c>
      <c r="H100" s="41"/>
      <c r="I100" s="42" t="s">
        <v>139</v>
      </c>
      <c r="J100" s="42" t="s">
        <v>139</v>
      </c>
      <c r="K100" s="42" t="s">
        <v>139</v>
      </c>
      <c r="L100" s="41"/>
      <c r="M100" s="41"/>
      <c r="N100" s="41"/>
      <c r="O100" s="41"/>
      <c r="P100" s="41"/>
      <c r="Q100" s="41"/>
      <c r="R100" s="41"/>
      <c r="S100" s="41"/>
    </row>
    <row r="101" spans="2:19">
      <c r="B101" s="972"/>
      <c r="C101" s="968"/>
      <c r="D101" s="967"/>
      <c r="E101" s="986"/>
      <c r="F101" s="970"/>
      <c r="G101" s="39" t="s">
        <v>141</v>
      </c>
      <c r="H101" s="41"/>
      <c r="I101" s="41"/>
      <c r="J101" s="42" t="s">
        <v>139</v>
      </c>
      <c r="K101" s="42" t="s">
        <v>139</v>
      </c>
      <c r="L101" s="41"/>
      <c r="M101" s="41"/>
      <c r="N101" s="41"/>
      <c r="O101" s="41"/>
      <c r="P101" s="41"/>
      <c r="Q101" s="41"/>
      <c r="R101" s="41"/>
      <c r="S101" s="41"/>
    </row>
    <row r="102" spans="2:19">
      <c r="B102" s="972"/>
      <c r="C102" s="968"/>
      <c r="D102" s="967"/>
      <c r="E102" s="986"/>
      <c r="F102" s="970"/>
      <c r="G102" s="39" t="s">
        <v>142</v>
      </c>
      <c r="H102" s="41"/>
      <c r="I102" s="41"/>
      <c r="J102" s="41"/>
      <c r="K102" s="42" t="s">
        <v>139</v>
      </c>
      <c r="L102" s="42" t="s">
        <v>139</v>
      </c>
      <c r="M102" s="42" t="s">
        <v>139</v>
      </c>
      <c r="N102" s="42" t="s">
        <v>139</v>
      </c>
      <c r="O102" s="42" t="s">
        <v>139</v>
      </c>
      <c r="P102" s="41"/>
      <c r="Q102" s="41"/>
      <c r="R102" s="41"/>
      <c r="S102" s="41"/>
    </row>
    <row r="103" spans="2:19">
      <c r="B103" s="972"/>
      <c r="C103" s="968"/>
      <c r="D103" s="967"/>
      <c r="E103" s="986"/>
      <c r="F103" s="970"/>
      <c r="G103" s="39" t="s">
        <v>143</v>
      </c>
      <c r="H103" s="41"/>
      <c r="I103" s="41"/>
      <c r="J103" s="41"/>
      <c r="K103" s="41"/>
      <c r="L103" s="41"/>
      <c r="M103" s="42" t="s">
        <v>139</v>
      </c>
      <c r="N103" s="42" t="s">
        <v>139</v>
      </c>
      <c r="O103" s="42" t="s">
        <v>139</v>
      </c>
      <c r="P103" s="42" t="s">
        <v>139</v>
      </c>
      <c r="Q103" s="41"/>
      <c r="R103" s="41"/>
      <c r="S103" s="41"/>
    </row>
    <row r="104" spans="2:19">
      <c r="B104" s="972"/>
      <c r="C104" s="968"/>
      <c r="D104" s="967"/>
      <c r="E104" s="986"/>
      <c r="F104" s="970"/>
      <c r="G104" s="39" t="s">
        <v>144</v>
      </c>
      <c r="H104" s="41"/>
      <c r="I104" s="41"/>
      <c r="J104" s="41"/>
      <c r="K104" s="41"/>
      <c r="L104" s="41"/>
      <c r="M104" s="41"/>
      <c r="N104" s="41"/>
      <c r="O104" s="41"/>
      <c r="P104" s="42" t="s">
        <v>139</v>
      </c>
      <c r="Q104" s="41"/>
      <c r="R104" s="41"/>
      <c r="S104" s="41"/>
    </row>
    <row r="105" spans="2:19">
      <c r="B105" s="972"/>
      <c r="C105" s="968"/>
      <c r="D105" s="967"/>
      <c r="E105" s="986"/>
      <c r="F105" s="970"/>
      <c r="G105" s="39" t="s">
        <v>145</v>
      </c>
      <c r="H105" s="41"/>
      <c r="I105" s="41"/>
      <c r="J105" s="41"/>
      <c r="K105" s="41"/>
      <c r="L105" s="41"/>
      <c r="M105" s="41"/>
      <c r="N105" s="41"/>
      <c r="O105" s="41"/>
      <c r="P105" s="42" t="s">
        <v>139</v>
      </c>
      <c r="Q105" s="42" t="s">
        <v>139</v>
      </c>
      <c r="R105" s="42" t="s">
        <v>139</v>
      </c>
      <c r="S105" s="42" t="s">
        <v>139</v>
      </c>
    </row>
    <row r="106" spans="2:19">
      <c r="B106" s="972"/>
      <c r="C106" s="968"/>
      <c r="D106" s="967"/>
      <c r="E106" s="986"/>
      <c r="F106" s="970"/>
      <c r="G106" s="39" t="s">
        <v>146</v>
      </c>
      <c r="H106" s="41"/>
      <c r="I106" s="41"/>
      <c r="J106" s="41"/>
      <c r="K106" s="41"/>
      <c r="L106" s="41"/>
      <c r="M106" s="41"/>
      <c r="N106" s="41"/>
      <c r="O106" s="41"/>
      <c r="P106" s="41"/>
      <c r="Q106" s="41"/>
      <c r="R106" s="42" t="s">
        <v>139</v>
      </c>
      <c r="S106" s="42" t="s">
        <v>139</v>
      </c>
    </row>
    <row r="107" spans="2:19">
      <c r="B107" s="972"/>
      <c r="C107" s="968"/>
      <c r="D107" s="974" t="s">
        <v>166</v>
      </c>
      <c r="E107" s="983">
        <v>1515286012</v>
      </c>
      <c r="F107" s="980" t="s">
        <v>9</v>
      </c>
      <c r="G107" s="39" t="s">
        <v>157</v>
      </c>
      <c r="H107" s="42" t="s">
        <v>149</v>
      </c>
      <c r="I107" s="42" t="s">
        <v>149</v>
      </c>
      <c r="J107" s="42" t="s">
        <v>139</v>
      </c>
      <c r="K107" s="41"/>
      <c r="L107" s="41"/>
      <c r="M107" s="41"/>
      <c r="N107" s="41"/>
      <c r="O107" s="41"/>
      <c r="P107" s="41"/>
      <c r="Q107" s="41"/>
      <c r="R107" s="41"/>
      <c r="S107" s="41"/>
    </row>
    <row r="108" spans="2:19" ht="14.4" customHeight="1">
      <c r="B108" s="972"/>
      <c r="C108" s="968"/>
      <c r="D108" s="975"/>
      <c r="E108" s="984"/>
      <c r="F108" s="981"/>
      <c r="G108" s="39" t="s">
        <v>140</v>
      </c>
      <c r="H108" s="41"/>
      <c r="I108" s="42" t="s">
        <v>139</v>
      </c>
      <c r="J108" s="42" t="s">
        <v>139</v>
      </c>
      <c r="K108" s="41"/>
      <c r="L108" s="41"/>
      <c r="M108" s="41"/>
      <c r="N108" s="41"/>
      <c r="O108" s="41"/>
      <c r="P108" s="41"/>
      <c r="Q108" s="41"/>
      <c r="R108" s="41"/>
      <c r="S108" s="41"/>
    </row>
    <row r="109" spans="2:19">
      <c r="B109" s="972"/>
      <c r="C109" s="968"/>
      <c r="D109" s="975"/>
      <c r="E109" s="984"/>
      <c r="F109" s="981"/>
      <c r="G109" s="39" t="s">
        <v>141</v>
      </c>
      <c r="H109" s="41"/>
      <c r="I109" s="42" t="s">
        <v>139</v>
      </c>
      <c r="J109" s="42" t="s">
        <v>139</v>
      </c>
      <c r="K109" s="41"/>
      <c r="L109" s="41"/>
      <c r="M109" s="41"/>
      <c r="N109" s="41"/>
      <c r="O109" s="41"/>
      <c r="P109" s="41"/>
      <c r="Q109" s="41"/>
      <c r="R109" s="41"/>
      <c r="S109" s="41"/>
    </row>
    <row r="110" spans="2:19">
      <c r="B110" s="972"/>
      <c r="C110" s="968"/>
      <c r="D110" s="975"/>
      <c r="E110" s="984"/>
      <c r="F110" s="981"/>
      <c r="G110" s="39" t="s">
        <v>142</v>
      </c>
      <c r="H110" s="41"/>
      <c r="I110" s="41"/>
      <c r="J110" s="42" t="s">
        <v>139</v>
      </c>
      <c r="K110" s="42" t="s">
        <v>139</v>
      </c>
      <c r="L110" s="42" t="s">
        <v>139</v>
      </c>
      <c r="M110" s="42" t="s">
        <v>139</v>
      </c>
      <c r="N110" s="41"/>
      <c r="O110" s="41"/>
      <c r="P110" s="41"/>
      <c r="Q110" s="41"/>
      <c r="R110" s="41"/>
      <c r="S110" s="41"/>
    </row>
    <row r="111" spans="2:19">
      <c r="B111" s="972"/>
      <c r="C111" s="968"/>
      <c r="D111" s="975"/>
      <c r="E111" s="984"/>
      <c r="F111" s="981"/>
      <c r="G111" s="39" t="s">
        <v>143</v>
      </c>
      <c r="H111" s="41"/>
      <c r="I111" s="41"/>
      <c r="J111" s="41"/>
      <c r="K111" s="41"/>
      <c r="L111" s="42" t="s">
        <v>139</v>
      </c>
      <c r="M111" s="42" t="s">
        <v>139</v>
      </c>
      <c r="N111" s="42" t="s">
        <v>139</v>
      </c>
      <c r="O111" s="41"/>
      <c r="P111" s="41"/>
      <c r="Q111" s="41"/>
      <c r="R111" s="41"/>
      <c r="S111" s="41"/>
    </row>
    <row r="112" spans="2:19">
      <c r="B112" s="972"/>
      <c r="C112" s="968"/>
      <c r="D112" s="975"/>
      <c r="E112" s="984"/>
      <c r="F112" s="981"/>
      <c r="G112" s="39" t="s">
        <v>144</v>
      </c>
      <c r="H112" s="41"/>
      <c r="I112" s="41"/>
      <c r="J112" s="41"/>
      <c r="K112" s="41"/>
      <c r="L112" s="41"/>
      <c r="M112" s="41"/>
      <c r="N112" s="42" t="s">
        <v>139</v>
      </c>
      <c r="O112" s="41"/>
      <c r="P112" s="41"/>
      <c r="Q112" s="41"/>
      <c r="R112" s="41"/>
      <c r="S112" s="41"/>
    </row>
    <row r="113" spans="2:19">
      <c r="B113" s="972"/>
      <c r="C113" s="968"/>
      <c r="D113" s="975"/>
      <c r="E113" s="984"/>
      <c r="F113" s="981"/>
      <c r="G113" s="39" t="s">
        <v>145</v>
      </c>
      <c r="H113" s="41"/>
      <c r="I113" s="41"/>
      <c r="J113" s="41"/>
      <c r="K113" s="41"/>
      <c r="L113" s="41"/>
      <c r="M113" s="41"/>
      <c r="N113" s="42" t="s">
        <v>139</v>
      </c>
      <c r="O113" s="42" t="s">
        <v>139</v>
      </c>
      <c r="P113" s="41"/>
      <c r="Q113" s="41"/>
      <c r="R113" s="41"/>
      <c r="S113" s="41"/>
    </row>
    <row r="114" spans="2:19">
      <c r="B114" s="972"/>
      <c r="C114" s="968"/>
      <c r="D114" s="976"/>
      <c r="E114" s="984"/>
      <c r="F114" s="982"/>
      <c r="G114" s="39" t="s">
        <v>146</v>
      </c>
      <c r="H114" s="41"/>
      <c r="I114" s="41"/>
      <c r="J114" s="41"/>
      <c r="K114" s="41"/>
      <c r="L114" s="41"/>
      <c r="M114" s="41"/>
      <c r="N114" s="41"/>
      <c r="O114" s="41"/>
      <c r="P114" s="42" t="s">
        <v>139</v>
      </c>
      <c r="Q114" s="41"/>
      <c r="R114" s="41"/>
      <c r="S114" s="41"/>
    </row>
    <row r="115" spans="2:19">
      <c r="B115" s="972"/>
      <c r="C115" s="968"/>
      <c r="D115" s="967" t="s">
        <v>167</v>
      </c>
      <c r="E115" s="984"/>
      <c r="F115" s="970" t="s">
        <v>9</v>
      </c>
      <c r="G115" s="39" t="s">
        <v>140</v>
      </c>
      <c r="H115" s="41"/>
      <c r="I115" s="42" t="s">
        <v>139</v>
      </c>
      <c r="J115" s="42" t="s">
        <v>139</v>
      </c>
      <c r="K115" s="41"/>
      <c r="L115" s="41"/>
      <c r="M115" s="41"/>
      <c r="N115" s="41"/>
      <c r="O115" s="41"/>
      <c r="P115" s="41"/>
      <c r="Q115" s="41"/>
      <c r="R115" s="41"/>
      <c r="S115" s="41"/>
    </row>
    <row r="116" spans="2:19">
      <c r="B116" s="972"/>
      <c r="C116" s="968"/>
      <c r="D116" s="967"/>
      <c r="E116" s="984"/>
      <c r="F116" s="970"/>
      <c r="G116" s="39" t="s">
        <v>141</v>
      </c>
      <c r="H116" s="41"/>
      <c r="I116" s="42" t="s">
        <v>139</v>
      </c>
      <c r="J116" s="42" t="s">
        <v>139</v>
      </c>
      <c r="K116" s="41"/>
      <c r="L116" s="41"/>
      <c r="M116" s="41"/>
      <c r="N116" s="41"/>
      <c r="O116" s="41"/>
      <c r="P116" s="41"/>
      <c r="Q116" s="41"/>
      <c r="R116" s="41"/>
      <c r="S116" s="41"/>
    </row>
    <row r="117" spans="2:19">
      <c r="B117" s="972"/>
      <c r="C117" s="968"/>
      <c r="D117" s="967"/>
      <c r="E117" s="984"/>
      <c r="F117" s="970"/>
      <c r="G117" s="39" t="s">
        <v>142</v>
      </c>
      <c r="H117" s="41"/>
      <c r="I117" s="41"/>
      <c r="J117" s="42" t="s">
        <v>139</v>
      </c>
      <c r="K117" s="42" t="s">
        <v>139</v>
      </c>
      <c r="L117" s="42" t="s">
        <v>139</v>
      </c>
      <c r="M117" s="42" t="s">
        <v>139</v>
      </c>
      <c r="N117" s="41"/>
      <c r="O117" s="41"/>
      <c r="P117" s="41"/>
      <c r="Q117" s="41"/>
      <c r="R117" s="41"/>
      <c r="S117" s="41"/>
    </row>
    <row r="118" spans="2:19">
      <c r="B118" s="972"/>
      <c r="C118" s="968"/>
      <c r="D118" s="967"/>
      <c r="E118" s="984"/>
      <c r="F118" s="970"/>
      <c r="G118" s="39" t="s">
        <v>143</v>
      </c>
      <c r="H118" s="41"/>
      <c r="I118" s="41"/>
      <c r="J118" s="41"/>
      <c r="K118" s="41"/>
      <c r="L118" s="42" t="s">
        <v>139</v>
      </c>
      <c r="M118" s="42" t="s">
        <v>139</v>
      </c>
      <c r="N118" s="42" t="s">
        <v>139</v>
      </c>
      <c r="O118" s="41"/>
      <c r="P118" s="41"/>
      <c r="Q118" s="41"/>
      <c r="R118" s="41"/>
      <c r="S118" s="41"/>
    </row>
    <row r="119" spans="2:19">
      <c r="B119" s="972"/>
      <c r="C119" s="968"/>
      <c r="D119" s="967"/>
      <c r="E119" s="984"/>
      <c r="F119" s="970"/>
      <c r="G119" s="39" t="s">
        <v>144</v>
      </c>
      <c r="H119" s="41"/>
      <c r="I119" s="41"/>
      <c r="J119" s="41"/>
      <c r="K119" s="41"/>
      <c r="L119" s="41"/>
      <c r="M119" s="41"/>
      <c r="N119" s="42" t="s">
        <v>139</v>
      </c>
      <c r="O119" s="41"/>
      <c r="P119" s="41"/>
      <c r="Q119" s="41"/>
      <c r="R119" s="41"/>
      <c r="S119" s="41"/>
    </row>
    <row r="120" spans="2:19">
      <c r="B120" s="972"/>
      <c r="C120" s="968"/>
      <c r="D120" s="967"/>
      <c r="E120" s="984"/>
      <c r="F120" s="970"/>
      <c r="G120" s="39" t="s">
        <v>145</v>
      </c>
      <c r="H120" s="41"/>
      <c r="I120" s="41"/>
      <c r="J120" s="41"/>
      <c r="K120" s="41"/>
      <c r="L120" s="41"/>
      <c r="M120" s="41"/>
      <c r="N120" s="42" t="s">
        <v>139</v>
      </c>
      <c r="O120" s="42" t="s">
        <v>139</v>
      </c>
      <c r="P120" s="41"/>
      <c r="Q120" s="41"/>
      <c r="R120" s="41"/>
      <c r="S120" s="41"/>
    </row>
    <row r="121" spans="2:19">
      <c r="B121" s="972"/>
      <c r="C121" s="968"/>
      <c r="D121" s="967"/>
      <c r="E121" s="984"/>
      <c r="F121" s="970"/>
      <c r="G121" s="39" t="s">
        <v>146</v>
      </c>
      <c r="H121" s="41"/>
      <c r="I121" s="41"/>
      <c r="J121" s="41"/>
      <c r="K121" s="41"/>
      <c r="L121" s="41"/>
      <c r="M121" s="41"/>
      <c r="N121" s="41"/>
      <c r="O121" s="41"/>
      <c r="P121" s="42" t="s">
        <v>139</v>
      </c>
      <c r="Q121" s="41"/>
      <c r="R121" s="41"/>
      <c r="S121" s="41"/>
    </row>
    <row r="122" spans="2:19">
      <c r="B122" s="972"/>
      <c r="C122" s="968"/>
      <c r="D122" s="967" t="s">
        <v>168</v>
      </c>
      <c r="E122" s="984"/>
      <c r="F122" s="970" t="s">
        <v>9</v>
      </c>
      <c r="G122" s="39" t="s">
        <v>140</v>
      </c>
      <c r="H122" s="41"/>
      <c r="I122" s="42" t="s">
        <v>139</v>
      </c>
      <c r="J122" s="42" t="s">
        <v>139</v>
      </c>
      <c r="K122" s="41"/>
      <c r="L122" s="41"/>
      <c r="M122" s="41"/>
      <c r="N122" s="41"/>
      <c r="O122" s="41"/>
      <c r="P122" s="41"/>
      <c r="Q122" s="41"/>
      <c r="R122" s="41"/>
      <c r="S122" s="41"/>
    </row>
    <row r="123" spans="2:19">
      <c r="B123" s="972"/>
      <c r="C123" s="968"/>
      <c r="D123" s="967"/>
      <c r="E123" s="984"/>
      <c r="F123" s="970"/>
      <c r="G123" s="39" t="s">
        <v>141</v>
      </c>
      <c r="H123" s="41"/>
      <c r="I123" s="42" t="s">
        <v>139</v>
      </c>
      <c r="J123" s="42" t="s">
        <v>139</v>
      </c>
      <c r="K123" s="42" t="s">
        <v>139</v>
      </c>
      <c r="L123" s="41"/>
      <c r="M123" s="41"/>
      <c r="N123" s="41"/>
      <c r="O123" s="41"/>
      <c r="P123" s="41"/>
      <c r="Q123" s="41"/>
      <c r="R123" s="41"/>
      <c r="S123" s="41"/>
    </row>
    <row r="124" spans="2:19">
      <c r="B124" s="972"/>
      <c r="C124" s="968"/>
      <c r="D124" s="967"/>
      <c r="E124" s="984"/>
      <c r="F124" s="970"/>
      <c r="G124" s="39" t="s">
        <v>142</v>
      </c>
      <c r="H124" s="41"/>
      <c r="I124" s="41"/>
      <c r="J124" s="41"/>
      <c r="K124" s="41"/>
      <c r="L124" s="42" t="s">
        <v>139</v>
      </c>
      <c r="M124" s="42" t="s">
        <v>139</v>
      </c>
      <c r="N124" s="42" t="s">
        <v>139</v>
      </c>
      <c r="O124" s="42" t="s">
        <v>139</v>
      </c>
      <c r="P124" s="42" t="s">
        <v>139</v>
      </c>
      <c r="Q124" s="41"/>
      <c r="R124" s="41"/>
      <c r="S124" s="41"/>
    </row>
    <row r="125" spans="2:19">
      <c r="B125" s="972"/>
      <c r="C125" s="968"/>
      <c r="D125" s="967"/>
      <c r="E125" s="984"/>
      <c r="F125" s="970"/>
      <c r="G125" s="39" t="s">
        <v>143</v>
      </c>
      <c r="H125" s="41"/>
      <c r="I125" s="41"/>
      <c r="J125" s="41"/>
      <c r="K125" s="41"/>
      <c r="L125" s="41"/>
      <c r="M125" s="41"/>
      <c r="N125" s="41"/>
      <c r="O125" s="41"/>
      <c r="P125" s="42" t="s">
        <v>139</v>
      </c>
      <c r="Q125" s="42" t="s">
        <v>139</v>
      </c>
      <c r="R125" s="41"/>
      <c r="S125" s="41"/>
    </row>
    <row r="126" spans="2:19">
      <c r="B126" s="972"/>
      <c r="C126" s="968"/>
      <c r="D126" s="967"/>
      <c r="E126" s="984"/>
      <c r="F126" s="970"/>
      <c r="G126" s="39" t="s">
        <v>144</v>
      </c>
      <c r="H126" s="41"/>
      <c r="I126" s="41"/>
      <c r="J126" s="41"/>
      <c r="K126" s="41"/>
      <c r="L126" s="41"/>
      <c r="M126" s="41"/>
      <c r="N126" s="41"/>
      <c r="O126" s="41"/>
      <c r="P126" s="41"/>
      <c r="Q126" s="41"/>
      <c r="R126" s="42" t="s">
        <v>139</v>
      </c>
      <c r="S126" s="41"/>
    </row>
    <row r="127" spans="2:19">
      <c r="B127" s="972"/>
      <c r="C127" s="968"/>
      <c r="D127" s="967"/>
      <c r="E127" s="984"/>
      <c r="F127" s="970"/>
      <c r="G127" s="39" t="s">
        <v>145</v>
      </c>
      <c r="H127" s="41"/>
      <c r="I127" s="41"/>
      <c r="J127" s="41"/>
      <c r="K127" s="41"/>
      <c r="L127" s="41"/>
      <c r="M127" s="41"/>
      <c r="N127" s="41"/>
      <c r="O127" s="41"/>
      <c r="P127" s="41"/>
      <c r="Q127" s="41"/>
      <c r="R127" s="42" t="s">
        <v>139</v>
      </c>
      <c r="S127" s="42" t="s">
        <v>139</v>
      </c>
    </row>
    <row r="128" spans="2:19">
      <c r="B128" s="972"/>
      <c r="C128" s="968"/>
      <c r="D128" s="967"/>
      <c r="E128" s="984"/>
      <c r="F128" s="970"/>
      <c r="G128" s="39" t="s">
        <v>146</v>
      </c>
      <c r="H128" s="41"/>
      <c r="I128" s="41"/>
      <c r="J128" s="41"/>
      <c r="K128" s="41"/>
      <c r="L128" s="41"/>
      <c r="M128" s="41"/>
      <c r="N128" s="41"/>
      <c r="O128" s="41"/>
      <c r="P128" s="41"/>
      <c r="Q128" s="41"/>
      <c r="R128" s="42" t="s">
        <v>139</v>
      </c>
      <c r="S128" s="42" t="s">
        <v>139</v>
      </c>
    </row>
    <row r="129" spans="2:19">
      <c r="B129" s="972"/>
      <c r="C129" s="968"/>
      <c r="D129" s="967" t="s">
        <v>169</v>
      </c>
      <c r="E129" s="984"/>
      <c r="F129" s="970" t="s">
        <v>9</v>
      </c>
      <c r="G129" s="39" t="s">
        <v>140</v>
      </c>
      <c r="H129" s="41"/>
      <c r="I129" s="42" t="s">
        <v>149</v>
      </c>
      <c r="J129" s="42" t="s">
        <v>149</v>
      </c>
      <c r="K129" s="42" t="s">
        <v>149</v>
      </c>
      <c r="L129" s="42" t="s">
        <v>149</v>
      </c>
      <c r="M129" s="41"/>
      <c r="N129" s="41"/>
      <c r="O129" s="41"/>
      <c r="P129" s="41"/>
      <c r="Q129" s="41"/>
      <c r="R129" s="41"/>
      <c r="S129" s="41"/>
    </row>
    <row r="130" spans="2:19">
      <c r="B130" s="972"/>
      <c r="C130" s="968"/>
      <c r="D130" s="967"/>
      <c r="E130" s="984"/>
      <c r="F130" s="970"/>
      <c r="G130" s="39" t="s">
        <v>141</v>
      </c>
      <c r="H130" s="41"/>
      <c r="I130" s="41"/>
      <c r="J130" s="42" t="s">
        <v>149</v>
      </c>
      <c r="K130" s="42" t="s">
        <v>149</v>
      </c>
      <c r="L130" s="42" t="s">
        <v>149</v>
      </c>
      <c r="M130" s="41"/>
      <c r="N130" s="41"/>
      <c r="O130" s="41"/>
      <c r="P130" s="41"/>
      <c r="Q130" s="41"/>
      <c r="R130" s="41"/>
      <c r="S130" s="41"/>
    </row>
    <row r="131" spans="2:19">
      <c r="B131" s="972"/>
      <c r="C131" s="968"/>
      <c r="D131" s="967"/>
      <c r="E131" s="984"/>
      <c r="F131" s="970"/>
      <c r="G131" s="39" t="s">
        <v>142</v>
      </c>
      <c r="H131" s="41"/>
      <c r="I131" s="41"/>
      <c r="J131" s="41"/>
      <c r="K131" s="41"/>
      <c r="L131" s="41"/>
      <c r="M131" s="42" t="s">
        <v>149</v>
      </c>
      <c r="N131" s="42" t="s">
        <v>149</v>
      </c>
      <c r="O131" s="42" t="s">
        <v>149</v>
      </c>
      <c r="P131" s="42" t="s">
        <v>149</v>
      </c>
      <c r="Q131" s="41"/>
      <c r="R131" s="41"/>
      <c r="S131" s="41"/>
    </row>
    <row r="132" spans="2:19">
      <c r="B132" s="972"/>
      <c r="C132" s="968"/>
      <c r="D132" s="967"/>
      <c r="E132" s="984"/>
      <c r="F132" s="970"/>
      <c r="G132" s="39" t="s">
        <v>143</v>
      </c>
      <c r="H132" s="41"/>
      <c r="I132" s="41"/>
      <c r="J132" s="41"/>
      <c r="K132" s="41"/>
      <c r="L132" s="41"/>
      <c r="M132" s="41"/>
      <c r="N132" s="41"/>
      <c r="O132" s="41"/>
      <c r="P132" s="42" t="s">
        <v>149</v>
      </c>
      <c r="Q132" s="42" t="s">
        <v>149</v>
      </c>
      <c r="R132" s="42" t="s">
        <v>149</v>
      </c>
      <c r="S132" s="42" t="s">
        <v>149</v>
      </c>
    </row>
    <row r="133" spans="2:19">
      <c r="B133" s="972"/>
      <c r="C133" s="968"/>
      <c r="D133" s="967"/>
      <c r="E133" s="984"/>
      <c r="F133" s="970"/>
      <c r="G133" s="39" t="s">
        <v>144</v>
      </c>
      <c r="H133" s="41"/>
      <c r="I133" s="41"/>
      <c r="J133" s="41"/>
      <c r="K133" s="41"/>
      <c r="L133" s="41"/>
      <c r="M133" s="41"/>
      <c r="N133" s="41"/>
      <c r="O133" s="41"/>
      <c r="P133" s="41"/>
      <c r="Q133" s="42" t="s">
        <v>149</v>
      </c>
      <c r="R133" s="42" t="s">
        <v>149</v>
      </c>
      <c r="S133" s="42" t="s">
        <v>149</v>
      </c>
    </row>
    <row r="134" spans="2:19">
      <c r="B134" s="972"/>
      <c r="C134" s="968"/>
      <c r="D134" s="967"/>
      <c r="E134" s="984"/>
      <c r="F134" s="970"/>
      <c r="G134" s="39" t="s">
        <v>145</v>
      </c>
      <c r="H134" s="41"/>
      <c r="I134" s="41"/>
      <c r="J134" s="41"/>
      <c r="K134" s="41"/>
      <c r="L134" s="41"/>
      <c r="M134" s="41"/>
      <c r="N134" s="41"/>
      <c r="O134" s="41"/>
      <c r="P134" s="41"/>
      <c r="Q134" s="42" t="s">
        <v>149</v>
      </c>
      <c r="R134" s="42" t="s">
        <v>149</v>
      </c>
      <c r="S134" s="42" t="s">
        <v>149</v>
      </c>
    </row>
    <row r="135" spans="2:19">
      <c r="B135" s="972"/>
      <c r="C135" s="968"/>
      <c r="D135" s="967"/>
      <c r="E135" s="984"/>
      <c r="F135" s="970"/>
      <c r="G135" s="39" t="s">
        <v>146</v>
      </c>
      <c r="H135" s="41"/>
      <c r="I135" s="41"/>
      <c r="J135" s="41"/>
      <c r="K135" s="41"/>
      <c r="L135" s="41"/>
      <c r="M135" s="41"/>
      <c r="N135" s="41"/>
      <c r="O135" s="41"/>
      <c r="P135" s="41"/>
      <c r="Q135" s="42" t="s">
        <v>149</v>
      </c>
      <c r="R135" s="42" t="s">
        <v>149</v>
      </c>
      <c r="S135" s="42" t="s">
        <v>149</v>
      </c>
    </row>
    <row r="136" spans="2:19">
      <c r="B136" s="972"/>
      <c r="C136" s="968"/>
      <c r="D136" s="967" t="s">
        <v>170</v>
      </c>
      <c r="E136" s="984"/>
      <c r="F136" s="970" t="s">
        <v>9</v>
      </c>
      <c r="G136" s="39" t="s">
        <v>160</v>
      </c>
      <c r="H136" s="41"/>
      <c r="I136" s="42" t="s">
        <v>139</v>
      </c>
      <c r="J136" s="42" t="s">
        <v>139</v>
      </c>
      <c r="K136" s="41"/>
      <c r="L136" s="41"/>
      <c r="M136" s="41"/>
      <c r="N136" s="41"/>
      <c r="O136" s="41"/>
      <c r="P136" s="41"/>
      <c r="Q136" s="41"/>
      <c r="R136" s="41"/>
      <c r="S136" s="41"/>
    </row>
    <row r="137" spans="2:19">
      <c r="B137" s="972"/>
      <c r="C137" s="968"/>
      <c r="D137" s="967"/>
      <c r="E137" s="984"/>
      <c r="F137" s="970"/>
      <c r="G137" s="39" t="s">
        <v>141</v>
      </c>
      <c r="H137" s="41"/>
      <c r="I137" s="42" t="s">
        <v>139</v>
      </c>
      <c r="J137" s="42" t="s">
        <v>139</v>
      </c>
      <c r="K137" s="42" t="s">
        <v>139</v>
      </c>
      <c r="L137" s="41"/>
      <c r="M137" s="41"/>
      <c r="N137" s="41"/>
      <c r="O137" s="41"/>
      <c r="P137" s="41"/>
      <c r="Q137" s="41"/>
      <c r="R137" s="41"/>
      <c r="S137" s="41"/>
    </row>
    <row r="138" spans="2:19">
      <c r="B138" s="972"/>
      <c r="C138" s="968"/>
      <c r="D138" s="967"/>
      <c r="E138" s="984"/>
      <c r="F138" s="970"/>
      <c r="G138" s="39" t="s">
        <v>142</v>
      </c>
      <c r="H138" s="41"/>
      <c r="I138" s="41"/>
      <c r="J138" s="41"/>
      <c r="K138" s="41"/>
      <c r="L138" s="42" t="s">
        <v>139</v>
      </c>
      <c r="M138" s="42" t="s">
        <v>139</v>
      </c>
      <c r="N138" s="42" t="s">
        <v>139</v>
      </c>
      <c r="O138" s="42" t="s">
        <v>139</v>
      </c>
      <c r="P138" s="42" t="s">
        <v>139</v>
      </c>
      <c r="Q138" s="41"/>
      <c r="R138" s="41"/>
      <c r="S138" s="41"/>
    </row>
    <row r="139" spans="2:19">
      <c r="B139" s="972"/>
      <c r="C139" s="968"/>
      <c r="D139" s="967"/>
      <c r="E139" s="984"/>
      <c r="F139" s="970"/>
      <c r="G139" s="39" t="s">
        <v>143</v>
      </c>
      <c r="H139" s="41"/>
      <c r="I139" s="41"/>
      <c r="J139" s="41"/>
      <c r="K139" s="41"/>
      <c r="L139" s="41"/>
      <c r="M139" s="41"/>
      <c r="N139" s="41"/>
      <c r="O139" s="41"/>
      <c r="P139" s="42" t="s">
        <v>139</v>
      </c>
      <c r="Q139" s="42" t="s">
        <v>139</v>
      </c>
      <c r="R139" s="41"/>
      <c r="S139" s="41"/>
    </row>
    <row r="140" spans="2:19">
      <c r="B140" s="972"/>
      <c r="C140" s="968"/>
      <c r="D140" s="967"/>
      <c r="E140" s="984"/>
      <c r="F140" s="970"/>
      <c r="G140" s="39" t="s">
        <v>144</v>
      </c>
      <c r="H140" s="41"/>
      <c r="I140" s="41"/>
      <c r="J140" s="41"/>
      <c r="K140" s="41"/>
      <c r="L140" s="41"/>
      <c r="M140" s="41"/>
      <c r="N140" s="41"/>
      <c r="O140" s="41"/>
      <c r="P140" s="41"/>
      <c r="Q140" s="41"/>
      <c r="R140" s="42" t="s">
        <v>139</v>
      </c>
      <c r="S140" s="41"/>
    </row>
    <row r="141" spans="2:19">
      <c r="B141" s="972"/>
      <c r="C141" s="968"/>
      <c r="D141" s="967"/>
      <c r="E141" s="984"/>
      <c r="F141" s="970"/>
      <c r="G141" s="39" t="s">
        <v>145</v>
      </c>
      <c r="H141" s="41"/>
      <c r="I141" s="41"/>
      <c r="J141" s="41"/>
      <c r="K141" s="41"/>
      <c r="L141" s="41"/>
      <c r="M141" s="41"/>
      <c r="N141" s="41"/>
      <c r="O141" s="41"/>
      <c r="P141" s="41"/>
      <c r="Q141" s="41"/>
      <c r="R141" s="42" t="s">
        <v>139</v>
      </c>
      <c r="S141" s="41"/>
    </row>
    <row r="142" spans="2:19">
      <c r="B142" s="972"/>
      <c r="C142" s="968"/>
      <c r="D142" s="967"/>
      <c r="E142" s="984"/>
      <c r="F142" s="970"/>
      <c r="G142" s="39" t="s">
        <v>146</v>
      </c>
      <c r="H142" s="41"/>
      <c r="I142" s="41"/>
      <c r="J142" s="41"/>
      <c r="K142" s="41"/>
      <c r="L142" s="41"/>
      <c r="M142" s="41"/>
      <c r="N142" s="41"/>
      <c r="O142" s="41"/>
      <c r="P142" s="41"/>
      <c r="Q142" s="41"/>
      <c r="R142" s="41"/>
      <c r="S142" s="42" t="s">
        <v>139</v>
      </c>
    </row>
    <row r="143" spans="2:19">
      <c r="B143" s="972"/>
      <c r="C143" s="968"/>
      <c r="D143" s="967" t="s">
        <v>171</v>
      </c>
      <c r="E143" s="984"/>
      <c r="F143" s="970" t="s">
        <v>9</v>
      </c>
      <c r="G143" s="39" t="s">
        <v>160</v>
      </c>
      <c r="H143" s="41"/>
      <c r="I143" s="42" t="s">
        <v>139</v>
      </c>
      <c r="J143" s="42" t="s">
        <v>139</v>
      </c>
      <c r="K143" s="42" t="s">
        <v>139</v>
      </c>
      <c r="L143" s="42" t="s">
        <v>139</v>
      </c>
      <c r="M143" s="41"/>
      <c r="N143" s="41"/>
      <c r="O143" s="41"/>
      <c r="P143" s="41"/>
      <c r="Q143" s="41"/>
      <c r="R143" s="41"/>
      <c r="S143" s="41"/>
    </row>
    <row r="144" spans="2:19">
      <c r="B144" s="972"/>
      <c r="C144" s="968"/>
      <c r="D144" s="967"/>
      <c r="E144" s="984"/>
      <c r="F144" s="970"/>
      <c r="G144" s="39" t="s">
        <v>141</v>
      </c>
      <c r="H144" s="41"/>
      <c r="I144" s="41"/>
      <c r="J144" s="42" t="s">
        <v>139</v>
      </c>
      <c r="K144" s="42" t="s">
        <v>139</v>
      </c>
      <c r="L144" s="42" t="s">
        <v>139</v>
      </c>
      <c r="M144" s="42" t="s">
        <v>139</v>
      </c>
      <c r="N144" s="42" t="s">
        <v>149</v>
      </c>
      <c r="O144" s="41"/>
      <c r="P144" s="41"/>
      <c r="Q144" s="41"/>
      <c r="R144" s="41"/>
      <c r="S144" s="41"/>
    </row>
    <row r="145" spans="2:19">
      <c r="B145" s="972"/>
      <c r="C145" s="968"/>
      <c r="D145" s="967"/>
      <c r="E145" s="984"/>
      <c r="F145" s="970"/>
      <c r="G145" s="39" t="s">
        <v>142</v>
      </c>
      <c r="H145" s="41"/>
      <c r="I145" s="41"/>
      <c r="J145" s="41"/>
      <c r="K145" s="41"/>
      <c r="L145" s="42" t="s">
        <v>139</v>
      </c>
      <c r="M145" s="42" t="s">
        <v>139</v>
      </c>
      <c r="N145" s="42" t="s">
        <v>139</v>
      </c>
      <c r="O145" s="42" t="s">
        <v>139</v>
      </c>
      <c r="P145" s="42" t="s">
        <v>139</v>
      </c>
      <c r="Q145" s="42" t="s">
        <v>139</v>
      </c>
      <c r="R145" s="42" t="s">
        <v>139</v>
      </c>
      <c r="S145" s="42" t="s">
        <v>139</v>
      </c>
    </row>
    <row r="146" spans="2:19">
      <c r="B146" s="972"/>
      <c r="C146" s="968"/>
      <c r="D146" s="967"/>
      <c r="E146" s="984"/>
      <c r="F146" s="970"/>
      <c r="G146" s="39" t="s">
        <v>143</v>
      </c>
      <c r="H146" s="41"/>
      <c r="I146" s="41"/>
      <c r="J146" s="41"/>
      <c r="K146" s="41"/>
      <c r="L146" s="41"/>
      <c r="M146" s="41"/>
      <c r="N146" s="41"/>
      <c r="O146" s="41"/>
      <c r="P146" s="41"/>
      <c r="Q146" s="41"/>
      <c r="R146" s="41"/>
      <c r="S146" s="42" t="s">
        <v>149</v>
      </c>
    </row>
    <row r="147" spans="2:19">
      <c r="B147" s="972"/>
      <c r="C147" s="968"/>
      <c r="D147" s="967"/>
      <c r="E147" s="984"/>
      <c r="F147" s="970"/>
      <c r="G147" s="39" t="s">
        <v>144</v>
      </c>
      <c r="H147" s="41"/>
      <c r="I147" s="41"/>
      <c r="J147" s="41"/>
      <c r="K147" s="41"/>
      <c r="L147" s="41"/>
      <c r="M147" s="41"/>
      <c r="N147" s="41"/>
      <c r="O147" s="41"/>
      <c r="P147" s="41"/>
      <c r="Q147" s="41"/>
      <c r="R147" s="41"/>
      <c r="S147" s="42" t="s">
        <v>149</v>
      </c>
    </row>
    <row r="148" spans="2:19">
      <c r="B148" s="972"/>
      <c r="C148" s="968"/>
      <c r="D148" s="967"/>
      <c r="E148" s="984"/>
      <c r="F148" s="970"/>
      <c r="G148" s="39" t="s">
        <v>145</v>
      </c>
      <c r="H148" s="41"/>
      <c r="I148" s="41"/>
      <c r="J148" s="41"/>
      <c r="K148" s="41"/>
      <c r="L148" s="41"/>
      <c r="M148" s="41"/>
      <c r="N148" s="41"/>
      <c r="O148" s="41"/>
      <c r="P148" s="41"/>
      <c r="Q148" s="41"/>
      <c r="R148" s="41"/>
      <c r="S148" s="42" t="s">
        <v>149</v>
      </c>
    </row>
    <row r="149" spans="2:19">
      <c r="B149" s="972"/>
      <c r="C149" s="968"/>
      <c r="D149" s="967"/>
      <c r="E149" s="984"/>
      <c r="F149" s="970"/>
      <c r="G149" s="39" t="s">
        <v>146</v>
      </c>
      <c r="H149" s="41"/>
      <c r="I149" s="41"/>
      <c r="J149" s="41"/>
      <c r="K149" s="41"/>
      <c r="L149" s="41"/>
      <c r="M149" s="41"/>
      <c r="N149" s="41"/>
      <c r="O149" s="41"/>
      <c r="P149" s="41"/>
      <c r="Q149" s="41"/>
      <c r="R149" s="41"/>
      <c r="S149" s="42" t="s">
        <v>149</v>
      </c>
    </row>
    <row r="150" spans="2:19">
      <c r="B150" s="972"/>
      <c r="C150" s="968"/>
      <c r="D150" s="967" t="s">
        <v>172</v>
      </c>
      <c r="E150" s="984"/>
      <c r="F150" s="970" t="s">
        <v>9</v>
      </c>
      <c r="G150" s="39" t="s">
        <v>140</v>
      </c>
      <c r="H150" s="41"/>
      <c r="I150" s="42" t="s">
        <v>139</v>
      </c>
      <c r="J150" s="42" t="s">
        <v>139</v>
      </c>
      <c r="K150" s="41"/>
      <c r="L150" s="41"/>
      <c r="M150" s="41"/>
      <c r="N150" s="41"/>
      <c r="O150" s="41"/>
      <c r="P150" s="41"/>
      <c r="Q150" s="41"/>
      <c r="R150" s="41"/>
      <c r="S150" s="41"/>
    </row>
    <row r="151" spans="2:19">
      <c r="B151" s="972"/>
      <c r="C151" s="968"/>
      <c r="D151" s="967"/>
      <c r="E151" s="984"/>
      <c r="F151" s="970"/>
      <c r="G151" s="39" t="s">
        <v>141</v>
      </c>
      <c r="H151" s="41"/>
      <c r="I151" s="42" t="s">
        <v>139</v>
      </c>
      <c r="J151" s="42" t="s">
        <v>139</v>
      </c>
      <c r="K151" s="41"/>
      <c r="L151" s="41"/>
      <c r="M151" s="41"/>
      <c r="N151" s="41"/>
      <c r="O151" s="41"/>
      <c r="P151" s="41"/>
      <c r="Q151" s="41"/>
      <c r="R151" s="41"/>
      <c r="S151" s="41"/>
    </row>
    <row r="152" spans="2:19">
      <c r="B152" s="972"/>
      <c r="C152" s="968"/>
      <c r="D152" s="967"/>
      <c r="E152" s="984"/>
      <c r="F152" s="970"/>
      <c r="G152" s="39" t="s">
        <v>142</v>
      </c>
      <c r="H152" s="41"/>
      <c r="I152" s="41"/>
      <c r="J152" s="42" t="s">
        <v>139</v>
      </c>
      <c r="K152" s="42" t="s">
        <v>139</v>
      </c>
      <c r="L152" s="42" t="s">
        <v>139</v>
      </c>
      <c r="M152" s="42" t="s">
        <v>139</v>
      </c>
      <c r="N152" s="41"/>
      <c r="O152" s="41"/>
      <c r="P152" s="41"/>
      <c r="Q152" s="41"/>
      <c r="R152" s="41"/>
      <c r="S152" s="41"/>
    </row>
    <row r="153" spans="2:19">
      <c r="B153" s="972"/>
      <c r="C153" s="968"/>
      <c r="D153" s="967"/>
      <c r="E153" s="984"/>
      <c r="F153" s="970"/>
      <c r="G153" s="39" t="s">
        <v>143</v>
      </c>
      <c r="H153" s="41"/>
      <c r="I153" s="41"/>
      <c r="J153" s="41"/>
      <c r="K153" s="41"/>
      <c r="L153" s="42" t="s">
        <v>139</v>
      </c>
      <c r="M153" s="42" t="s">
        <v>139</v>
      </c>
      <c r="N153" s="42" t="s">
        <v>139</v>
      </c>
      <c r="O153" s="41"/>
      <c r="P153" s="41"/>
      <c r="Q153" s="41"/>
      <c r="R153" s="41"/>
      <c r="S153" s="41"/>
    </row>
    <row r="154" spans="2:19">
      <c r="B154" s="972"/>
      <c r="C154" s="968"/>
      <c r="D154" s="967"/>
      <c r="E154" s="984"/>
      <c r="F154" s="970"/>
      <c r="G154" s="39" t="s">
        <v>144</v>
      </c>
      <c r="H154" s="41"/>
      <c r="I154" s="41"/>
      <c r="J154" s="41"/>
      <c r="K154" s="41"/>
      <c r="L154" s="41"/>
      <c r="M154" s="41"/>
      <c r="N154" s="42" t="s">
        <v>139</v>
      </c>
      <c r="O154" s="41"/>
      <c r="P154" s="41"/>
      <c r="Q154" s="41"/>
      <c r="R154" s="41"/>
      <c r="S154" s="41"/>
    </row>
    <row r="155" spans="2:19">
      <c r="B155" s="972"/>
      <c r="C155" s="968"/>
      <c r="D155" s="967"/>
      <c r="E155" s="984"/>
      <c r="F155" s="970"/>
      <c r="G155" s="39" t="s">
        <v>145</v>
      </c>
      <c r="H155" s="41"/>
      <c r="I155" s="41"/>
      <c r="J155" s="41"/>
      <c r="K155" s="41"/>
      <c r="L155" s="41"/>
      <c r="M155" s="41"/>
      <c r="N155" s="42" t="s">
        <v>139</v>
      </c>
      <c r="O155" s="42" t="s">
        <v>139</v>
      </c>
      <c r="P155" s="41"/>
      <c r="Q155" s="41"/>
      <c r="R155" s="41"/>
      <c r="S155" s="41"/>
    </row>
    <row r="156" spans="2:19">
      <c r="B156" s="972"/>
      <c r="C156" s="968"/>
      <c r="D156" s="967"/>
      <c r="E156" s="984"/>
      <c r="F156" s="970"/>
      <c r="G156" s="39" t="s">
        <v>146</v>
      </c>
      <c r="H156" s="41"/>
      <c r="I156" s="41"/>
      <c r="J156" s="41"/>
      <c r="K156" s="41"/>
      <c r="L156" s="41"/>
      <c r="M156" s="41"/>
      <c r="N156" s="41"/>
      <c r="O156" s="41"/>
      <c r="P156" s="41"/>
      <c r="Q156" s="41"/>
      <c r="R156" s="41"/>
      <c r="S156" s="42" t="s">
        <v>149</v>
      </c>
    </row>
    <row r="157" spans="2:19">
      <c r="B157" s="972"/>
      <c r="C157" s="968"/>
      <c r="D157" s="967" t="s">
        <v>173</v>
      </c>
      <c r="E157" s="984"/>
      <c r="F157" s="970" t="s">
        <v>9</v>
      </c>
      <c r="G157" s="39" t="s">
        <v>140</v>
      </c>
      <c r="H157" s="41"/>
      <c r="I157" s="42" t="s">
        <v>139</v>
      </c>
      <c r="J157" s="42" t="s">
        <v>139</v>
      </c>
      <c r="K157" s="41"/>
      <c r="L157" s="41"/>
      <c r="M157" s="41"/>
      <c r="N157" s="41"/>
      <c r="O157" s="41"/>
      <c r="P157" s="41"/>
      <c r="Q157" s="41"/>
      <c r="R157" s="41"/>
      <c r="S157" s="41"/>
    </row>
    <row r="158" spans="2:19">
      <c r="B158" s="972"/>
      <c r="C158" s="968"/>
      <c r="D158" s="967"/>
      <c r="E158" s="984"/>
      <c r="F158" s="970"/>
      <c r="G158" s="39" t="s">
        <v>141</v>
      </c>
      <c r="H158" s="41"/>
      <c r="I158" s="41"/>
      <c r="J158" s="42" t="s">
        <v>139</v>
      </c>
      <c r="K158" s="42" t="s">
        <v>139</v>
      </c>
      <c r="L158" s="42" t="s">
        <v>139</v>
      </c>
      <c r="M158" s="42" t="s">
        <v>139</v>
      </c>
      <c r="N158" s="41"/>
      <c r="O158" s="41"/>
      <c r="P158" s="41"/>
      <c r="Q158" s="41"/>
      <c r="R158" s="41"/>
      <c r="S158" s="41"/>
    </row>
    <row r="159" spans="2:19">
      <c r="B159" s="972"/>
      <c r="C159" s="968"/>
      <c r="D159" s="967"/>
      <c r="E159" s="984"/>
      <c r="F159" s="970"/>
      <c r="G159" s="39" t="s">
        <v>142</v>
      </c>
      <c r="H159" s="41"/>
      <c r="I159" s="41"/>
      <c r="J159" s="41"/>
      <c r="K159" s="41"/>
      <c r="L159" s="42" t="s">
        <v>139</v>
      </c>
      <c r="M159" s="42" t="s">
        <v>139</v>
      </c>
      <c r="N159" s="42" t="s">
        <v>139</v>
      </c>
      <c r="O159" s="42" t="s">
        <v>139</v>
      </c>
      <c r="P159" s="42" t="s">
        <v>139</v>
      </c>
      <c r="Q159" s="41"/>
      <c r="R159" s="41"/>
      <c r="S159" s="41"/>
    </row>
    <row r="160" spans="2:19">
      <c r="B160" s="972"/>
      <c r="C160" s="968"/>
      <c r="D160" s="967"/>
      <c r="E160" s="984"/>
      <c r="F160" s="970"/>
      <c r="G160" s="39" t="s">
        <v>143</v>
      </c>
      <c r="H160" s="41"/>
      <c r="I160" s="41"/>
      <c r="J160" s="41"/>
      <c r="K160" s="41"/>
      <c r="L160" s="41"/>
      <c r="M160" s="41"/>
      <c r="N160" s="41"/>
      <c r="O160" s="41"/>
      <c r="P160" s="41"/>
      <c r="Q160" s="42" t="s">
        <v>139</v>
      </c>
      <c r="R160" s="42" t="s">
        <v>139</v>
      </c>
      <c r="S160" s="42" t="s">
        <v>139</v>
      </c>
    </row>
    <row r="161" spans="2:19">
      <c r="B161" s="972"/>
      <c r="C161" s="968"/>
      <c r="D161" s="967"/>
      <c r="E161" s="984"/>
      <c r="F161" s="970"/>
      <c r="G161" s="39" t="s">
        <v>144</v>
      </c>
      <c r="H161" s="41"/>
      <c r="I161" s="41"/>
      <c r="J161" s="41"/>
      <c r="K161" s="41"/>
      <c r="L161" s="41"/>
      <c r="M161" s="41"/>
      <c r="N161" s="41"/>
      <c r="O161" s="41"/>
      <c r="P161" s="41"/>
      <c r="Q161" s="42" t="s">
        <v>139</v>
      </c>
      <c r="R161" s="42" t="s">
        <v>139</v>
      </c>
      <c r="S161" s="42" t="s">
        <v>139</v>
      </c>
    </row>
    <row r="162" spans="2:19">
      <c r="B162" s="972"/>
      <c r="C162" s="968"/>
      <c r="D162" s="967"/>
      <c r="E162" s="984"/>
      <c r="F162" s="970"/>
      <c r="G162" s="39" t="s">
        <v>145</v>
      </c>
      <c r="H162" s="41"/>
      <c r="I162" s="41"/>
      <c r="J162" s="41"/>
      <c r="K162" s="41"/>
      <c r="L162" s="41"/>
      <c r="M162" s="41"/>
      <c r="N162" s="41"/>
      <c r="O162" s="41"/>
      <c r="P162" s="41"/>
      <c r="Q162" s="42" t="s">
        <v>139</v>
      </c>
      <c r="R162" s="42" t="s">
        <v>139</v>
      </c>
      <c r="S162" s="42" t="s">
        <v>139</v>
      </c>
    </row>
    <row r="163" spans="2:19">
      <c r="B163" s="972"/>
      <c r="C163" s="968"/>
      <c r="D163" s="967"/>
      <c r="E163" s="985"/>
      <c r="F163" s="970"/>
      <c r="G163" s="39" t="s">
        <v>146</v>
      </c>
      <c r="H163" s="41"/>
      <c r="I163" s="41"/>
      <c r="J163" s="41"/>
      <c r="K163" s="41"/>
      <c r="L163" s="41"/>
      <c r="M163" s="41"/>
      <c r="N163" s="41"/>
      <c r="O163" s="41"/>
      <c r="P163" s="41"/>
      <c r="Q163" s="42" t="s">
        <v>139</v>
      </c>
      <c r="R163" s="42" t="s">
        <v>139</v>
      </c>
      <c r="S163" s="42" t="s">
        <v>139</v>
      </c>
    </row>
    <row r="164" spans="2:19">
      <c r="B164" s="972"/>
      <c r="C164" s="972">
        <v>146.05000000000001</v>
      </c>
      <c r="D164" s="967" t="s">
        <v>174</v>
      </c>
      <c r="E164" s="969">
        <v>2671949726</v>
      </c>
      <c r="F164" s="971" t="s">
        <v>7</v>
      </c>
      <c r="G164" s="39" t="s">
        <v>175</v>
      </c>
      <c r="H164" s="40" t="s">
        <v>139</v>
      </c>
      <c r="I164" s="41"/>
      <c r="J164" s="41"/>
      <c r="K164" s="41"/>
      <c r="L164" s="41"/>
      <c r="M164" s="41"/>
      <c r="N164" s="41"/>
      <c r="O164" s="41"/>
      <c r="P164" s="41"/>
      <c r="Q164" s="41"/>
      <c r="R164" s="41"/>
      <c r="S164" s="41"/>
    </row>
    <row r="165" spans="2:19">
      <c r="B165" s="972"/>
      <c r="C165" s="972"/>
      <c r="D165" s="967"/>
      <c r="E165" s="969"/>
      <c r="F165" s="971"/>
      <c r="G165" s="39" t="s">
        <v>176</v>
      </c>
      <c r="H165" s="40" t="s">
        <v>139</v>
      </c>
      <c r="I165" s="41"/>
      <c r="J165" s="41"/>
      <c r="K165" s="41"/>
      <c r="L165" s="41"/>
      <c r="M165" s="41"/>
      <c r="N165" s="41"/>
      <c r="O165" s="41"/>
      <c r="P165" s="41"/>
      <c r="Q165" s="41"/>
      <c r="R165" s="41"/>
      <c r="S165" s="41"/>
    </row>
    <row r="166" spans="2:19" ht="26.4">
      <c r="B166" s="972"/>
      <c r="C166" s="972"/>
      <c r="D166" s="967"/>
      <c r="E166" s="969"/>
      <c r="F166" s="971"/>
      <c r="G166" s="39" t="s">
        <v>177</v>
      </c>
      <c r="H166" s="40" t="s">
        <v>139</v>
      </c>
      <c r="I166" s="41"/>
      <c r="J166" s="41"/>
      <c r="K166" s="41"/>
      <c r="L166" s="41"/>
      <c r="M166" s="41"/>
      <c r="N166" s="41"/>
      <c r="O166" s="41"/>
      <c r="P166" s="41"/>
      <c r="Q166" s="41"/>
      <c r="R166" s="41"/>
      <c r="S166" s="41"/>
    </row>
    <row r="167" spans="2:19">
      <c r="B167" s="972"/>
      <c r="C167" s="972"/>
      <c r="D167" s="967"/>
      <c r="E167" s="969"/>
      <c r="F167" s="971"/>
      <c r="G167" s="39" t="s">
        <v>178</v>
      </c>
      <c r="H167" s="40" t="s">
        <v>139</v>
      </c>
      <c r="I167" s="41"/>
      <c r="J167" s="41"/>
      <c r="K167" s="41"/>
      <c r="L167" s="41"/>
      <c r="M167" s="41"/>
      <c r="N167" s="41"/>
      <c r="O167" s="41"/>
      <c r="P167" s="41"/>
      <c r="Q167" s="41"/>
      <c r="R167" s="41"/>
      <c r="S167" s="41"/>
    </row>
    <row r="168" spans="2:19">
      <c r="B168" s="972"/>
      <c r="C168" s="972"/>
      <c r="D168" s="967"/>
      <c r="E168" s="969"/>
      <c r="F168" s="971"/>
      <c r="G168" s="39" t="s">
        <v>146</v>
      </c>
      <c r="H168" s="41"/>
      <c r="I168" s="40" t="s">
        <v>139</v>
      </c>
      <c r="J168" s="41"/>
      <c r="K168" s="41"/>
      <c r="L168" s="41"/>
      <c r="M168" s="41"/>
      <c r="N168" s="41"/>
      <c r="O168" s="41"/>
      <c r="P168" s="41"/>
      <c r="Q168" s="41"/>
      <c r="R168" s="41"/>
      <c r="S168" s="41"/>
    </row>
    <row r="169" spans="2:19">
      <c r="B169" s="972"/>
      <c r="C169" s="972"/>
      <c r="D169" s="967" t="s">
        <v>179</v>
      </c>
      <c r="E169" s="969"/>
      <c r="F169" s="971" t="s">
        <v>7</v>
      </c>
      <c r="G169" s="39" t="s">
        <v>180</v>
      </c>
      <c r="H169" s="40" t="s">
        <v>139</v>
      </c>
      <c r="I169" s="41"/>
      <c r="J169" s="41"/>
      <c r="K169" s="41"/>
      <c r="L169" s="41"/>
      <c r="M169" s="41"/>
      <c r="N169" s="41"/>
      <c r="O169" s="41"/>
      <c r="P169" s="41"/>
      <c r="Q169" s="41"/>
      <c r="R169" s="41"/>
      <c r="S169" s="41"/>
    </row>
    <row r="170" spans="2:19">
      <c r="B170" s="972"/>
      <c r="C170" s="972"/>
      <c r="D170" s="967"/>
      <c r="E170" s="969"/>
      <c r="F170" s="971"/>
      <c r="G170" s="39" t="s">
        <v>181</v>
      </c>
      <c r="H170" s="40" t="s">
        <v>139</v>
      </c>
      <c r="I170" s="40" t="s">
        <v>139</v>
      </c>
      <c r="J170" s="40" t="s">
        <v>139</v>
      </c>
      <c r="K170" s="41"/>
      <c r="L170" s="41"/>
      <c r="M170" s="41"/>
      <c r="N170" s="41"/>
      <c r="O170" s="41"/>
      <c r="P170" s="41"/>
      <c r="Q170" s="41"/>
      <c r="R170" s="41"/>
      <c r="S170" s="41"/>
    </row>
    <row r="171" spans="2:19">
      <c r="B171" s="972"/>
      <c r="C171" s="972"/>
      <c r="D171" s="967"/>
      <c r="E171" s="969"/>
      <c r="F171" s="971"/>
      <c r="G171" s="39" t="s">
        <v>182</v>
      </c>
      <c r="H171" s="40" t="s">
        <v>139</v>
      </c>
      <c r="I171" s="40" t="s">
        <v>139</v>
      </c>
      <c r="J171" s="40" t="s">
        <v>139</v>
      </c>
      <c r="K171" s="41"/>
      <c r="L171" s="41"/>
      <c r="M171" s="41"/>
      <c r="N171" s="41"/>
      <c r="O171" s="41"/>
      <c r="P171" s="41"/>
      <c r="Q171" s="41"/>
      <c r="R171" s="41"/>
      <c r="S171" s="41"/>
    </row>
    <row r="172" spans="2:19">
      <c r="B172" s="972"/>
      <c r="C172" s="972"/>
      <c r="D172" s="967"/>
      <c r="E172" s="969"/>
      <c r="F172" s="971"/>
      <c r="G172" s="39" t="s">
        <v>183</v>
      </c>
      <c r="H172" s="41"/>
      <c r="I172" s="41"/>
      <c r="J172" s="41"/>
      <c r="K172" s="40" t="s">
        <v>139</v>
      </c>
      <c r="L172" s="40" t="s">
        <v>139</v>
      </c>
      <c r="M172" s="40" t="s">
        <v>139</v>
      </c>
      <c r="N172" s="41"/>
      <c r="O172" s="41"/>
      <c r="P172" s="41"/>
      <c r="Q172" s="41"/>
      <c r="R172" s="41"/>
      <c r="S172" s="41"/>
    </row>
    <row r="173" spans="2:19">
      <c r="B173" s="972"/>
      <c r="C173" s="972"/>
      <c r="D173" s="967"/>
      <c r="E173" s="969"/>
      <c r="F173" s="971"/>
      <c r="G173" s="39" t="s">
        <v>184</v>
      </c>
      <c r="H173" s="41"/>
      <c r="I173" s="41"/>
      <c r="J173" s="41"/>
      <c r="K173" s="41"/>
      <c r="L173" s="41"/>
      <c r="M173" s="41"/>
      <c r="N173" s="41"/>
      <c r="O173" s="43" t="s">
        <v>139</v>
      </c>
      <c r="P173" s="41"/>
      <c r="Q173" s="41"/>
      <c r="R173" s="41"/>
      <c r="S173" s="41"/>
    </row>
    <row r="174" spans="2:19">
      <c r="B174" s="972"/>
      <c r="C174" s="972"/>
      <c r="D174" s="967" t="s">
        <v>185</v>
      </c>
      <c r="E174" s="969"/>
      <c r="F174" s="971" t="s">
        <v>7</v>
      </c>
      <c r="G174" s="39" t="s">
        <v>186</v>
      </c>
      <c r="H174" s="40" t="s">
        <v>139</v>
      </c>
      <c r="I174" s="40" t="s">
        <v>139</v>
      </c>
      <c r="J174" s="40" t="s">
        <v>139</v>
      </c>
      <c r="K174" s="41"/>
      <c r="L174" s="41"/>
      <c r="M174" s="41"/>
      <c r="N174" s="41"/>
      <c r="O174" s="41"/>
      <c r="P174" s="41"/>
      <c r="Q174" s="41"/>
      <c r="R174" s="41"/>
      <c r="S174" s="41"/>
    </row>
    <row r="175" spans="2:19" ht="26.4">
      <c r="B175" s="972"/>
      <c r="C175" s="972"/>
      <c r="D175" s="967"/>
      <c r="E175" s="969"/>
      <c r="F175" s="971"/>
      <c r="G175" s="39" t="s">
        <v>187</v>
      </c>
      <c r="H175" s="41"/>
      <c r="I175" s="41"/>
      <c r="J175" s="41"/>
      <c r="K175" s="40" t="s">
        <v>139</v>
      </c>
      <c r="L175" s="40" t="s">
        <v>139</v>
      </c>
      <c r="M175" s="40" t="s">
        <v>139</v>
      </c>
      <c r="N175" s="41"/>
      <c r="O175" s="41"/>
      <c r="P175" s="41"/>
      <c r="Q175" s="41"/>
      <c r="R175" s="41"/>
      <c r="S175" s="41"/>
    </row>
    <row r="176" spans="2:19">
      <c r="B176" s="972"/>
      <c r="C176" s="972"/>
      <c r="D176" s="967"/>
      <c r="E176" s="969"/>
      <c r="F176" s="971"/>
      <c r="G176" s="39" t="s">
        <v>151</v>
      </c>
      <c r="H176" s="41"/>
      <c r="I176" s="41"/>
      <c r="J176" s="41"/>
      <c r="K176" s="40" t="s">
        <v>139</v>
      </c>
      <c r="L176" s="40" t="s">
        <v>139</v>
      </c>
      <c r="M176" s="40" t="s">
        <v>139</v>
      </c>
      <c r="N176" s="41"/>
      <c r="O176" s="41"/>
      <c r="P176" s="41"/>
      <c r="Q176" s="41"/>
      <c r="R176" s="41"/>
      <c r="S176" s="41"/>
    </row>
    <row r="177" spans="2:19">
      <c r="B177" s="972"/>
      <c r="C177" s="972"/>
      <c r="D177" s="967"/>
      <c r="E177" s="969"/>
      <c r="F177" s="971"/>
      <c r="G177" s="39" t="s">
        <v>152</v>
      </c>
      <c r="H177" s="41"/>
      <c r="I177" s="41"/>
      <c r="J177" s="41"/>
      <c r="K177" s="40" t="s">
        <v>139</v>
      </c>
      <c r="L177" s="40" t="s">
        <v>139</v>
      </c>
      <c r="M177" s="40" t="s">
        <v>139</v>
      </c>
      <c r="N177" s="41"/>
      <c r="O177" s="41"/>
      <c r="P177" s="41"/>
      <c r="Q177" s="41"/>
      <c r="R177" s="41"/>
      <c r="S177" s="41"/>
    </row>
    <row r="178" spans="2:19">
      <c r="B178" s="972"/>
      <c r="C178" s="972"/>
      <c r="D178" s="967"/>
      <c r="E178" s="969"/>
      <c r="F178" s="971"/>
      <c r="G178" s="39" t="s">
        <v>153</v>
      </c>
      <c r="H178" s="41"/>
      <c r="I178" s="41"/>
      <c r="J178" s="41"/>
      <c r="K178" s="41"/>
      <c r="L178" s="41"/>
      <c r="M178" s="41"/>
      <c r="N178" s="43" t="s">
        <v>139</v>
      </c>
      <c r="O178" s="43" t="s">
        <v>139</v>
      </c>
      <c r="P178" s="43" t="s">
        <v>139</v>
      </c>
      <c r="Q178" s="41"/>
      <c r="R178" s="41"/>
      <c r="S178" s="41"/>
    </row>
    <row r="179" spans="2:19">
      <c r="B179" s="972"/>
      <c r="C179" s="972"/>
      <c r="D179" s="967"/>
      <c r="E179" s="969"/>
      <c r="F179" s="971"/>
      <c r="G179" s="39" t="s">
        <v>184</v>
      </c>
      <c r="H179" s="41"/>
      <c r="I179" s="41"/>
      <c r="J179" s="41"/>
      <c r="K179" s="41"/>
      <c r="L179" s="41"/>
      <c r="M179" s="41"/>
      <c r="N179" s="41"/>
      <c r="O179" s="41"/>
      <c r="P179" s="41"/>
      <c r="Q179" s="43" t="s">
        <v>139</v>
      </c>
      <c r="R179" s="41"/>
      <c r="S179" s="41"/>
    </row>
    <row r="180" spans="2:19">
      <c r="B180" s="972"/>
      <c r="C180" s="972"/>
      <c r="D180" s="967" t="s">
        <v>188</v>
      </c>
      <c r="E180" s="969"/>
      <c r="F180" s="971" t="s">
        <v>7</v>
      </c>
      <c r="G180" s="39" t="s">
        <v>189</v>
      </c>
      <c r="H180" s="40" t="s">
        <v>139</v>
      </c>
      <c r="I180" s="41"/>
      <c r="J180" s="41"/>
      <c r="K180" s="41"/>
      <c r="L180" s="41"/>
      <c r="M180" s="41"/>
      <c r="N180" s="41"/>
      <c r="O180" s="41"/>
      <c r="P180" s="41"/>
      <c r="Q180" s="41"/>
      <c r="R180" s="41"/>
      <c r="S180" s="41"/>
    </row>
    <row r="181" spans="2:19">
      <c r="B181" s="972"/>
      <c r="C181" s="972"/>
      <c r="D181" s="967"/>
      <c r="E181" s="969"/>
      <c r="F181" s="971"/>
      <c r="G181" s="39" t="s">
        <v>151</v>
      </c>
      <c r="H181" s="40" t="s">
        <v>139</v>
      </c>
      <c r="I181" s="40" t="s">
        <v>139</v>
      </c>
      <c r="J181" s="40" t="s">
        <v>139</v>
      </c>
      <c r="K181" s="41"/>
      <c r="L181" s="41"/>
      <c r="M181" s="41"/>
      <c r="N181" s="41"/>
      <c r="O181" s="41"/>
      <c r="P181" s="41"/>
      <c r="Q181" s="41"/>
      <c r="R181" s="41"/>
      <c r="S181" s="41"/>
    </row>
    <row r="182" spans="2:19">
      <c r="B182" s="972"/>
      <c r="C182" s="972"/>
      <c r="D182" s="967"/>
      <c r="E182" s="969"/>
      <c r="F182" s="971"/>
      <c r="G182" s="39" t="s">
        <v>152</v>
      </c>
      <c r="H182" s="40" t="s">
        <v>139</v>
      </c>
      <c r="I182" s="40" t="s">
        <v>139</v>
      </c>
      <c r="J182" s="40" t="s">
        <v>139</v>
      </c>
      <c r="K182" s="41"/>
      <c r="L182" s="41"/>
      <c r="M182" s="41"/>
      <c r="N182" s="41"/>
      <c r="O182" s="41"/>
      <c r="P182" s="41"/>
      <c r="Q182" s="41"/>
      <c r="R182" s="41"/>
      <c r="S182" s="41"/>
    </row>
    <row r="183" spans="2:19">
      <c r="B183" s="972"/>
      <c r="C183" s="972"/>
      <c r="D183" s="967"/>
      <c r="E183" s="969"/>
      <c r="F183" s="971"/>
      <c r="G183" s="39" t="s">
        <v>153</v>
      </c>
      <c r="H183" s="41"/>
      <c r="I183" s="41"/>
      <c r="J183" s="41"/>
      <c r="K183" s="40" t="s">
        <v>139</v>
      </c>
      <c r="L183" s="40" t="s">
        <v>139</v>
      </c>
      <c r="M183" s="40" t="s">
        <v>139</v>
      </c>
      <c r="N183" s="41"/>
      <c r="O183" s="41"/>
      <c r="P183" s="41"/>
      <c r="Q183" s="41"/>
      <c r="R183" s="41"/>
      <c r="S183" s="41"/>
    </row>
    <row r="184" spans="2:19">
      <c r="B184" s="972"/>
      <c r="C184" s="972"/>
      <c r="D184" s="967"/>
      <c r="E184" s="969"/>
      <c r="F184" s="971"/>
      <c r="G184" s="39" t="s">
        <v>146</v>
      </c>
      <c r="H184" s="41"/>
      <c r="I184" s="41"/>
      <c r="J184" s="41"/>
      <c r="K184" s="41"/>
      <c r="L184" s="41"/>
      <c r="M184" s="41"/>
      <c r="N184" s="43" t="s">
        <v>139</v>
      </c>
      <c r="O184" s="43" t="s">
        <v>139</v>
      </c>
      <c r="P184" s="43" t="s">
        <v>139</v>
      </c>
      <c r="Q184" s="41"/>
      <c r="R184" s="41"/>
      <c r="S184" s="41"/>
    </row>
    <row r="185" spans="2:19">
      <c r="B185" s="972"/>
      <c r="C185" s="972"/>
      <c r="D185" s="967" t="s">
        <v>190</v>
      </c>
      <c r="E185" s="969"/>
      <c r="F185" s="971" t="s">
        <v>7</v>
      </c>
      <c r="G185" s="39" t="s">
        <v>191</v>
      </c>
      <c r="H185" s="40" t="s">
        <v>139</v>
      </c>
      <c r="I185" s="41"/>
      <c r="J185" s="41"/>
      <c r="K185" s="41"/>
      <c r="L185" s="41"/>
      <c r="M185" s="41"/>
      <c r="N185" s="41"/>
      <c r="O185" s="41"/>
      <c r="P185" s="41"/>
      <c r="Q185" s="41"/>
      <c r="R185" s="41"/>
      <c r="S185" s="41"/>
    </row>
    <row r="186" spans="2:19">
      <c r="B186" s="972"/>
      <c r="C186" s="972"/>
      <c r="D186" s="967"/>
      <c r="E186" s="969"/>
      <c r="F186" s="971"/>
      <c r="G186" s="39" t="s">
        <v>192</v>
      </c>
      <c r="H186" s="40" t="s">
        <v>139</v>
      </c>
      <c r="I186" s="40" t="s">
        <v>139</v>
      </c>
      <c r="J186" s="40" t="s">
        <v>139</v>
      </c>
      <c r="K186" s="41"/>
      <c r="L186" s="41"/>
      <c r="M186" s="41"/>
      <c r="N186" s="41"/>
      <c r="O186" s="41"/>
      <c r="P186" s="41"/>
      <c r="Q186" s="41"/>
      <c r="R186" s="41"/>
      <c r="S186" s="41"/>
    </row>
    <row r="187" spans="2:19">
      <c r="B187" s="972"/>
      <c r="C187" s="972"/>
      <c r="D187" s="967"/>
      <c r="E187" s="969"/>
      <c r="F187" s="971"/>
      <c r="G187" s="39" t="s">
        <v>151</v>
      </c>
      <c r="H187" s="40" t="s">
        <v>139</v>
      </c>
      <c r="I187" s="40" t="s">
        <v>139</v>
      </c>
      <c r="J187" s="40" t="s">
        <v>139</v>
      </c>
      <c r="K187" s="41"/>
      <c r="L187" s="41"/>
      <c r="M187" s="41"/>
      <c r="N187" s="41"/>
      <c r="O187" s="41"/>
      <c r="P187" s="41"/>
      <c r="Q187" s="41"/>
      <c r="R187" s="41"/>
      <c r="S187" s="41"/>
    </row>
    <row r="188" spans="2:19">
      <c r="B188" s="972"/>
      <c r="C188" s="972"/>
      <c r="D188" s="967"/>
      <c r="E188" s="969"/>
      <c r="F188" s="971"/>
      <c r="G188" s="39" t="s">
        <v>153</v>
      </c>
      <c r="H188" s="41"/>
      <c r="I188" s="41"/>
      <c r="J188" s="41"/>
      <c r="K188" s="40" t="s">
        <v>139</v>
      </c>
      <c r="L188" s="40" t="s">
        <v>139</v>
      </c>
      <c r="M188" s="40" t="s">
        <v>139</v>
      </c>
      <c r="N188" s="41"/>
      <c r="O188" s="41"/>
      <c r="P188" s="41"/>
      <c r="Q188" s="41"/>
      <c r="R188" s="41"/>
      <c r="S188" s="41"/>
    </row>
    <row r="189" spans="2:19">
      <c r="B189" s="972"/>
      <c r="C189" s="972"/>
      <c r="D189" s="967"/>
      <c r="E189" s="969"/>
      <c r="F189" s="971"/>
      <c r="G189" s="39" t="s">
        <v>146</v>
      </c>
      <c r="H189" s="41"/>
      <c r="I189" s="41"/>
      <c r="J189" s="41"/>
      <c r="K189" s="41"/>
      <c r="L189" s="41"/>
      <c r="M189" s="41"/>
      <c r="N189" s="43" t="s">
        <v>139</v>
      </c>
      <c r="O189" s="43" t="s">
        <v>139</v>
      </c>
      <c r="P189" s="43" t="s">
        <v>139</v>
      </c>
      <c r="Q189" s="41"/>
      <c r="R189" s="41"/>
      <c r="S189" s="41"/>
    </row>
    <row r="190" spans="2:19">
      <c r="B190" s="972"/>
      <c r="C190" s="972"/>
      <c r="D190" s="967" t="s">
        <v>193</v>
      </c>
      <c r="E190" s="969"/>
      <c r="F190" s="971" t="s">
        <v>7</v>
      </c>
      <c r="G190" s="39" t="s">
        <v>194</v>
      </c>
      <c r="H190" s="40" t="s">
        <v>139</v>
      </c>
      <c r="I190" s="41"/>
      <c r="J190" s="41"/>
      <c r="K190" s="41"/>
      <c r="L190" s="41"/>
      <c r="M190" s="41"/>
      <c r="N190" s="41"/>
      <c r="O190" s="41"/>
      <c r="P190" s="41"/>
      <c r="Q190" s="41"/>
      <c r="R190" s="41"/>
      <c r="S190" s="41"/>
    </row>
    <row r="191" spans="2:19">
      <c r="B191" s="972"/>
      <c r="C191" s="972"/>
      <c r="D191" s="967"/>
      <c r="E191" s="969"/>
      <c r="F191" s="971"/>
      <c r="G191" s="39" t="s">
        <v>151</v>
      </c>
      <c r="H191" s="40" t="s">
        <v>139</v>
      </c>
      <c r="I191" s="40" t="s">
        <v>139</v>
      </c>
      <c r="J191" s="40" t="s">
        <v>139</v>
      </c>
      <c r="K191" s="41"/>
      <c r="L191" s="41"/>
      <c r="M191" s="41"/>
      <c r="N191" s="41"/>
      <c r="O191" s="41"/>
      <c r="P191" s="41"/>
      <c r="Q191" s="41"/>
      <c r="R191" s="41"/>
      <c r="S191" s="41"/>
    </row>
    <row r="192" spans="2:19">
      <c r="B192" s="972"/>
      <c r="C192" s="972"/>
      <c r="D192" s="967"/>
      <c r="E192" s="969"/>
      <c r="F192" s="971"/>
      <c r="G192" s="39" t="s">
        <v>152</v>
      </c>
      <c r="H192" s="40" t="s">
        <v>139</v>
      </c>
      <c r="I192" s="40" t="s">
        <v>139</v>
      </c>
      <c r="J192" s="40" t="s">
        <v>139</v>
      </c>
      <c r="K192" s="41"/>
      <c r="L192" s="41"/>
      <c r="M192" s="41"/>
      <c r="N192" s="41"/>
      <c r="O192" s="41"/>
      <c r="P192" s="41"/>
      <c r="Q192" s="41"/>
      <c r="R192" s="41"/>
      <c r="S192" s="41"/>
    </row>
    <row r="193" spans="2:19">
      <c r="B193" s="972"/>
      <c r="C193" s="972"/>
      <c r="D193" s="967"/>
      <c r="E193" s="969"/>
      <c r="F193" s="971"/>
      <c r="G193" s="39" t="s">
        <v>153</v>
      </c>
      <c r="H193" s="41"/>
      <c r="I193" s="41"/>
      <c r="J193" s="41"/>
      <c r="K193" s="40" t="s">
        <v>139</v>
      </c>
      <c r="L193" s="40" t="s">
        <v>139</v>
      </c>
      <c r="M193" s="40" t="s">
        <v>139</v>
      </c>
      <c r="N193" s="41"/>
      <c r="O193" s="41"/>
      <c r="P193" s="41"/>
      <c r="Q193" s="41"/>
      <c r="R193" s="41"/>
      <c r="S193" s="41"/>
    </row>
    <row r="194" spans="2:19">
      <c r="B194" s="972"/>
      <c r="C194" s="972"/>
      <c r="D194" s="967"/>
      <c r="E194" s="969"/>
      <c r="F194" s="971"/>
      <c r="G194" s="39" t="s">
        <v>146</v>
      </c>
      <c r="H194" s="41"/>
      <c r="I194" s="41"/>
      <c r="J194" s="41"/>
      <c r="K194" s="41"/>
      <c r="L194" s="41"/>
      <c r="M194" s="41"/>
      <c r="N194" s="43" t="s">
        <v>139</v>
      </c>
      <c r="O194" s="43" t="s">
        <v>139</v>
      </c>
      <c r="P194" s="43" t="s">
        <v>139</v>
      </c>
      <c r="Q194" s="41"/>
      <c r="R194" s="41"/>
      <c r="S194" s="41"/>
    </row>
    <row r="195" spans="2:19" ht="26.4">
      <c r="B195" s="972"/>
      <c r="C195" s="972"/>
      <c r="D195" s="967" t="s">
        <v>195</v>
      </c>
      <c r="E195" s="969"/>
      <c r="F195" s="971" t="s">
        <v>7</v>
      </c>
      <c r="G195" s="39" t="s">
        <v>196</v>
      </c>
      <c r="H195" s="40" t="s">
        <v>139</v>
      </c>
      <c r="I195" s="41"/>
      <c r="J195" s="41"/>
      <c r="K195" s="41"/>
      <c r="L195" s="41"/>
      <c r="M195" s="41"/>
      <c r="N195" s="41"/>
      <c r="O195" s="41"/>
      <c r="P195" s="41"/>
      <c r="Q195" s="41"/>
      <c r="R195" s="41"/>
      <c r="S195" s="41"/>
    </row>
    <row r="196" spans="2:19">
      <c r="B196" s="972"/>
      <c r="C196" s="972"/>
      <c r="D196" s="967"/>
      <c r="E196" s="969"/>
      <c r="F196" s="971"/>
      <c r="G196" s="39" t="s">
        <v>151</v>
      </c>
      <c r="H196" s="40" t="s">
        <v>139</v>
      </c>
      <c r="I196" s="40" t="s">
        <v>139</v>
      </c>
      <c r="J196" s="40" t="s">
        <v>139</v>
      </c>
      <c r="K196" s="41"/>
      <c r="L196" s="41"/>
      <c r="M196" s="41"/>
      <c r="N196" s="41"/>
      <c r="O196" s="41"/>
      <c r="P196" s="41"/>
      <c r="Q196" s="41"/>
      <c r="R196" s="41"/>
      <c r="S196" s="41"/>
    </row>
    <row r="197" spans="2:19">
      <c r="B197" s="972"/>
      <c r="C197" s="972"/>
      <c r="D197" s="967"/>
      <c r="E197" s="969"/>
      <c r="F197" s="971"/>
      <c r="G197" s="39" t="s">
        <v>152</v>
      </c>
      <c r="H197" s="40" t="s">
        <v>139</v>
      </c>
      <c r="I197" s="40" t="s">
        <v>139</v>
      </c>
      <c r="J197" s="40" t="s">
        <v>139</v>
      </c>
      <c r="K197" s="41"/>
      <c r="L197" s="41"/>
      <c r="M197" s="41"/>
      <c r="N197" s="41"/>
      <c r="O197" s="41"/>
      <c r="P197" s="41"/>
      <c r="Q197" s="41"/>
      <c r="R197" s="41"/>
      <c r="S197" s="41"/>
    </row>
    <row r="198" spans="2:19">
      <c r="B198" s="972"/>
      <c r="C198" s="972"/>
      <c r="D198" s="967"/>
      <c r="E198" s="969"/>
      <c r="F198" s="971"/>
      <c r="G198" s="39" t="s">
        <v>153</v>
      </c>
      <c r="H198" s="41"/>
      <c r="I198" s="41"/>
      <c r="J198" s="41"/>
      <c r="K198" s="40" t="s">
        <v>139</v>
      </c>
      <c r="L198" s="40" t="s">
        <v>139</v>
      </c>
      <c r="M198" s="41"/>
      <c r="N198" s="41"/>
      <c r="O198" s="41"/>
      <c r="P198" s="41"/>
      <c r="Q198" s="41"/>
      <c r="R198" s="41"/>
      <c r="S198" s="41"/>
    </row>
    <row r="199" spans="2:19">
      <c r="B199" s="972"/>
      <c r="C199" s="972"/>
      <c r="D199" s="967"/>
      <c r="E199" s="969"/>
      <c r="F199" s="971"/>
      <c r="G199" s="39" t="s">
        <v>146</v>
      </c>
      <c r="H199" s="41"/>
      <c r="I199" s="41"/>
      <c r="J199" s="41"/>
      <c r="K199" s="41"/>
      <c r="L199" s="41"/>
      <c r="M199" s="41"/>
      <c r="N199" s="43" t="s">
        <v>139</v>
      </c>
      <c r="O199" s="43" t="s">
        <v>139</v>
      </c>
      <c r="P199" s="43" t="s">
        <v>139</v>
      </c>
      <c r="Q199" s="41"/>
      <c r="R199" s="41"/>
      <c r="S199" s="41"/>
    </row>
    <row r="200" spans="2:19" ht="26.4">
      <c r="B200" s="972"/>
      <c r="C200" s="972"/>
      <c r="D200" s="967" t="s">
        <v>197</v>
      </c>
      <c r="E200" s="969"/>
      <c r="F200" s="971" t="s">
        <v>7</v>
      </c>
      <c r="G200" s="39" t="s">
        <v>198</v>
      </c>
      <c r="H200" s="40" t="s">
        <v>139</v>
      </c>
      <c r="I200" s="41"/>
      <c r="J200" s="41"/>
      <c r="K200" s="41"/>
      <c r="L200" s="41"/>
      <c r="M200" s="41"/>
      <c r="N200" s="41"/>
      <c r="O200" s="41"/>
      <c r="P200" s="41"/>
      <c r="Q200" s="41"/>
      <c r="R200" s="41"/>
      <c r="S200" s="41"/>
    </row>
    <row r="201" spans="2:19">
      <c r="B201" s="972"/>
      <c r="C201" s="972"/>
      <c r="D201" s="967"/>
      <c r="E201" s="969"/>
      <c r="F201" s="971"/>
      <c r="G201" s="39" t="s">
        <v>199</v>
      </c>
      <c r="H201" s="40" t="s">
        <v>139</v>
      </c>
      <c r="I201" s="40" t="s">
        <v>139</v>
      </c>
      <c r="J201" s="40" t="s">
        <v>139</v>
      </c>
      <c r="K201" s="41"/>
      <c r="L201" s="41"/>
      <c r="M201" s="41"/>
      <c r="N201" s="41"/>
      <c r="O201" s="41"/>
      <c r="P201" s="41"/>
      <c r="Q201" s="41"/>
      <c r="R201" s="41"/>
      <c r="S201" s="41"/>
    </row>
    <row r="202" spans="2:19">
      <c r="B202" s="972"/>
      <c r="C202" s="972"/>
      <c r="D202" s="967"/>
      <c r="E202" s="969"/>
      <c r="F202" s="971"/>
      <c r="G202" s="39" t="s">
        <v>151</v>
      </c>
      <c r="H202" s="41"/>
      <c r="I202" s="41"/>
      <c r="J202" s="41"/>
      <c r="K202" s="40" t="s">
        <v>139</v>
      </c>
      <c r="L202" s="40" t="s">
        <v>139</v>
      </c>
      <c r="M202" s="40" t="s">
        <v>139</v>
      </c>
      <c r="N202" s="41"/>
      <c r="O202" s="41"/>
      <c r="P202" s="41"/>
      <c r="Q202" s="41"/>
      <c r="R202" s="41"/>
      <c r="S202" s="41"/>
    </row>
    <row r="203" spans="2:19">
      <c r="B203" s="972"/>
      <c r="C203" s="972"/>
      <c r="D203" s="967"/>
      <c r="E203" s="969"/>
      <c r="F203" s="971"/>
      <c r="G203" s="39" t="s">
        <v>152</v>
      </c>
      <c r="H203" s="41"/>
      <c r="I203" s="41"/>
      <c r="J203" s="41"/>
      <c r="K203" s="41"/>
      <c r="L203" s="41"/>
      <c r="M203" s="41"/>
      <c r="N203" s="43" t="s">
        <v>139</v>
      </c>
      <c r="O203" s="43" t="s">
        <v>139</v>
      </c>
      <c r="P203" s="43" t="s">
        <v>139</v>
      </c>
      <c r="Q203" s="41"/>
      <c r="R203" s="41"/>
      <c r="S203" s="41"/>
    </row>
    <row r="204" spans="2:19">
      <c r="B204" s="972"/>
      <c r="C204" s="972"/>
      <c r="D204" s="967"/>
      <c r="E204" s="969"/>
      <c r="F204" s="971"/>
      <c r="G204" s="39" t="s">
        <v>153</v>
      </c>
      <c r="H204" s="41"/>
      <c r="I204" s="41"/>
      <c r="J204" s="41"/>
      <c r="K204" s="41"/>
      <c r="L204" s="41"/>
      <c r="M204" s="41"/>
      <c r="N204" s="41"/>
      <c r="O204" s="41"/>
      <c r="P204" s="41"/>
      <c r="Q204" s="43" t="s">
        <v>139</v>
      </c>
      <c r="R204" s="43" t="s">
        <v>139</v>
      </c>
      <c r="S204" s="43" t="s">
        <v>139</v>
      </c>
    </row>
    <row r="205" spans="2:19">
      <c r="B205" s="972"/>
      <c r="C205" s="972"/>
      <c r="D205" s="967" t="s">
        <v>200</v>
      </c>
      <c r="E205" s="969"/>
      <c r="F205" s="971"/>
      <c r="G205" s="39" t="s">
        <v>146</v>
      </c>
      <c r="H205" s="41"/>
      <c r="I205" s="41"/>
      <c r="J205" s="41"/>
      <c r="K205" s="41"/>
      <c r="L205" s="41"/>
      <c r="M205" s="41"/>
      <c r="N205" s="41"/>
      <c r="O205" s="41"/>
      <c r="P205" s="41"/>
      <c r="Q205" s="41"/>
      <c r="R205" s="41"/>
      <c r="S205" s="43" t="s">
        <v>139</v>
      </c>
    </row>
    <row r="206" spans="2:19" ht="26.4">
      <c r="B206" s="972"/>
      <c r="C206" s="972"/>
      <c r="D206" s="967"/>
      <c r="E206" s="969"/>
      <c r="F206" s="971" t="s">
        <v>7</v>
      </c>
      <c r="G206" s="39" t="s">
        <v>201</v>
      </c>
      <c r="H206" s="40" t="s">
        <v>139</v>
      </c>
      <c r="I206" s="41"/>
      <c r="J206" s="41"/>
      <c r="K206" s="41"/>
      <c r="L206" s="41"/>
      <c r="M206" s="41"/>
      <c r="N206" s="41"/>
      <c r="O206" s="41"/>
      <c r="P206" s="41"/>
      <c r="Q206" s="41"/>
      <c r="R206" s="41"/>
      <c r="S206" s="41"/>
    </row>
    <row r="207" spans="2:19">
      <c r="B207" s="972"/>
      <c r="C207" s="972"/>
      <c r="D207" s="967"/>
      <c r="E207" s="969"/>
      <c r="F207" s="971"/>
      <c r="G207" s="39" t="s">
        <v>202</v>
      </c>
      <c r="H207" s="40" t="s">
        <v>139</v>
      </c>
      <c r="I207" s="40" t="s">
        <v>139</v>
      </c>
      <c r="J207" s="40" t="s">
        <v>139</v>
      </c>
      <c r="K207" s="41"/>
      <c r="L207" s="41"/>
      <c r="M207" s="41"/>
      <c r="N207" s="41"/>
      <c r="O207" s="41"/>
      <c r="P207" s="41"/>
      <c r="Q207" s="41"/>
      <c r="R207" s="41"/>
      <c r="S207" s="41"/>
    </row>
    <row r="208" spans="2:19" ht="26.4">
      <c r="B208" s="972"/>
      <c r="C208" s="972"/>
      <c r="D208" s="967"/>
      <c r="E208" s="969"/>
      <c r="F208" s="971"/>
      <c r="G208" s="39" t="s">
        <v>203</v>
      </c>
      <c r="H208" s="40" t="s">
        <v>139</v>
      </c>
      <c r="I208" s="40" t="s">
        <v>139</v>
      </c>
      <c r="J208" s="40" t="s">
        <v>139</v>
      </c>
      <c r="K208" s="41"/>
      <c r="L208" s="41"/>
      <c r="M208" s="41"/>
      <c r="N208" s="41"/>
      <c r="O208" s="41"/>
      <c r="P208" s="41"/>
      <c r="Q208" s="41"/>
      <c r="R208" s="41"/>
      <c r="S208" s="41"/>
    </row>
    <row r="209" spans="2:19">
      <c r="B209" s="972"/>
      <c r="C209" s="972"/>
      <c r="D209" s="967"/>
      <c r="E209" s="969"/>
      <c r="F209" s="971"/>
      <c r="G209" s="39" t="s">
        <v>204</v>
      </c>
      <c r="H209" s="40" t="s">
        <v>139</v>
      </c>
      <c r="I209" s="40" t="s">
        <v>139</v>
      </c>
      <c r="J209" s="40" t="s">
        <v>139</v>
      </c>
      <c r="K209" s="41"/>
      <c r="L209" s="41"/>
      <c r="M209" s="41"/>
      <c r="N209" s="41"/>
      <c r="O209" s="41"/>
      <c r="P209" s="41"/>
      <c r="Q209" s="41"/>
      <c r="R209" s="41"/>
      <c r="S209" s="41"/>
    </row>
    <row r="210" spans="2:19">
      <c r="B210" s="972"/>
      <c r="C210" s="972"/>
      <c r="D210" s="967"/>
      <c r="E210" s="969"/>
      <c r="F210" s="971"/>
      <c r="G210" s="39" t="s">
        <v>151</v>
      </c>
      <c r="H210" s="41"/>
      <c r="I210" s="41"/>
      <c r="J210" s="41"/>
      <c r="K210" s="40" t="s">
        <v>139</v>
      </c>
      <c r="L210" s="40" t="s">
        <v>139</v>
      </c>
      <c r="M210" s="40" t="s">
        <v>139</v>
      </c>
      <c r="N210" s="41"/>
      <c r="O210" s="41"/>
      <c r="P210" s="41"/>
      <c r="Q210" s="41"/>
      <c r="R210" s="41"/>
      <c r="S210" s="41"/>
    </row>
    <row r="211" spans="2:19">
      <c r="B211" s="972"/>
      <c r="C211" s="972"/>
      <c r="D211" s="967"/>
      <c r="E211" s="969"/>
      <c r="F211" s="971"/>
      <c r="G211" s="39" t="s">
        <v>152</v>
      </c>
      <c r="H211" s="41"/>
      <c r="I211" s="41"/>
      <c r="J211" s="41"/>
      <c r="K211" s="40" t="s">
        <v>139</v>
      </c>
      <c r="L211" s="40" t="s">
        <v>139</v>
      </c>
      <c r="M211" s="40" t="s">
        <v>139</v>
      </c>
      <c r="N211" s="41"/>
      <c r="O211" s="41"/>
      <c r="P211" s="41"/>
      <c r="Q211" s="41"/>
      <c r="R211" s="41"/>
      <c r="S211" s="41"/>
    </row>
    <row r="212" spans="2:19">
      <c r="B212" s="972"/>
      <c r="C212" s="972"/>
      <c r="D212" s="967"/>
      <c r="E212" s="969"/>
      <c r="F212" s="971"/>
      <c r="G212" s="39" t="s">
        <v>153</v>
      </c>
      <c r="H212" s="41"/>
      <c r="I212" s="41"/>
      <c r="J212" s="41"/>
      <c r="K212" s="40" t="s">
        <v>139</v>
      </c>
      <c r="L212" s="40" t="s">
        <v>139</v>
      </c>
      <c r="M212" s="40" t="s">
        <v>139</v>
      </c>
      <c r="N212" s="41"/>
      <c r="O212" s="41"/>
      <c r="P212" s="41"/>
      <c r="Q212" s="41"/>
      <c r="R212" s="41"/>
      <c r="S212" s="41"/>
    </row>
    <row r="213" spans="2:19">
      <c r="B213" s="972"/>
      <c r="C213" s="972"/>
      <c r="D213" s="967"/>
      <c r="E213" s="969"/>
      <c r="F213" s="971"/>
      <c r="G213" s="39" t="s">
        <v>146</v>
      </c>
      <c r="H213" s="41"/>
      <c r="I213" s="41"/>
      <c r="J213" s="41"/>
      <c r="K213" s="41"/>
      <c r="L213" s="41"/>
      <c r="M213" s="41"/>
      <c r="N213" s="43" t="s">
        <v>139</v>
      </c>
      <c r="O213" s="43" t="s">
        <v>139</v>
      </c>
      <c r="P213" s="43" t="s">
        <v>139</v>
      </c>
      <c r="Q213" s="41"/>
      <c r="R213" s="41"/>
      <c r="S213" s="41"/>
    </row>
    <row r="214" spans="2:19">
      <c r="B214" s="972"/>
      <c r="C214" s="972"/>
      <c r="D214" s="967" t="s">
        <v>205</v>
      </c>
      <c r="E214" s="969"/>
      <c r="F214" s="971" t="s">
        <v>7</v>
      </c>
      <c r="G214" s="39" t="s">
        <v>206</v>
      </c>
      <c r="H214" s="40" t="s">
        <v>139</v>
      </c>
      <c r="I214" s="41"/>
      <c r="J214" s="41"/>
      <c r="K214" s="41"/>
      <c r="L214" s="41"/>
      <c r="M214" s="41"/>
      <c r="N214" s="41"/>
      <c r="O214" s="41"/>
      <c r="P214" s="41"/>
      <c r="Q214" s="41"/>
      <c r="R214" s="41"/>
      <c r="S214" s="41"/>
    </row>
    <row r="215" spans="2:19" ht="39.6">
      <c r="B215" s="972"/>
      <c r="C215" s="972"/>
      <c r="D215" s="967"/>
      <c r="E215" s="969"/>
      <c r="F215" s="971"/>
      <c r="G215" s="39" t="s">
        <v>207</v>
      </c>
      <c r="H215" s="40" t="s">
        <v>139</v>
      </c>
      <c r="I215" s="41"/>
      <c r="J215" s="41"/>
      <c r="K215" s="41"/>
      <c r="L215" s="41"/>
      <c r="M215" s="41"/>
      <c r="N215" s="41"/>
      <c r="O215" s="41"/>
      <c r="P215" s="41"/>
      <c r="Q215" s="41"/>
      <c r="R215" s="41"/>
      <c r="S215" s="41"/>
    </row>
    <row r="216" spans="2:19">
      <c r="B216" s="972"/>
      <c r="C216" s="972"/>
      <c r="D216" s="967"/>
      <c r="E216" s="969"/>
      <c r="F216" s="971"/>
      <c r="G216" s="39" t="s">
        <v>204</v>
      </c>
      <c r="H216" s="40" t="s">
        <v>139</v>
      </c>
      <c r="I216" s="40" t="s">
        <v>139</v>
      </c>
      <c r="J216" s="40" t="s">
        <v>139</v>
      </c>
      <c r="K216" s="41"/>
      <c r="L216" s="41"/>
      <c r="M216" s="41"/>
      <c r="N216" s="41"/>
      <c r="O216" s="41"/>
      <c r="P216" s="41"/>
      <c r="Q216" s="41"/>
      <c r="R216" s="41"/>
      <c r="S216" s="41"/>
    </row>
    <row r="217" spans="2:19">
      <c r="B217" s="972"/>
      <c r="C217" s="972"/>
      <c r="D217" s="967"/>
      <c r="E217" s="969"/>
      <c r="F217" s="971"/>
      <c r="G217" s="39" t="s">
        <v>151</v>
      </c>
      <c r="H217" s="40" t="s">
        <v>139</v>
      </c>
      <c r="I217" s="40" t="s">
        <v>139</v>
      </c>
      <c r="J217" s="40" t="s">
        <v>139</v>
      </c>
      <c r="K217" s="41"/>
      <c r="L217" s="41"/>
      <c r="M217" s="41"/>
      <c r="N217" s="41"/>
      <c r="O217" s="41"/>
      <c r="P217" s="41"/>
      <c r="Q217" s="41"/>
      <c r="R217" s="41"/>
      <c r="S217" s="41"/>
    </row>
    <row r="218" spans="2:19">
      <c r="B218" s="972"/>
      <c r="C218" s="972"/>
      <c r="D218" s="967"/>
      <c r="E218" s="969"/>
      <c r="F218" s="971"/>
      <c r="G218" s="39" t="s">
        <v>152</v>
      </c>
      <c r="H218" s="41"/>
      <c r="I218" s="41"/>
      <c r="J218" s="41"/>
      <c r="K218" s="40" t="s">
        <v>139</v>
      </c>
      <c r="L218" s="40" t="s">
        <v>139</v>
      </c>
      <c r="M218" s="40" t="s">
        <v>139</v>
      </c>
      <c r="N218" s="41"/>
      <c r="O218" s="41"/>
      <c r="P218" s="41"/>
      <c r="Q218" s="41"/>
      <c r="R218" s="41"/>
      <c r="S218" s="41"/>
    </row>
    <row r="219" spans="2:19">
      <c r="B219" s="972"/>
      <c r="C219" s="972"/>
      <c r="D219" s="967"/>
      <c r="E219" s="969"/>
      <c r="F219" s="971"/>
      <c r="G219" s="39" t="s">
        <v>153</v>
      </c>
      <c r="H219" s="41"/>
      <c r="I219" s="41"/>
      <c r="J219" s="41"/>
      <c r="K219" s="41"/>
      <c r="L219" s="41"/>
      <c r="M219" s="41"/>
      <c r="N219" s="43" t="s">
        <v>139</v>
      </c>
      <c r="O219" s="43" t="s">
        <v>139</v>
      </c>
      <c r="P219" s="43" t="s">
        <v>139</v>
      </c>
      <c r="Q219" s="41"/>
      <c r="R219" s="41"/>
      <c r="S219" s="41"/>
    </row>
    <row r="220" spans="2:19">
      <c r="B220" s="972"/>
      <c r="C220" s="972"/>
      <c r="D220" s="967"/>
      <c r="E220" s="969"/>
      <c r="F220" s="971"/>
      <c r="G220" s="39" t="s">
        <v>146</v>
      </c>
      <c r="H220" s="41"/>
      <c r="I220" s="41"/>
      <c r="J220" s="41"/>
      <c r="K220" s="41"/>
      <c r="L220" s="41"/>
      <c r="M220" s="41"/>
      <c r="N220" s="41"/>
      <c r="O220" s="41"/>
      <c r="P220" s="41"/>
      <c r="Q220" s="43" t="s">
        <v>139</v>
      </c>
      <c r="R220" s="43" t="s">
        <v>139</v>
      </c>
      <c r="S220" s="43" t="s">
        <v>139</v>
      </c>
    </row>
    <row r="221" spans="2:19">
      <c r="B221" s="972"/>
      <c r="C221" s="972"/>
      <c r="D221" s="967" t="s">
        <v>208</v>
      </c>
      <c r="E221" s="969"/>
      <c r="F221" s="971" t="s">
        <v>7</v>
      </c>
      <c r="G221" s="39" t="s">
        <v>204</v>
      </c>
      <c r="H221" s="41"/>
      <c r="I221" s="41"/>
      <c r="J221" s="41"/>
      <c r="K221" s="40" t="s">
        <v>139</v>
      </c>
      <c r="L221" s="40" t="s">
        <v>139</v>
      </c>
      <c r="M221" s="40" t="s">
        <v>139</v>
      </c>
      <c r="N221" s="41"/>
      <c r="O221" s="41"/>
      <c r="P221" s="41"/>
      <c r="Q221" s="41"/>
      <c r="R221" s="41"/>
      <c r="S221" s="41"/>
    </row>
    <row r="222" spans="2:19">
      <c r="B222" s="972"/>
      <c r="C222" s="972"/>
      <c r="D222" s="967"/>
      <c r="E222" s="969"/>
      <c r="F222" s="971"/>
      <c r="G222" s="39" t="s">
        <v>151</v>
      </c>
      <c r="H222" s="41"/>
      <c r="I222" s="41"/>
      <c r="J222" s="41"/>
      <c r="K222" s="40" t="s">
        <v>139</v>
      </c>
      <c r="L222" s="40" t="s">
        <v>139</v>
      </c>
      <c r="M222" s="40" t="s">
        <v>139</v>
      </c>
      <c r="N222" s="41"/>
      <c r="O222" s="41"/>
      <c r="P222" s="41"/>
      <c r="Q222" s="41"/>
      <c r="R222" s="41"/>
      <c r="S222" s="41"/>
    </row>
    <row r="223" spans="2:19">
      <c r="B223" s="972"/>
      <c r="C223" s="972"/>
      <c r="D223" s="967"/>
      <c r="E223" s="969"/>
      <c r="F223" s="971"/>
      <c r="G223" s="39" t="s">
        <v>152</v>
      </c>
      <c r="H223" s="41"/>
      <c r="I223" s="41"/>
      <c r="J223" s="41"/>
      <c r="K223" s="41"/>
      <c r="L223" s="41"/>
      <c r="M223" s="41"/>
      <c r="N223" s="43" t="s">
        <v>139</v>
      </c>
      <c r="O223" s="43" t="s">
        <v>139</v>
      </c>
      <c r="P223" s="43" t="s">
        <v>139</v>
      </c>
      <c r="Q223" s="41"/>
      <c r="R223" s="41"/>
      <c r="S223" s="41"/>
    </row>
    <row r="224" spans="2:19">
      <c r="B224" s="972"/>
      <c r="C224" s="972"/>
      <c r="D224" s="967"/>
      <c r="E224" s="969"/>
      <c r="F224" s="971"/>
      <c r="G224" s="39" t="s">
        <v>153</v>
      </c>
      <c r="H224" s="41"/>
      <c r="I224" s="41"/>
      <c r="J224" s="41"/>
      <c r="K224" s="41"/>
      <c r="L224" s="41"/>
      <c r="M224" s="41"/>
      <c r="N224" s="41"/>
      <c r="O224" s="41"/>
      <c r="P224" s="41"/>
      <c r="Q224" s="43" t="s">
        <v>139</v>
      </c>
      <c r="R224" s="43" t="s">
        <v>139</v>
      </c>
      <c r="S224" s="43" t="s">
        <v>139</v>
      </c>
    </row>
    <row r="225" spans="2:19">
      <c r="B225" s="972"/>
      <c r="C225" s="972"/>
      <c r="D225" s="967"/>
      <c r="E225" s="969"/>
      <c r="F225" s="971"/>
      <c r="G225" s="39" t="s">
        <v>146</v>
      </c>
      <c r="H225" s="41"/>
      <c r="I225" s="41"/>
      <c r="J225" s="41"/>
      <c r="K225" s="41"/>
      <c r="L225" s="41"/>
      <c r="M225" s="41"/>
      <c r="N225" s="41"/>
      <c r="O225" s="41"/>
      <c r="P225" s="41"/>
      <c r="Q225" s="41"/>
      <c r="R225" s="41"/>
      <c r="S225" s="43" t="s">
        <v>139</v>
      </c>
    </row>
    <row r="226" spans="2:19" ht="26.4">
      <c r="B226" s="972"/>
      <c r="C226" s="972"/>
      <c r="D226" s="44" t="s">
        <v>209</v>
      </c>
      <c r="E226" s="45">
        <v>19771333</v>
      </c>
      <c r="F226" s="46" t="s">
        <v>7</v>
      </c>
      <c r="G226" s="39" t="s">
        <v>210</v>
      </c>
      <c r="H226" s="40" t="s">
        <v>139</v>
      </c>
      <c r="I226" s="40" t="s">
        <v>139</v>
      </c>
      <c r="J226" s="40" t="s">
        <v>139</v>
      </c>
      <c r="K226" s="40" t="s">
        <v>139</v>
      </c>
      <c r="L226" s="40" t="s">
        <v>139</v>
      </c>
      <c r="M226" s="40" t="s">
        <v>139</v>
      </c>
      <c r="N226" s="43" t="s">
        <v>139</v>
      </c>
      <c r="O226" s="43" t="s">
        <v>139</v>
      </c>
      <c r="P226" s="43" t="s">
        <v>139</v>
      </c>
      <c r="Q226" s="43" t="s">
        <v>139</v>
      </c>
      <c r="R226" s="43" t="s">
        <v>139</v>
      </c>
      <c r="S226" s="43" t="s">
        <v>139</v>
      </c>
    </row>
    <row r="227" spans="2:19">
      <c r="B227" s="964" t="s">
        <v>211</v>
      </c>
      <c r="C227" s="964"/>
      <c r="D227" s="964"/>
      <c r="E227" s="47">
        <v>9610120271</v>
      </c>
      <c r="F227" s="30"/>
      <c r="G227" s="30"/>
      <c r="H227" s="30"/>
      <c r="I227" s="30"/>
      <c r="J227" s="30"/>
      <c r="K227" s="30"/>
      <c r="L227" s="30"/>
      <c r="M227" s="30"/>
      <c r="N227" s="30"/>
      <c r="O227" s="30"/>
      <c r="P227" s="30"/>
      <c r="Q227" s="30"/>
      <c r="R227" s="30"/>
      <c r="S227" s="30"/>
    </row>
    <row r="228" spans="2:19">
      <c r="B228" s="966" t="s">
        <v>212</v>
      </c>
      <c r="C228" s="966"/>
      <c r="D228" s="966"/>
      <c r="E228" s="966"/>
      <c r="F228" s="34"/>
      <c r="G228" s="34"/>
      <c r="H228" s="34"/>
      <c r="I228" s="34"/>
      <c r="J228" s="34"/>
      <c r="K228" s="34"/>
      <c r="L228" s="34"/>
      <c r="M228" s="34"/>
      <c r="N228" s="34"/>
      <c r="O228" s="34"/>
      <c r="P228" s="34"/>
      <c r="Q228" s="34"/>
      <c r="R228" s="34"/>
      <c r="S228" s="34"/>
    </row>
    <row r="229" spans="2:19" ht="26.4">
      <c r="B229" s="967" t="s">
        <v>213</v>
      </c>
      <c r="C229" s="48">
        <v>5</v>
      </c>
      <c r="D229" s="44" t="s">
        <v>214</v>
      </c>
      <c r="E229" s="49" t="s">
        <v>215</v>
      </c>
      <c r="F229" s="970" t="s">
        <v>6</v>
      </c>
      <c r="G229" s="39" t="s">
        <v>216</v>
      </c>
      <c r="H229" s="42" t="s">
        <v>139</v>
      </c>
      <c r="I229" s="42" t="s">
        <v>139</v>
      </c>
      <c r="J229" s="42" t="s">
        <v>139</v>
      </c>
      <c r="K229" s="41"/>
      <c r="L229" s="41"/>
      <c r="M229" s="41"/>
      <c r="N229" s="41"/>
      <c r="O229" s="41"/>
      <c r="P229" s="41"/>
      <c r="Q229" s="41"/>
      <c r="R229" s="41"/>
      <c r="S229" s="41"/>
    </row>
    <row r="230" spans="2:19">
      <c r="B230" s="967"/>
      <c r="C230" s="50"/>
      <c r="D230" s="14"/>
      <c r="E230" s="51"/>
      <c r="F230" s="970"/>
      <c r="G230" s="39" t="s">
        <v>217</v>
      </c>
      <c r="H230" s="42" t="s">
        <v>139</v>
      </c>
      <c r="I230" s="42" t="s">
        <v>139</v>
      </c>
      <c r="J230" s="42" t="s">
        <v>139</v>
      </c>
      <c r="K230" s="42" t="s">
        <v>139</v>
      </c>
      <c r="L230" s="41"/>
      <c r="M230" s="41"/>
      <c r="N230" s="41"/>
      <c r="O230" s="41"/>
      <c r="P230" s="41"/>
      <c r="Q230" s="41"/>
      <c r="R230" s="41"/>
      <c r="S230" s="41"/>
    </row>
    <row r="231" spans="2:19">
      <c r="B231" s="967"/>
      <c r="C231" s="968">
        <v>4</v>
      </c>
      <c r="D231" s="967" t="s">
        <v>218</v>
      </c>
      <c r="E231" s="973" t="s">
        <v>219</v>
      </c>
      <c r="F231" s="970"/>
      <c r="G231" s="39" t="s">
        <v>220</v>
      </c>
      <c r="H231" s="42" t="s">
        <v>139</v>
      </c>
      <c r="I231" s="42" t="s">
        <v>139</v>
      </c>
      <c r="J231" s="42" t="s">
        <v>139</v>
      </c>
      <c r="K231" s="41"/>
      <c r="L231" s="41"/>
      <c r="M231" s="41"/>
      <c r="N231" s="41"/>
      <c r="O231" s="41"/>
      <c r="P231" s="41"/>
      <c r="Q231" s="41"/>
      <c r="R231" s="41"/>
      <c r="S231" s="41"/>
    </row>
    <row r="232" spans="2:19">
      <c r="B232" s="967"/>
      <c r="C232" s="968"/>
      <c r="D232" s="967"/>
      <c r="E232" s="973"/>
      <c r="F232" s="970"/>
      <c r="G232" s="39" t="s">
        <v>221</v>
      </c>
      <c r="H232" s="42" t="s">
        <v>139</v>
      </c>
      <c r="I232" s="42" t="s">
        <v>139</v>
      </c>
      <c r="J232" s="42" t="s">
        <v>139</v>
      </c>
      <c r="K232" s="42" t="s">
        <v>139</v>
      </c>
      <c r="L232" s="41"/>
      <c r="M232" s="41"/>
      <c r="N232" s="41"/>
      <c r="O232" s="41"/>
      <c r="P232" s="41"/>
      <c r="Q232" s="41"/>
      <c r="R232" s="41"/>
      <c r="S232" s="41"/>
    </row>
    <row r="233" spans="2:19">
      <c r="B233" s="967"/>
      <c r="C233" s="968">
        <v>3</v>
      </c>
      <c r="D233" s="967" t="s">
        <v>222</v>
      </c>
      <c r="E233" s="973" t="s">
        <v>223</v>
      </c>
      <c r="F233" s="970"/>
      <c r="G233" s="39" t="s">
        <v>224</v>
      </c>
      <c r="H233" s="41"/>
      <c r="I233" s="41"/>
      <c r="J233" s="41"/>
      <c r="K233" s="42" t="s">
        <v>139</v>
      </c>
      <c r="L233" s="42" t="s">
        <v>139</v>
      </c>
      <c r="M233" s="42" t="s">
        <v>139</v>
      </c>
      <c r="N233" s="42" t="s">
        <v>139</v>
      </c>
      <c r="O233" s="42" t="s">
        <v>139</v>
      </c>
      <c r="P233" s="42" t="s">
        <v>139</v>
      </c>
      <c r="Q233" s="41"/>
      <c r="R233" s="41"/>
      <c r="S233" s="41"/>
    </row>
    <row r="234" spans="2:19">
      <c r="B234" s="967"/>
      <c r="C234" s="968"/>
      <c r="D234" s="967"/>
      <c r="E234" s="973"/>
      <c r="F234" s="970"/>
      <c r="G234" s="39" t="s">
        <v>225</v>
      </c>
      <c r="H234" s="41"/>
      <c r="I234" s="41"/>
      <c r="J234" s="41"/>
      <c r="K234" s="42" t="s">
        <v>139</v>
      </c>
      <c r="L234" s="42" t="s">
        <v>139</v>
      </c>
      <c r="M234" s="42" t="s">
        <v>139</v>
      </c>
      <c r="N234" s="42" t="s">
        <v>139</v>
      </c>
      <c r="O234" s="42" t="s">
        <v>139</v>
      </c>
      <c r="P234" s="42" t="s">
        <v>139</v>
      </c>
      <c r="Q234" s="42" t="s">
        <v>139</v>
      </c>
      <c r="R234" s="42" t="s">
        <v>139</v>
      </c>
      <c r="S234" s="42" t="s">
        <v>139</v>
      </c>
    </row>
    <row r="235" spans="2:19">
      <c r="B235" s="967"/>
      <c r="C235" s="968">
        <v>5</v>
      </c>
      <c r="D235" s="967" t="s">
        <v>226</v>
      </c>
      <c r="E235" s="969">
        <v>984000000</v>
      </c>
      <c r="F235" s="970" t="s">
        <v>8</v>
      </c>
      <c r="G235" s="39" t="s">
        <v>227</v>
      </c>
      <c r="H235" s="41"/>
      <c r="I235" s="41"/>
      <c r="J235" s="41"/>
      <c r="K235" s="41"/>
      <c r="L235" s="41"/>
      <c r="M235" s="40" t="s">
        <v>149</v>
      </c>
      <c r="N235" s="41"/>
      <c r="O235" s="41"/>
      <c r="P235" s="41"/>
      <c r="Q235" s="41"/>
      <c r="R235" s="41"/>
      <c r="S235" s="41"/>
    </row>
    <row r="236" spans="2:19">
      <c r="B236" s="967"/>
      <c r="C236" s="968"/>
      <c r="D236" s="967"/>
      <c r="E236" s="969"/>
      <c r="F236" s="970"/>
      <c r="G236" s="39" t="s">
        <v>228</v>
      </c>
      <c r="H236" s="41"/>
      <c r="I236" s="41"/>
      <c r="J236" s="41"/>
      <c r="K236" s="41"/>
      <c r="L236" s="41"/>
      <c r="M236" s="41"/>
      <c r="N236" s="40" t="s">
        <v>149</v>
      </c>
      <c r="O236" s="41"/>
      <c r="P236" s="41"/>
      <c r="Q236" s="41"/>
      <c r="R236" s="41"/>
      <c r="S236" s="41"/>
    </row>
    <row r="237" spans="2:19">
      <c r="B237" s="967"/>
      <c r="C237" s="968"/>
      <c r="D237" s="967"/>
      <c r="E237" s="969"/>
      <c r="F237" s="970"/>
      <c r="G237" s="39" t="s">
        <v>229</v>
      </c>
      <c r="H237" s="41"/>
      <c r="I237" s="41"/>
      <c r="J237" s="41"/>
      <c r="K237" s="41"/>
      <c r="L237" s="41"/>
      <c r="M237" s="41"/>
      <c r="N237" s="41"/>
      <c r="O237" s="40" t="s">
        <v>149</v>
      </c>
      <c r="P237" s="41"/>
      <c r="Q237" s="41"/>
      <c r="R237" s="41"/>
      <c r="S237" s="41"/>
    </row>
    <row r="238" spans="2:19">
      <c r="B238" s="967"/>
      <c r="C238" s="968"/>
      <c r="D238" s="967"/>
      <c r="E238" s="969"/>
      <c r="F238" s="970"/>
      <c r="G238" s="39" t="s">
        <v>230</v>
      </c>
      <c r="H238" s="41"/>
      <c r="I238" s="41"/>
      <c r="J238" s="41"/>
      <c r="K238" s="41"/>
      <c r="L238" s="41"/>
      <c r="M238" s="41"/>
      <c r="N238" s="41"/>
      <c r="O238" s="40" t="s">
        <v>149</v>
      </c>
      <c r="P238" s="40" t="s">
        <v>149</v>
      </c>
      <c r="Q238" s="40" t="s">
        <v>149</v>
      </c>
      <c r="R238" s="40" t="s">
        <v>149</v>
      </c>
      <c r="S238" s="40" t="s">
        <v>149</v>
      </c>
    </row>
    <row r="239" spans="2:19">
      <c r="B239" s="967"/>
      <c r="C239" s="968"/>
      <c r="D239" s="967"/>
      <c r="E239" s="969"/>
      <c r="F239" s="970"/>
      <c r="G239" s="39" t="s">
        <v>231</v>
      </c>
      <c r="H239" s="41"/>
      <c r="I239" s="41"/>
      <c r="J239" s="41"/>
      <c r="K239" s="41"/>
      <c r="L239" s="41"/>
      <c r="M239" s="41"/>
      <c r="N239" s="41"/>
      <c r="O239" s="40" t="s">
        <v>149</v>
      </c>
      <c r="P239" s="40" t="s">
        <v>149</v>
      </c>
      <c r="Q239" s="40" t="s">
        <v>149</v>
      </c>
      <c r="R239" s="40" t="s">
        <v>149</v>
      </c>
      <c r="S239" s="40" t="s">
        <v>149</v>
      </c>
    </row>
    <row r="240" spans="2:19">
      <c r="B240" s="967"/>
      <c r="C240" s="968"/>
      <c r="D240" s="967"/>
      <c r="E240" s="969"/>
      <c r="F240" s="970"/>
      <c r="G240" s="39" t="s">
        <v>232</v>
      </c>
      <c r="H240" s="41"/>
      <c r="I240" s="41"/>
      <c r="J240" s="41"/>
      <c r="K240" s="41"/>
      <c r="L240" s="41"/>
      <c r="M240" s="41"/>
      <c r="N240" s="41"/>
      <c r="O240" s="40" t="s">
        <v>149</v>
      </c>
      <c r="P240" s="40" t="s">
        <v>149</v>
      </c>
      <c r="Q240" s="40" t="s">
        <v>149</v>
      </c>
      <c r="R240" s="40" t="s">
        <v>149</v>
      </c>
      <c r="S240" s="40" t="s">
        <v>149</v>
      </c>
    </row>
    <row r="241" spans="2:19">
      <c r="B241" s="967"/>
      <c r="C241" s="968"/>
      <c r="D241" s="967"/>
      <c r="E241" s="969"/>
      <c r="F241" s="970"/>
      <c r="G241" s="39" t="s">
        <v>233</v>
      </c>
      <c r="H241" s="41"/>
      <c r="I241" s="41"/>
      <c r="J241" s="41"/>
      <c r="K241" s="41"/>
      <c r="L241" s="41"/>
      <c r="M241" s="41"/>
      <c r="N241" s="41"/>
      <c r="O241" s="40" t="s">
        <v>149</v>
      </c>
      <c r="P241" s="40" t="s">
        <v>149</v>
      </c>
      <c r="Q241" s="40" t="s">
        <v>149</v>
      </c>
      <c r="R241" s="40" t="s">
        <v>149</v>
      </c>
      <c r="S241" s="40" t="s">
        <v>149</v>
      </c>
    </row>
    <row r="242" spans="2:19">
      <c r="B242" s="967"/>
      <c r="C242" s="968"/>
      <c r="D242" s="967"/>
      <c r="E242" s="969"/>
      <c r="F242" s="970"/>
      <c r="G242" s="39" t="s">
        <v>234</v>
      </c>
      <c r="H242" s="41"/>
      <c r="I242" s="41"/>
      <c r="J242" s="41"/>
      <c r="K242" s="41"/>
      <c r="L242" s="41"/>
      <c r="M242" s="41"/>
      <c r="N242" s="41"/>
      <c r="O242" s="40" t="s">
        <v>149</v>
      </c>
      <c r="P242" s="40" t="s">
        <v>149</v>
      </c>
      <c r="Q242" s="40" t="s">
        <v>149</v>
      </c>
      <c r="R242" s="40" t="s">
        <v>149</v>
      </c>
      <c r="S242" s="40" t="s">
        <v>149</v>
      </c>
    </row>
    <row r="243" spans="2:19">
      <c r="B243" s="967"/>
      <c r="C243" s="968"/>
      <c r="D243" s="967"/>
      <c r="E243" s="969"/>
      <c r="F243" s="970"/>
      <c r="G243" s="39" t="s">
        <v>235</v>
      </c>
      <c r="H243" s="41"/>
      <c r="I243" s="41"/>
      <c r="J243" s="41"/>
      <c r="K243" s="41"/>
      <c r="L243" s="41"/>
      <c r="M243" s="41"/>
      <c r="N243" s="41"/>
      <c r="O243" s="40" t="s">
        <v>149</v>
      </c>
      <c r="P243" s="40" t="s">
        <v>149</v>
      </c>
      <c r="Q243" s="40" t="s">
        <v>149</v>
      </c>
      <c r="R243" s="40" t="s">
        <v>149</v>
      </c>
      <c r="S243" s="40" t="s">
        <v>149</v>
      </c>
    </row>
    <row r="244" spans="2:19" ht="39.6">
      <c r="B244" s="967"/>
      <c r="C244" s="968"/>
      <c r="D244" s="44" t="s">
        <v>236</v>
      </c>
      <c r="E244" s="45">
        <v>66500000</v>
      </c>
      <c r="F244" s="970"/>
      <c r="G244" s="39" t="s">
        <v>237</v>
      </c>
      <c r="H244" s="40" t="s">
        <v>149</v>
      </c>
      <c r="I244" s="40" t="s">
        <v>149</v>
      </c>
      <c r="J244" s="40" t="s">
        <v>149</v>
      </c>
      <c r="K244" s="40" t="s">
        <v>149</v>
      </c>
      <c r="L244" s="40" t="s">
        <v>149</v>
      </c>
      <c r="M244" s="40" t="s">
        <v>149</v>
      </c>
      <c r="N244" s="40" t="s">
        <v>149</v>
      </c>
      <c r="O244" s="40" t="s">
        <v>149</v>
      </c>
      <c r="P244" s="40" t="s">
        <v>149</v>
      </c>
      <c r="Q244" s="40" t="s">
        <v>149</v>
      </c>
      <c r="R244" s="40" t="s">
        <v>149</v>
      </c>
      <c r="S244" s="40" t="s">
        <v>149</v>
      </c>
    </row>
    <row r="245" spans="2:19">
      <c r="B245" s="967"/>
      <c r="C245" s="968">
        <v>5</v>
      </c>
      <c r="D245" s="967" t="s">
        <v>238</v>
      </c>
      <c r="E245" s="969">
        <v>687639154</v>
      </c>
      <c r="F245" s="970" t="s">
        <v>9</v>
      </c>
      <c r="G245" s="39" t="s">
        <v>239</v>
      </c>
      <c r="H245" s="40" t="s">
        <v>139</v>
      </c>
      <c r="I245" s="41"/>
      <c r="J245" s="41"/>
      <c r="K245" s="41"/>
      <c r="L245" s="41"/>
      <c r="M245" s="41"/>
      <c r="N245" s="41"/>
      <c r="O245" s="41"/>
      <c r="P245" s="41"/>
      <c r="Q245" s="41"/>
      <c r="R245" s="41"/>
      <c r="S245" s="41"/>
    </row>
    <row r="246" spans="2:19" ht="26.4">
      <c r="B246" s="967"/>
      <c r="C246" s="968"/>
      <c r="D246" s="967"/>
      <c r="E246" s="969"/>
      <c r="F246" s="970"/>
      <c r="G246" s="39" t="s">
        <v>240</v>
      </c>
      <c r="H246" s="40" t="s">
        <v>139</v>
      </c>
      <c r="I246" s="40" t="s">
        <v>139</v>
      </c>
      <c r="J246" s="41"/>
      <c r="K246" s="41"/>
      <c r="L246" s="41"/>
      <c r="M246" s="41"/>
      <c r="N246" s="41"/>
      <c r="O246" s="41"/>
      <c r="P246" s="41"/>
      <c r="Q246" s="41"/>
      <c r="R246" s="41"/>
      <c r="S246" s="41"/>
    </row>
    <row r="247" spans="2:19">
      <c r="B247" s="967"/>
      <c r="C247" s="968"/>
      <c r="D247" s="967"/>
      <c r="E247" s="969"/>
      <c r="F247" s="970"/>
      <c r="G247" s="39" t="s">
        <v>241</v>
      </c>
      <c r="H247" s="41"/>
      <c r="I247" s="41"/>
      <c r="J247" s="40" t="s">
        <v>139</v>
      </c>
      <c r="K247" s="40" t="s">
        <v>139</v>
      </c>
      <c r="L247" s="40" t="s">
        <v>139</v>
      </c>
      <c r="M247" s="40" t="s">
        <v>139</v>
      </c>
      <c r="N247" s="40" t="s">
        <v>139</v>
      </c>
      <c r="O247" s="40" t="s">
        <v>139</v>
      </c>
      <c r="P247" s="40" t="s">
        <v>139</v>
      </c>
      <c r="Q247" s="40" t="s">
        <v>139</v>
      </c>
      <c r="R247" s="41"/>
      <c r="S247" s="41"/>
    </row>
    <row r="248" spans="2:19" ht="26.4">
      <c r="B248" s="967"/>
      <c r="C248" s="968"/>
      <c r="D248" s="967"/>
      <c r="E248" s="969"/>
      <c r="F248" s="970"/>
      <c r="G248" s="39" t="s">
        <v>242</v>
      </c>
      <c r="H248" s="41"/>
      <c r="I248" s="41"/>
      <c r="J248" s="41"/>
      <c r="K248" s="41"/>
      <c r="L248" s="40" t="s">
        <v>139</v>
      </c>
      <c r="M248" s="40" t="s">
        <v>139</v>
      </c>
      <c r="N248" s="40" t="s">
        <v>139</v>
      </c>
      <c r="O248" s="40" t="s">
        <v>139</v>
      </c>
      <c r="P248" s="40" t="s">
        <v>139</v>
      </c>
      <c r="Q248" s="41"/>
      <c r="R248" s="41"/>
      <c r="S248" s="41"/>
    </row>
    <row r="249" spans="2:19">
      <c r="B249" s="967"/>
      <c r="C249" s="968"/>
      <c r="D249" s="967"/>
      <c r="E249" s="969"/>
      <c r="F249" s="970"/>
      <c r="G249" s="39" t="s">
        <v>243</v>
      </c>
      <c r="H249" s="41"/>
      <c r="I249" s="41"/>
      <c r="J249" s="41"/>
      <c r="K249" s="41"/>
      <c r="L249" s="41"/>
      <c r="M249" s="41"/>
      <c r="N249" s="41"/>
      <c r="O249" s="41"/>
      <c r="P249" s="40" t="s">
        <v>139</v>
      </c>
      <c r="Q249" s="40" t="s">
        <v>139</v>
      </c>
      <c r="R249" s="40" t="s">
        <v>139</v>
      </c>
      <c r="S249" s="40" t="s">
        <v>139</v>
      </c>
    </row>
    <row r="250" spans="2:19">
      <c r="B250" s="967"/>
      <c r="C250" s="968"/>
      <c r="D250" s="967"/>
      <c r="E250" s="969"/>
      <c r="F250" s="970"/>
      <c r="G250" s="39" t="s">
        <v>244</v>
      </c>
      <c r="H250" s="41"/>
      <c r="I250" s="41"/>
      <c r="J250" s="41"/>
      <c r="K250" s="41"/>
      <c r="L250" s="41"/>
      <c r="M250" s="41"/>
      <c r="N250" s="41"/>
      <c r="O250" s="41"/>
      <c r="P250" s="40" t="s">
        <v>139</v>
      </c>
      <c r="Q250" s="40" t="s">
        <v>139</v>
      </c>
      <c r="R250" s="40" t="s">
        <v>139</v>
      </c>
      <c r="S250" s="40" t="s">
        <v>139</v>
      </c>
    </row>
    <row r="251" spans="2:19">
      <c r="B251" s="967"/>
      <c r="C251" s="968"/>
      <c r="D251" s="967"/>
      <c r="E251" s="969"/>
      <c r="F251" s="970"/>
      <c r="G251" s="39" t="s">
        <v>245</v>
      </c>
      <c r="H251" s="41"/>
      <c r="I251" s="41"/>
      <c r="J251" s="41"/>
      <c r="K251" s="41"/>
      <c r="L251" s="41"/>
      <c r="M251" s="41"/>
      <c r="N251" s="41"/>
      <c r="O251" s="41"/>
      <c r="P251" s="41"/>
      <c r="Q251" s="40" t="s">
        <v>139</v>
      </c>
      <c r="R251" s="40" t="s">
        <v>139</v>
      </c>
      <c r="S251" s="40" t="s">
        <v>139</v>
      </c>
    </row>
    <row r="252" spans="2:19">
      <c r="B252" s="967"/>
      <c r="C252" s="968"/>
      <c r="D252" s="967"/>
      <c r="E252" s="969"/>
      <c r="F252" s="970"/>
      <c r="G252" s="39" t="s">
        <v>246</v>
      </c>
      <c r="H252" s="41"/>
      <c r="I252" s="41"/>
      <c r="J252" s="41"/>
      <c r="K252" s="41"/>
      <c r="L252" s="41"/>
      <c r="M252" s="41"/>
      <c r="N252" s="41"/>
      <c r="O252" s="41"/>
      <c r="P252" s="41"/>
      <c r="Q252" s="41"/>
      <c r="R252" s="40" t="s">
        <v>139</v>
      </c>
      <c r="S252" s="40" t="s">
        <v>139</v>
      </c>
    </row>
    <row r="253" spans="2:19">
      <c r="B253" s="967"/>
      <c r="C253" s="968"/>
      <c r="D253" s="967"/>
      <c r="E253" s="969"/>
      <c r="F253" s="970"/>
      <c r="G253" s="39" t="s">
        <v>247</v>
      </c>
      <c r="H253" s="41"/>
      <c r="I253" s="41"/>
      <c r="J253" s="41"/>
      <c r="K253" s="41"/>
      <c r="L253" s="41"/>
      <c r="M253" s="41"/>
      <c r="N253" s="41"/>
      <c r="O253" s="41"/>
      <c r="P253" s="41"/>
      <c r="Q253" s="41"/>
      <c r="R253" s="40" t="s">
        <v>139</v>
      </c>
      <c r="S253" s="40" t="s">
        <v>139</v>
      </c>
    </row>
    <row r="254" spans="2:19" ht="26.4">
      <c r="B254" s="967"/>
      <c r="C254" s="968"/>
      <c r="D254" s="44" t="s">
        <v>248</v>
      </c>
      <c r="E254" s="45">
        <v>94150000</v>
      </c>
      <c r="F254" s="970"/>
      <c r="G254" s="39" t="s">
        <v>249</v>
      </c>
      <c r="H254" s="40" t="s">
        <v>139</v>
      </c>
      <c r="I254" s="40" t="s">
        <v>139</v>
      </c>
      <c r="J254" s="40" t="s">
        <v>139</v>
      </c>
      <c r="K254" s="40" t="s">
        <v>139</v>
      </c>
      <c r="L254" s="40" t="s">
        <v>139</v>
      </c>
      <c r="M254" s="40" t="s">
        <v>139</v>
      </c>
      <c r="N254" s="40" t="s">
        <v>139</v>
      </c>
      <c r="O254" s="40" t="s">
        <v>139</v>
      </c>
      <c r="P254" s="40" t="s">
        <v>139</v>
      </c>
      <c r="Q254" s="40" t="s">
        <v>139</v>
      </c>
      <c r="R254" s="40" t="s">
        <v>139</v>
      </c>
      <c r="S254" s="40" t="s">
        <v>139</v>
      </c>
    </row>
    <row r="255" spans="2:19">
      <c r="B255" s="967"/>
      <c r="C255" s="968">
        <v>19</v>
      </c>
      <c r="D255" s="967" t="s">
        <v>250</v>
      </c>
      <c r="E255" s="973">
        <v>2352247312</v>
      </c>
      <c r="F255" s="980" t="s">
        <v>7</v>
      </c>
      <c r="G255" s="39" t="s">
        <v>251</v>
      </c>
      <c r="H255" s="42" t="s">
        <v>149</v>
      </c>
      <c r="I255" s="42" t="s">
        <v>149</v>
      </c>
      <c r="J255" s="41"/>
      <c r="K255" s="41"/>
      <c r="L255" s="41"/>
      <c r="M255" s="41"/>
      <c r="N255" s="41"/>
      <c r="O255" s="41"/>
      <c r="P255" s="41"/>
      <c r="Q255" s="41"/>
      <c r="R255" s="41"/>
      <c r="S255" s="41"/>
    </row>
    <row r="256" spans="2:19" ht="26.4">
      <c r="B256" s="967"/>
      <c r="C256" s="968"/>
      <c r="D256" s="967"/>
      <c r="E256" s="973"/>
      <c r="F256" s="981"/>
      <c r="G256" s="39" t="s">
        <v>252</v>
      </c>
      <c r="H256" s="40" t="s">
        <v>139</v>
      </c>
      <c r="I256" s="40" t="s">
        <v>139</v>
      </c>
      <c r="J256" s="40" t="s">
        <v>139</v>
      </c>
      <c r="K256" s="41"/>
      <c r="L256" s="41"/>
      <c r="M256" s="41"/>
      <c r="N256" s="41"/>
      <c r="O256" s="41"/>
      <c r="P256" s="41"/>
      <c r="Q256" s="41"/>
      <c r="R256" s="41"/>
      <c r="S256" s="41"/>
    </row>
    <row r="257" spans="2:19">
      <c r="B257" s="967"/>
      <c r="C257" s="968"/>
      <c r="D257" s="967"/>
      <c r="E257" s="973"/>
      <c r="F257" s="981"/>
      <c r="G257" s="39" t="s">
        <v>253</v>
      </c>
      <c r="H257" s="40" t="s">
        <v>139</v>
      </c>
      <c r="I257" s="40" t="s">
        <v>139</v>
      </c>
      <c r="J257" s="40" t="s">
        <v>139</v>
      </c>
      <c r="K257" s="40" t="s">
        <v>149</v>
      </c>
      <c r="L257" s="41"/>
      <c r="M257" s="41"/>
      <c r="N257" s="41"/>
      <c r="O257" s="41"/>
      <c r="P257" s="41"/>
      <c r="Q257" s="41"/>
      <c r="R257" s="41"/>
      <c r="S257" s="41"/>
    </row>
    <row r="258" spans="2:19">
      <c r="B258" s="967"/>
      <c r="C258" s="968"/>
      <c r="D258" s="967"/>
      <c r="E258" s="973"/>
      <c r="F258" s="981"/>
      <c r="G258" s="39" t="s">
        <v>244</v>
      </c>
      <c r="H258" s="40" t="s">
        <v>139</v>
      </c>
      <c r="I258" s="40" t="s">
        <v>139</v>
      </c>
      <c r="J258" s="40" t="s">
        <v>139</v>
      </c>
      <c r="K258" s="40" t="s">
        <v>139</v>
      </c>
      <c r="L258" s="40" t="s">
        <v>139</v>
      </c>
      <c r="M258" s="40" t="s">
        <v>139</v>
      </c>
      <c r="N258" s="41"/>
      <c r="O258" s="41"/>
      <c r="P258" s="41"/>
      <c r="Q258" s="41"/>
      <c r="R258" s="41"/>
      <c r="S258" s="41"/>
    </row>
    <row r="259" spans="2:19">
      <c r="B259" s="967"/>
      <c r="C259" s="968"/>
      <c r="D259" s="967"/>
      <c r="E259" s="973"/>
      <c r="F259" s="981"/>
      <c r="G259" s="39" t="s">
        <v>254</v>
      </c>
      <c r="H259" s="41"/>
      <c r="I259" s="40" t="s">
        <v>139</v>
      </c>
      <c r="J259" s="40" t="s">
        <v>139</v>
      </c>
      <c r="K259" s="40" t="s">
        <v>139</v>
      </c>
      <c r="L259" s="40" t="s">
        <v>139</v>
      </c>
      <c r="M259" s="40" t="s">
        <v>139</v>
      </c>
      <c r="N259" s="40" t="s">
        <v>149</v>
      </c>
      <c r="O259" s="40" t="s">
        <v>149</v>
      </c>
      <c r="P259" s="41"/>
      <c r="Q259" s="41"/>
      <c r="R259" s="41"/>
      <c r="S259" s="41"/>
    </row>
    <row r="260" spans="2:19">
      <c r="B260" s="967"/>
      <c r="C260" s="968"/>
      <c r="D260" s="967"/>
      <c r="E260" s="973"/>
      <c r="F260" s="981"/>
      <c r="G260" s="39" t="s">
        <v>246</v>
      </c>
      <c r="H260" s="41"/>
      <c r="I260" s="40" t="s">
        <v>139</v>
      </c>
      <c r="J260" s="40" t="s">
        <v>139</v>
      </c>
      <c r="K260" s="40" t="s">
        <v>139</v>
      </c>
      <c r="L260" s="40" t="s">
        <v>139</v>
      </c>
      <c r="M260" s="40" t="s">
        <v>139</v>
      </c>
      <c r="N260" s="40" t="s">
        <v>149</v>
      </c>
      <c r="O260" s="40" t="s">
        <v>149</v>
      </c>
      <c r="P260" s="40" t="s">
        <v>149</v>
      </c>
      <c r="Q260" s="41"/>
      <c r="R260" s="41"/>
      <c r="S260" s="41"/>
    </row>
    <row r="261" spans="2:19">
      <c r="B261" s="967"/>
      <c r="C261" s="968"/>
      <c r="D261" s="967"/>
      <c r="E261" s="973"/>
      <c r="F261" s="981"/>
      <c r="G261" s="39" t="s">
        <v>255</v>
      </c>
      <c r="H261" s="41"/>
      <c r="I261" s="40" t="s">
        <v>139</v>
      </c>
      <c r="J261" s="40" t="s">
        <v>139</v>
      </c>
      <c r="K261" s="40" t="s">
        <v>139</v>
      </c>
      <c r="L261" s="40" t="s">
        <v>139</v>
      </c>
      <c r="M261" s="40" t="s">
        <v>139</v>
      </c>
      <c r="N261" s="40" t="s">
        <v>149</v>
      </c>
      <c r="O261" s="40" t="s">
        <v>149</v>
      </c>
      <c r="P261" s="40" t="s">
        <v>149</v>
      </c>
      <c r="Q261" s="41"/>
      <c r="R261" s="41"/>
      <c r="S261" s="41"/>
    </row>
    <row r="262" spans="2:19" ht="26.4">
      <c r="B262" s="967"/>
      <c r="C262" s="968"/>
      <c r="D262" s="44" t="s">
        <v>256</v>
      </c>
      <c r="E262" s="49">
        <v>31012500</v>
      </c>
      <c r="F262" s="982"/>
      <c r="G262" s="39" t="s">
        <v>257</v>
      </c>
      <c r="H262" s="40" t="s">
        <v>139</v>
      </c>
      <c r="I262" s="40" t="s">
        <v>139</v>
      </c>
      <c r="J262" s="40" t="s">
        <v>139</v>
      </c>
      <c r="K262" s="40" t="s">
        <v>139</v>
      </c>
      <c r="L262" s="40" t="s">
        <v>139</v>
      </c>
      <c r="M262" s="40" t="s">
        <v>139</v>
      </c>
      <c r="N262" s="40" t="s">
        <v>139</v>
      </c>
      <c r="O262" s="40" t="s">
        <v>139</v>
      </c>
      <c r="P262" s="40" t="s">
        <v>139</v>
      </c>
      <c r="Q262" s="40" t="s">
        <v>139</v>
      </c>
      <c r="R262" s="40" t="s">
        <v>139</v>
      </c>
      <c r="S262" s="40" t="s">
        <v>139</v>
      </c>
    </row>
    <row r="263" spans="2:19" ht="26.4">
      <c r="B263" s="967"/>
      <c r="C263" s="968">
        <v>341</v>
      </c>
      <c r="D263" s="967" t="s">
        <v>258</v>
      </c>
      <c r="E263" s="973">
        <v>20000000000</v>
      </c>
      <c r="F263" s="970" t="s">
        <v>259</v>
      </c>
      <c r="G263" s="39" t="s">
        <v>260</v>
      </c>
      <c r="H263" s="40" t="s">
        <v>139</v>
      </c>
      <c r="I263" s="40" t="s">
        <v>139</v>
      </c>
      <c r="J263" s="40" t="s">
        <v>139</v>
      </c>
      <c r="K263" s="40" t="s">
        <v>139</v>
      </c>
      <c r="L263" s="40" t="s">
        <v>139</v>
      </c>
      <c r="M263" s="40" t="s">
        <v>139</v>
      </c>
      <c r="N263" s="40" t="s">
        <v>139</v>
      </c>
      <c r="O263" s="40" t="s">
        <v>139</v>
      </c>
      <c r="P263" s="40" t="s">
        <v>139</v>
      </c>
      <c r="Q263" s="40" t="s">
        <v>139</v>
      </c>
      <c r="R263" s="40" t="s">
        <v>139</v>
      </c>
      <c r="S263" s="40" t="s">
        <v>139</v>
      </c>
    </row>
    <row r="264" spans="2:19">
      <c r="B264" s="967"/>
      <c r="C264" s="968"/>
      <c r="D264" s="967"/>
      <c r="E264" s="973"/>
      <c r="F264" s="970"/>
      <c r="G264" s="39" t="s">
        <v>261</v>
      </c>
      <c r="H264" s="40" t="s">
        <v>139</v>
      </c>
      <c r="I264" s="40" t="s">
        <v>139</v>
      </c>
      <c r="J264" s="40" t="s">
        <v>139</v>
      </c>
      <c r="K264" s="40" t="s">
        <v>139</v>
      </c>
      <c r="L264" s="40" t="s">
        <v>139</v>
      </c>
      <c r="M264" s="40" t="s">
        <v>139</v>
      </c>
      <c r="N264" s="40" t="s">
        <v>139</v>
      </c>
      <c r="O264" s="40" t="s">
        <v>139</v>
      </c>
      <c r="P264" s="40" t="s">
        <v>139</v>
      </c>
      <c r="Q264" s="40" t="s">
        <v>139</v>
      </c>
      <c r="R264" s="40" t="s">
        <v>139</v>
      </c>
      <c r="S264" s="40" t="s">
        <v>139</v>
      </c>
    </row>
    <row r="265" spans="2:19">
      <c r="B265" s="967" t="s">
        <v>262</v>
      </c>
      <c r="C265" s="968">
        <v>4</v>
      </c>
      <c r="D265" s="967" t="s">
        <v>263</v>
      </c>
      <c r="E265" s="973"/>
      <c r="F265" s="970" t="s">
        <v>259</v>
      </c>
      <c r="G265" s="39" t="s">
        <v>264</v>
      </c>
      <c r="H265" s="40" t="s">
        <v>139</v>
      </c>
      <c r="I265" s="40" t="s">
        <v>139</v>
      </c>
      <c r="J265" s="40" t="s">
        <v>139</v>
      </c>
      <c r="K265" s="40" t="s">
        <v>139</v>
      </c>
      <c r="L265" s="40" t="s">
        <v>139</v>
      </c>
      <c r="M265" s="40" t="s">
        <v>139</v>
      </c>
      <c r="N265" s="41"/>
      <c r="O265" s="41"/>
      <c r="P265" s="41"/>
      <c r="Q265" s="41"/>
      <c r="R265" s="41"/>
      <c r="S265" s="41"/>
    </row>
    <row r="266" spans="2:19">
      <c r="B266" s="967"/>
      <c r="C266" s="968"/>
      <c r="D266" s="967"/>
      <c r="E266" s="973"/>
      <c r="F266" s="970"/>
      <c r="G266" s="39" t="s">
        <v>265</v>
      </c>
      <c r="H266" s="40" t="s">
        <v>139</v>
      </c>
      <c r="I266" s="40" t="s">
        <v>139</v>
      </c>
      <c r="J266" s="40" t="s">
        <v>139</v>
      </c>
      <c r="K266" s="40" t="s">
        <v>139</v>
      </c>
      <c r="L266" s="40" t="s">
        <v>139</v>
      </c>
      <c r="M266" s="40" t="s">
        <v>139</v>
      </c>
      <c r="N266" s="40" t="s">
        <v>139</v>
      </c>
      <c r="O266" s="40" t="s">
        <v>139</v>
      </c>
      <c r="P266" s="40" t="s">
        <v>139</v>
      </c>
      <c r="Q266" s="41"/>
      <c r="R266" s="41"/>
      <c r="S266" s="41"/>
    </row>
    <row r="267" spans="2:19">
      <c r="B267" s="964" t="s">
        <v>266</v>
      </c>
      <c r="C267" s="964"/>
      <c r="D267" s="964"/>
      <c r="E267" s="47">
        <v>25124482102</v>
      </c>
      <c r="F267" s="52"/>
      <c r="G267" s="53"/>
      <c r="H267" s="53"/>
      <c r="I267" s="53"/>
      <c r="J267" s="53"/>
      <c r="K267" s="53"/>
      <c r="L267" s="53"/>
      <c r="M267" s="53"/>
      <c r="N267" s="53"/>
      <c r="O267" s="53"/>
      <c r="P267" s="53"/>
      <c r="Q267" s="53"/>
      <c r="R267" s="53"/>
      <c r="S267" s="53"/>
    </row>
    <row r="268" spans="2:19">
      <c r="B268" s="966" t="s">
        <v>267</v>
      </c>
      <c r="C268" s="966"/>
      <c r="D268" s="966"/>
      <c r="E268" s="54"/>
      <c r="F268" s="55"/>
      <c r="G268" s="38"/>
      <c r="H268" s="56"/>
      <c r="I268" s="56"/>
      <c r="J268" s="56"/>
      <c r="K268" s="56"/>
      <c r="L268" s="56"/>
      <c r="M268" s="56"/>
      <c r="N268" s="56"/>
      <c r="O268" s="56"/>
      <c r="P268" s="56"/>
      <c r="Q268" s="56"/>
      <c r="R268" s="56"/>
      <c r="S268" s="56"/>
    </row>
    <row r="269" spans="2:19">
      <c r="B269" s="967" t="s">
        <v>268</v>
      </c>
      <c r="C269" s="972">
        <v>1</v>
      </c>
      <c r="D269" s="967" t="s">
        <v>269</v>
      </c>
      <c r="E269" s="969">
        <v>50000000</v>
      </c>
      <c r="F269" s="971" t="s">
        <v>6</v>
      </c>
      <c r="G269" s="39" t="s">
        <v>270</v>
      </c>
      <c r="H269" s="43" t="s">
        <v>139</v>
      </c>
      <c r="I269" s="43" t="s">
        <v>139</v>
      </c>
      <c r="J269" s="41"/>
      <c r="K269" s="41"/>
      <c r="L269" s="41"/>
      <c r="M269" s="41"/>
      <c r="N269" s="41"/>
      <c r="O269" s="41"/>
      <c r="P269" s="41"/>
      <c r="Q269" s="41"/>
      <c r="R269" s="41"/>
      <c r="S269" s="41"/>
    </row>
    <row r="270" spans="2:19">
      <c r="B270" s="967"/>
      <c r="C270" s="972"/>
      <c r="D270" s="967"/>
      <c r="E270" s="969"/>
      <c r="F270" s="971"/>
      <c r="G270" s="39" t="s">
        <v>271</v>
      </c>
      <c r="H270" s="43" t="s">
        <v>139</v>
      </c>
      <c r="I270" s="43" t="s">
        <v>139</v>
      </c>
      <c r="J270" s="41"/>
      <c r="K270" s="41"/>
      <c r="L270" s="41"/>
      <c r="M270" s="41"/>
      <c r="N270" s="41"/>
      <c r="O270" s="41"/>
      <c r="P270" s="41"/>
      <c r="Q270" s="41"/>
      <c r="R270" s="41"/>
      <c r="S270" s="41"/>
    </row>
    <row r="271" spans="2:19">
      <c r="B271" s="967"/>
      <c r="C271" s="972"/>
      <c r="D271" s="967"/>
      <c r="E271" s="969"/>
      <c r="F271" s="971"/>
      <c r="G271" s="39" t="s">
        <v>272</v>
      </c>
      <c r="H271" s="41"/>
      <c r="I271" s="43" t="s">
        <v>139</v>
      </c>
      <c r="J271" s="43" t="s">
        <v>139</v>
      </c>
      <c r="K271" s="41"/>
      <c r="L271" s="41"/>
      <c r="M271" s="41"/>
      <c r="N271" s="41"/>
      <c r="O271" s="41"/>
      <c r="P271" s="41"/>
      <c r="Q271" s="41"/>
      <c r="R271" s="41"/>
      <c r="S271" s="41"/>
    </row>
    <row r="272" spans="2:19">
      <c r="B272" s="967" t="s">
        <v>273</v>
      </c>
      <c r="C272" s="972">
        <v>6</v>
      </c>
      <c r="D272" s="967" t="s">
        <v>274</v>
      </c>
      <c r="E272" s="969">
        <v>1200000000</v>
      </c>
      <c r="F272" s="971" t="s">
        <v>6</v>
      </c>
      <c r="G272" s="39" t="s">
        <v>275</v>
      </c>
      <c r="H272" s="43" t="s">
        <v>139</v>
      </c>
      <c r="I272" s="43" t="s">
        <v>139</v>
      </c>
      <c r="J272" s="43" t="s">
        <v>139</v>
      </c>
      <c r="K272" s="41"/>
      <c r="L272" s="41"/>
      <c r="M272" s="41"/>
      <c r="N272" s="41"/>
      <c r="O272" s="41"/>
      <c r="P272" s="41"/>
      <c r="Q272" s="41"/>
      <c r="R272" s="41"/>
      <c r="S272" s="41"/>
    </row>
    <row r="273" spans="2:19">
      <c r="B273" s="967"/>
      <c r="C273" s="972"/>
      <c r="D273" s="967"/>
      <c r="E273" s="969"/>
      <c r="F273" s="971"/>
      <c r="G273" s="39" t="s">
        <v>276</v>
      </c>
      <c r="H273" s="43" t="s">
        <v>139</v>
      </c>
      <c r="I273" s="43" t="s">
        <v>139</v>
      </c>
      <c r="J273" s="41"/>
      <c r="K273" s="41"/>
      <c r="L273" s="43" t="s">
        <v>139</v>
      </c>
      <c r="M273" s="43" t="s">
        <v>139</v>
      </c>
      <c r="N273" s="41"/>
      <c r="O273" s="41"/>
      <c r="P273" s="41"/>
      <c r="Q273" s="41"/>
      <c r="R273" s="41"/>
      <c r="S273" s="41"/>
    </row>
    <row r="274" spans="2:19">
      <c r="B274" s="967"/>
      <c r="C274" s="972"/>
      <c r="D274" s="967"/>
      <c r="E274" s="969"/>
      <c r="F274" s="971"/>
      <c r="G274" s="39" t="s">
        <v>277</v>
      </c>
      <c r="H274" s="41"/>
      <c r="I274" s="43" t="s">
        <v>139</v>
      </c>
      <c r="J274" s="43" t="s">
        <v>139</v>
      </c>
      <c r="K274" s="43" t="s">
        <v>139</v>
      </c>
      <c r="L274" s="41"/>
      <c r="M274" s="41"/>
      <c r="N274" s="41"/>
      <c r="O274" s="41"/>
      <c r="P274" s="41"/>
      <c r="Q274" s="41"/>
      <c r="R274" s="41"/>
      <c r="S274" s="41"/>
    </row>
    <row r="275" spans="2:19">
      <c r="B275" s="967"/>
      <c r="C275" s="972"/>
      <c r="D275" s="967"/>
      <c r="E275" s="969"/>
      <c r="F275" s="971"/>
      <c r="G275" s="39" t="s">
        <v>278</v>
      </c>
      <c r="H275" s="41"/>
      <c r="I275" s="41"/>
      <c r="J275" s="41"/>
      <c r="K275" s="41"/>
      <c r="L275" s="43" t="s">
        <v>139</v>
      </c>
      <c r="M275" s="43" t="s">
        <v>139</v>
      </c>
      <c r="N275" s="41"/>
      <c r="O275" s="41"/>
      <c r="P275" s="41"/>
      <c r="Q275" s="43" t="s">
        <v>139</v>
      </c>
      <c r="R275" s="43" t="s">
        <v>139</v>
      </c>
      <c r="S275" s="41"/>
    </row>
    <row r="276" spans="2:19">
      <c r="B276" s="967"/>
      <c r="C276" s="972"/>
      <c r="D276" s="967"/>
      <c r="E276" s="969"/>
      <c r="F276" s="971"/>
      <c r="G276" s="39" t="s">
        <v>279</v>
      </c>
      <c r="H276" s="41"/>
      <c r="I276" s="41"/>
      <c r="J276" s="41"/>
      <c r="K276" s="41"/>
      <c r="L276" s="41"/>
      <c r="M276" s="41"/>
      <c r="N276" s="43" t="s">
        <v>139</v>
      </c>
      <c r="O276" s="43" t="s">
        <v>139</v>
      </c>
      <c r="P276" s="41"/>
      <c r="Q276" s="41"/>
      <c r="R276" s="41"/>
      <c r="S276" s="41"/>
    </row>
    <row r="277" spans="2:19">
      <c r="B277" s="967"/>
      <c r="C277" s="972"/>
      <c r="D277" s="967"/>
      <c r="E277" s="969"/>
      <c r="F277" s="971"/>
      <c r="G277" s="39" t="s">
        <v>280</v>
      </c>
      <c r="H277" s="41"/>
      <c r="I277" s="41"/>
      <c r="J277" s="41"/>
      <c r="K277" s="41"/>
      <c r="L277" s="41"/>
      <c r="M277" s="41"/>
      <c r="N277" s="41"/>
      <c r="O277" s="41"/>
      <c r="P277" s="43" t="s">
        <v>139</v>
      </c>
      <c r="Q277" s="43" t="s">
        <v>139</v>
      </c>
      <c r="R277" s="43" t="s">
        <v>139</v>
      </c>
      <c r="S277" s="43" t="s">
        <v>139</v>
      </c>
    </row>
    <row r="278" spans="2:19">
      <c r="B278" s="967"/>
      <c r="C278" s="972"/>
      <c r="D278" s="967"/>
      <c r="E278" s="969"/>
      <c r="F278" s="971"/>
      <c r="G278" s="39" t="s">
        <v>235</v>
      </c>
      <c r="H278" s="41"/>
      <c r="I278" s="41"/>
      <c r="J278" s="41"/>
      <c r="K278" s="41"/>
      <c r="L278" s="41"/>
      <c r="M278" s="41"/>
      <c r="N278" s="41"/>
      <c r="O278" s="41"/>
      <c r="P278" s="43" t="s">
        <v>139</v>
      </c>
      <c r="Q278" s="43" t="s">
        <v>139</v>
      </c>
      <c r="R278" s="43" t="s">
        <v>139</v>
      </c>
      <c r="S278" s="43" t="s">
        <v>139</v>
      </c>
    </row>
    <row r="279" spans="2:19">
      <c r="B279" s="967" t="s">
        <v>281</v>
      </c>
      <c r="C279" s="972">
        <v>9</v>
      </c>
      <c r="D279" s="967" t="s">
        <v>282</v>
      </c>
      <c r="E279" s="969">
        <v>2180130426</v>
      </c>
      <c r="F279" s="971" t="s">
        <v>8</v>
      </c>
      <c r="G279" s="39" t="s">
        <v>283</v>
      </c>
      <c r="H279" s="41"/>
      <c r="I279" s="41"/>
      <c r="J279" s="41"/>
      <c r="K279" s="41"/>
      <c r="L279" s="41"/>
      <c r="M279" s="41"/>
      <c r="N279" s="41"/>
      <c r="O279" s="41"/>
      <c r="P279" s="41"/>
      <c r="Q279" s="41"/>
      <c r="R279" s="41"/>
      <c r="S279" s="41"/>
    </row>
    <row r="280" spans="2:19">
      <c r="B280" s="967"/>
      <c r="C280" s="972"/>
      <c r="D280" s="967"/>
      <c r="E280" s="969"/>
      <c r="F280" s="971"/>
      <c r="G280" s="39" t="s">
        <v>284</v>
      </c>
      <c r="H280" s="43" t="s">
        <v>149</v>
      </c>
      <c r="I280" s="41"/>
      <c r="J280" s="41"/>
      <c r="K280" s="41"/>
      <c r="L280" s="41"/>
      <c r="M280" s="41"/>
      <c r="N280" s="41"/>
      <c r="O280" s="41"/>
      <c r="P280" s="41"/>
      <c r="Q280" s="41"/>
      <c r="R280" s="41"/>
      <c r="S280" s="41"/>
    </row>
    <row r="281" spans="2:19">
      <c r="B281" s="967"/>
      <c r="C281" s="972"/>
      <c r="D281" s="967"/>
      <c r="E281" s="969"/>
      <c r="F281" s="971"/>
      <c r="G281" s="39" t="s">
        <v>285</v>
      </c>
      <c r="H281" s="43" t="s">
        <v>149</v>
      </c>
      <c r="I281" s="43" t="s">
        <v>149</v>
      </c>
      <c r="J281" s="43" t="s">
        <v>149</v>
      </c>
      <c r="K281" s="43" t="s">
        <v>149</v>
      </c>
      <c r="L281" s="43" t="s">
        <v>149</v>
      </c>
      <c r="M281" s="43" t="s">
        <v>149</v>
      </c>
      <c r="N281" s="41"/>
      <c r="O281" s="41"/>
      <c r="P281" s="41"/>
      <c r="Q281" s="41"/>
      <c r="R281" s="41"/>
      <c r="S281" s="41"/>
    </row>
    <row r="282" spans="2:19">
      <c r="B282" s="967"/>
      <c r="C282" s="972"/>
      <c r="D282" s="967"/>
      <c r="E282" s="969"/>
      <c r="F282" s="971"/>
      <c r="G282" s="39" t="s">
        <v>286</v>
      </c>
      <c r="H282" s="41"/>
      <c r="I282" s="43" t="s">
        <v>149</v>
      </c>
      <c r="J282" s="43" t="s">
        <v>149</v>
      </c>
      <c r="K282" s="43" t="s">
        <v>149</v>
      </c>
      <c r="L282" s="43" t="s">
        <v>149</v>
      </c>
      <c r="M282" s="43" t="s">
        <v>149</v>
      </c>
      <c r="N282" s="43" t="s">
        <v>149</v>
      </c>
      <c r="O282" s="41"/>
      <c r="P282" s="41"/>
      <c r="Q282" s="41"/>
      <c r="R282" s="41"/>
      <c r="S282" s="41"/>
    </row>
    <row r="283" spans="2:19">
      <c r="B283" s="967"/>
      <c r="C283" s="972"/>
      <c r="D283" s="967"/>
      <c r="E283" s="969"/>
      <c r="F283" s="971"/>
      <c r="G283" s="39" t="s">
        <v>287</v>
      </c>
      <c r="H283" s="41"/>
      <c r="I283" s="41"/>
      <c r="J283" s="43" t="s">
        <v>149</v>
      </c>
      <c r="K283" s="43" t="s">
        <v>149</v>
      </c>
      <c r="L283" s="43" t="s">
        <v>149</v>
      </c>
      <c r="M283" s="43" t="s">
        <v>149</v>
      </c>
      <c r="N283" s="43" t="s">
        <v>149</v>
      </c>
      <c r="O283" s="43" t="s">
        <v>149</v>
      </c>
      <c r="P283" s="43" t="s">
        <v>149</v>
      </c>
      <c r="Q283" s="41"/>
      <c r="R283" s="41"/>
      <c r="S283" s="41"/>
    </row>
    <row r="284" spans="2:19">
      <c r="B284" s="967" t="s">
        <v>288</v>
      </c>
      <c r="C284" s="972">
        <v>19</v>
      </c>
      <c r="D284" s="967" t="s">
        <v>289</v>
      </c>
      <c r="E284" s="969"/>
      <c r="F284" s="971" t="s">
        <v>8</v>
      </c>
      <c r="G284" s="39" t="s">
        <v>290</v>
      </c>
      <c r="H284" s="41"/>
      <c r="I284" s="41"/>
      <c r="J284" s="41"/>
      <c r="K284" s="41"/>
      <c r="L284" s="41"/>
      <c r="M284" s="41"/>
      <c r="N284" s="41"/>
      <c r="O284" s="41"/>
      <c r="P284" s="41"/>
      <c r="Q284" s="41"/>
      <c r="R284" s="41"/>
      <c r="S284" s="41"/>
    </row>
    <row r="285" spans="2:19">
      <c r="B285" s="967"/>
      <c r="C285" s="972"/>
      <c r="D285" s="967"/>
      <c r="E285" s="969"/>
      <c r="F285" s="971"/>
      <c r="G285" s="39" t="s">
        <v>291</v>
      </c>
      <c r="H285" s="43" t="s">
        <v>149</v>
      </c>
      <c r="I285" s="43" t="s">
        <v>149</v>
      </c>
      <c r="J285" s="43" t="s">
        <v>149</v>
      </c>
      <c r="K285" s="43" t="s">
        <v>149</v>
      </c>
      <c r="L285" s="43" t="s">
        <v>149</v>
      </c>
      <c r="M285" s="43" t="s">
        <v>149</v>
      </c>
      <c r="N285" s="41"/>
      <c r="O285" s="41"/>
      <c r="P285" s="41"/>
      <c r="Q285" s="41"/>
      <c r="R285" s="41"/>
      <c r="S285" s="41"/>
    </row>
    <row r="286" spans="2:19">
      <c r="B286" s="967"/>
      <c r="C286" s="972"/>
      <c r="D286" s="967"/>
      <c r="E286" s="969"/>
      <c r="F286" s="971"/>
      <c r="G286" s="39" t="s">
        <v>292</v>
      </c>
      <c r="H286" s="43" t="s">
        <v>149</v>
      </c>
      <c r="I286" s="43" t="s">
        <v>149</v>
      </c>
      <c r="J286" s="43" t="s">
        <v>149</v>
      </c>
      <c r="K286" s="43" t="s">
        <v>149</v>
      </c>
      <c r="L286" s="43" t="s">
        <v>149</v>
      </c>
      <c r="M286" s="43" t="s">
        <v>149</v>
      </c>
      <c r="N286" s="41"/>
      <c r="O286" s="41"/>
      <c r="P286" s="41"/>
      <c r="Q286" s="41"/>
      <c r="R286" s="41"/>
      <c r="S286" s="41"/>
    </row>
    <row r="287" spans="2:19">
      <c r="B287" s="967"/>
      <c r="C287" s="972"/>
      <c r="D287" s="967"/>
      <c r="E287" s="969"/>
      <c r="F287" s="971"/>
      <c r="G287" s="39" t="s">
        <v>293</v>
      </c>
      <c r="H287" s="41"/>
      <c r="I287" s="41"/>
      <c r="J287" s="41"/>
      <c r="K287" s="43" t="s">
        <v>149</v>
      </c>
      <c r="L287" s="43" t="s">
        <v>149</v>
      </c>
      <c r="M287" s="43" t="s">
        <v>149</v>
      </c>
      <c r="N287" s="43" t="s">
        <v>149</v>
      </c>
      <c r="O287" s="43" t="s">
        <v>149</v>
      </c>
      <c r="P287" s="43" t="s">
        <v>149</v>
      </c>
      <c r="Q287" s="41"/>
      <c r="R287" s="41"/>
      <c r="S287" s="41"/>
    </row>
    <row r="288" spans="2:19">
      <c r="B288" s="967"/>
      <c r="C288" s="972"/>
      <c r="D288" s="967"/>
      <c r="E288" s="969"/>
      <c r="F288" s="971"/>
      <c r="G288" s="39" t="s">
        <v>294</v>
      </c>
      <c r="H288" s="41"/>
      <c r="I288" s="41"/>
      <c r="J288" s="41"/>
      <c r="K288" s="41"/>
      <c r="L288" s="41"/>
      <c r="M288" s="43" t="s">
        <v>149</v>
      </c>
      <c r="N288" s="43" t="s">
        <v>149</v>
      </c>
      <c r="O288" s="43" t="s">
        <v>149</v>
      </c>
      <c r="P288" s="43" t="s">
        <v>149</v>
      </c>
      <c r="Q288" s="41"/>
      <c r="R288" s="41"/>
      <c r="S288" s="41"/>
    </row>
    <row r="289" spans="2:19">
      <c r="B289" s="967"/>
      <c r="C289" s="972"/>
      <c r="D289" s="967"/>
      <c r="E289" s="969"/>
      <c r="F289" s="971"/>
      <c r="G289" s="39" t="s">
        <v>295</v>
      </c>
      <c r="H289" s="41"/>
      <c r="I289" s="41"/>
      <c r="J289" s="41"/>
      <c r="K289" s="41"/>
      <c r="L289" s="41"/>
      <c r="M289" s="43" t="s">
        <v>149</v>
      </c>
      <c r="N289" s="43" t="s">
        <v>149</v>
      </c>
      <c r="O289" s="43" t="s">
        <v>149</v>
      </c>
      <c r="P289" s="43" t="s">
        <v>149</v>
      </c>
      <c r="Q289" s="43" t="s">
        <v>149</v>
      </c>
      <c r="R289" s="43" t="s">
        <v>149</v>
      </c>
      <c r="S289" s="41"/>
    </row>
    <row r="290" spans="2:19">
      <c r="B290" s="967"/>
      <c r="C290" s="972"/>
      <c r="D290" s="967"/>
      <c r="E290" s="969"/>
      <c r="F290" s="971"/>
      <c r="G290" s="39" t="s">
        <v>296</v>
      </c>
      <c r="H290" s="41"/>
      <c r="I290" s="41"/>
      <c r="J290" s="41"/>
      <c r="K290" s="41"/>
      <c r="L290" s="41"/>
      <c r="M290" s="43" t="s">
        <v>149</v>
      </c>
      <c r="N290" s="43" t="s">
        <v>149</v>
      </c>
      <c r="O290" s="43" t="s">
        <v>149</v>
      </c>
      <c r="P290" s="43" t="s">
        <v>149</v>
      </c>
      <c r="Q290" s="43" t="s">
        <v>149</v>
      </c>
      <c r="R290" s="43" t="s">
        <v>149</v>
      </c>
      <c r="S290" s="41"/>
    </row>
    <row r="291" spans="2:19" ht="26.4">
      <c r="B291" s="967"/>
      <c r="C291" s="972"/>
      <c r="D291" s="44" t="s">
        <v>297</v>
      </c>
      <c r="E291" s="45">
        <v>241050000</v>
      </c>
      <c r="F291" s="46" t="s">
        <v>8</v>
      </c>
      <c r="G291" s="39" t="s">
        <v>298</v>
      </c>
      <c r="H291" s="43" t="s">
        <v>149</v>
      </c>
      <c r="I291" s="43" t="s">
        <v>149</v>
      </c>
      <c r="J291" s="43" t="s">
        <v>149</v>
      </c>
      <c r="K291" s="43" t="s">
        <v>149</v>
      </c>
      <c r="L291" s="43" t="s">
        <v>149</v>
      </c>
      <c r="M291" s="43" t="s">
        <v>149</v>
      </c>
      <c r="N291" s="43" t="s">
        <v>149</v>
      </c>
      <c r="O291" s="43" t="s">
        <v>149</v>
      </c>
      <c r="P291" s="43" t="s">
        <v>149</v>
      </c>
      <c r="Q291" s="43" t="s">
        <v>149</v>
      </c>
      <c r="R291" s="43" t="s">
        <v>149</v>
      </c>
      <c r="S291" s="43" t="s">
        <v>149</v>
      </c>
    </row>
    <row r="292" spans="2:19">
      <c r="B292" s="967" t="s">
        <v>299</v>
      </c>
      <c r="C292" s="972">
        <v>6</v>
      </c>
      <c r="D292" s="967" t="s">
        <v>300</v>
      </c>
      <c r="E292" s="969">
        <v>245583900</v>
      </c>
      <c r="F292" s="971" t="s">
        <v>9</v>
      </c>
      <c r="G292" s="39" t="s">
        <v>301</v>
      </c>
      <c r="H292" s="43" t="s">
        <v>139</v>
      </c>
      <c r="I292" s="41"/>
      <c r="J292" s="41"/>
      <c r="K292" s="41"/>
      <c r="L292" s="41"/>
      <c r="M292" s="41"/>
      <c r="N292" s="41"/>
      <c r="O292" s="41"/>
      <c r="P292" s="41"/>
      <c r="Q292" s="41"/>
      <c r="R292" s="41"/>
      <c r="S292" s="41"/>
    </row>
    <row r="293" spans="2:19">
      <c r="B293" s="967"/>
      <c r="C293" s="972"/>
      <c r="D293" s="967"/>
      <c r="E293" s="969"/>
      <c r="F293" s="971"/>
      <c r="G293" s="39" t="s">
        <v>302</v>
      </c>
      <c r="H293" s="41"/>
      <c r="I293" s="43" t="s">
        <v>139</v>
      </c>
      <c r="J293" s="41"/>
      <c r="K293" s="41"/>
      <c r="L293" s="41"/>
      <c r="M293" s="41"/>
      <c r="N293" s="41"/>
      <c r="O293" s="41"/>
      <c r="P293" s="41"/>
      <c r="Q293" s="41"/>
      <c r="R293" s="41"/>
      <c r="S293" s="41"/>
    </row>
    <row r="294" spans="2:19">
      <c r="B294" s="967"/>
      <c r="C294" s="972"/>
      <c r="D294" s="967"/>
      <c r="E294" s="969"/>
      <c r="F294" s="971"/>
      <c r="G294" s="39" t="s">
        <v>303</v>
      </c>
      <c r="H294" s="41"/>
      <c r="I294" s="43" t="s">
        <v>139</v>
      </c>
      <c r="J294" s="43" t="s">
        <v>139</v>
      </c>
      <c r="K294" s="43" t="s">
        <v>139</v>
      </c>
      <c r="L294" s="43" t="s">
        <v>139</v>
      </c>
      <c r="M294" s="43" t="s">
        <v>139</v>
      </c>
      <c r="N294" s="43" t="s">
        <v>139</v>
      </c>
      <c r="O294" s="43" t="s">
        <v>139</v>
      </c>
      <c r="P294" s="43" t="s">
        <v>139</v>
      </c>
      <c r="Q294" s="43" t="s">
        <v>139</v>
      </c>
      <c r="R294" s="43" t="s">
        <v>139</v>
      </c>
      <c r="S294" s="41"/>
    </row>
    <row r="295" spans="2:19">
      <c r="B295" s="967"/>
      <c r="C295" s="972"/>
      <c r="D295" s="967"/>
      <c r="E295" s="969"/>
      <c r="F295" s="971"/>
      <c r="G295" s="39" t="s">
        <v>304</v>
      </c>
      <c r="H295" s="41"/>
      <c r="I295" s="41"/>
      <c r="J295" s="41"/>
      <c r="K295" s="41"/>
      <c r="L295" s="41"/>
      <c r="M295" s="41"/>
      <c r="N295" s="43" t="s">
        <v>149</v>
      </c>
      <c r="O295" s="41"/>
      <c r="P295" s="41"/>
      <c r="Q295" s="41"/>
      <c r="R295" s="41"/>
      <c r="S295" s="41"/>
    </row>
    <row r="296" spans="2:19">
      <c r="B296" s="967"/>
      <c r="C296" s="972"/>
      <c r="D296" s="967"/>
      <c r="E296" s="969"/>
      <c r="F296" s="971"/>
      <c r="G296" s="39" t="s">
        <v>305</v>
      </c>
      <c r="H296" s="41"/>
      <c r="I296" s="41"/>
      <c r="J296" s="41"/>
      <c r="K296" s="41"/>
      <c r="L296" s="41"/>
      <c r="M296" s="41"/>
      <c r="N296" s="41"/>
      <c r="O296" s="41"/>
      <c r="P296" s="41"/>
      <c r="Q296" s="43" t="s">
        <v>149</v>
      </c>
      <c r="R296" s="41"/>
      <c r="S296" s="41"/>
    </row>
    <row r="297" spans="2:19">
      <c r="B297" s="967"/>
      <c r="C297" s="972"/>
      <c r="D297" s="967"/>
      <c r="E297" s="969"/>
      <c r="F297" s="971"/>
      <c r="G297" s="39" t="s">
        <v>306</v>
      </c>
      <c r="H297" s="41"/>
      <c r="I297" s="41"/>
      <c r="J297" s="41"/>
      <c r="K297" s="41"/>
      <c r="L297" s="41"/>
      <c r="M297" s="41"/>
      <c r="N297" s="41"/>
      <c r="O297" s="41"/>
      <c r="P297" s="41"/>
      <c r="Q297" s="41"/>
      <c r="R297" s="41"/>
      <c r="S297" s="43" t="s">
        <v>149</v>
      </c>
    </row>
    <row r="298" spans="2:19">
      <c r="B298" s="967"/>
      <c r="C298" s="972">
        <v>2</v>
      </c>
      <c r="D298" s="967" t="s">
        <v>307</v>
      </c>
      <c r="E298" s="969">
        <v>359065000</v>
      </c>
      <c r="F298" s="971"/>
      <c r="G298" s="39" t="s">
        <v>308</v>
      </c>
      <c r="H298" s="43" t="s">
        <v>139</v>
      </c>
      <c r="I298" s="41"/>
      <c r="J298" s="41"/>
      <c r="K298" s="41"/>
      <c r="L298" s="41"/>
      <c r="M298" s="41"/>
      <c r="N298" s="41"/>
      <c r="O298" s="41"/>
      <c r="P298" s="41"/>
      <c r="Q298" s="41"/>
      <c r="R298" s="41"/>
      <c r="S298" s="41"/>
    </row>
    <row r="299" spans="2:19">
      <c r="B299" s="967"/>
      <c r="C299" s="972"/>
      <c r="D299" s="967"/>
      <c r="E299" s="969"/>
      <c r="F299" s="971"/>
      <c r="G299" s="39" t="s">
        <v>309</v>
      </c>
      <c r="H299" s="43" t="s">
        <v>139</v>
      </c>
      <c r="I299" s="43" t="s">
        <v>139</v>
      </c>
      <c r="J299" s="41"/>
      <c r="K299" s="41"/>
      <c r="L299" s="41"/>
      <c r="M299" s="41"/>
      <c r="N299" s="41"/>
      <c r="O299" s="41"/>
      <c r="P299" s="41"/>
      <c r="Q299" s="41"/>
      <c r="R299" s="41"/>
      <c r="S299" s="41"/>
    </row>
    <row r="300" spans="2:19">
      <c r="B300" s="967"/>
      <c r="C300" s="972"/>
      <c r="D300" s="967"/>
      <c r="E300" s="969"/>
      <c r="F300" s="971"/>
      <c r="G300" s="39" t="s">
        <v>310</v>
      </c>
      <c r="H300" s="43" t="s">
        <v>139</v>
      </c>
      <c r="I300" s="41"/>
      <c r="J300" s="41"/>
      <c r="K300" s="41"/>
      <c r="L300" s="41"/>
      <c r="M300" s="41"/>
      <c r="N300" s="41"/>
      <c r="O300" s="41"/>
      <c r="P300" s="41"/>
      <c r="Q300" s="41"/>
      <c r="R300" s="41"/>
      <c r="S300" s="41"/>
    </row>
    <row r="301" spans="2:19">
      <c r="B301" s="967"/>
      <c r="C301" s="972"/>
      <c r="D301" s="967"/>
      <c r="E301" s="969"/>
      <c r="F301" s="971"/>
      <c r="G301" s="39" t="s">
        <v>311</v>
      </c>
      <c r="H301" s="41"/>
      <c r="I301" s="43" t="s">
        <v>139</v>
      </c>
      <c r="J301" s="43" t="s">
        <v>139</v>
      </c>
      <c r="K301" s="43" t="s">
        <v>139</v>
      </c>
      <c r="L301" s="43" t="s">
        <v>139</v>
      </c>
      <c r="M301" s="41"/>
      <c r="N301" s="41"/>
      <c r="O301" s="41"/>
      <c r="P301" s="41"/>
      <c r="Q301" s="41"/>
      <c r="R301" s="41"/>
      <c r="S301" s="41"/>
    </row>
    <row r="302" spans="2:19">
      <c r="B302" s="967"/>
      <c r="C302" s="972"/>
      <c r="D302" s="967"/>
      <c r="E302" s="969"/>
      <c r="F302" s="971"/>
      <c r="G302" s="39" t="s">
        <v>312</v>
      </c>
      <c r="H302" s="41"/>
      <c r="I302" s="41"/>
      <c r="J302" s="43" t="s">
        <v>139</v>
      </c>
      <c r="K302" s="43" t="s">
        <v>139</v>
      </c>
      <c r="L302" s="43" t="s">
        <v>139</v>
      </c>
      <c r="M302" s="43" t="s">
        <v>139</v>
      </c>
      <c r="N302" s="41"/>
      <c r="O302" s="41"/>
      <c r="P302" s="41"/>
      <c r="Q302" s="41"/>
      <c r="R302" s="41"/>
      <c r="S302" s="41"/>
    </row>
    <row r="303" spans="2:19">
      <c r="B303" s="967"/>
      <c r="C303" s="972"/>
      <c r="D303" s="967"/>
      <c r="E303" s="969"/>
      <c r="F303" s="971"/>
      <c r="G303" s="39" t="s">
        <v>313</v>
      </c>
      <c r="H303" s="41"/>
      <c r="I303" s="41"/>
      <c r="J303" s="41"/>
      <c r="K303" s="43" t="s">
        <v>139</v>
      </c>
      <c r="L303" s="43" t="s">
        <v>139</v>
      </c>
      <c r="M303" s="43" t="s">
        <v>139</v>
      </c>
      <c r="N303" s="43" t="s">
        <v>139</v>
      </c>
      <c r="O303" s="43" t="s">
        <v>139</v>
      </c>
      <c r="P303" s="41"/>
      <c r="Q303" s="41"/>
      <c r="R303" s="41"/>
      <c r="S303" s="41"/>
    </row>
    <row r="304" spans="2:19">
      <c r="B304" s="967"/>
      <c r="C304" s="972"/>
      <c r="D304" s="967"/>
      <c r="E304" s="969"/>
      <c r="F304" s="971"/>
      <c r="G304" s="39" t="s">
        <v>314</v>
      </c>
      <c r="H304" s="41"/>
      <c r="I304" s="41"/>
      <c r="J304" s="41"/>
      <c r="K304" s="41"/>
      <c r="L304" s="43" t="s">
        <v>139</v>
      </c>
      <c r="M304" s="43" t="s">
        <v>139</v>
      </c>
      <c r="N304" s="43" t="s">
        <v>139</v>
      </c>
      <c r="O304" s="43" t="s">
        <v>139</v>
      </c>
      <c r="P304" s="43" t="s">
        <v>139</v>
      </c>
      <c r="Q304" s="43" t="s">
        <v>139</v>
      </c>
      <c r="R304" s="43" t="s">
        <v>139</v>
      </c>
      <c r="S304" s="41"/>
    </row>
    <row r="305" spans="2:19">
      <c r="B305" s="967"/>
      <c r="C305" s="972"/>
      <c r="D305" s="967"/>
      <c r="E305" s="969"/>
      <c r="F305" s="971"/>
      <c r="G305" s="39" t="s">
        <v>315</v>
      </c>
      <c r="H305" s="41"/>
      <c r="I305" s="41"/>
      <c r="J305" s="41"/>
      <c r="K305" s="41"/>
      <c r="L305" s="43" t="s">
        <v>139</v>
      </c>
      <c r="M305" s="43" t="s">
        <v>139</v>
      </c>
      <c r="N305" s="43" t="s">
        <v>139</v>
      </c>
      <c r="O305" s="43" t="s">
        <v>139</v>
      </c>
      <c r="P305" s="43" t="s">
        <v>139</v>
      </c>
      <c r="Q305" s="43" t="s">
        <v>139</v>
      </c>
      <c r="R305" s="43" t="s">
        <v>139</v>
      </c>
      <c r="S305" s="41"/>
    </row>
    <row r="306" spans="2:19">
      <c r="B306" s="967"/>
      <c r="C306" s="972"/>
      <c r="D306" s="967"/>
      <c r="E306" s="969"/>
      <c r="F306" s="971"/>
      <c r="G306" s="39" t="s">
        <v>316</v>
      </c>
      <c r="H306" s="41"/>
      <c r="I306" s="41"/>
      <c r="J306" s="41"/>
      <c r="K306" s="41"/>
      <c r="L306" s="41"/>
      <c r="M306" s="41"/>
      <c r="N306" s="43" t="s">
        <v>139</v>
      </c>
      <c r="O306" s="43" t="s">
        <v>139</v>
      </c>
      <c r="P306" s="43" t="s">
        <v>139</v>
      </c>
      <c r="Q306" s="43" t="s">
        <v>139</v>
      </c>
      <c r="R306" s="43" t="s">
        <v>139</v>
      </c>
      <c r="S306" s="43" t="s">
        <v>139</v>
      </c>
    </row>
    <row r="307" spans="2:19">
      <c r="B307" s="967"/>
      <c r="C307" s="972"/>
      <c r="D307" s="967"/>
      <c r="E307" s="969"/>
      <c r="F307" s="971"/>
      <c r="G307" s="39" t="s">
        <v>317</v>
      </c>
      <c r="H307" s="41"/>
      <c r="I307" s="41"/>
      <c r="J307" s="41"/>
      <c r="K307" s="41"/>
      <c r="L307" s="41"/>
      <c r="M307" s="41"/>
      <c r="N307" s="41"/>
      <c r="O307" s="41"/>
      <c r="P307" s="41"/>
      <c r="Q307" s="41"/>
      <c r="R307" s="41"/>
      <c r="S307" s="43" t="s">
        <v>139</v>
      </c>
    </row>
    <row r="308" spans="2:19">
      <c r="B308" s="967"/>
      <c r="C308" s="972"/>
      <c r="D308" s="967"/>
      <c r="E308" s="969"/>
      <c r="F308" s="971"/>
      <c r="G308" s="39" t="s">
        <v>318</v>
      </c>
      <c r="H308" s="41"/>
      <c r="I308" s="41"/>
      <c r="J308" s="41"/>
      <c r="K308" s="41"/>
      <c r="L308" s="41"/>
      <c r="M308" s="41"/>
      <c r="N308" s="41"/>
      <c r="O308" s="41"/>
      <c r="P308" s="41"/>
      <c r="Q308" s="41"/>
      <c r="R308" s="41"/>
      <c r="S308" s="43" t="s">
        <v>139</v>
      </c>
    </row>
    <row r="309" spans="2:19">
      <c r="B309" s="967" t="s">
        <v>319</v>
      </c>
      <c r="C309" s="972">
        <v>3</v>
      </c>
      <c r="D309" s="967" t="s">
        <v>320</v>
      </c>
      <c r="E309" s="969">
        <v>40500000</v>
      </c>
      <c r="F309" s="971" t="s">
        <v>9</v>
      </c>
      <c r="G309" s="39" t="s">
        <v>301</v>
      </c>
      <c r="H309" s="41"/>
      <c r="I309" s="41"/>
      <c r="J309" s="41"/>
      <c r="K309" s="41"/>
      <c r="L309" s="41"/>
      <c r="M309" s="43" t="s">
        <v>139</v>
      </c>
      <c r="N309" s="41"/>
      <c r="O309" s="41"/>
      <c r="P309" s="41"/>
      <c r="Q309" s="41"/>
      <c r="R309" s="41"/>
      <c r="S309" s="41"/>
    </row>
    <row r="310" spans="2:19" ht="26.4">
      <c r="B310" s="967"/>
      <c r="C310" s="972"/>
      <c r="D310" s="967"/>
      <c r="E310" s="969"/>
      <c r="F310" s="971"/>
      <c r="G310" s="39" t="s">
        <v>321</v>
      </c>
      <c r="H310" s="41"/>
      <c r="I310" s="41"/>
      <c r="J310" s="41"/>
      <c r="K310" s="41"/>
      <c r="L310" s="41"/>
      <c r="M310" s="41"/>
      <c r="N310" s="43" t="s">
        <v>139</v>
      </c>
      <c r="O310" s="41"/>
      <c r="P310" s="41"/>
      <c r="Q310" s="41"/>
      <c r="R310" s="41"/>
      <c r="S310" s="41"/>
    </row>
    <row r="311" spans="2:19">
      <c r="B311" s="967"/>
      <c r="C311" s="972"/>
      <c r="D311" s="967"/>
      <c r="E311" s="969"/>
      <c r="F311" s="971"/>
      <c r="G311" s="39" t="s">
        <v>322</v>
      </c>
      <c r="H311" s="41"/>
      <c r="I311" s="41"/>
      <c r="J311" s="41"/>
      <c r="K311" s="41"/>
      <c r="L311" s="41"/>
      <c r="M311" s="41"/>
      <c r="N311" s="41"/>
      <c r="O311" s="43" t="s">
        <v>139</v>
      </c>
      <c r="P311" s="43" t="s">
        <v>139</v>
      </c>
      <c r="Q311" s="43" t="s">
        <v>139</v>
      </c>
      <c r="R311" s="43" t="s">
        <v>139</v>
      </c>
      <c r="S311" s="43" t="s">
        <v>139</v>
      </c>
    </row>
    <row r="312" spans="2:19">
      <c r="B312" s="967"/>
      <c r="C312" s="972"/>
      <c r="D312" s="967"/>
      <c r="E312" s="969"/>
      <c r="F312" s="971"/>
      <c r="G312" s="39" t="s">
        <v>323</v>
      </c>
      <c r="H312" s="41"/>
      <c r="I312" s="41"/>
      <c r="J312" s="41"/>
      <c r="K312" s="41"/>
      <c r="L312" s="41"/>
      <c r="M312" s="41"/>
      <c r="N312" s="41"/>
      <c r="O312" s="41"/>
      <c r="P312" s="41"/>
      <c r="Q312" s="41"/>
      <c r="R312" s="41"/>
      <c r="S312" s="43" t="s">
        <v>139</v>
      </c>
    </row>
    <row r="313" spans="2:19" ht="16.2" customHeight="1">
      <c r="B313" s="967" t="s">
        <v>324</v>
      </c>
      <c r="C313" s="972">
        <v>1</v>
      </c>
      <c r="D313" s="967" t="s">
        <v>325</v>
      </c>
      <c r="E313" s="969" t="s">
        <v>56</v>
      </c>
      <c r="F313" s="971" t="s">
        <v>9</v>
      </c>
      <c r="G313" s="39" t="s">
        <v>326</v>
      </c>
      <c r="H313" s="43" t="s">
        <v>139</v>
      </c>
      <c r="I313" s="41"/>
      <c r="J313" s="41"/>
      <c r="K313" s="41"/>
      <c r="L313" s="41"/>
      <c r="M313" s="41"/>
      <c r="N313" s="41"/>
      <c r="O313" s="41"/>
      <c r="P313" s="41"/>
      <c r="Q313" s="41"/>
      <c r="R313" s="41"/>
      <c r="S313" s="41"/>
    </row>
    <row r="314" spans="2:19">
      <c r="B314" s="967"/>
      <c r="C314" s="972"/>
      <c r="D314" s="967"/>
      <c r="E314" s="969"/>
      <c r="F314" s="971"/>
      <c r="G314" s="39" t="s">
        <v>327</v>
      </c>
      <c r="H314" s="43" t="s">
        <v>139</v>
      </c>
      <c r="I314" s="43" t="s">
        <v>139</v>
      </c>
      <c r="J314" s="41"/>
      <c r="K314" s="41"/>
      <c r="L314" s="41"/>
      <c r="M314" s="41"/>
      <c r="N314" s="41"/>
      <c r="O314" s="41"/>
      <c r="P314" s="41"/>
      <c r="Q314" s="41"/>
      <c r="R314" s="41"/>
      <c r="S314" s="41"/>
    </row>
    <row r="315" spans="2:19">
      <c r="B315" s="967"/>
      <c r="C315" s="972"/>
      <c r="D315" s="967"/>
      <c r="E315" s="969"/>
      <c r="F315" s="971"/>
      <c r="G315" s="39" t="s">
        <v>328</v>
      </c>
      <c r="H315" s="41"/>
      <c r="I315" s="41"/>
      <c r="J315" s="43" t="s">
        <v>139</v>
      </c>
      <c r="K315" s="41"/>
      <c r="L315" s="41"/>
      <c r="M315" s="41"/>
      <c r="N315" s="41"/>
      <c r="O315" s="41"/>
      <c r="P315" s="41"/>
      <c r="Q315" s="41"/>
      <c r="R315" s="41"/>
      <c r="S315" s="41"/>
    </row>
    <row r="316" spans="2:19">
      <c r="B316" s="967"/>
      <c r="C316" s="972"/>
      <c r="D316" s="967"/>
      <c r="E316" s="969"/>
      <c r="F316" s="971"/>
      <c r="G316" s="39" t="s">
        <v>329</v>
      </c>
      <c r="H316" s="41"/>
      <c r="I316" s="41"/>
      <c r="J316" s="41"/>
      <c r="K316" s="43" t="s">
        <v>139</v>
      </c>
      <c r="L316" s="41"/>
      <c r="M316" s="41"/>
      <c r="N316" s="41"/>
      <c r="O316" s="41"/>
      <c r="P316" s="41"/>
      <c r="Q316" s="41"/>
      <c r="R316" s="41"/>
      <c r="S316" s="41"/>
    </row>
    <row r="317" spans="2:19">
      <c r="B317" s="967"/>
      <c r="C317" s="972"/>
      <c r="D317" s="44" t="s">
        <v>330</v>
      </c>
      <c r="E317" s="45">
        <v>149071918</v>
      </c>
      <c r="F317" s="971"/>
      <c r="G317" s="39" t="s">
        <v>331</v>
      </c>
      <c r="H317" s="41"/>
      <c r="I317" s="41"/>
      <c r="J317" s="41"/>
      <c r="K317" s="41"/>
      <c r="L317" s="43" t="s">
        <v>139</v>
      </c>
      <c r="M317" s="43" t="s">
        <v>139</v>
      </c>
      <c r="N317" s="43" t="s">
        <v>139</v>
      </c>
      <c r="O317" s="43" t="s">
        <v>139</v>
      </c>
      <c r="P317" s="43" t="s">
        <v>139</v>
      </c>
      <c r="Q317" s="43" t="s">
        <v>139</v>
      </c>
      <c r="R317" s="43" t="s">
        <v>139</v>
      </c>
      <c r="S317" s="43" t="s">
        <v>139</v>
      </c>
    </row>
    <row r="318" spans="2:19">
      <c r="B318" s="967" t="s">
        <v>332</v>
      </c>
      <c r="C318" s="968">
        <v>2</v>
      </c>
      <c r="D318" s="967" t="s">
        <v>333</v>
      </c>
      <c r="E318" s="973">
        <v>12371307</v>
      </c>
      <c r="F318" s="970" t="s">
        <v>7</v>
      </c>
      <c r="G318" s="39" t="s">
        <v>334</v>
      </c>
      <c r="H318" s="40" t="s">
        <v>139</v>
      </c>
      <c r="I318" s="41"/>
      <c r="J318" s="41"/>
      <c r="K318" s="41"/>
      <c r="L318" s="41"/>
      <c r="M318" s="41"/>
      <c r="N318" s="41"/>
      <c r="O318" s="41"/>
      <c r="P318" s="41"/>
      <c r="Q318" s="41"/>
      <c r="R318" s="41"/>
      <c r="S318" s="41"/>
    </row>
    <row r="319" spans="2:19">
      <c r="B319" s="967"/>
      <c r="C319" s="968"/>
      <c r="D319" s="967"/>
      <c r="E319" s="973"/>
      <c r="F319" s="970"/>
      <c r="G319" s="39" t="s">
        <v>335</v>
      </c>
      <c r="H319" s="42" t="s">
        <v>149</v>
      </c>
      <c r="I319" s="42" t="s">
        <v>139</v>
      </c>
      <c r="J319" s="41"/>
      <c r="K319" s="41"/>
      <c r="L319" s="41"/>
      <c r="M319" s="41"/>
      <c r="N319" s="41"/>
      <c r="O319" s="41"/>
      <c r="P319" s="41"/>
      <c r="Q319" s="41"/>
      <c r="R319" s="41"/>
      <c r="S319" s="41"/>
    </row>
    <row r="320" spans="2:19">
      <c r="B320" s="967"/>
      <c r="C320" s="968"/>
      <c r="D320" s="967"/>
      <c r="E320" s="973"/>
      <c r="F320" s="970"/>
      <c r="G320" s="39" t="s">
        <v>336</v>
      </c>
      <c r="H320" s="41"/>
      <c r="I320" s="41"/>
      <c r="J320" s="42" t="s">
        <v>139</v>
      </c>
      <c r="K320" s="41"/>
      <c r="L320" s="41"/>
      <c r="M320" s="41"/>
      <c r="N320" s="41"/>
      <c r="O320" s="41"/>
      <c r="P320" s="41"/>
      <c r="Q320" s="41"/>
      <c r="R320" s="41"/>
      <c r="S320" s="41"/>
    </row>
    <row r="321" spans="2:19" ht="39.6">
      <c r="B321" s="967" t="s">
        <v>337</v>
      </c>
      <c r="C321" s="48">
        <v>14</v>
      </c>
      <c r="D321" s="44" t="s">
        <v>338</v>
      </c>
      <c r="E321" s="49">
        <v>1156045157</v>
      </c>
      <c r="F321" s="970"/>
      <c r="G321" s="39" t="s">
        <v>339</v>
      </c>
      <c r="H321" s="41"/>
      <c r="I321" s="42" t="s">
        <v>139</v>
      </c>
      <c r="J321" s="42" t="s">
        <v>139</v>
      </c>
      <c r="K321" s="41"/>
      <c r="L321" s="41"/>
      <c r="M321" s="41"/>
      <c r="N321" s="41"/>
      <c r="O321" s="41"/>
      <c r="P321" s="41"/>
      <c r="Q321" s="41"/>
      <c r="R321" s="41"/>
      <c r="S321" s="41"/>
    </row>
    <row r="322" spans="2:19" ht="26.4">
      <c r="B322" s="967"/>
      <c r="C322" s="48" t="s">
        <v>340</v>
      </c>
      <c r="D322" s="44" t="s">
        <v>341</v>
      </c>
      <c r="E322" s="57"/>
      <c r="F322" s="970"/>
      <c r="G322" s="39" t="s">
        <v>342</v>
      </c>
      <c r="H322" s="40" t="s">
        <v>139</v>
      </c>
      <c r="I322" s="41"/>
      <c r="J322" s="41"/>
      <c r="K322" s="41"/>
      <c r="L322" s="41"/>
      <c r="M322" s="41"/>
      <c r="N322" s="41"/>
      <c r="O322" s="41"/>
      <c r="P322" s="41"/>
      <c r="Q322" s="41"/>
      <c r="R322" s="41"/>
      <c r="S322" s="41"/>
    </row>
    <row r="323" spans="2:19" ht="26.4">
      <c r="B323" s="967"/>
      <c r="C323" s="968" t="s">
        <v>343</v>
      </c>
      <c r="D323" s="44" t="s">
        <v>344</v>
      </c>
      <c r="E323" s="49">
        <v>63279392</v>
      </c>
      <c r="F323" s="970"/>
      <c r="G323" s="39" t="s">
        <v>345</v>
      </c>
      <c r="H323" s="40" t="s">
        <v>139</v>
      </c>
      <c r="I323" s="40" t="s">
        <v>139</v>
      </c>
      <c r="J323" s="40" t="s">
        <v>139</v>
      </c>
      <c r="K323" s="40" t="s">
        <v>139</v>
      </c>
      <c r="L323" s="40" t="s">
        <v>139</v>
      </c>
      <c r="M323" s="40" t="s">
        <v>139</v>
      </c>
      <c r="N323" s="41"/>
      <c r="O323" s="41"/>
      <c r="P323" s="41"/>
      <c r="Q323" s="41"/>
      <c r="R323" s="41"/>
      <c r="S323" s="41"/>
    </row>
    <row r="324" spans="2:19" ht="26.4">
      <c r="B324" s="967"/>
      <c r="C324" s="968"/>
      <c r="D324" s="44" t="s">
        <v>346</v>
      </c>
      <c r="E324" s="58">
        <v>0</v>
      </c>
      <c r="F324" s="970"/>
      <c r="G324" s="39" t="s">
        <v>210</v>
      </c>
      <c r="H324" s="40" t="s">
        <v>139</v>
      </c>
      <c r="I324" s="40" t="s">
        <v>139</v>
      </c>
      <c r="J324" s="40" t="s">
        <v>139</v>
      </c>
      <c r="K324" s="40" t="s">
        <v>139</v>
      </c>
      <c r="L324" s="40" t="s">
        <v>139</v>
      </c>
      <c r="M324" s="40" t="s">
        <v>139</v>
      </c>
      <c r="N324" s="41"/>
      <c r="O324" s="41"/>
      <c r="P324" s="41"/>
      <c r="Q324" s="41"/>
      <c r="R324" s="41"/>
      <c r="S324" s="41"/>
    </row>
    <row r="325" spans="2:19">
      <c r="B325" s="964" t="s">
        <v>347</v>
      </c>
      <c r="C325" s="964"/>
      <c r="D325" s="964"/>
      <c r="E325" s="47">
        <v>5797097100</v>
      </c>
      <c r="F325" s="52"/>
      <c r="G325" s="53"/>
      <c r="H325" s="53"/>
      <c r="I325" s="53"/>
      <c r="J325" s="53"/>
      <c r="K325" s="53"/>
      <c r="L325" s="53"/>
      <c r="M325" s="53"/>
      <c r="N325" s="53"/>
      <c r="O325" s="53"/>
      <c r="P325" s="53"/>
      <c r="Q325" s="53"/>
      <c r="R325" s="53"/>
      <c r="S325" s="53"/>
    </row>
    <row r="326" spans="2:19">
      <c r="B326" s="966" t="s">
        <v>348</v>
      </c>
      <c r="C326" s="966"/>
      <c r="D326" s="966"/>
      <c r="E326" s="36"/>
      <c r="F326" s="55"/>
      <c r="G326" s="38"/>
      <c r="H326" s="56"/>
      <c r="I326" s="56"/>
      <c r="J326" s="56"/>
      <c r="K326" s="56"/>
      <c r="L326" s="56"/>
      <c r="M326" s="56"/>
      <c r="N326" s="56"/>
      <c r="O326" s="56"/>
      <c r="P326" s="56"/>
      <c r="Q326" s="56"/>
      <c r="R326" s="56"/>
      <c r="S326" s="56"/>
    </row>
    <row r="327" spans="2:19" ht="16.2" customHeight="1">
      <c r="B327" s="967" t="s">
        <v>349</v>
      </c>
      <c r="C327" s="979">
        <v>0</v>
      </c>
      <c r="D327" s="967" t="s">
        <v>350</v>
      </c>
      <c r="E327" s="973">
        <v>160000000</v>
      </c>
      <c r="F327" s="970" t="s">
        <v>6</v>
      </c>
      <c r="G327" s="85" t="s">
        <v>351</v>
      </c>
      <c r="H327" s="42" t="s">
        <v>139</v>
      </c>
      <c r="I327" s="42" t="s">
        <v>139</v>
      </c>
      <c r="J327" s="41"/>
      <c r="K327" s="41"/>
      <c r="L327" s="41"/>
      <c r="M327" s="41"/>
      <c r="N327" s="41"/>
      <c r="O327" s="41"/>
      <c r="P327" s="41"/>
      <c r="Q327" s="41"/>
      <c r="R327" s="41"/>
      <c r="S327" s="41"/>
    </row>
    <row r="328" spans="2:19">
      <c r="B328" s="967"/>
      <c r="C328" s="979"/>
      <c r="D328" s="967"/>
      <c r="E328" s="973"/>
      <c r="F328" s="970"/>
      <c r="G328" s="85" t="s">
        <v>352</v>
      </c>
      <c r="H328" s="41"/>
      <c r="I328" s="41"/>
      <c r="J328" s="41"/>
      <c r="K328" s="42" t="s">
        <v>139</v>
      </c>
      <c r="L328" s="42" t="s">
        <v>139</v>
      </c>
      <c r="M328" s="41"/>
      <c r="N328" s="42" t="s">
        <v>139</v>
      </c>
      <c r="O328" s="42" t="s">
        <v>139</v>
      </c>
      <c r="P328" s="41"/>
      <c r="Q328" s="42" t="s">
        <v>139</v>
      </c>
      <c r="R328" s="42" t="s">
        <v>139</v>
      </c>
      <c r="S328" s="41"/>
    </row>
    <row r="329" spans="2:19" ht="26.4">
      <c r="B329" s="967"/>
      <c r="C329" s="979"/>
      <c r="D329" s="967"/>
      <c r="E329" s="973"/>
      <c r="F329" s="970"/>
      <c r="G329" s="85" t="s">
        <v>353</v>
      </c>
      <c r="H329" s="41"/>
      <c r="I329" s="41"/>
      <c r="J329" s="41"/>
      <c r="K329" s="41"/>
      <c r="L329" s="42" t="s">
        <v>139</v>
      </c>
      <c r="M329" s="42" t="s">
        <v>139</v>
      </c>
      <c r="N329" s="41"/>
      <c r="O329" s="41"/>
      <c r="P329" s="41"/>
      <c r="Q329" s="41"/>
      <c r="R329" s="41"/>
      <c r="S329" s="41"/>
    </row>
    <row r="330" spans="2:19">
      <c r="B330" s="967"/>
      <c r="C330" s="979">
        <v>0</v>
      </c>
      <c r="D330" s="967" t="s">
        <v>354</v>
      </c>
      <c r="E330" s="973">
        <v>910800000</v>
      </c>
      <c r="F330" s="970" t="s">
        <v>8</v>
      </c>
      <c r="G330" s="39" t="s">
        <v>355</v>
      </c>
      <c r="H330" s="42" t="s">
        <v>149</v>
      </c>
      <c r="I330" s="41"/>
      <c r="J330" s="41"/>
      <c r="K330" s="41"/>
      <c r="L330" s="41"/>
      <c r="M330" s="41"/>
      <c r="N330" s="41"/>
      <c r="O330" s="41"/>
      <c r="P330" s="41"/>
      <c r="Q330" s="41"/>
      <c r="R330" s="41"/>
      <c r="S330" s="41"/>
    </row>
    <row r="331" spans="2:19">
      <c r="B331" s="967"/>
      <c r="C331" s="979"/>
      <c r="D331" s="967"/>
      <c r="E331" s="973"/>
      <c r="F331" s="970"/>
      <c r="G331" s="39" t="s">
        <v>356</v>
      </c>
      <c r="H331" s="42" t="s">
        <v>149</v>
      </c>
      <c r="I331" s="41"/>
      <c r="J331" s="41"/>
      <c r="K331" s="41"/>
      <c r="L331" s="41"/>
      <c r="M331" s="41"/>
      <c r="N331" s="41"/>
      <c r="O331" s="41"/>
      <c r="P331" s="41"/>
      <c r="Q331" s="41"/>
      <c r="R331" s="41"/>
      <c r="S331" s="41"/>
    </row>
    <row r="332" spans="2:19">
      <c r="B332" s="967"/>
      <c r="C332" s="979"/>
      <c r="D332" s="967"/>
      <c r="E332" s="973"/>
      <c r="F332" s="970"/>
      <c r="G332" s="39" t="s">
        <v>357</v>
      </c>
      <c r="H332" s="41"/>
      <c r="I332" s="42" t="s">
        <v>149</v>
      </c>
      <c r="J332" s="42" t="s">
        <v>149</v>
      </c>
      <c r="K332" s="42" t="s">
        <v>149</v>
      </c>
      <c r="L332" s="42" t="s">
        <v>149</v>
      </c>
      <c r="M332" s="42" t="s">
        <v>149</v>
      </c>
      <c r="N332" s="41"/>
      <c r="O332" s="41"/>
      <c r="P332" s="41"/>
      <c r="Q332" s="41"/>
      <c r="R332" s="41"/>
      <c r="S332" s="41"/>
    </row>
    <row r="333" spans="2:19">
      <c r="B333" s="967"/>
      <c r="C333" s="979"/>
      <c r="D333" s="967"/>
      <c r="E333" s="973"/>
      <c r="F333" s="970"/>
      <c r="G333" s="39" t="s">
        <v>358</v>
      </c>
      <c r="H333" s="41"/>
      <c r="I333" s="41"/>
      <c r="J333" s="42" t="s">
        <v>149</v>
      </c>
      <c r="K333" s="42" t="s">
        <v>149</v>
      </c>
      <c r="L333" s="42" t="s">
        <v>149</v>
      </c>
      <c r="M333" s="42" t="s">
        <v>149</v>
      </c>
      <c r="N333" s="42" t="s">
        <v>149</v>
      </c>
      <c r="O333" s="42" t="s">
        <v>149</v>
      </c>
      <c r="P333" s="42" t="s">
        <v>149</v>
      </c>
      <c r="Q333" s="41"/>
      <c r="R333" s="41"/>
      <c r="S333" s="41"/>
    </row>
    <row r="334" spans="2:19">
      <c r="B334" s="967"/>
      <c r="C334" s="979"/>
      <c r="D334" s="967"/>
      <c r="E334" s="973"/>
      <c r="F334" s="970"/>
      <c r="G334" s="39" t="s">
        <v>359</v>
      </c>
      <c r="H334" s="41"/>
      <c r="I334" s="41"/>
      <c r="J334" s="42" t="s">
        <v>149</v>
      </c>
      <c r="K334" s="42" t="s">
        <v>149</v>
      </c>
      <c r="L334" s="42" t="s">
        <v>149</v>
      </c>
      <c r="M334" s="42" t="s">
        <v>149</v>
      </c>
      <c r="N334" s="42" t="s">
        <v>149</v>
      </c>
      <c r="O334" s="42" t="s">
        <v>149</v>
      </c>
      <c r="P334" s="42" t="s">
        <v>149</v>
      </c>
      <c r="Q334" s="41"/>
      <c r="R334" s="41"/>
      <c r="S334" s="41"/>
    </row>
    <row r="335" spans="2:19">
      <c r="B335" s="967"/>
      <c r="C335" s="979"/>
      <c r="D335" s="967"/>
      <c r="E335" s="973"/>
      <c r="F335" s="970"/>
      <c r="G335" s="39" t="s">
        <v>360</v>
      </c>
      <c r="H335" s="41"/>
      <c r="I335" s="41"/>
      <c r="J335" s="42" t="s">
        <v>149</v>
      </c>
      <c r="K335" s="42" t="s">
        <v>149</v>
      </c>
      <c r="L335" s="42" t="s">
        <v>149</v>
      </c>
      <c r="M335" s="42" t="s">
        <v>149</v>
      </c>
      <c r="N335" s="42" t="s">
        <v>149</v>
      </c>
      <c r="O335" s="42" t="s">
        <v>149</v>
      </c>
      <c r="P335" s="42" t="s">
        <v>149</v>
      </c>
      <c r="Q335" s="41"/>
      <c r="R335" s="41"/>
      <c r="S335" s="41"/>
    </row>
    <row r="336" spans="2:19">
      <c r="B336" s="967"/>
      <c r="C336" s="979"/>
      <c r="D336" s="967"/>
      <c r="E336" s="973"/>
      <c r="F336" s="970"/>
      <c r="G336" s="39" t="s">
        <v>361</v>
      </c>
      <c r="H336" s="41"/>
      <c r="I336" s="41"/>
      <c r="J336" s="41"/>
      <c r="K336" s="41"/>
      <c r="L336" s="41"/>
      <c r="M336" s="41"/>
      <c r="N336" s="41"/>
      <c r="O336" s="42" t="s">
        <v>149</v>
      </c>
      <c r="P336" s="42" t="s">
        <v>149</v>
      </c>
      <c r="Q336" s="42" t="s">
        <v>149</v>
      </c>
      <c r="R336" s="42" t="s">
        <v>149</v>
      </c>
      <c r="S336" s="42" t="s">
        <v>149</v>
      </c>
    </row>
    <row r="337" spans="2:19">
      <c r="B337" s="967"/>
      <c r="C337" s="979"/>
      <c r="D337" s="967"/>
      <c r="E337" s="973"/>
      <c r="F337" s="970"/>
      <c r="G337" s="39" t="s">
        <v>362</v>
      </c>
      <c r="H337" s="41"/>
      <c r="I337" s="41"/>
      <c r="J337" s="41"/>
      <c r="K337" s="41"/>
      <c r="L337" s="41"/>
      <c r="M337" s="41"/>
      <c r="N337" s="41"/>
      <c r="O337" s="41"/>
      <c r="P337" s="41"/>
      <c r="Q337" s="42" t="s">
        <v>149</v>
      </c>
      <c r="R337" s="42" t="s">
        <v>149</v>
      </c>
      <c r="S337" s="42" t="s">
        <v>149</v>
      </c>
    </row>
    <row r="338" spans="2:19">
      <c r="B338" s="967"/>
      <c r="C338" s="979"/>
      <c r="D338" s="967"/>
      <c r="E338" s="973"/>
      <c r="F338" s="970"/>
      <c r="G338" s="39" t="s">
        <v>146</v>
      </c>
      <c r="H338" s="41"/>
      <c r="I338" s="41"/>
      <c r="J338" s="41"/>
      <c r="K338" s="41"/>
      <c r="L338" s="41"/>
      <c r="M338" s="41"/>
      <c r="N338" s="41"/>
      <c r="O338" s="41"/>
      <c r="P338" s="41"/>
      <c r="Q338" s="41"/>
      <c r="R338" s="41"/>
      <c r="S338" s="42" t="s">
        <v>149</v>
      </c>
    </row>
    <row r="339" spans="2:19">
      <c r="B339" s="967"/>
      <c r="C339" s="979"/>
      <c r="D339" s="967" t="s">
        <v>363</v>
      </c>
      <c r="E339" s="973">
        <v>360000000</v>
      </c>
      <c r="F339" s="970"/>
      <c r="G339" s="39" t="s">
        <v>364</v>
      </c>
      <c r="H339" s="41"/>
      <c r="I339" s="41"/>
      <c r="J339" s="41"/>
      <c r="K339" s="41"/>
      <c r="L339" s="41"/>
      <c r="M339" s="42" t="s">
        <v>149</v>
      </c>
      <c r="N339" s="41"/>
      <c r="O339" s="41"/>
      <c r="P339" s="41"/>
      <c r="Q339" s="41"/>
      <c r="R339" s="41"/>
      <c r="S339" s="41"/>
    </row>
    <row r="340" spans="2:19">
      <c r="B340" s="967"/>
      <c r="C340" s="979"/>
      <c r="D340" s="967"/>
      <c r="E340" s="973"/>
      <c r="F340" s="970"/>
      <c r="G340" s="39" t="s">
        <v>365</v>
      </c>
      <c r="H340" s="41"/>
      <c r="I340" s="41"/>
      <c r="J340" s="41"/>
      <c r="K340" s="41"/>
      <c r="L340" s="41"/>
      <c r="M340" s="42" t="s">
        <v>149</v>
      </c>
      <c r="N340" s="41"/>
      <c r="O340" s="41"/>
      <c r="P340" s="41"/>
      <c r="Q340" s="41"/>
      <c r="R340" s="41"/>
      <c r="S340" s="41"/>
    </row>
    <row r="341" spans="2:19">
      <c r="B341" s="967"/>
      <c r="C341" s="979"/>
      <c r="D341" s="967"/>
      <c r="E341" s="973"/>
      <c r="F341" s="970"/>
      <c r="G341" s="39" t="s">
        <v>366</v>
      </c>
      <c r="H341" s="41"/>
      <c r="I341" s="41"/>
      <c r="J341" s="41"/>
      <c r="K341" s="41"/>
      <c r="L341" s="41"/>
      <c r="M341" s="41"/>
      <c r="N341" s="41"/>
      <c r="O341" s="41"/>
      <c r="P341" s="41"/>
      <c r="Q341" s="42" t="s">
        <v>149</v>
      </c>
      <c r="R341" s="41"/>
      <c r="S341" s="41"/>
    </row>
    <row r="342" spans="2:19">
      <c r="B342" s="967"/>
      <c r="C342" s="979"/>
      <c r="D342" s="967"/>
      <c r="E342" s="973"/>
      <c r="F342" s="970"/>
      <c r="G342" s="39" t="s">
        <v>367</v>
      </c>
      <c r="H342" s="41"/>
      <c r="I342" s="41"/>
      <c r="J342" s="41"/>
      <c r="K342" s="41"/>
      <c r="L342" s="41"/>
      <c r="M342" s="41"/>
      <c r="N342" s="41"/>
      <c r="O342" s="41"/>
      <c r="P342" s="41"/>
      <c r="Q342" s="42" t="s">
        <v>149</v>
      </c>
      <c r="R342" s="42" t="s">
        <v>149</v>
      </c>
      <c r="S342" s="42" t="s">
        <v>149</v>
      </c>
    </row>
    <row r="343" spans="2:19">
      <c r="B343" s="967"/>
      <c r="C343" s="979"/>
      <c r="D343" s="967"/>
      <c r="E343" s="973"/>
      <c r="F343" s="970"/>
      <c r="G343" s="39" t="s">
        <v>146</v>
      </c>
      <c r="H343" s="41"/>
      <c r="I343" s="41"/>
      <c r="J343" s="41"/>
      <c r="K343" s="41"/>
      <c r="L343" s="41"/>
      <c r="M343" s="41"/>
      <c r="N343" s="41"/>
      <c r="O343" s="41"/>
      <c r="P343" s="41"/>
      <c r="Q343" s="41"/>
      <c r="R343" s="41"/>
      <c r="S343" s="42" t="s">
        <v>149</v>
      </c>
    </row>
    <row r="344" spans="2:19">
      <c r="B344" s="967"/>
      <c r="C344" s="979"/>
      <c r="D344" s="967" t="s">
        <v>368</v>
      </c>
      <c r="E344" s="973">
        <v>125236000</v>
      </c>
      <c r="F344" s="970"/>
      <c r="G344" s="39" t="s">
        <v>154</v>
      </c>
      <c r="H344" s="42" t="s">
        <v>149</v>
      </c>
      <c r="I344" s="41"/>
      <c r="J344" s="41"/>
      <c r="K344" s="41"/>
      <c r="L344" s="41"/>
      <c r="M344" s="41"/>
      <c r="N344" s="41"/>
      <c r="O344" s="41"/>
      <c r="P344" s="41"/>
      <c r="Q344" s="41"/>
      <c r="R344" s="41"/>
      <c r="S344" s="41"/>
    </row>
    <row r="345" spans="2:19" ht="26.4">
      <c r="B345" s="967"/>
      <c r="C345" s="979"/>
      <c r="D345" s="967"/>
      <c r="E345" s="973"/>
      <c r="F345" s="970"/>
      <c r="G345" s="39" t="s">
        <v>369</v>
      </c>
      <c r="H345" s="42" t="s">
        <v>149</v>
      </c>
      <c r="I345" s="42" t="s">
        <v>149</v>
      </c>
      <c r="J345" s="42" t="s">
        <v>149</v>
      </c>
      <c r="K345" s="42" t="s">
        <v>149</v>
      </c>
      <c r="L345" s="42" t="s">
        <v>149</v>
      </c>
      <c r="M345" s="42" t="s">
        <v>149</v>
      </c>
      <c r="N345" s="42" t="s">
        <v>149</v>
      </c>
      <c r="O345" s="42" t="s">
        <v>149</v>
      </c>
      <c r="P345" s="42" t="s">
        <v>149</v>
      </c>
      <c r="Q345" s="42" t="s">
        <v>149</v>
      </c>
      <c r="R345" s="42" t="s">
        <v>149</v>
      </c>
      <c r="S345" s="42" t="s">
        <v>149</v>
      </c>
    </row>
    <row r="346" spans="2:19">
      <c r="B346" s="967"/>
      <c r="C346" s="59">
        <v>0</v>
      </c>
      <c r="D346" s="44" t="s">
        <v>370</v>
      </c>
      <c r="E346" s="49">
        <v>53380950</v>
      </c>
      <c r="F346" s="970"/>
      <c r="G346" s="60" t="s">
        <v>371</v>
      </c>
      <c r="H346" s="42" t="s">
        <v>149</v>
      </c>
      <c r="I346" s="42" t="s">
        <v>149</v>
      </c>
      <c r="J346" s="42" t="s">
        <v>149</v>
      </c>
      <c r="K346" s="42" t="s">
        <v>149</v>
      </c>
      <c r="L346" s="42" t="s">
        <v>149</v>
      </c>
      <c r="M346" s="42" t="s">
        <v>149</v>
      </c>
      <c r="N346" s="42" t="s">
        <v>149</v>
      </c>
      <c r="O346" s="42" t="s">
        <v>149</v>
      </c>
      <c r="P346" s="42" t="s">
        <v>149</v>
      </c>
      <c r="Q346" s="42" t="s">
        <v>149</v>
      </c>
      <c r="R346" s="42" t="s">
        <v>149</v>
      </c>
      <c r="S346" s="42" t="s">
        <v>149</v>
      </c>
    </row>
    <row r="347" spans="2:19" ht="26.4">
      <c r="B347" s="967" t="s">
        <v>372</v>
      </c>
      <c r="C347" s="968">
        <v>10</v>
      </c>
      <c r="D347" s="967" t="s">
        <v>373</v>
      </c>
      <c r="E347" s="973">
        <v>37800000</v>
      </c>
      <c r="F347" s="970"/>
      <c r="G347" s="39" t="s">
        <v>374</v>
      </c>
      <c r="H347" s="42" t="s">
        <v>149</v>
      </c>
      <c r="I347" s="42" t="s">
        <v>149</v>
      </c>
      <c r="J347" s="42" t="s">
        <v>149</v>
      </c>
      <c r="K347" s="42" t="s">
        <v>149</v>
      </c>
      <c r="L347" s="42" t="s">
        <v>149</v>
      </c>
      <c r="M347" s="42" t="s">
        <v>149</v>
      </c>
      <c r="N347" s="42" t="s">
        <v>149</v>
      </c>
      <c r="O347" s="42" t="s">
        <v>149</v>
      </c>
      <c r="P347" s="42" t="s">
        <v>149</v>
      </c>
      <c r="Q347" s="42" t="s">
        <v>149</v>
      </c>
      <c r="R347" s="42" t="s">
        <v>149</v>
      </c>
      <c r="S347" s="42" t="s">
        <v>149</v>
      </c>
    </row>
    <row r="348" spans="2:19" ht="16.2" customHeight="1">
      <c r="B348" s="967"/>
      <c r="C348" s="968"/>
      <c r="D348" s="967"/>
      <c r="E348" s="973"/>
      <c r="F348" s="970"/>
      <c r="G348" s="39" t="s">
        <v>375</v>
      </c>
      <c r="H348" s="41"/>
      <c r="I348" s="41"/>
      <c r="J348" s="41"/>
      <c r="K348" s="41"/>
      <c r="L348" s="41"/>
      <c r="M348" s="42" t="s">
        <v>149</v>
      </c>
      <c r="N348" s="41"/>
      <c r="O348" s="41"/>
      <c r="P348" s="41"/>
      <c r="Q348" s="41"/>
      <c r="R348" s="41"/>
      <c r="S348" s="41"/>
    </row>
    <row r="349" spans="2:19">
      <c r="B349" s="967"/>
      <c r="C349" s="968"/>
      <c r="D349" s="967"/>
      <c r="E349" s="973"/>
      <c r="F349" s="970"/>
      <c r="G349" s="39" t="s">
        <v>322</v>
      </c>
      <c r="H349" s="41"/>
      <c r="I349" s="41"/>
      <c r="J349" s="41"/>
      <c r="K349" s="41"/>
      <c r="L349" s="41"/>
      <c r="M349" s="42" t="s">
        <v>149</v>
      </c>
      <c r="N349" s="42" t="s">
        <v>149</v>
      </c>
      <c r="O349" s="42" t="s">
        <v>149</v>
      </c>
      <c r="P349" s="42" t="s">
        <v>149</v>
      </c>
      <c r="Q349" s="42" t="s">
        <v>149</v>
      </c>
      <c r="R349" s="42" t="s">
        <v>149</v>
      </c>
      <c r="S349" s="42" t="s">
        <v>149</v>
      </c>
    </row>
    <row r="350" spans="2:19">
      <c r="B350" s="967"/>
      <c r="C350" s="968"/>
      <c r="D350" s="967"/>
      <c r="E350" s="973"/>
      <c r="F350" s="970"/>
      <c r="G350" s="39" t="s">
        <v>376</v>
      </c>
      <c r="H350" s="41"/>
      <c r="I350" s="41"/>
      <c r="J350" s="41"/>
      <c r="K350" s="41"/>
      <c r="L350" s="41"/>
      <c r="M350" s="41"/>
      <c r="N350" s="41"/>
      <c r="O350" s="41"/>
      <c r="P350" s="41"/>
      <c r="Q350" s="41"/>
      <c r="R350" s="40" t="s">
        <v>149</v>
      </c>
      <c r="S350" s="40" t="s">
        <v>149</v>
      </c>
    </row>
    <row r="351" spans="2:19" ht="16.2" customHeight="1">
      <c r="B351" s="967" t="s">
        <v>349</v>
      </c>
      <c r="C351" s="979">
        <v>4</v>
      </c>
      <c r="D351" s="967" t="s">
        <v>377</v>
      </c>
      <c r="E351" s="973">
        <v>206379184.19999999</v>
      </c>
      <c r="F351" s="970" t="s">
        <v>9</v>
      </c>
      <c r="G351" s="39" t="s">
        <v>138</v>
      </c>
      <c r="H351" s="42" t="s">
        <v>139</v>
      </c>
      <c r="I351" s="42" t="s">
        <v>139</v>
      </c>
      <c r="J351" s="41"/>
      <c r="K351" s="41"/>
      <c r="L351" s="41"/>
      <c r="M351" s="41"/>
      <c r="N351" s="41"/>
      <c r="O351" s="41"/>
      <c r="P351" s="41"/>
      <c r="Q351" s="41"/>
      <c r="R351" s="41"/>
      <c r="S351" s="41"/>
    </row>
    <row r="352" spans="2:19">
      <c r="B352" s="967"/>
      <c r="C352" s="979"/>
      <c r="D352" s="967"/>
      <c r="E352" s="973"/>
      <c r="F352" s="970"/>
      <c r="G352" s="39" t="s">
        <v>378</v>
      </c>
      <c r="H352" s="41"/>
      <c r="I352" s="42" t="s">
        <v>139</v>
      </c>
      <c r="J352" s="42" t="s">
        <v>139</v>
      </c>
      <c r="K352" s="41"/>
      <c r="L352" s="41"/>
      <c r="M352" s="41"/>
      <c r="N352" s="41"/>
      <c r="O352" s="41"/>
      <c r="P352" s="41"/>
      <c r="Q352" s="41"/>
      <c r="R352" s="41"/>
      <c r="S352" s="41"/>
    </row>
    <row r="353" spans="2:19">
      <c r="B353" s="967"/>
      <c r="C353" s="979"/>
      <c r="D353" s="967"/>
      <c r="E353" s="973"/>
      <c r="F353" s="970"/>
      <c r="G353" s="39" t="s">
        <v>359</v>
      </c>
      <c r="H353" s="41"/>
      <c r="I353" s="41"/>
      <c r="J353" s="41"/>
      <c r="K353" s="42" t="s">
        <v>149</v>
      </c>
      <c r="L353" s="42" t="s">
        <v>149</v>
      </c>
      <c r="M353" s="42" t="s">
        <v>149</v>
      </c>
      <c r="N353" s="41"/>
      <c r="O353" s="41"/>
      <c r="P353" s="41"/>
      <c r="Q353" s="41"/>
      <c r="R353" s="41"/>
      <c r="S353" s="41"/>
    </row>
    <row r="354" spans="2:19">
      <c r="B354" s="967"/>
      <c r="C354" s="979"/>
      <c r="D354" s="967"/>
      <c r="E354" s="973"/>
      <c r="F354" s="970"/>
      <c r="G354" s="39" t="s">
        <v>360</v>
      </c>
      <c r="H354" s="41"/>
      <c r="I354" s="41"/>
      <c r="J354" s="41"/>
      <c r="K354" s="41"/>
      <c r="L354" s="41"/>
      <c r="M354" s="41"/>
      <c r="N354" s="42" t="s">
        <v>149</v>
      </c>
      <c r="O354" s="42" t="s">
        <v>149</v>
      </c>
      <c r="P354" s="41"/>
      <c r="Q354" s="41"/>
      <c r="R354" s="41"/>
      <c r="S354" s="41"/>
    </row>
    <row r="355" spans="2:19">
      <c r="B355" s="967"/>
      <c r="C355" s="979"/>
      <c r="D355" s="967"/>
      <c r="E355" s="973"/>
      <c r="F355" s="970"/>
      <c r="G355" s="39" t="s">
        <v>361</v>
      </c>
      <c r="H355" s="41"/>
      <c r="I355" s="41"/>
      <c r="J355" s="41"/>
      <c r="K355" s="41"/>
      <c r="L355" s="41"/>
      <c r="M355" s="41"/>
      <c r="N355" s="41"/>
      <c r="O355" s="42" t="s">
        <v>149</v>
      </c>
      <c r="P355" s="42" t="s">
        <v>149</v>
      </c>
      <c r="Q355" s="42" t="s">
        <v>149</v>
      </c>
      <c r="R355" s="41"/>
      <c r="S355" s="41"/>
    </row>
    <row r="356" spans="2:19">
      <c r="B356" s="967"/>
      <c r="C356" s="979"/>
      <c r="D356" s="967"/>
      <c r="E356" s="973"/>
      <c r="F356" s="970"/>
      <c r="G356" s="39" t="s">
        <v>362</v>
      </c>
      <c r="H356" s="41"/>
      <c r="I356" s="41"/>
      <c r="J356" s="41"/>
      <c r="K356" s="41"/>
      <c r="L356" s="41"/>
      <c r="M356" s="41"/>
      <c r="N356" s="41"/>
      <c r="O356" s="41"/>
      <c r="P356" s="41"/>
      <c r="Q356" s="41"/>
      <c r="R356" s="42" t="s">
        <v>149</v>
      </c>
      <c r="S356" s="41"/>
    </row>
    <row r="357" spans="2:19">
      <c r="B357" s="967"/>
      <c r="C357" s="979"/>
      <c r="D357" s="967"/>
      <c r="E357" s="973"/>
      <c r="F357" s="970"/>
      <c r="G357" s="39" t="s">
        <v>379</v>
      </c>
      <c r="H357" s="41"/>
      <c r="I357" s="41"/>
      <c r="J357" s="41"/>
      <c r="K357" s="41"/>
      <c r="L357" s="41"/>
      <c r="M357" s="41"/>
      <c r="N357" s="41"/>
      <c r="O357" s="41"/>
      <c r="P357" s="41"/>
      <c r="Q357" s="41"/>
      <c r="R357" s="41"/>
      <c r="S357" s="42" t="s">
        <v>149</v>
      </c>
    </row>
    <row r="358" spans="2:19">
      <c r="B358" s="967"/>
      <c r="C358" s="979"/>
      <c r="D358" s="967" t="s">
        <v>380</v>
      </c>
      <c r="E358" s="973">
        <v>207292617</v>
      </c>
      <c r="F358" s="970" t="s">
        <v>9</v>
      </c>
      <c r="G358" s="39" t="s">
        <v>138</v>
      </c>
      <c r="H358" s="42" t="s">
        <v>149</v>
      </c>
      <c r="I358" s="42" t="s">
        <v>149</v>
      </c>
      <c r="J358" s="41"/>
      <c r="K358" s="41"/>
      <c r="L358" s="41"/>
      <c r="M358" s="41"/>
      <c r="N358" s="41"/>
      <c r="O358" s="41"/>
      <c r="P358" s="41"/>
      <c r="Q358" s="41"/>
      <c r="R358" s="41"/>
      <c r="S358" s="41"/>
    </row>
    <row r="359" spans="2:19">
      <c r="B359" s="967"/>
      <c r="C359" s="979"/>
      <c r="D359" s="967"/>
      <c r="E359" s="973"/>
      <c r="F359" s="970"/>
      <c r="G359" s="39" t="s">
        <v>378</v>
      </c>
      <c r="H359" s="41"/>
      <c r="I359" s="42" t="s">
        <v>149</v>
      </c>
      <c r="J359" s="42" t="s">
        <v>149</v>
      </c>
      <c r="K359" s="41"/>
      <c r="L359" s="41"/>
      <c r="M359" s="41"/>
      <c r="N359" s="41"/>
      <c r="O359" s="41"/>
      <c r="P359" s="41"/>
      <c r="Q359" s="41"/>
      <c r="R359" s="41"/>
      <c r="S359" s="41"/>
    </row>
    <row r="360" spans="2:19">
      <c r="B360" s="967"/>
      <c r="C360" s="979"/>
      <c r="D360" s="967"/>
      <c r="E360" s="973"/>
      <c r="F360" s="970"/>
      <c r="G360" s="39" t="s">
        <v>359</v>
      </c>
      <c r="H360" s="41"/>
      <c r="I360" s="41"/>
      <c r="J360" s="41"/>
      <c r="K360" s="42" t="s">
        <v>149</v>
      </c>
      <c r="L360" s="42" t="s">
        <v>149</v>
      </c>
      <c r="M360" s="42" t="s">
        <v>149</v>
      </c>
      <c r="N360" s="41"/>
      <c r="O360" s="41"/>
      <c r="P360" s="41"/>
      <c r="Q360" s="41"/>
      <c r="R360" s="41"/>
      <c r="S360" s="41"/>
    </row>
    <row r="361" spans="2:19">
      <c r="B361" s="967"/>
      <c r="C361" s="979"/>
      <c r="D361" s="967"/>
      <c r="E361" s="973"/>
      <c r="F361" s="970"/>
      <c r="G361" s="39" t="s">
        <v>360</v>
      </c>
      <c r="H361" s="41"/>
      <c r="I361" s="41"/>
      <c r="J361" s="41"/>
      <c r="K361" s="41"/>
      <c r="L361" s="41"/>
      <c r="M361" s="41"/>
      <c r="N361" s="42" t="s">
        <v>149</v>
      </c>
      <c r="O361" s="42" t="s">
        <v>149</v>
      </c>
      <c r="P361" s="41"/>
      <c r="Q361" s="41"/>
      <c r="R361" s="41"/>
      <c r="S361" s="41"/>
    </row>
    <row r="362" spans="2:19">
      <c r="B362" s="967"/>
      <c r="C362" s="979"/>
      <c r="D362" s="967"/>
      <c r="E362" s="973"/>
      <c r="F362" s="970"/>
      <c r="G362" s="39" t="s">
        <v>361</v>
      </c>
      <c r="H362" s="41"/>
      <c r="I362" s="41"/>
      <c r="J362" s="41"/>
      <c r="K362" s="41"/>
      <c r="L362" s="41"/>
      <c r="M362" s="41"/>
      <c r="N362" s="41"/>
      <c r="O362" s="42" t="s">
        <v>149</v>
      </c>
      <c r="P362" s="42" t="s">
        <v>149</v>
      </c>
      <c r="Q362" s="42" t="s">
        <v>149</v>
      </c>
      <c r="R362" s="41"/>
      <c r="S362" s="41"/>
    </row>
    <row r="363" spans="2:19">
      <c r="B363" s="967"/>
      <c r="C363" s="979"/>
      <c r="D363" s="967"/>
      <c r="E363" s="973"/>
      <c r="F363" s="970"/>
      <c r="G363" s="39" t="s">
        <v>362</v>
      </c>
      <c r="H363" s="41"/>
      <c r="I363" s="41"/>
      <c r="J363" s="41"/>
      <c r="K363" s="41"/>
      <c r="L363" s="41"/>
      <c r="M363" s="41"/>
      <c r="N363" s="41"/>
      <c r="O363" s="41"/>
      <c r="P363" s="41"/>
      <c r="Q363" s="41"/>
      <c r="R363" s="42" t="s">
        <v>149</v>
      </c>
      <c r="S363" s="41"/>
    </row>
    <row r="364" spans="2:19">
      <c r="B364" s="967"/>
      <c r="C364" s="979"/>
      <c r="D364" s="967"/>
      <c r="E364" s="973"/>
      <c r="F364" s="970"/>
      <c r="G364" s="39" t="s">
        <v>379</v>
      </c>
      <c r="H364" s="41"/>
      <c r="I364" s="41"/>
      <c r="J364" s="41"/>
      <c r="K364" s="41"/>
      <c r="L364" s="41"/>
      <c r="M364" s="41"/>
      <c r="N364" s="41"/>
      <c r="O364" s="41"/>
      <c r="P364" s="41"/>
      <c r="Q364" s="41"/>
      <c r="R364" s="41"/>
      <c r="S364" s="42" t="s">
        <v>149</v>
      </c>
    </row>
    <row r="365" spans="2:19">
      <c r="B365" s="967"/>
      <c r="C365" s="979"/>
      <c r="D365" s="967" t="s">
        <v>381</v>
      </c>
      <c r="E365" s="973">
        <v>270425790.60000002</v>
      </c>
      <c r="F365" s="970" t="s">
        <v>9</v>
      </c>
      <c r="G365" s="39" t="s">
        <v>138</v>
      </c>
      <c r="H365" s="42" t="s">
        <v>149</v>
      </c>
      <c r="I365" s="42" t="s">
        <v>149</v>
      </c>
      <c r="J365" s="41"/>
      <c r="K365" s="41"/>
      <c r="L365" s="41"/>
      <c r="M365" s="41"/>
      <c r="N365" s="41"/>
      <c r="O365" s="41"/>
      <c r="P365" s="41"/>
      <c r="Q365" s="41"/>
      <c r="R365" s="41"/>
      <c r="S365" s="41"/>
    </row>
    <row r="366" spans="2:19">
      <c r="B366" s="967"/>
      <c r="C366" s="979"/>
      <c r="D366" s="967"/>
      <c r="E366" s="973"/>
      <c r="F366" s="970"/>
      <c r="G366" s="39" t="s">
        <v>378</v>
      </c>
      <c r="H366" s="41"/>
      <c r="I366" s="42" t="s">
        <v>149</v>
      </c>
      <c r="J366" s="42" t="s">
        <v>149</v>
      </c>
      <c r="K366" s="41"/>
      <c r="L366" s="41"/>
      <c r="M366" s="41"/>
      <c r="N366" s="41"/>
      <c r="O366" s="41"/>
      <c r="P366" s="41"/>
      <c r="Q366" s="41"/>
      <c r="R366" s="41"/>
      <c r="S366" s="41"/>
    </row>
    <row r="367" spans="2:19">
      <c r="B367" s="967"/>
      <c r="C367" s="979"/>
      <c r="D367" s="967"/>
      <c r="E367" s="973"/>
      <c r="F367" s="970"/>
      <c r="G367" s="39" t="s">
        <v>359</v>
      </c>
      <c r="H367" s="41"/>
      <c r="I367" s="41"/>
      <c r="J367" s="41"/>
      <c r="K367" s="42" t="s">
        <v>149</v>
      </c>
      <c r="L367" s="42" t="s">
        <v>149</v>
      </c>
      <c r="M367" s="42" t="s">
        <v>149</v>
      </c>
      <c r="N367" s="41"/>
      <c r="O367" s="41"/>
      <c r="P367" s="41"/>
      <c r="Q367" s="41"/>
      <c r="R367" s="41"/>
      <c r="S367" s="41"/>
    </row>
    <row r="368" spans="2:19">
      <c r="B368" s="967"/>
      <c r="C368" s="979"/>
      <c r="D368" s="967"/>
      <c r="E368" s="973"/>
      <c r="F368" s="970"/>
      <c r="G368" s="39" t="s">
        <v>360</v>
      </c>
      <c r="H368" s="41"/>
      <c r="I368" s="41"/>
      <c r="J368" s="41"/>
      <c r="K368" s="41"/>
      <c r="L368" s="41"/>
      <c r="M368" s="41"/>
      <c r="N368" s="42" t="s">
        <v>149</v>
      </c>
      <c r="O368" s="42" t="s">
        <v>149</v>
      </c>
      <c r="P368" s="41"/>
      <c r="Q368" s="41"/>
      <c r="R368" s="41"/>
      <c r="S368" s="41"/>
    </row>
    <row r="369" spans="2:19">
      <c r="B369" s="967"/>
      <c r="C369" s="979"/>
      <c r="D369" s="967"/>
      <c r="E369" s="973"/>
      <c r="F369" s="970"/>
      <c r="G369" s="39" t="s">
        <v>361</v>
      </c>
      <c r="H369" s="41"/>
      <c r="I369" s="41"/>
      <c r="J369" s="41"/>
      <c r="K369" s="41"/>
      <c r="L369" s="41"/>
      <c r="M369" s="41"/>
      <c r="N369" s="41"/>
      <c r="O369" s="42" t="s">
        <v>149</v>
      </c>
      <c r="P369" s="42" t="s">
        <v>149</v>
      </c>
      <c r="Q369" s="42" t="s">
        <v>149</v>
      </c>
      <c r="R369" s="41"/>
      <c r="S369" s="41"/>
    </row>
    <row r="370" spans="2:19">
      <c r="B370" s="967"/>
      <c r="C370" s="979"/>
      <c r="D370" s="967"/>
      <c r="E370" s="973"/>
      <c r="F370" s="970"/>
      <c r="G370" s="39" t="s">
        <v>362</v>
      </c>
      <c r="H370" s="41"/>
      <c r="I370" s="41"/>
      <c r="J370" s="41"/>
      <c r="K370" s="41"/>
      <c r="L370" s="41"/>
      <c r="M370" s="41"/>
      <c r="N370" s="41"/>
      <c r="O370" s="41"/>
      <c r="P370" s="41"/>
      <c r="Q370" s="41"/>
      <c r="R370" s="42" t="s">
        <v>149</v>
      </c>
      <c r="S370" s="41"/>
    </row>
    <row r="371" spans="2:19">
      <c r="B371" s="967"/>
      <c r="C371" s="979"/>
      <c r="D371" s="967"/>
      <c r="E371" s="973"/>
      <c r="F371" s="970"/>
      <c r="G371" s="39" t="s">
        <v>379</v>
      </c>
      <c r="H371" s="41"/>
      <c r="I371" s="41"/>
      <c r="J371" s="41"/>
      <c r="K371" s="41"/>
      <c r="L371" s="41"/>
      <c r="M371" s="41"/>
      <c r="N371" s="41"/>
      <c r="O371" s="41"/>
      <c r="P371" s="41"/>
      <c r="Q371" s="41"/>
      <c r="R371" s="41"/>
      <c r="S371" s="42" t="s">
        <v>149</v>
      </c>
    </row>
    <row r="372" spans="2:19">
      <c r="B372" s="967"/>
      <c r="C372" s="979"/>
      <c r="D372" s="967" t="s">
        <v>382</v>
      </c>
      <c r="E372" s="973">
        <v>158457227.59999999</v>
      </c>
      <c r="F372" s="970" t="s">
        <v>9</v>
      </c>
      <c r="G372" s="39" t="s">
        <v>138</v>
      </c>
      <c r="H372" s="42" t="s">
        <v>149</v>
      </c>
      <c r="I372" s="42" t="s">
        <v>149</v>
      </c>
      <c r="J372" s="41"/>
      <c r="K372" s="41"/>
      <c r="L372" s="41"/>
      <c r="M372" s="41"/>
      <c r="N372" s="41"/>
      <c r="O372" s="41"/>
      <c r="P372" s="41"/>
      <c r="Q372" s="41"/>
      <c r="R372" s="41"/>
      <c r="S372" s="41"/>
    </row>
    <row r="373" spans="2:19">
      <c r="B373" s="967"/>
      <c r="C373" s="979"/>
      <c r="D373" s="967"/>
      <c r="E373" s="973"/>
      <c r="F373" s="970"/>
      <c r="G373" s="39" t="s">
        <v>378</v>
      </c>
      <c r="H373" s="42"/>
      <c r="I373" s="42" t="s">
        <v>149</v>
      </c>
      <c r="J373" s="42" t="s">
        <v>149</v>
      </c>
      <c r="K373" s="41"/>
      <c r="L373" s="41"/>
      <c r="M373" s="41"/>
      <c r="N373" s="41"/>
      <c r="O373" s="41"/>
      <c r="P373" s="41"/>
      <c r="Q373" s="41"/>
      <c r="R373" s="41"/>
      <c r="S373" s="41"/>
    </row>
    <row r="374" spans="2:19">
      <c r="B374" s="967"/>
      <c r="C374" s="979"/>
      <c r="D374" s="967"/>
      <c r="E374" s="973"/>
      <c r="F374" s="970"/>
      <c r="G374" s="39" t="s">
        <v>359</v>
      </c>
      <c r="H374" s="41"/>
      <c r="I374" s="41"/>
      <c r="J374" s="41"/>
      <c r="K374" s="42" t="s">
        <v>149</v>
      </c>
      <c r="L374" s="42" t="s">
        <v>149</v>
      </c>
      <c r="M374" s="42" t="s">
        <v>149</v>
      </c>
      <c r="N374" s="41"/>
      <c r="O374" s="41"/>
      <c r="P374" s="41"/>
      <c r="Q374" s="41"/>
      <c r="R374" s="41"/>
      <c r="S374" s="41"/>
    </row>
    <row r="375" spans="2:19">
      <c r="B375" s="967"/>
      <c r="C375" s="979"/>
      <c r="D375" s="967"/>
      <c r="E375" s="973"/>
      <c r="F375" s="970"/>
      <c r="G375" s="39" t="s">
        <v>360</v>
      </c>
      <c r="H375" s="41"/>
      <c r="I375" s="41"/>
      <c r="J375" s="41"/>
      <c r="K375" s="41"/>
      <c r="L375" s="41"/>
      <c r="M375" s="41"/>
      <c r="N375" s="42" t="s">
        <v>149</v>
      </c>
      <c r="O375" s="42" t="s">
        <v>149</v>
      </c>
      <c r="P375" s="41"/>
      <c r="Q375" s="41"/>
      <c r="R375" s="41"/>
      <c r="S375" s="41"/>
    </row>
    <row r="376" spans="2:19">
      <c r="B376" s="967"/>
      <c r="C376" s="979"/>
      <c r="D376" s="967"/>
      <c r="E376" s="973"/>
      <c r="F376" s="970"/>
      <c r="G376" s="39" t="s">
        <v>361</v>
      </c>
      <c r="H376" s="41"/>
      <c r="I376" s="41"/>
      <c r="J376" s="41"/>
      <c r="K376" s="41"/>
      <c r="L376" s="41"/>
      <c r="M376" s="41"/>
      <c r="N376" s="41"/>
      <c r="O376" s="42" t="s">
        <v>149</v>
      </c>
      <c r="P376" s="42" t="s">
        <v>149</v>
      </c>
      <c r="Q376" s="42" t="s">
        <v>149</v>
      </c>
      <c r="R376" s="41"/>
      <c r="S376" s="41"/>
    </row>
    <row r="377" spans="2:19">
      <c r="B377" s="967"/>
      <c r="C377" s="979"/>
      <c r="D377" s="967"/>
      <c r="E377" s="973"/>
      <c r="F377" s="970"/>
      <c r="G377" s="39" t="s">
        <v>362</v>
      </c>
      <c r="H377" s="41"/>
      <c r="I377" s="41"/>
      <c r="J377" s="41"/>
      <c r="K377" s="41"/>
      <c r="L377" s="41"/>
      <c r="M377" s="41"/>
      <c r="N377" s="41"/>
      <c r="O377" s="41"/>
      <c r="P377" s="41"/>
      <c r="Q377" s="41"/>
      <c r="R377" s="42" t="s">
        <v>149</v>
      </c>
      <c r="S377" s="41"/>
    </row>
    <row r="378" spans="2:19">
      <c r="B378" s="967"/>
      <c r="C378" s="979"/>
      <c r="D378" s="967"/>
      <c r="E378" s="973"/>
      <c r="F378" s="970"/>
      <c r="G378" s="39" t="s">
        <v>379</v>
      </c>
      <c r="H378" s="41"/>
      <c r="I378" s="41"/>
      <c r="J378" s="41"/>
      <c r="K378" s="41"/>
      <c r="L378" s="41"/>
      <c r="M378" s="41"/>
      <c r="N378" s="41"/>
      <c r="O378" s="41"/>
      <c r="P378" s="41"/>
      <c r="Q378" s="41"/>
      <c r="R378" s="41"/>
      <c r="S378" s="42" t="s">
        <v>149</v>
      </c>
    </row>
    <row r="379" spans="2:19" ht="26.4">
      <c r="B379" s="967"/>
      <c r="C379" s="979"/>
      <c r="D379" s="44" t="s">
        <v>383</v>
      </c>
      <c r="E379" s="49">
        <v>153018000</v>
      </c>
      <c r="F379" s="970"/>
      <c r="G379" s="39" t="s">
        <v>384</v>
      </c>
      <c r="H379" s="42" t="s">
        <v>149</v>
      </c>
      <c r="I379" s="42" t="s">
        <v>149</v>
      </c>
      <c r="J379" s="42" t="s">
        <v>149</v>
      </c>
      <c r="K379" s="42" t="s">
        <v>149</v>
      </c>
      <c r="L379" s="42" t="s">
        <v>149</v>
      </c>
      <c r="M379" s="42" t="s">
        <v>149</v>
      </c>
      <c r="N379" s="42" t="s">
        <v>149</v>
      </c>
      <c r="O379" s="42" t="s">
        <v>149</v>
      </c>
      <c r="P379" s="42" t="s">
        <v>149</v>
      </c>
      <c r="Q379" s="42" t="s">
        <v>149</v>
      </c>
      <c r="R379" s="42" t="s">
        <v>149</v>
      </c>
      <c r="S379" s="42" t="s">
        <v>149</v>
      </c>
    </row>
    <row r="380" spans="2:19">
      <c r="B380" s="967"/>
      <c r="C380" s="968">
        <v>20</v>
      </c>
      <c r="D380" s="967" t="s">
        <v>385</v>
      </c>
      <c r="E380" s="973">
        <v>312272555</v>
      </c>
      <c r="F380" s="970" t="s">
        <v>7</v>
      </c>
      <c r="G380" s="39" t="s">
        <v>359</v>
      </c>
      <c r="H380" s="41"/>
      <c r="I380" s="42" t="s">
        <v>139</v>
      </c>
      <c r="J380" s="42" t="s">
        <v>139</v>
      </c>
      <c r="K380" s="42" t="s">
        <v>139</v>
      </c>
      <c r="L380" s="41"/>
      <c r="M380" s="41"/>
      <c r="N380" s="41"/>
      <c r="O380" s="41"/>
      <c r="P380" s="41"/>
      <c r="Q380" s="41"/>
      <c r="R380" s="41"/>
      <c r="S380" s="41"/>
    </row>
    <row r="381" spans="2:19">
      <c r="B381" s="967"/>
      <c r="C381" s="968"/>
      <c r="D381" s="967"/>
      <c r="E381" s="973"/>
      <c r="F381" s="970"/>
      <c r="G381" s="39" t="s">
        <v>360</v>
      </c>
      <c r="H381" s="41"/>
      <c r="I381" s="41"/>
      <c r="J381" s="41"/>
      <c r="K381" s="41"/>
      <c r="L381" s="42" t="s">
        <v>149</v>
      </c>
      <c r="M381" s="42" t="s">
        <v>149</v>
      </c>
      <c r="N381" s="42" t="s">
        <v>149</v>
      </c>
      <c r="O381" s="41"/>
      <c r="P381" s="41"/>
      <c r="Q381" s="41"/>
      <c r="R381" s="41"/>
      <c r="S381" s="41"/>
    </row>
    <row r="382" spans="2:19">
      <c r="B382" s="967"/>
      <c r="C382" s="968"/>
      <c r="D382" s="967"/>
      <c r="E382" s="973"/>
      <c r="F382" s="970"/>
      <c r="G382" s="39" t="s">
        <v>361</v>
      </c>
      <c r="H382" s="41"/>
      <c r="I382" s="41"/>
      <c r="J382" s="41"/>
      <c r="K382" s="41"/>
      <c r="L382" s="41"/>
      <c r="M382" s="41"/>
      <c r="N382" s="41"/>
      <c r="O382" s="41"/>
      <c r="P382" s="41"/>
      <c r="Q382" s="41"/>
      <c r="R382" s="41"/>
      <c r="S382" s="41"/>
    </row>
    <row r="383" spans="2:19">
      <c r="B383" s="967"/>
      <c r="C383" s="968"/>
      <c r="D383" s="967"/>
      <c r="E383" s="973"/>
      <c r="F383" s="970"/>
      <c r="G383" s="39" t="s">
        <v>362</v>
      </c>
      <c r="H383" s="41"/>
      <c r="I383" s="41"/>
      <c r="J383" s="41"/>
      <c r="K383" s="41"/>
      <c r="L383" s="41"/>
      <c r="M383" s="41"/>
      <c r="N383" s="42" t="s">
        <v>139</v>
      </c>
      <c r="O383" s="42" t="s">
        <v>139</v>
      </c>
      <c r="P383" s="42" t="s">
        <v>139</v>
      </c>
      <c r="Q383" s="41"/>
      <c r="R383" s="41"/>
      <c r="S383" s="41"/>
    </row>
    <row r="384" spans="2:19">
      <c r="B384" s="967"/>
      <c r="C384" s="968"/>
      <c r="D384" s="967"/>
      <c r="E384" s="973"/>
      <c r="F384" s="970"/>
      <c r="G384" s="39" t="s">
        <v>146</v>
      </c>
      <c r="H384" s="41"/>
      <c r="I384" s="41"/>
      <c r="J384" s="41"/>
      <c r="K384" s="41"/>
      <c r="L384" s="41"/>
      <c r="M384" s="41"/>
      <c r="N384" s="41"/>
      <c r="O384" s="41"/>
      <c r="P384" s="41"/>
      <c r="Q384" s="42" t="s">
        <v>139</v>
      </c>
      <c r="R384" s="42" t="s">
        <v>139</v>
      </c>
      <c r="S384" s="41"/>
    </row>
    <row r="385" spans="2:19">
      <c r="B385" s="967"/>
      <c r="C385" s="968"/>
      <c r="D385" s="967"/>
      <c r="E385" s="973"/>
      <c r="F385" s="970"/>
      <c r="G385" s="39" t="s">
        <v>386</v>
      </c>
      <c r="H385" s="41"/>
      <c r="I385" s="41"/>
      <c r="J385" s="41"/>
      <c r="K385" s="41"/>
      <c r="L385" s="41"/>
      <c r="M385" s="41"/>
      <c r="N385" s="41"/>
      <c r="O385" s="41"/>
      <c r="P385" s="41"/>
      <c r="Q385" s="41"/>
      <c r="R385" s="41"/>
      <c r="S385" s="42" t="s">
        <v>139</v>
      </c>
    </row>
    <row r="386" spans="2:19" ht="26.4">
      <c r="B386" s="967"/>
      <c r="C386" s="968"/>
      <c r="D386" s="967" t="s">
        <v>387</v>
      </c>
      <c r="E386" s="973">
        <v>253917161</v>
      </c>
      <c r="F386" s="970" t="s">
        <v>7</v>
      </c>
      <c r="G386" s="39" t="s">
        <v>388</v>
      </c>
      <c r="H386" s="42" t="s">
        <v>139</v>
      </c>
      <c r="I386" s="42" t="s">
        <v>139</v>
      </c>
      <c r="J386" s="42" t="s">
        <v>139</v>
      </c>
      <c r="K386" s="41"/>
      <c r="L386" s="41"/>
      <c r="M386" s="41"/>
      <c r="N386" s="41"/>
      <c r="O386" s="41"/>
      <c r="P386" s="41"/>
      <c r="Q386" s="41"/>
      <c r="R386" s="41"/>
      <c r="S386" s="41"/>
    </row>
    <row r="387" spans="2:19">
      <c r="B387" s="967"/>
      <c r="C387" s="968"/>
      <c r="D387" s="967"/>
      <c r="E387" s="973"/>
      <c r="F387" s="970"/>
      <c r="G387" s="39" t="s">
        <v>361</v>
      </c>
      <c r="H387" s="42" t="s">
        <v>139</v>
      </c>
      <c r="I387" s="42" t="s">
        <v>139</v>
      </c>
      <c r="J387" s="42" t="s">
        <v>139</v>
      </c>
      <c r="K387" s="41"/>
      <c r="L387" s="41"/>
      <c r="M387" s="41"/>
      <c r="N387" s="41"/>
      <c r="O387" s="41"/>
      <c r="P387" s="41"/>
      <c r="Q387" s="41"/>
      <c r="R387" s="41"/>
      <c r="S387" s="41"/>
    </row>
    <row r="388" spans="2:19">
      <c r="B388" s="967"/>
      <c r="C388" s="968"/>
      <c r="D388" s="967"/>
      <c r="E388" s="973"/>
      <c r="F388" s="970"/>
      <c r="G388" s="39" t="s">
        <v>362</v>
      </c>
      <c r="H388" s="41"/>
      <c r="I388" s="41"/>
      <c r="J388" s="42" t="s">
        <v>139</v>
      </c>
      <c r="K388" s="42" t="s">
        <v>139</v>
      </c>
      <c r="L388" s="42" t="s">
        <v>139</v>
      </c>
      <c r="M388" s="41"/>
      <c r="N388" s="41"/>
      <c r="O388" s="41"/>
      <c r="P388" s="41"/>
      <c r="Q388" s="41"/>
      <c r="R388" s="41"/>
      <c r="S388" s="41"/>
    </row>
    <row r="389" spans="2:19">
      <c r="B389" s="967"/>
      <c r="C389" s="968"/>
      <c r="D389" s="967"/>
      <c r="E389" s="973"/>
      <c r="F389" s="970"/>
      <c r="G389" s="39" t="s">
        <v>146</v>
      </c>
      <c r="H389" s="41"/>
      <c r="I389" s="41"/>
      <c r="J389" s="42" t="s">
        <v>149</v>
      </c>
      <c r="K389" s="42" t="s">
        <v>139</v>
      </c>
      <c r="L389" s="42" t="s">
        <v>139</v>
      </c>
      <c r="M389" s="41"/>
      <c r="N389" s="41"/>
      <c r="O389" s="41"/>
      <c r="P389" s="41"/>
      <c r="Q389" s="41"/>
      <c r="R389" s="41"/>
      <c r="S389" s="41"/>
    </row>
    <row r="390" spans="2:19">
      <c r="B390" s="967"/>
      <c r="C390" s="968"/>
      <c r="D390" s="967"/>
      <c r="E390" s="973"/>
      <c r="F390" s="970"/>
      <c r="G390" s="39" t="s">
        <v>389</v>
      </c>
      <c r="H390" s="42" t="s">
        <v>139</v>
      </c>
      <c r="I390" s="42" t="s">
        <v>139</v>
      </c>
      <c r="J390" s="42" t="s">
        <v>139</v>
      </c>
      <c r="K390" s="42" t="s">
        <v>139</v>
      </c>
      <c r="L390" s="42" t="s">
        <v>139</v>
      </c>
      <c r="M390" s="41"/>
      <c r="N390" s="41"/>
      <c r="O390" s="41"/>
      <c r="P390" s="41"/>
      <c r="Q390" s="41"/>
      <c r="R390" s="41"/>
      <c r="S390" s="41"/>
    </row>
    <row r="391" spans="2:19">
      <c r="B391" s="967"/>
      <c r="C391" s="968"/>
      <c r="D391" s="967" t="s">
        <v>390</v>
      </c>
      <c r="E391" s="973">
        <v>420676496</v>
      </c>
      <c r="F391" s="970" t="s">
        <v>7</v>
      </c>
      <c r="G391" s="39" t="s">
        <v>391</v>
      </c>
      <c r="H391" s="42" t="s">
        <v>139</v>
      </c>
      <c r="I391" s="42" t="s">
        <v>139</v>
      </c>
      <c r="J391" s="42" t="s">
        <v>139</v>
      </c>
      <c r="K391" s="41"/>
      <c r="L391" s="41"/>
      <c r="M391" s="41"/>
      <c r="N391" s="41"/>
      <c r="O391" s="41"/>
      <c r="P391" s="41"/>
      <c r="Q391" s="41"/>
      <c r="R391" s="41"/>
      <c r="S391" s="41"/>
    </row>
    <row r="392" spans="2:19">
      <c r="B392" s="967"/>
      <c r="C392" s="968"/>
      <c r="D392" s="967"/>
      <c r="E392" s="973"/>
      <c r="F392" s="970"/>
      <c r="G392" s="39" t="s">
        <v>361</v>
      </c>
      <c r="H392" s="42" t="s">
        <v>139</v>
      </c>
      <c r="I392" s="42" t="s">
        <v>139</v>
      </c>
      <c r="J392" s="42" t="s">
        <v>139</v>
      </c>
      <c r="K392" s="41"/>
      <c r="L392" s="41"/>
      <c r="M392" s="41"/>
      <c r="N392" s="41"/>
      <c r="O392" s="41"/>
      <c r="P392" s="41"/>
      <c r="Q392" s="41"/>
      <c r="R392" s="41"/>
      <c r="S392" s="41"/>
    </row>
    <row r="393" spans="2:19">
      <c r="B393" s="967"/>
      <c r="C393" s="968"/>
      <c r="D393" s="967"/>
      <c r="E393" s="973"/>
      <c r="F393" s="970"/>
      <c r="G393" s="39" t="s">
        <v>362</v>
      </c>
      <c r="H393" s="41"/>
      <c r="I393" s="41"/>
      <c r="J393" s="42" t="s">
        <v>149</v>
      </c>
      <c r="K393" s="42" t="s">
        <v>139</v>
      </c>
      <c r="L393" s="42" t="s">
        <v>139</v>
      </c>
      <c r="M393" s="41"/>
      <c r="N393" s="41"/>
      <c r="O393" s="41"/>
      <c r="P393" s="41"/>
      <c r="Q393" s="41"/>
      <c r="R393" s="41"/>
      <c r="S393" s="41"/>
    </row>
    <row r="394" spans="2:19">
      <c r="B394" s="967"/>
      <c r="C394" s="968"/>
      <c r="D394" s="967"/>
      <c r="E394" s="973"/>
      <c r="F394" s="970"/>
      <c r="G394" s="39" t="s">
        <v>146</v>
      </c>
      <c r="H394" s="41"/>
      <c r="I394" s="41"/>
      <c r="J394" s="42" t="s">
        <v>149</v>
      </c>
      <c r="K394" s="42" t="s">
        <v>139</v>
      </c>
      <c r="L394" s="42" t="s">
        <v>139</v>
      </c>
      <c r="M394" s="42" t="s">
        <v>139</v>
      </c>
      <c r="N394" s="41"/>
      <c r="O394" s="41"/>
      <c r="P394" s="41"/>
      <c r="Q394" s="41"/>
      <c r="R394" s="41"/>
      <c r="S394" s="41"/>
    </row>
    <row r="395" spans="2:19" ht="26.4">
      <c r="B395" s="967"/>
      <c r="C395" s="968"/>
      <c r="D395" s="44" t="s">
        <v>392</v>
      </c>
      <c r="E395" s="49">
        <v>39060000</v>
      </c>
      <c r="F395" s="61"/>
      <c r="G395" s="39" t="s">
        <v>389</v>
      </c>
      <c r="H395" s="42" t="s">
        <v>139</v>
      </c>
      <c r="I395" s="42" t="s">
        <v>139</v>
      </c>
      <c r="J395" s="42" t="s">
        <v>139</v>
      </c>
      <c r="K395" s="42" t="s">
        <v>139</v>
      </c>
      <c r="L395" s="42" t="s">
        <v>139</v>
      </c>
      <c r="M395" s="42" t="s">
        <v>139</v>
      </c>
      <c r="N395" s="41"/>
      <c r="O395" s="41"/>
      <c r="P395" s="41"/>
      <c r="Q395" s="41"/>
      <c r="R395" s="41"/>
      <c r="S395" s="41"/>
    </row>
    <row r="396" spans="2:19">
      <c r="B396" s="967"/>
      <c r="C396" s="968"/>
      <c r="D396" s="967" t="s">
        <v>393</v>
      </c>
      <c r="E396" s="973">
        <v>279442800</v>
      </c>
      <c r="F396" s="970" t="s">
        <v>7</v>
      </c>
      <c r="G396" s="39" t="s">
        <v>391</v>
      </c>
      <c r="H396" s="42" t="s">
        <v>139</v>
      </c>
      <c r="I396" s="42" t="s">
        <v>139</v>
      </c>
      <c r="J396" s="42" t="s">
        <v>139</v>
      </c>
      <c r="K396" s="41"/>
      <c r="L396" s="41"/>
      <c r="M396" s="41"/>
      <c r="N396" s="41"/>
      <c r="O396" s="41"/>
      <c r="P396" s="41"/>
      <c r="Q396" s="41"/>
      <c r="R396" s="41"/>
      <c r="S396" s="41"/>
    </row>
    <row r="397" spans="2:19">
      <c r="B397" s="967"/>
      <c r="C397" s="968"/>
      <c r="D397" s="967"/>
      <c r="E397" s="973"/>
      <c r="F397" s="970"/>
      <c r="G397" s="39" t="s">
        <v>361</v>
      </c>
      <c r="H397" s="42" t="s">
        <v>139</v>
      </c>
      <c r="I397" s="42" t="s">
        <v>139</v>
      </c>
      <c r="J397" s="42" t="s">
        <v>139</v>
      </c>
      <c r="K397" s="41"/>
      <c r="L397" s="41"/>
      <c r="M397" s="41"/>
      <c r="N397" s="41"/>
      <c r="O397" s="41"/>
      <c r="P397" s="41"/>
      <c r="Q397" s="41"/>
      <c r="R397" s="41"/>
      <c r="S397" s="41"/>
    </row>
    <row r="398" spans="2:19">
      <c r="B398" s="967"/>
      <c r="C398" s="968"/>
      <c r="D398" s="967"/>
      <c r="E398" s="973"/>
      <c r="F398" s="970"/>
      <c r="G398" s="39" t="s">
        <v>362</v>
      </c>
      <c r="H398" s="41"/>
      <c r="I398" s="41"/>
      <c r="J398" s="41"/>
      <c r="K398" s="42" t="s">
        <v>139</v>
      </c>
      <c r="L398" s="42" t="s">
        <v>139</v>
      </c>
      <c r="M398" s="42" t="s">
        <v>139</v>
      </c>
      <c r="N398" s="41"/>
      <c r="O398" s="41"/>
      <c r="P398" s="41"/>
      <c r="Q398" s="41"/>
      <c r="R398" s="41"/>
      <c r="S398" s="41"/>
    </row>
    <row r="399" spans="2:19">
      <c r="B399" s="967"/>
      <c r="C399" s="968"/>
      <c r="D399" s="967"/>
      <c r="E399" s="973"/>
      <c r="F399" s="970"/>
      <c r="G399" s="39" t="s">
        <v>146</v>
      </c>
      <c r="H399" s="41"/>
      <c r="I399" s="41"/>
      <c r="J399" s="41"/>
      <c r="K399" s="42" t="s">
        <v>139</v>
      </c>
      <c r="L399" s="42" t="s">
        <v>139</v>
      </c>
      <c r="M399" s="42" t="s">
        <v>139</v>
      </c>
      <c r="N399" s="41"/>
      <c r="O399" s="41"/>
      <c r="P399" s="41"/>
      <c r="Q399" s="41"/>
      <c r="R399" s="41"/>
      <c r="S399" s="41"/>
    </row>
    <row r="400" spans="2:19">
      <c r="B400" s="967"/>
      <c r="C400" s="968"/>
      <c r="D400" s="967"/>
      <c r="E400" s="973"/>
      <c r="F400" s="970"/>
      <c r="G400" s="39" t="s">
        <v>389</v>
      </c>
      <c r="H400" s="42" t="s">
        <v>139</v>
      </c>
      <c r="I400" s="42" t="s">
        <v>139</v>
      </c>
      <c r="J400" s="42" t="s">
        <v>139</v>
      </c>
      <c r="K400" s="42" t="s">
        <v>139</v>
      </c>
      <c r="L400" s="42" t="s">
        <v>139</v>
      </c>
      <c r="M400" s="42" t="s">
        <v>139</v>
      </c>
      <c r="N400" s="41"/>
      <c r="O400" s="41"/>
      <c r="P400" s="41"/>
      <c r="Q400" s="41"/>
      <c r="R400" s="41"/>
      <c r="S400" s="41"/>
    </row>
    <row r="401" spans="2:19" ht="26.4">
      <c r="B401" s="967"/>
      <c r="C401" s="968"/>
      <c r="D401" s="44" t="s">
        <v>394</v>
      </c>
      <c r="E401" s="45">
        <v>113988421</v>
      </c>
      <c r="F401" s="46" t="s">
        <v>7</v>
      </c>
      <c r="G401" s="39" t="s">
        <v>210</v>
      </c>
      <c r="H401" s="40" t="s">
        <v>139</v>
      </c>
      <c r="I401" s="40" t="s">
        <v>139</v>
      </c>
      <c r="J401" s="40" t="s">
        <v>139</v>
      </c>
      <c r="K401" s="40" t="s">
        <v>139</v>
      </c>
      <c r="L401" s="40" t="s">
        <v>139</v>
      </c>
      <c r="M401" s="40" t="s">
        <v>139</v>
      </c>
      <c r="N401" s="43" t="s">
        <v>139</v>
      </c>
      <c r="O401" s="43" t="s">
        <v>139</v>
      </c>
      <c r="P401" s="43" t="s">
        <v>139</v>
      </c>
      <c r="Q401" s="43" t="s">
        <v>139</v>
      </c>
      <c r="R401" s="43" t="s">
        <v>139</v>
      </c>
      <c r="S401" s="43" t="s">
        <v>139</v>
      </c>
    </row>
    <row r="402" spans="2:19">
      <c r="B402" s="964" t="s">
        <v>395</v>
      </c>
      <c r="C402" s="964"/>
      <c r="D402" s="964"/>
      <c r="E402" s="47">
        <v>4062147203</v>
      </c>
      <c r="F402" s="52"/>
      <c r="G402" s="53"/>
      <c r="H402" s="62"/>
      <c r="I402" s="62"/>
      <c r="J402" s="62"/>
      <c r="K402" s="62"/>
      <c r="L402" s="62"/>
      <c r="M402" s="62"/>
      <c r="N402" s="62"/>
      <c r="O402" s="62"/>
      <c r="P402" s="62"/>
      <c r="Q402" s="62"/>
      <c r="R402" s="62"/>
      <c r="S402" s="62"/>
    </row>
    <row r="403" spans="2:19">
      <c r="B403" s="966" t="s">
        <v>396</v>
      </c>
      <c r="C403" s="966"/>
      <c r="D403" s="966"/>
      <c r="E403" s="54"/>
      <c r="F403" s="55"/>
      <c r="G403" s="38"/>
      <c r="H403" s="63"/>
      <c r="I403" s="63"/>
      <c r="J403" s="63"/>
      <c r="K403" s="63"/>
      <c r="L403" s="63"/>
      <c r="M403" s="63"/>
      <c r="N403" s="63"/>
      <c r="O403" s="63"/>
      <c r="P403" s="63"/>
      <c r="Q403" s="63"/>
      <c r="R403" s="63"/>
      <c r="S403" s="63"/>
    </row>
    <row r="404" spans="2:19" ht="16.2" customHeight="1">
      <c r="B404" s="967" t="s">
        <v>397</v>
      </c>
      <c r="C404" s="972">
        <v>21</v>
      </c>
      <c r="D404" s="967" t="s">
        <v>398</v>
      </c>
      <c r="E404" s="973">
        <v>128087745</v>
      </c>
      <c r="F404" s="970" t="s">
        <v>7</v>
      </c>
      <c r="G404" s="39" t="s">
        <v>399</v>
      </c>
      <c r="H404" s="42" t="s">
        <v>139</v>
      </c>
      <c r="I404" s="41"/>
      <c r="J404" s="41"/>
      <c r="K404" s="41"/>
      <c r="L404" s="41"/>
      <c r="M404" s="41"/>
      <c r="N404" s="41"/>
      <c r="O404" s="41"/>
      <c r="P404" s="41"/>
      <c r="Q404" s="41"/>
      <c r="R404" s="41"/>
      <c r="S404" s="41"/>
    </row>
    <row r="405" spans="2:19">
      <c r="B405" s="967"/>
      <c r="C405" s="972"/>
      <c r="D405" s="967"/>
      <c r="E405" s="973"/>
      <c r="F405" s="970"/>
      <c r="G405" s="39" t="s">
        <v>400</v>
      </c>
      <c r="H405" s="42" t="s">
        <v>139</v>
      </c>
      <c r="I405" s="42" t="s">
        <v>139</v>
      </c>
      <c r="J405" s="42" t="s">
        <v>139</v>
      </c>
      <c r="K405" s="41"/>
      <c r="L405" s="41"/>
      <c r="M405" s="41"/>
      <c r="N405" s="41"/>
      <c r="O405" s="41"/>
      <c r="P405" s="41"/>
      <c r="Q405" s="41"/>
      <c r="R405" s="41"/>
      <c r="S405" s="41"/>
    </row>
    <row r="406" spans="2:19">
      <c r="B406" s="967"/>
      <c r="C406" s="972"/>
      <c r="D406" s="967"/>
      <c r="E406" s="973"/>
      <c r="F406" s="970"/>
      <c r="G406" s="39" t="s">
        <v>361</v>
      </c>
      <c r="H406" s="41"/>
      <c r="I406" s="41"/>
      <c r="J406" s="41"/>
      <c r="K406" s="42" t="s">
        <v>139</v>
      </c>
      <c r="L406" s="42" t="s">
        <v>139</v>
      </c>
      <c r="M406" s="42" t="s">
        <v>139</v>
      </c>
      <c r="N406" s="41"/>
      <c r="O406" s="41"/>
      <c r="P406" s="41"/>
      <c r="Q406" s="41"/>
      <c r="R406" s="41"/>
      <c r="S406" s="41"/>
    </row>
    <row r="407" spans="2:19">
      <c r="B407" s="967"/>
      <c r="C407" s="972"/>
      <c r="D407" s="967"/>
      <c r="E407" s="973"/>
      <c r="F407" s="970"/>
      <c r="G407" s="39" t="s">
        <v>362</v>
      </c>
      <c r="H407" s="41"/>
      <c r="I407" s="41"/>
      <c r="J407" s="41"/>
      <c r="K407" s="42" t="s">
        <v>139</v>
      </c>
      <c r="L407" s="42" t="s">
        <v>139</v>
      </c>
      <c r="M407" s="42" t="s">
        <v>139</v>
      </c>
      <c r="N407" s="41"/>
      <c r="O407" s="41"/>
      <c r="P407" s="41"/>
      <c r="Q407" s="41"/>
      <c r="R407" s="41"/>
      <c r="S407" s="41"/>
    </row>
    <row r="408" spans="2:19">
      <c r="B408" s="967"/>
      <c r="C408" s="972"/>
      <c r="D408" s="967"/>
      <c r="E408" s="973"/>
      <c r="F408" s="970"/>
      <c r="G408" s="39" t="s">
        <v>146</v>
      </c>
      <c r="H408" s="41"/>
      <c r="I408" s="41"/>
      <c r="J408" s="41"/>
      <c r="K408" s="41"/>
      <c r="L408" s="41"/>
      <c r="M408" s="41"/>
      <c r="N408" s="42" t="s">
        <v>139</v>
      </c>
      <c r="O408" s="42" t="s">
        <v>139</v>
      </c>
      <c r="P408" s="42" t="s">
        <v>139</v>
      </c>
      <c r="Q408" s="41"/>
      <c r="R408" s="41"/>
      <c r="S408" s="41"/>
    </row>
    <row r="409" spans="2:19">
      <c r="B409" s="967"/>
      <c r="C409" s="972"/>
      <c r="D409" s="967" t="s">
        <v>401</v>
      </c>
      <c r="E409" s="973">
        <v>241226073</v>
      </c>
      <c r="F409" s="970" t="s">
        <v>7</v>
      </c>
      <c r="G409" s="39" t="s">
        <v>361</v>
      </c>
      <c r="H409" s="41"/>
      <c r="I409" s="41"/>
      <c r="J409" s="41"/>
      <c r="K409" s="42" t="s">
        <v>139</v>
      </c>
      <c r="L409" s="42" t="s">
        <v>139</v>
      </c>
      <c r="M409" s="42" t="s">
        <v>139</v>
      </c>
      <c r="N409" s="41"/>
      <c r="O409" s="41"/>
      <c r="P409" s="41"/>
      <c r="Q409" s="41"/>
      <c r="R409" s="41"/>
      <c r="S409" s="41"/>
    </row>
    <row r="410" spans="2:19">
      <c r="B410" s="967"/>
      <c r="C410" s="972"/>
      <c r="D410" s="967"/>
      <c r="E410" s="973"/>
      <c r="F410" s="970"/>
      <c r="G410" s="39" t="s">
        <v>362</v>
      </c>
      <c r="H410" s="41"/>
      <c r="I410" s="41"/>
      <c r="J410" s="41"/>
      <c r="K410" s="42" t="s">
        <v>139</v>
      </c>
      <c r="L410" s="42" t="s">
        <v>139</v>
      </c>
      <c r="M410" s="42" t="s">
        <v>139</v>
      </c>
      <c r="N410" s="41"/>
      <c r="O410" s="41"/>
      <c r="P410" s="41"/>
      <c r="Q410" s="41"/>
      <c r="R410" s="41"/>
      <c r="S410" s="41"/>
    </row>
    <row r="411" spans="2:19">
      <c r="B411" s="967"/>
      <c r="C411" s="972"/>
      <c r="D411" s="967"/>
      <c r="E411" s="973"/>
      <c r="F411" s="970"/>
      <c r="G411" s="39" t="s">
        <v>146</v>
      </c>
      <c r="H411" s="41"/>
      <c r="I411" s="41"/>
      <c r="J411" s="41"/>
      <c r="K411" s="41"/>
      <c r="L411" s="41"/>
      <c r="M411" s="41"/>
      <c r="N411" s="42" t="s">
        <v>139</v>
      </c>
      <c r="O411" s="42" t="s">
        <v>139</v>
      </c>
      <c r="P411" s="42" t="s">
        <v>139</v>
      </c>
      <c r="Q411" s="41"/>
      <c r="R411" s="41"/>
      <c r="S411" s="41"/>
    </row>
    <row r="412" spans="2:19">
      <c r="B412" s="967"/>
      <c r="C412" s="972"/>
      <c r="D412" s="967" t="s">
        <v>402</v>
      </c>
      <c r="E412" s="973">
        <v>718477972</v>
      </c>
      <c r="F412" s="970" t="s">
        <v>7</v>
      </c>
      <c r="G412" s="39" t="s">
        <v>403</v>
      </c>
      <c r="H412" s="42" t="s">
        <v>139</v>
      </c>
      <c r="I412" s="42" t="s">
        <v>139</v>
      </c>
      <c r="J412" s="42" t="s">
        <v>139</v>
      </c>
      <c r="K412" s="41"/>
      <c r="L412" s="41"/>
      <c r="M412" s="41"/>
      <c r="N412" s="41"/>
      <c r="O412" s="41"/>
      <c r="P412" s="41"/>
      <c r="Q412" s="41"/>
      <c r="R412" s="41"/>
      <c r="S412" s="41"/>
    </row>
    <row r="413" spans="2:19">
      <c r="B413" s="967"/>
      <c r="C413" s="972"/>
      <c r="D413" s="967"/>
      <c r="E413" s="973"/>
      <c r="F413" s="970"/>
      <c r="G413" s="39" t="s">
        <v>400</v>
      </c>
      <c r="H413" s="42" t="s">
        <v>139</v>
      </c>
      <c r="I413" s="42" t="s">
        <v>139</v>
      </c>
      <c r="J413" s="42" t="s">
        <v>139</v>
      </c>
      <c r="K413" s="41"/>
      <c r="L413" s="41"/>
      <c r="M413" s="41"/>
      <c r="N413" s="41"/>
      <c r="O413" s="41"/>
      <c r="P413" s="41"/>
      <c r="Q413" s="41"/>
      <c r="R413" s="41"/>
      <c r="S413" s="41"/>
    </row>
    <row r="414" spans="2:19">
      <c r="B414" s="967"/>
      <c r="C414" s="972"/>
      <c r="D414" s="967"/>
      <c r="E414" s="973"/>
      <c r="F414" s="970"/>
      <c r="G414" s="39" t="s">
        <v>361</v>
      </c>
      <c r="H414" s="41"/>
      <c r="I414" s="41"/>
      <c r="J414" s="41"/>
      <c r="K414" s="42" t="s">
        <v>139</v>
      </c>
      <c r="L414" s="42" t="s">
        <v>139</v>
      </c>
      <c r="M414" s="42" t="s">
        <v>139</v>
      </c>
      <c r="N414" s="41"/>
      <c r="O414" s="41"/>
      <c r="P414" s="41"/>
      <c r="Q414" s="41"/>
      <c r="R414" s="41"/>
      <c r="S414" s="41"/>
    </row>
    <row r="415" spans="2:19">
      <c r="B415" s="967"/>
      <c r="C415" s="972"/>
      <c r="D415" s="967"/>
      <c r="E415" s="973"/>
      <c r="F415" s="970"/>
      <c r="G415" s="39" t="s">
        <v>362</v>
      </c>
      <c r="H415" s="41"/>
      <c r="I415" s="41"/>
      <c r="J415" s="41"/>
      <c r="K415" s="42" t="s">
        <v>139</v>
      </c>
      <c r="L415" s="42" t="s">
        <v>139</v>
      </c>
      <c r="M415" s="42" t="s">
        <v>139</v>
      </c>
      <c r="N415" s="41"/>
      <c r="O415" s="41"/>
      <c r="P415" s="41"/>
      <c r="Q415" s="41"/>
      <c r="R415" s="41"/>
      <c r="S415" s="41"/>
    </row>
    <row r="416" spans="2:19">
      <c r="B416" s="967"/>
      <c r="C416" s="972"/>
      <c r="D416" s="967"/>
      <c r="E416" s="973"/>
      <c r="F416" s="970"/>
      <c r="G416" s="39" t="s">
        <v>146</v>
      </c>
      <c r="H416" s="41"/>
      <c r="I416" s="41"/>
      <c r="J416" s="41"/>
      <c r="K416" s="41"/>
      <c r="L416" s="42" t="s">
        <v>139</v>
      </c>
      <c r="M416" s="42" t="s">
        <v>139</v>
      </c>
      <c r="N416" s="42" t="s">
        <v>139</v>
      </c>
      <c r="O416" s="41"/>
      <c r="P416" s="41"/>
      <c r="Q416" s="41"/>
      <c r="R416" s="41"/>
      <c r="S416" s="41"/>
    </row>
    <row r="417" spans="2:19" ht="26.4">
      <c r="B417" s="967"/>
      <c r="C417" s="972"/>
      <c r="D417" s="44" t="s">
        <v>404</v>
      </c>
      <c r="E417" s="45">
        <v>104150000</v>
      </c>
      <c r="F417" s="46" t="s">
        <v>7</v>
      </c>
      <c r="G417" s="39" t="s">
        <v>210</v>
      </c>
      <c r="H417" s="40" t="s">
        <v>139</v>
      </c>
      <c r="I417" s="40" t="s">
        <v>139</v>
      </c>
      <c r="J417" s="40" t="s">
        <v>139</v>
      </c>
      <c r="K417" s="40" t="s">
        <v>139</v>
      </c>
      <c r="L417" s="40" t="s">
        <v>139</v>
      </c>
      <c r="M417" s="40" t="s">
        <v>139</v>
      </c>
      <c r="N417" s="43" t="s">
        <v>139</v>
      </c>
      <c r="O417" s="43" t="s">
        <v>139</v>
      </c>
      <c r="P417" s="43" t="s">
        <v>139</v>
      </c>
      <c r="Q417" s="43" t="s">
        <v>139</v>
      </c>
      <c r="R417" s="43" t="s">
        <v>139</v>
      </c>
      <c r="S417" s="43" t="s">
        <v>139</v>
      </c>
    </row>
    <row r="418" spans="2:19">
      <c r="B418" s="964" t="s">
        <v>405</v>
      </c>
      <c r="C418" s="964"/>
      <c r="D418" s="964"/>
      <c r="E418" s="47">
        <v>1191941790</v>
      </c>
      <c r="F418" s="52"/>
      <c r="G418" s="53"/>
      <c r="H418" s="62"/>
      <c r="I418" s="62"/>
      <c r="J418" s="62"/>
      <c r="K418" s="62"/>
      <c r="L418" s="62"/>
      <c r="M418" s="62"/>
      <c r="N418" s="62"/>
      <c r="O418" s="62"/>
      <c r="P418" s="62"/>
      <c r="Q418" s="62"/>
      <c r="R418" s="62"/>
      <c r="S418" s="62"/>
    </row>
    <row r="419" spans="2:19">
      <c r="B419" s="964" t="s">
        <v>406</v>
      </c>
      <c r="C419" s="964"/>
      <c r="D419" s="964"/>
      <c r="E419" s="47">
        <v>45289548548</v>
      </c>
      <c r="F419" s="52"/>
      <c r="G419" s="53"/>
      <c r="H419" s="62"/>
      <c r="I419" s="62"/>
      <c r="J419" s="62"/>
      <c r="K419" s="62"/>
      <c r="L419" s="62"/>
      <c r="M419" s="62"/>
      <c r="N419" s="62"/>
      <c r="O419" s="62"/>
      <c r="P419" s="62"/>
      <c r="Q419" s="62"/>
      <c r="R419" s="62"/>
      <c r="S419" s="62"/>
    </row>
    <row r="420" spans="2:19">
      <c r="B420" s="34" t="s">
        <v>407</v>
      </c>
      <c r="C420" s="37"/>
      <c r="D420" s="38"/>
      <c r="E420" s="36"/>
      <c r="F420" s="37"/>
      <c r="G420" s="38"/>
      <c r="H420" s="63"/>
      <c r="I420" s="63"/>
      <c r="J420" s="63"/>
      <c r="K420" s="63"/>
      <c r="L420" s="63"/>
      <c r="M420" s="63"/>
      <c r="N420" s="63"/>
      <c r="O420" s="63"/>
      <c r="P420" s="63"/>
      <c r="Q420" s="63"/>
      <c r="R420" s="63"/>
      <c r="S420" s="63"/>
    </row>
    <row r="421" spans="2:19">
      <c r="B421" s="966" t="s">
        <v>408</v>
      </c>
      <c r="C421" s="966"/>
      <c r="D421" s="966"/>
      <c r="E421" s="36"/>
      <c r="F421" s="37"/>
      <c r="G421" s="38"/>
      <c r="H421" s="63"/>
      <c r="I421" s="63"/>
      <c r="J421" s="63"/>
      <c r="K421" s="63"/>
      <c r="L421" s="63"/>
      <c r="M421" s="63"/>
      <c r="N421" s="63"/>
      <c r="O421" s="63"/>
      <c r="P421" s="63"/>
      <c r="Q421" s="63"/>
      <c r="R421" s="63"/>
      <c r="S421" s="63"/>
    </row>
    <row r="422" spans="2:19" ht="26.4">
      <c r="B422" s="967" t="s">
        <v>409</v>
      </c>
      <c r="C422" s="968">
        <v>100</v>
      </c>
      <c r="D422" s="967" t="s">
        <v>410</v>
      </c>
      <c r="E422" s="973">
        <v>314285714</v>
      </c>
      <c r="F422" s="970" t="s">
        <v>6</v>
      </c>
      <c r="G422" s="39" t="s">
        <v>411</v>
      </c>
      <c r="H422" s="42" t="s">
        <v>149</v>
      </c>
      <c r="I422" s="42" t="s">
        <v>149</v>
      </c>
      <c r="J422" s="42" t="s">
        <v>149</v>
      </c>
      <c r="K422" s="41"/>
      <c r="L422" s="41"/>
      <c r="M422" s="41"/>
      <c r="N422" s="41"/>
      <c r="O422" s="41"/>
      <c r="P422" s="41"/>
      <c r="Q422" s="41"/>
      <c r="R422" s="41"/>
      <c r="S422" s="41"/>
    </row>
    <row r="423" spans="2:19">
      <c r="B423" s="967"/>
      <c r="C423" s="968"/>
      <c r="D423" s="967"/>
      <c r="E423" s="973"/>
      <c r="F423" s="970"/>
      <c r="G423" s="39" t="s">
        <v>412</v>
      </c>
      <c r="H423" s="41"/>
      <c r="I423" s="41"/>
      <c r="J423" s="41"/>
      <c r="K423" s="42" t="s">
        <v>149</v>
      </c>
      <c r="L423" s="42" t="s">
        <v>149</v>
      </c>
      <c r="M423" s="42" t="s">
        <v>149</v>
      </c>
      <c r="N423" s="42" t="s">
        <v>149</v>
      </c>
      <c r="O423" s="42" t="s">
        <v>149</v>
      </c>
      <c r="P423" s="42" t="s">
        <v>149</v>
      </c>
      <c r="Q423" s="41"/>
      <c r="R423" s="41"/>
      <c r="S423" s="41"/>
    </row>
    <row r="424" spans="2:19" ht="26.4">
      <c r="B424" s="967"/>
      <c r="C424" s="968"/>
      <c r="D424" s="967"/>
      <c r="E424" s="973"/>
      <c r="F424" s="970"/>
      <c r="G424" s="39" t="s">
        <v>413</v>
      </c>
      <c r="H424" s="41"/>
      <c r="I424" s="41"/>
      <c r="J424" s="41"/>
      <c r="K424" s="41"/>
      <c r="L424" s="41"/>
      <c r="M424" s="41"/>
      <c r="N424" s="41"/>
      <c r="O424" s="41"/>
      <c r="P424" s="41"/>
      <c r="Q424" s="42" t="s">
        <v>149</v>
      </c>
      <c r="R424" s="42" t="s">
        <v>149</v>
      </c>
      <c r="S424" s="42" t="s">
        <v>149</v>
      </c>
    </row>
    <row r="425" spans="2:19">
      <c r="B425" s="967"/>
      <c r="C425" s="968">
        <v>448</v>
      </c>
      <c r="D425" s="967" t="s">
        <v>414</v>
      </c>
      <c r="E425" s="973">
        <v>908851287</v>
      </c>
      <c r="F425" s="970" t="s">
        <v>8</v>
      </c>
      <c r="G425" s="39" t="s">
        <v>415</v>
      </c>
      <c r="H425" s="42" t="s">
        <v>149</v>
      </c>
      <c r="I425" s="42" t="s">
        <v>149</v>
      </c>
      <c r="J425" s="42" t="s">
        <v>149</v>
      </c>
      <c r="K425" s="41"/>
      <c r="L425" s="41"/>
      <c r="M425" s="41"/>
      <c r="N425" s="41"/>
      <c r="O425" s="41"/>
      <c r="P425" s="41"/>
      <c r="Q425" s="41"/>
      <c r="R425" s="41"/>
      <c r="S425" s="41"/>
    </row>
    <row r="426" spans="2:19">
      <c r="B426" s="967"/>
      <c r="C426" s="968"/>
      <c r="D426" s="967"/>
      <c r="E426" s="973"/>
      <c r="F426" s="970"/>
      <c r="G426" s="39" t="s">
        <v>416</v>
      </c>
      <c r="H426" s="41"/>
      <c r="I426" s="41"/>
      <c r="J426" s="42" t="s">
        <v>149</v>
      </c>
      <c r="K426" s="42" t="s">
        <v>149</v>
      </c>
      <c r="L426" s="42" t="s">
        <v>149</v>
      </c>
      <c r="M426" s="42" t="s">
        <v>149</v>
      </c>
      <c r="N426" s="41"/>
      <c r="O426" s="41"/>
      <c r="P426" s="41"/>
      <c r="Q426" s="41"/>
      <c r="R426" s="41"/>
      <c r="S426" s="41"/>
    </row>
    <row r="427" spans="2:19" ht="26.4">
      <c r="B427" s="967" t="s">
        <v>417</v>
      </c>
      <c r="C427" s="968">
        <v>33</v>
      </c>
      <c r="D427" s="967" t="s">
        <v>418</v>
      </c>
      <c r="E427" s="973">
        <v>102000000</v>
      </c>
      <c r="F427" s="970"/>
      <c r="G427" s="39" t="s">
        <v>419</v>
      </c>
      <c r="H427" s="42" t="s">
        <v>149</v>
      </c>
      <c r="I427" s="42" t="s">
        <v>149</v>
      </c>
      <c r="J427" s="42" t="s">
        <v>149</v>
      </c>
      <c r="K427" s="41"/>
      <c r="L427" s="41"/>
      <c r="M427" s="41"/>
      <c r="N427" s="41"/>
      <c r="O427" s="41"/>
      <c r="P427" s="41"/>
      <c r="Q427" s="41"/>
      <c r="R427" s="41"/>
      <c r="S427" s="41"/>
    </row>
    <row r="428" spans="2:19" ht="26.4">
      <c r="B428" s="967"/>
      <c r="C428" s="968"/>
      <c r="D428" s="967"/>
      <c r="E428" s="973"/>
      <c r="F428" s="970"/>
      <c r="G428" s="39" t="s">
        <v>420</v>
      </c>
      <c r="H428" s="41"/>
      <c r="I428" s="41"/>
      <c r="J428" s="42" t="s">
        <v>149</v>
      </c>
      <c r="K428" s="42" t="s">
        <v>149</v>
      </c>
      <c r="L428" s="42" t="s">
        <v>149</v>
      </c>
      <c r="M428" s="42" t="s">
        <v>149</v>
      </c>
      <c r="N428" s="42" t="s">
        <v>149</v>
      </c>
      <c r="O428" s="41"/>
      <c r="P428" s="41"/>
      <c r="Q428" s="41"/>
      <c r="R428" s="41"/>
      <c r="S428" s="41"/>
    </row>
    <row r="429" spans="2:19" ht="39.6">
      <c r="B429" s="967" t="s">
        <v>409</v>
      </c>
      <c r="C429" s="968">
        <v>38</v>
      </c>
      <c r="D429" s="44" t="s">
        <v>421</v>
      </c>
      <c r="E429" s="973">
        <v>96614297</v>
      </c>
      <c r="F429" s="971" t="s">
        <v>7</v>
      </c>
      <c r="G429" s="39" t="s">
        <v>146</v>
      </c>
      <c r="H429" s="42" t="s">
        <v>139</v>
      </c>
      <c r="I429" s="41"/>
      <c r="J429" s="41"/>
      <c r="K429" s="41"/>
      <c r="L429" s="41"/>
      <c r="M429" s="41"/>
      <c r="N429" s="41"/>
      <c r="O429" s="41"/>
      <c r="P429" s="41"/>
      <c r="Q429" s="41"/>
      <c r="R429" s="41"/>
      <c r="S429" s="41"/>
    </row>
    <row r="430" spans="2:19">
      <c r="B430" s="967"/>
      <c r="C430" s="968"/>
      <c r="D430" s="967" t="s">
        <v>422</v>
      </c>
      <c r="E430" s="973"/>
      <c r="F430" s="971"/>
      <c r="G430" s="39" t="s">
        <v>423</v>
      </c>
      <c r="H430" s="42" t="s">
        <v>139</v>
      </c>
      <c r="I430" s="42" t="s">
        <v>139</v>
      </c>
      <c r="J430" s="42" t="s">
        <v>139</v>
      </c>
      <c r="K430" s="42" t="s">
        <v>139</v>
      </c>
      <c r="L430" s="42" t="s">
        <v>139</v>
      </c>
      <c r="M430" s="42" t="s">
        <v>139</v>
      </c>
      <c r="N430" s="41"/>
      <c r="O430" s="41"/>
      <c r="P430" s="41"/>
      <c r="Q430" s="41"/>
      <c r="R430" s="41"/>
      <c r="S430" s="41"/>
    </row>
    <row r="431" spans="2:19">
      <c r="B431" s="967"/>
      <c r="C431" s="968"/>
      <c r="D431" s="967"/>
      <c r="E431" s="973"/>
      <c r="F431" s="971"/>
      <c r="G431" s="39" t="s">
        <v>424</v>
      </c>
      <c r="H431" s="41"/>
      <c r="I431" s="41"/>
      <c r="J431" s="41"/>
      <c r="K431" s="41"/>
      <c r="L431" s="41"/>
      <c r="M431" s="42" t="s">
        <v>139</v>
      </c>
      <c r="N431" s="42" t="s">
        <v>139</v>
      </c>
      <c r="O431" s="42" t="s">
        <v>139</v>
      </c>
      <c r="P431" s="42" t="s">
        <v>139</v>
      </c>
      <c r="Q431" s="42" t="s">
        <v>139</v>
      </c>
      <c r="R431" s="42" t="s">
        <v>139</v>
      </c>
      <c r="S431" s="42" t="s">
        <v>139</v>
      </c>
    </row>
    <row r="432" spans="2:19">
      <c r="B432" s="967"/>
      <c r="C432" s="968"/>
      <c r="D432" s="967"/>
      <c r="E432" s="973"/>
      <c r="F432" s="971"/>
      <c r="G432" s="39" t="s">
        <v>210</v>
      </c>
      <c r="H432" s="40" t="s">
        <v>139</v>
      </c>
      <c r="I432" s="40" t="s">
        <v>139</v>
      </c>
      <c r="J432" s="40" t="s">
        <v>139</v>
      </c>
      <c r="K432" s="40" t="s">
        <v>139</v>
      </c>
      <c r="L432" s="40" t="s">
        <v>139</v>
      </c>
      <c r="M432" s="40" t="s">
        <v>139</v>
      </c>
      <c r="N432" s="43" t="s">
        <v>139</v>
      </c>
      <c r="O432" s="43" t="s">
        <v>139</v>
      </c>
      <c r="P432" s="43" t="s">
        <v>139</v>
      </c>
      <c r="Q432" s="43" t="s">
        <v>139</v>
      </c>
      <c r="R432" s="43" t="s">
        <v>139</v>
      </c>
      <c r="S432" s="43" t="s">
        <v>139</v>
      </c>
    </row>
    <row r="433" spans="2:19">
      <c r="B433" s="964" t="s">
        <v>425</v>
      </c>
      <c r="C433" s="964"/>
      <c r="D433" s="964"/>
      <c r="E433" s="47">
        <v>1651751298</v>
      </c>
      <c r="F433" s="52"/>
      <c r="G433" s="53"/>
      <c r="H433" s="62"/>
      <c r="I433" s="62"/>
      <c r="J433" s="62"/>
      <c r="K433" s="62"/>
      <c r="L433" s="62"/>
      <c r="M433" s="62"/>
      <c r="N433" s="62"/>
      <c r="O433" s="62"/>
      <c r="P433" s="62"/>
      <c r="Q433" s="62"/>
      <c r="R433" s="62"/>
      <c r="S433" s="62"/>
    </row>
    <row r="434" spans="2:19">
      <c r="B434" s="966" t="s">
        <v>426</v>
      </c>
      <c r="C434" s="966"/>
      <c r="D434" s="966"/>
      <c r="E434" s="54"/>
      <c r="F434" s="55"/>
      <c r="G434" s="38"/>
      <c r="H434" s="63"/>
      <c r="I434" s="63"/>
      <c r="J434" s="63"/>
      <c r="K434" s="63"/>
      <c r="L434" s="63"/>
      <c r="M434" s="63"/>
      <c r="N434" s="63"/>
      <c r="O434" s="63"/>
      <c r="P434" s="63"/>
      <c r="Q434" s="63"/>
      <c r="R434" s="63"/>
      <c r="S434" s="63"/>
    </row>
    <row r="435" spans="2:19" ht="39.6">
      <c r="B435" s="44" t="s">
        <v>427</v>
      </c>
      <c r="C435" s="48"/>
      <c r="D435" s="44" t="s">
        <v>428</v>
      </c>
      <c r="E435" s="49">
        <v>20000000</v>
      </c>
      <c r="F435" s="61" t="s">
        <v>6</v>
      </c>
      <c r="G435" s="39" t="s">
        <v>429</v>
      </c>
      <c r="H435" s="40" t="s">
        <v>139</v>
      </c>
      <c r="I435" s="40" t="s">
        <v>139</v>
      </c>
      <c r="J435" s="40" t="s">
        <v>139</v>
      </c>
      <c r="K435" s="40" t="s">
        <v>139</v>
      </c>
      <c r="L435" s="40" t="s">
        <v>139</v>
      </c>
      <c r="M435" s="40" t="s">
        <v>139</v>
      </c>
      <c r="N435" s="40" t="s">
        <v>139</v>
      </c>
      <c r="O435" s="40" t="s">
        <v>139</v>
      </c>
      <c r="P435" s="40" t="s">
        <v>139</v>
      </c>
      <c r="Q435" s="40" t="s">
        <v>139</v>
      </c>
      <c r="R435" s="40" t="s">
        <v>139</v>
      </c>
      <c r="S435" s="40" t="s">
        <v>139</v>
      </c>
    </row>
    <row r="436" spans="2:19" ht="39.6">
      <c r="B436" s="44" t="s">
        <v>430</v>
      </c>
      <c r="C436" s="48">
        <v>20</v>
      </c>
      <c r="D436" s="44" t="s">
        <v>431</v>
      </c>
      <c r="E436" s="49">
        <v>73214460</v>
      </c>
      <c r="F436" s="970" t="s">
        <v>8</v>
      </c>
      <c r="G436" s="39" t="s">
        <v>432</v>
      </c>
      <c r="H436" s="40" t="s">
        <v>149</v>
      </c>
      <c r="I436" s="41"/>
      <c r="J436" s="41"/>
      <c r="K436" s="41"/>
      <c r="L436" s="41"/>
      <c r="M436" s="41"/>
      <c r="N436" s="41"/>
      <c r="O436" s="41"/>
      <c r="P436" s="41"/>
      <c r="Q436" s="41"/>
      <c r="R436" s="41"/>
      <c r="S436" s="41"/>
    </row>
    <row r="437" spans="2:19">
      <c r="B437" s="967" t="s">
        <v>433</v>
      </c>
      <c r="C437" s="979"/>
      <c r="D437" s="967" t="s">
        <v>434</v>
      </c>
      <c r="E437" s="973">
        <v>296123750</v>
      </c>
      <c r="F437" s="970"/>
      <c r="G437" s="39" t="s">
        <v>435</v>
      </c>
      <c r="H437" s="40" t="s">
        <v>149</v>
      </c>
      <c r="I437" s="40" t="s">
        <v>149</v>
      </c>
      <c r="J437" s="40" t="s">
        <v>149</v>
      </c>
      <c r="K437" s="40" t="s">
        <v>149</v>
      </c>
      <c r="L437" s="40" t="s">
        <v>149</v>
      </c>
      <c r="M437" s="40" t="s">
        <v>149</v>
      </c>
      <c r="N437" s="40" t="s">
        <v>149</v>
      </c>
      <c r="O437" s="40" t="s">
        <v>149</v>
      </c>
      <c r="P437" s="40" t="s">
        <v>149</v>
      </c>
      <c r="Q437" s="41"/>
      <c r="R437" s="41"/>
      <c r="S437" s="41"/>
    </row>
    <row r="438" spans="2:19">
      <c r="B438" s="967"/>
      <c r="C438" s="979"/>
      <c r="D438" s="967"/>
      <c r="E438" s="973"/>
      <c r="F438" s="970"/>
      <c r="G438" s="39" t="s">
        <v>436</v>
      </c>
      <c r="H438" s="41"/>
      <c r="I438" s="41"/>
      <c r="J438" s="41"/>
      <c r="K438" s="40" t="s">
        <v>149</v>
      </c>
      <c r="L438" s="40" t="s">
        <v>149</v>
      </c>
      <c r="M438" s="40" t="s">
        <v>149</v>
      </c>
      <c r="N438" s="40" t="s">
        <v>149</v>
      </c>
      <c r="O438" s="40" t="s">
        <v>149</v>
      </c>
      <c r="P438" s="40" t="s">
        <v>149</v>
      </c>
      <c r="Q438" s="40" t="s">
        <v>149</v>
      </c>
      <c r="R438" s="40" t="s">
        <v>149</v>
      </c>
      <c r="S438" s="40" t="s">
        <v>149</v>
      </c>
    </row>
    <row r="439" spans="2:19" ht="26.4">
      <c r="B439" s="44" t="s">
        <v>437</v>
      </c>
      <c r="C439" s="48">
        <v>23</v>
      </c>
      <c r="D439" s="44" t="s">
        <v>438</v>
      </c>
      <c r="E439" s="49">
        <v>570000000</v>
      </c>
      <c r="F439" s="970"/>
      <c r="G439" s="39" t="s">
        <v>439</v>
      </c>
      <c r="H439" s="40" t="s">
        <v>149</v>
      </c>
      <c r="I439" s="40" t="s">
        <v>149</v>
      </c>
      <c r="J439" s="40" t="s">
        <v>149</v>
      </c>
      <c r="K439" s="41"/>
      <c r="L439" s="41"/>
      <c r="M439" s="41"/>
      <c r="N439" s="41"/>
      <c r="O439" s="41"/>
      <c r="P439" s="41"/>
      <c r="Q439" s="41"/>
      <c r="R439" s="41"/>
      <c r="S439" s="41"/>
    </row>
    <row r="440" spans="2:19">
      <c r="B440" s="44"/>
      <c r="C440" s="48"/>
      <c r="D440" s="44"/>
      <c r="E440" s="64"/>
      <c r="F440" s="970"/>
      <c r="G440" s="39" t="s">
        <v>440</v>
      </c>
      <c r="H440" s="41"/>
      <c r="I440" s="41"/>
      <c r="J440" s="41"/>
      <c r="K440" s="40" t="s">
        <v>149</v>
      </c>
      <c r="L440" s="40" t="s">
        <v>149</v>
      </c>
      <c r="M440" s="40" t="s">
        <v>149</v>
      </c>
      <c r="N440" s="40" t="s">
        <v>149</v>
      </c>
      <c r="O440" s="40" t="s">
        <v>149</v>
      </c>
      <c r="P440" s="40" t="s">
        <v>149</v>
      </c>
      <c r="Q440" s="40" t="s">
        <v>149</v>
      </c>
      <c r="R440" s="40" t="s">
        <v>149</v>
      </c>
      <c r="S440" s="40" t="s">
        <v>149</v>
      </c>
    </row>
    <row r="441" spans="2:19" ht="31.8" customHeight="1">
      <c r="B441" s="967" t="s">
        <v>430</v>
      </c>
      <c r="C441" s="48"/>
      <c r="D441" s="967" t="s">
        <v>441</v>
      </c>
      <c r="E441" s="973">
        <v>105599895</v>
      </c>
      <c r="F441" s="971" t="s">
        <v>7</v>
      </c>
      <c r="G441" s="39" t="s">
        <v>442</v>
      </c>
      <c r="H441" s="43" t="s">
        <v>149</v>
      </c>
      <c r="I441" s="41"/>
      <c r="J441" s="41"/>
      <c r="K441" s="41"/>
      <c r="L441" s="41"/>
      <c r="M441" s="41"/>
      <c r="N441" s="41"/>
      <c r="O441" s="41"/>
      <c r="P441" s="41"/>
      <c r="Q441" s="41"/>
      <c r="R441" s="41"/>
      <c r="S441" s="41"/>
    </row>
    <row r="442" spans="2:19" ht="31.8" customHeight="1">
      <c r="B442" s="967"/>
      <c r="C442" s="48">
        <v>10</v>
      </c>
      <c r="D442" s="967"/>
      <c r="E442" s="973"/>
      <c r="F442" s="971"/>
      <c r="G442" s="39" t="s">
        <v>443</v>
      </c>
      <c r="H442" s="43" t="s">
        <v>149</v>
      </c>
      <c r="I442" s="43" t="s">
        <v>149</v>
      </c>
      <c r="J442" s="43" t="s">
        <v>149</v>
      </c>
      <c r="K442" s="41"/>
      <c r="L442" s="41"/>
      <c r="M442" s="41"/>
      <c r="N442" s="41"/>
      <c r="O442" s="41"/>
      <c r="P442" s="41"/>
      <c r="Q442" s="41"/>
      <c r="R442" s="41"/>
      <c r="S442" s="41"/>
    </row>
    <row r="443" spans="2:19" ht="31.8" customHeight="1">
      <c r="B443" s="967"/>
      <c r="C443" s="48"/>
      <c r="D443" s="967" t="s">
        <v>444</v>
      </c>
      <c r="E443" s="973">
        <v>134155627</v>
      </c>
      <c r="F443" s="971"/>
      <c r="G443" s="39" t="s">
        <v>442</v>
      </c>
      <c r="H443" s="43" t="s">
        <v>149</v>
      </c>
      <c r="I443" s="41"/>
      <c r="J443" s="41"/>
      <c r="K443" s="41"/>
      <c r="L443" s="41"/>
      <c r="M443" s="41"/>
      <c r="N443" s="41"/>
      <c r="O443" s="41"/>
      <c r="P443" s="41"/>
      <c r="Q443" s="41"/>
      <c r="R443" s="41"/>
      <c r="S443" s="41"/>
    </row>
    <row r="444" spans="2:19" ht="31.8" customHeight="1">
      <c r="B444" s="967"/>
      <c r="C444" s="48"/>
      <c r="D444" s="967"/>
      <c r="E444" s="973"/>
      <c r="F444" s="971"/>
      <c r="G444" s="39" t="s">
        <v>445</v>
      </c>
      <c r="H444" s="43" t="s">
        <v>149</v>
      </c>
      <c r="I444" s="43" t="s">
        <v>149</v>
      </c>
      <c r="J444" s="43" t="s">
        <v>149</v>
      </c>
      <c r="K444" s="41"/>
      <c r="L444" s="41"/>
      <c r="M444" s="41"/>
      <c r="N444" s="41"/>
      <c r="O444" s="41"/>
      <c r="P444" s="41"/>
      <c r="Q444" s="41"/>
      <c r="R444" s="41"/>
      <c r="S444" s="41"/>
    </row>
    <row r="445" spans="2:19" ht="31.8" customHeight="1">
      <c r="B445" s="44" t="s">
        <v>446</v>
      </c>
      <c r="C445" s="48"/>
      <c r="D445" s="44" t="s">
        <v>447</v>
      </c>
      <c r="E445" s="65"/>
      <c r="F445" s="971"/>
      <c r="G445" s="39" t="s">
        <v>210</v>
      </c>
      <c r="H445" s="40" t="s">
        <v>139</v>
      </c>
      <c r="I445" s="40" t="s">
        <v>139</v>
      </c>
      <c r="J445" s="40" t="s">
        <v>139</v>
      </c>
      <c r="K445" s="40" t="s">
        <v>139</v>
      </c>
      <c r="L445" s="40" t="s">
        <v>139</v>
      </c>
      <c r="M445" s="40" t="s">
        <v>139</v>
      </c>
      <c r="N445" s="43" t="s">
        <v>139</v>
      </c>
      <c r="O445" s="43" t="s">
        <v>139</v>
      </c>
      <c r="P445" s="43" t="s">
        <v>139</v>
      </c>
      <c r="Q445" s="43" t="s">
        <v>139</v>
      </c>
      <c r="R445" s="43" t="s">
        <v>139</v>
      </c>
      <c r="S445" s="43" t="s">
        <v>139</v>
      </c>
    </row>
    <row r="446" spans="2:19">
      <c r="B446" s="964" t="s">
        <v>448</v>
      </c>
      <c r="C446" s="964"/>
      <c r="D446" s="964"/>
      <c r="E446" s="47">
        <v>1199093732</v>
      </c>
      <c r="F446" s="52"/>
      <c r="G446" s="53"/>
      <c r="H446" s="62"/>
      <c r="I446" s="62"/>
      <c r="J446" s="62"/>
      <c r="K446" s="62"/>
      <c r="L446" s="62"/>
      <c r="M446" s="62"/>
      <c r="N446" s="62"/>
      <c r="O446" s="62"/>
      <c r="P446" s="62"/>
      <c r="Q446" s="62"/>
      <c r="R446" s="62"/>
      <c r="S446" s="62"/>
    </row>
    <row r="447" spans="2:19">
      <c r="B447" s="966" t="s">
        <v>449</v>
      </c>
      <c r="C447" s="966"/>
      <c r="D447" s="966"/>
      <c r="E447" s="54"/>
      <c r="F447" s="55"/>
      <c r="G447" s="38"/>
      <c r="H447" s="63"/>
      <c r="I447" s="63"/>
      <c r="J447" s="63"/>
      <c r="K447" s="63"/>
      <c r="L447" s="63"/>
      <c r="M447" s="63"/>
      <c r="N447" s="63"/>
      <c r="O447" s="63"/>
      <c r="P447" s="63"/>
      <c r="Q447" s="63"/>
      <c r="R447" s="63"/>
      <c r="S447" s="63"/>
    </row>
    <row r="448" spans="2:19" ht="24.6" customHeight="1">
      <c r="B448" s="967" t="s">
        <v>450</v>
      </c>
      <c r="C448" s="968">
        <v>8</v>
      </c>
      <c r="D448" s="967" t="s">
        <v>451</v>
      </c>
      <c r="E448" s="973">
        <v>226895149</v>
      </c>
      <c r="F448" s="970" t="s">
        <v>7</v>
      </c>
      <c r="G448" s="39" t="s">
        <v>452</v>
      </c>
      <c r="H448" s="43" t="s">
        <v>149</v>
      </c>
      <c r="I448" s="43" t="s">
        <v>149</v>
      </c>
      <c r="J448" s="43" t="s">
        <v>149</v>
      </c>
      <c r="K448" s="41"/>
      <c r="L448" s="41"/>
      <c r="M448" s="41"/>
      <c r="N448" s="41"/>
      <c r="O448" s="41"/>
      <c r="P448" s="41"/>
      <c r="Q448" s="41"/>
      <c r="R448" s="41"/>
      <c r="S448" s="41"/>
    </row>
    <row r="449" spans="2:19" ht="24.6" customHeight="1">
      <c r="B449" s="967"/>
      <c r="C449" s="968"/>
      <c r="D449" s="967"/>
      <c r="E449" s="973"/>
      <c r="F449" s="970"/>
      <c r="G449" s="39" t="s">
        <v>453</v>
      </c>
      <c r="H449" s="41"/>
      <c r="I449" s="41"/>
      <c r="J449" s="41"/>
      <c r="K449" s="43" t="s">
        <v>149</v>
      </c>
      <c r="L449" s="43" t="s">
        <v>149</v>
      </c>
      <c r="M449" s="43" t="s">
        <v>149</v>
      </c>
      <c r="N449" s="43" t="s">
        <v>149</v>
      </c>
      <c r="O449" s="43" t="s">
        <v>149</v>
      </c>
      <c r="P449" s="43" t="s">
        <v>149</v>
      </c>
      <c r="Q449" s="41"/>
      <c r="R449" s="41"/>
      <c r="S449" s="41"/>
    </row>
    <row r="450" spans="2:19" ht="24.6" customHeight="1">
      <c r="B450" s="967"/>
      <c r="C450" s="968"/>
      <c r="D450" s="967"/>
      <c r="E450" s="973"/>
      <c r="F450" s="970"/>
      <c r="G450" s="39" t="s">
        <v>454</v>
      </c>
      <c r="H450" s="41"/>
      <c r="I450" s="41"/>
      <c r="J450" s="41"/>
      <c r="K450" s="41"/>
      <c r="L450" s="41"/>
      <c r="M450" s="41"/>
      <c r="N450" s="43" t="s">
        <v>149</v>
      </c>
      <c r="O450" s="43" t="s">
        <v>149</v>
      </c>
      <c r="P450" s="43" t="s">
        <v>149</v>
      </c>
      <c r="Q450" s="41"/>
      <c r="R450" s="41"/>
      <c r="S450" s="41"/>
    </row>
    <row r="451" spans="2:19" ht="24.6" customHeight="1">
      <c r="B451" s="967"/>
      <c r="C451" s="968"/>
      <c r="D451" s="967"/>
      <c r="E451" s="973"/>
      <c r="F451" s="970"/>
      <c r="G451" s="39" t="s">
        <v>146</v>
      </c>
      <c r="H451" s="41"/>
      <c r="I451" s="41"/>
      <c r="J451" s="41"/>
      <c r="K451" s="41"/>
      <c r="L451" s="41"/>
      <c r="M451" s="41"/>
      <c r="N451" s="41"/>
      <c r="O451" s="41"/>
      <c r="P451" s="41"/>
      <c r="Q451" s="43" t="s">
        <v>149</v>
      </c>
      <c r="R451" s="43" t="s">
        <v>149</v>
      </c>
      <c r="S451" s="43" t="s">
        <v>149</v>
      </c>
    </row>
    <row r="452" spans="2:19" ht="24.6" customHeight="1">
      <c r="B452" s="967"/>
      <c r="C452" s="968"/>
      <c r="D452" s="967" t="s">
        <v>455</v>
      </c>
      <c r="E452" s="973">
        <v>197211800</v>
      </c>
      <c r="F452" s="970" t="s">
        <v>7</v>
      </c>
      <c r="G452" s="39" t="s">
        <v>452</v>
      </c>
      <c r="H452" s="43" t="s">
        <v>149</v>
      </c>
      <c r="I452" s="43" t="s">
        <v>149</v>
      </c>
      <c r="J452" s="43" t="s">
        <v>149</v>
      </c>
      <c r="K452" s="41"/>
      <c r="L452" s="41"/>
      <c r="M452" s="41"/>
      <c r="N452" s="41"/>
      <c r="O452" s="41"/>
      <c r="P452" s="41"/>
      <c r="Q452" s="41"/>
      <c r="R452" s="41"/>
      <c r="S452" s="41"/>
    </row>
    <row r="453" spans="2:19" ht="24.6" customHeight="1">
      <c r="B453" s="967"/>
      <c r="C453" s="968"/>
      <c r="D453" s="967"/>
      <c r="E453" s="973"/>
      <c r="F453" s="970"/>
      <c r="G453" s="39" t="s">
        <v>456</v>
      </c>
      <c r="H453" s="41"/>
      <c r="I453" s="41"/>
      <c r="J453" s="41"/>
      <c r="K453" s="41"/>
      <c r="L453" s="41"/>
      <c r="M453" s="41"/>
      <c r="N453" s="43" t="s">
        <v>149</v>
      </c>
      <c r="O453" s="43" t="s">
        <v>149</v>
      </c>
      <c r="P453" s="43" t="s">
        <v>149</v>
      </c>
      <c r="Q453" s="43" t="s">
        <v>149</v>
      </c>
      <c r="R453" s="43" t="s">
        <v>149</v>
      </c>
      <c r="S453" s="43" t="s">
        <v>149</v>
      </c>
    </row>
    <row r="454" spans="2:19" ht="24.6" customHeight="1">
      <c r="B454" s="967"/>
      <c r="C454" s="968"/>
      <c r="D454" s="967" t="s">
        <v>457</v>
      </c>
      <c r="E454" s="973">
        <v>178100000</v>
      </c>
      <c r="F454" s="970" t="s">
        <v>7</v>
      </c>
      <c r="G454" s="39" t="s">
        <v>452</v>
      </c>
      <c r="H454" s="43" t="s">
        <v>149</v>
      </c>
      <c r="I454" s="43" t="s">
        <v>149</v>
      </c>
      <c r="J454" s="43" t="s">
        <v>149</v>
      </c>
      <c r="K454" s="41"/>
      <c r="L454" s="41"/>
      <c r="M454" s="41"/>
      <c r="N454" s="41"/>
      <c r="O454" s="41"/>
      <c r="P454" s="41"/>
      <c r="Q454" s="41"/>
      <c r="R454" s="41"/>
      <c r="S454" s="41"/>
    </row>
    <row r="455" spans="2:19" ht="24.6" customHeight="1">
      <c r="B455" s="967"/>
      <c r="C455" s="968"/>
      <c r="D455" s="967"/>
      <c r="E455" s="973"/>
      <c r="F455" s="970"/>
      <c r="G455" s="39" t="s">
        <v>458</v>
      </c>
      <c r="H455" s="41"/>
      <c r="I455" s="41"/>
      <c r="J455" s="41"/>
      <c r="K455" s="43" t="s">
        <v>149</v>
      </c>
      <c r="L455" s="43" t="s">
        <v>149</v>
      </c>
      <c r="M455" s="43" t="s">
        <v>149</v>
      </c>
      <c r="N455" s="43" t="s">
        <v>149</v>
      </c>
      <c r="O455" s="43" t="s">
        <v>149</v>
      </c>
      <c r="P455" s="43" t="s">
        <v>149</v>
      </c>
      <c r="Q455" s="43" t="s">
        <v>149</v>
      </c>
      <c r="R455" s="43" t="s">
        <v>149</v>
      </c>
      <c r="S455" s="43" t="s">
        <v>149</v>
      </c>
    </row>
    <row r="456" spans="2:19" ht="24.6" customHeight="1">
      <c r="B456" s="967"/>
      <c r="C456" s="968"/>
      <c r="D456" s="967" t="s">
        <v>459</v>
      </c>
      <c r="E456" s="973">
        <v>40100000</v>
      </c>
      <c r="F456" s="970" t="s">
        <v>7</v>
      </c>
      <c r="G456" s="39" t="s">
        <v>452</v>
      </c>
      <c r="H456" s="43" t="s">
        <v>149</v>
      </c>
      <c r="I456" s="43" t="s">
        <v>149</v>
      </c>
      <c r="J456" s="43" t="s">
        <v>149</v>
      </c>
      <c r="K456" s="41"/>
      <c r="L456" s="41"/>
      <c r="M456" s="41"/>
      <c r="N456" s="41"/>
      <c r="O456" s="41"/>
      <c r="P456" s="41"/>
      <c r="Q456" s="41"/>
      <c r="R456" s="41"/>
      <c r="S456" s="41"/>
    </row>
    <row r="457" spans="2:19" ht="24.6" customHeight="1">
      <c r="B457" s="967"/>
      <c r="C457" s="968"/>
      <c r="D457" s="967"/>
      <c r="E457" s="973"/>
      <c r="F457" s="970"/>
      <c r="G457" s="39" t="s">
        <v>460</v>
      </c>
      <c r="H457" s="41"/>
      <c r="I457" s="41"/>
      <c r="J457" s="41"/>
      <c r="K457" s="41"/>
      <c r="L457" s="41"/>
      <c r="M457" s="41"/>
      <c r="N457" s="43" t="s">
        <v>149</v>
      </c>
      <c r="O457" s="43" t="s">
        <v>149</v>
      </c>
      <c r="P457" s="43" t="s">
        <v>149</v>
      </c>
      <c r="Q457" s="43" t="s">
        <v>149</v>
      </c>
      <c r="R457" s="43" t="s">
        <v>149</v>
      </c>
      <c r="S457" s="43" t="s">
        <v>149</v>
      </c>
    </row>
    <row r="458" spans="2:19" ht="24.6" customHeight="1">
      <c r="B458" s="967"/>
      <c r="C458" s="968"/>
      <c r="D458" s="967" t="s">
        <v>461</v>
      </c>
      <c r="E458" s="973">
        <v>12000000</v>
      </c>
      <c r="F458" s="970" t="s">
        <v>7</v>
      </c>
      <c r="G458" s="39" t="s">
        <v>452</v>
      </c>
      <c r="H458" s="43" t="s">
        <v>149</v>
      </c>
      <c r="I458" s="43" t="s">
        <v>149</v>
      </c>
      <c r="J458" s="43" t="s">
        <v>149</v>
      </c>
      <c r="K458" s="41"/>
      <c r="L458" s="41"/>
      <c r="M458" s="41"/>
      <c r="N458" s="41"/>
      <c r="O458" s="41"/>
      <c r="P458" s="41"/>
      <c r="Q458" s="41"/>
      <c r="R458" s="41"/>
      <c r="S458" s="41"/>
    </row>
    <row r="459" spans="2:19" ht="24.6" customHeight="1">
      <c r="B459" s="967"/>
      <c r="C459" s="968"/>
      <c r="D459" s="967"/>
      <c r="E459" s="973"/>
      <c r="F459" s="970"/>
      <c r="G459" s="39" t="s">
        <v>462</v>
      </c>
      <c r="H459" s="41"/>
      <c r="I459" s="41"/>
      <c r="J459" s="41"/>
      <c r="K459" s="41"/>
      <c r="L459" s="41"/>
      <c r="M459" s="41"/>
      <c r="N459" s="43" t="s">
        <v>149</v>
      </c>
      <c r="O459" s="43" t="s">
        <v>149</v>
      </c>
      <c r="P459" s="43" t="s">
        <v>149</v>
      </c>
      <c r="Q459" s="43" t="s">
        <v>149</v>
      </c>
      <c r="R459" s="43" t="s">
        <v>149</v>
      </c>
      <c r="S459" s="43" t="s">
        <v>149</v>
      </c>
    </row>
    <row r="460" spans="2:19" ht="24.6" customHeight="1">
      <c r="B460" s="967"/>
      <c r="C460" s="48"/>
      <c r="D460" s="44" t="s">
        <v>463</v>
      </c>
      <c r="E460" s="65"/>
      <c r="F460" s="46" t="s">
        <v>7</v>
      </c>
      <c r="G460" s="39" t="s">
        <v>210</v>
      </c>
      <c r="H460" s="40" t="s">
        <v>139</v>
      </c>
      <c r="I460" s="40" t="s">
        <v>139</v>
      </c>
      <c r="J460" s="40" t="s">
        <v>139</v>
      </c>
      <c r="K460" s="40" t="s">
        <v>139</v>
      </c>
      <c r="L460" s="40" t="s">
        <v>139</v>
      </c>
      <c r="M460" s="40" t="s">
        <v>139</v>
      </c>
      <c r="N460" s="43" t="s">
        <v>139</v>
      </c>
      <c r="O460" s="43" t="s">
        <v>139</v>
      </c>
      <c r="P460" s="43" t="s">
        <v>139</v>
      </c>
      <c r="Q460" s="43" t="s">
        <v>139</v>
      </c>
      <c r="R460" s="43" t="s">
        <v>139</v>
      </c>
      <c r="S460" s="43" t="s">
        <v>139</v>
      </c>
    </row>
    <row r="461" spans="2:19">
      <c r="B461" s="964" t="s">
        <v>464</v>
      </c>
      <c r="C461" s="964"/>
      <c r="D461" s="964"/>
      <c r="E461" s="47">
        <v>654306949</v>
      </c>
      <c r="F461" s="52"/>
      <c r="G461" s="53"/>
      <c r="H461" s="62"/>
      <c r="I461" s="62"/>
      <c r="J461" s="62"/>
      <c r="K461" s="62"/>
      <c r="L461" s="62"/>
      <c r="M461" s="62"/>
      <c r="N461" s="62"/>
      <c r="O461" s="62"/>
      <c r="P461" s="62"/>
      <c r="Q461" s="62"/>
      <c r="R461" s="62"/>
      <c r="S461" s="62"/>
    </row>
    <row r="462" spans="2:19">
      <c r="B462" s="966" t="s">
        <v>465</v>
      </c>
      <c r="C462" s="966"/>
      <c r="D462" s="966"/>
      <c r="E462" s="54"/>
      <c r="F462" s="55"/>
      <c r="G462" s="38"/>
      <c r="H462" s="63"/>
      <c r="I462" s="63"/>
      <c r="J462" s="63"/>
      <c r="K462" s="63"/>
      <c r="L462" s="63"/>
      <c r="M462" s="63"/>
      <c r="N462" s="63"/>
      <c r="O462" s="63"/>
      <c r="P462" s="63"/>
      <c r="Q462" s="63"/>
      <c r="R462" s="63"/>
      <c r="S462" s="63"/>
    </row>
    <row r="463" spans="2:19" ht="27" customHeight="1">
      <c r="B463" s="967" t="s">
        <v>466</v>
      </c>
      <c r="C463" s="66"/>
      <c r="D463" s="44" t="s">
        <v>467</v>
      </c>
      <c r="E463" s="65"/>
      <c r="F463" s="971" t="s">
        <v>8</v>
      </c>
      <c r="G463" s="39" t="s">
        <v>468</v>
      </c>
      <c r="H463" s="43" t="s">
        <v>149</v>
      </c>
      <c r="I463" s="41"/>
      <c r="J463" s="41"/>
      <c r="K463" s="41"/>
      <c r="L463" s="41"/>
      <c r="M463" s="41"/>
      <c r="N463" s="41"/>
      <c r="O463" s="41"/>
      <c r="P463" s="41"/>
      <c r="Q463" s="41"/>
      <c r="R463" s="41"/>
      <c r="S463" s="41"/>
    </row>
    <row r="464" spans="2:19" ht="39.6">
      <c r="B464" s="967"/>
      <c r="C464" s="66">
        <v>10</v>
      </c>
      <c r="D464" s="44" t="s">
        <v>469</v>
      </c>
      <c r="E464" s="45">
        <v>425000000</v>
      </c>
      <c r="F464" s="971"/>
      <c r="G464" s="39" t="s">
        <v>470</v>
      </c>
      <c r="H464" s="43" t="s">
        <v>149</v>
      </c>
      <c r="I464" s="43" t="s">
        <v>149</v>
      </c>
      <c r="J464" s="43" t="s">
        <v>149</v>
      </c>
      <c r="K464" s="41"/>
      <c r="L464" s="41"/>
      <c r="M464" s="41"/>
      <c r="N464" s="41"/>
      <c r="O464" s="41"/>
      <c r="P464" s="41"/>
      <c r="Q464" s="41"/>
      <c r="R464" s="41"/>
      <c r="S464" s="41"/>
    </row>
    <row r="465" spans="2:19" ht="26.4">
      <c r="B465" s="967"/>
      <c r="C465" s="972">
        <v>6</v>
      </c>
      <c r="D465" s="967" t="s">
        <v>471</v>
      </c>
      <c r="E465" s="969">
        <v>96000000</v>
      </c>
      <c r="F465" s="971"/>
      <c r="G465" s="39" t="s">
        <v>472</v>
      </c>
      <c r="H465" s="41"/>
      <c r="I465" s="43" t="s">
        <v>149</v>
      </c>
      <c r="J465" s="43" t="s">
        <v>149</v>
      </c>
      <c r="K465" s="43" t="s">
        <v>149</v>
      </c>
      <c r="L465" s="41"/>
      <c r="M465" s="41"/>
      <c r="N465" s="41"/>
      <c r="O465" s="41"/>
      <c r="P465" s="41"/>
      <c r="Q465" s="41"/>
      <c r="R465" s="41"/>
      <c r="S465" s="41"/>
    </row>
    <row r="466" spans="2:19">
      <c r="B466" s="967"/>
      <c r="C466" s="972"/>
      <c r="D466" s="967"/>
      <c r="E466" s="969"/>
      <c r="F466" s="971"/>
      <c r="G466" s="39" t="s">
        <v>473</v>
      </c>
      <c r="H466" s="41"/>
      <c r="I466" s="41"/>
      <c r="J466" s="43" t="s">
        <v>149</v>
      </c>
      <c r="K466" s="43" t="s">
        <v>149</v>
      </c>
      <c r="L466" s="43" t="s">
        <v>149</v>
      </c>
      <c r="M466" s="43" t="s">
        <v>149</v>
      </c>
      <c r="N466" s="41"/>
      <c r="O466" s="41"/>
      <c r="P466" s="41"/>
      <c r="Q466" s="41"/>
      <c r="R466" s="41"/>
      <c r="S466" s="41"/>
    </row>
    <row r="467" spans="2:19">
      <c r="B467" s="967"/>
      <c r="C467" s="972"/>
      <c r="D467" s="967"/>
      <c r="E467" s="969"/>
      <c r="F467" s="971"/>
      <c r="G467" s="39" t="s">
        <v>474</v>
      </c>
      <c r="H467" s="41"/>
      <c r="I467" s="41"/>
      <c r="J467" s="41"/>
      <c r="K467" s="41"/>
      <c r="L467" s="41"/>
      <c r="M467" s="41"/>
      <c r="N467" s="41"/>
      <c r="O467" s="41"/>
      <c r="P467" s="43" t="s">
        <v>149</v>
      </c>
      <c r="Q467" s="43" t="s">
        <v>149</v>
      </c>
      <c r="R467" s="43" t="s">
        <v>149</v>
      </c>
      <c r="S467" s="43" t="s">
        <v>149</v>
      </c>
    </row>
    <row r="468" spans="2:19">
      <c r="B468" s="967"/>
      <c r="C468" s="972"/>
      <c r="D468" s="967"/>
      <c r="E468" s="969"/>
      <c r="F468" s="971"/>
      <c r="G468" s="39" t="s">
        <v>475</v>
      </c>
      <c r="H468" s="41"/>
      <c r="I468" s="41"/>
      <c r="J468" s="41"/>
      <c r="K468" s="41"/>
      <c r="L468" s="41"/>
      <c r="M468" s="67" t="s">
        <v>149</v>
      </c>
      <c r="N468" s="67" t="s">
        <v>149</v>
      </c>
      <c r="O468" s="67" t="s">
        <v>149</v>
      </c>
      <c r="P468" s="67" t="s">
        <v>149</v>
      </c>
      <c r="Q468" s="67" t="s">
        <v>149</v>
      </c>
      <c r="R468" s="67" t="s">
        <v>149</v>
      </c>
      <c r="S468" s="67" t="s">
        <v>149</v>
      </c>
    </row>
    <row r="469" spans="2:19" ht="39.6">
      <c r="B469" s="967"/>
      <c r="C469" s="66">
        <v>15</v>
      </c>
      <c r="D469" s="44" t="s">
        <v>476</v>
      </c>
      <c r="E469" s="45">
        <v>9862500</v>
      </c>
      <c r="F469" s="971" t="s">
        <v>9</v>
      </c>
      <c r="G469" s="39" t="s">
        <v>477</v>
      </c>
      <c r="H469" s="40" t="s">
        <v>149</v>
      </c>
      <c r="I469" s="40" t="s">
        <v>149</v>
      </c>
      <c r="J469" s="40" t="s">
        <v>149</v>
      </c>
      <c r="K469" s="67" t="s">
        <v>149</v>
      </c>
      <c r="L469" s="41"/>
      <c r="M469" s="41"/>
      <c r="N469" s="41"/>
      <c r="O469" s="41"/>
      <c r="P469" s="41"/>
      <c r="Q469" s="41"/>
      <c r="R469" s="41"/>
      <c r="S469" s="41"/>
    </row>
    <row r="470" spans="2:19">
      <c r="B470" s="967"/>
      <c r="C470" s="66">
        <v>15</v>
      </c>
      <c r="D470" s="44" t="s">
        <v>478</v>
      </c>
      <c r="E470" s="45">
        <v>90000000</v>
      </c>
      <c r="F470" s="971"/>
      <c r="G470" s="39" t="s">
        <v>479</v>
      </c>
      <c r="H470" s="41"/>
      <c r="I470" s="41"/>
      <c r="J470" s="41"/>
      <c r="K470" s="67" t="s">
        <v>149</v>
      </c>
      <c r="L470" s="67" t="s">
        <v>149</v>
      </c>
      <c r="M470" s="67" t="s">
        <v>149</v>
      </c>
      <c r="N470" s="67" t="s">
        <v>149</v>
      </c>
      <c r="O470" s="67" t="s">
        <v>149</v>
      </c>
      <c r="P470" s="41"/>
      <c r="Q470" s="41"/>
      <c r="R470" s="41"/>
      <c r="S470" s="41"/>
    </row>
    <row r="471" spans="2:19">
      <c r="B471" s="967"/>
      <c r="C471" s="66">
        <v>15</v>
      </c>
      <c r="D471" s="44" t="s">
        <v>480</v>
      </c>
      <c r="E471" s="45">
        <v>30000000</v>
      </c>
      <c r="F471" s="971"/>
      <c r="G471" s="39" t="s">
        <v>481</v>
      </c>
      <c r="H471" s="41"/>
      <c r="I471" s="41"/>
      <c r="J471" s="41"/>
      <c r="K471" s="41"/>
      <c r="L471" s="41"/>
      <c r="M471" s="41"/>
      <c r="N471" s="41"/>
      <c r="O471" s="41"/>
      <c r="P471" s="41"/>
      <c r="Q471" s="67" t="s">
        <v>149</v>
      </c>
      <c r="R471" s="67" t="s">
        <v>149</v>
      </c>
      <c r="S471" s="67" t="s">
        <v>149</v>
      </c>
    </row>
    <row r="472" spans="2:19">
      <c r="B472" s="967"/>
      <c r="C472" s="66">
        <v>15</v>
      </c>
      <c r="D472" s="44" t="s">
        <v>482</v>
      </c>
      <c r="E472" s="45">
        <v>30000000</v>
      </c>
      <c r="F472" s="971"/>
      <c r="G472" s="39" t="s">
        <v>483</v>
      </c>
      <c r="H472" s="41"/>
      <c r="I472" s="41"/>
      <c r="J472" s="41"/>
      <c r="K472" s="41"/>
      <c r="L472" s="41"/>
      <c r="M472" s="41"/>
      <c r="N472" s="41"/>
      <c r="O472" s="41"/>
      <c r="P472" s="41"/>
      <c r="Q472" s="67" t="s">
        <v>149</v>
      </c>
      <c r="R472" s="67" t="s">
        <v>149</v>
      </c>
      <c r="S472" s="67" t="s">
        <v>149</v>
      </c>
    </row>
    <row r="473" spans="2:19">
      <c r="B473" s="964" t="s">
        <v>484</v>
      </c>
      <c r="C473" s="964"/>
      <c r="D473" s="964"/>
      <c r="E473" s="47">
        <v>680862500</v>
      </c>
      <c r="F473" s="52"/>
      <c r="G473" s="53"/>
      <c r="H473" s="62"/>
      <c r="I473" s="62"/>
      <c r="J473" s="62"/>
      <c r="K473" s="62"/>
      <c r="L473" s="62"/>
      <c r="M473" s="62"/>
      <c r="N473" s="62"/>
      <c r="O473" s="62"/>
      <c r="P473" s="62"/>
      <c r="Q473" s="62"/>
      <c r="R473" s="62"/>
      <c r="S473" s="62"/>
    </row>
    <row r="474" spans="2:19">
      <c r="B474" s="966" t="s">
        <v>485</v>
      </c>
      <c r="C474" s="966"/>
      <c r="D474" s="966"/>
      <c r="E474" s="54"/>
      <c r="F474" s="55"/>
      <c r="G474" s="38"/>
      <c r="H474" s="63"/>
      <c r="I474" s="63"/>
      <c r="J474" s="63"/>
      <c r="K474" s="63"/>
      <c r="L474" s="63"/>
      <c r="M474" s="63"/>
      <c r="N474" s="63"/>
      <c r="O474" s="63"/>
      <c r="P474" s="63"/>
      <c r="Q474" s="63"/>
      <c r="R474" s="63"/>
      <c r="S474" s="63"/>
    </row>
    <row r="475" spans="2:19" ht="52.8">
      <c r="B475" s="44" t="s">
        <v>486</v>
      </c>
      <c r="C475" s="48"/>
      <c r="D475" s="44" t="s">
        <v>487</v>
      </c>
      <c r="E475" s="49">
        <v>20000000</v>
      </c>
      <c r="F475" s="61" t="s">
        <v>6</v>
      </c>
      <c r="G475" s="39" t="s">
        <v>488</v>
      </c>
      <c r="H475" s="40" t="s">
        <v>139</v>
      </c>
      <c r="I475" s="40" t="s">
        <v>139</v>
      </c>
      <c r="J475" s="40" t="s">
        <v>139</v>
      </c>
      <c r="K475" s="40" t="s">
        <v>139</v>
      </c>
      <c r="L475" s="40" t="s">
        <v>139</v>
      </c>
      <c r="M475" s="40" t="s">
        <v>139</v>
      </c>
      <c r="N475" s="40" t="s">
        <v>139</v>
      </c>
      <c r="O475" s="40" t="s">
        <v>139</v>
      </c>
      <c r="P475" s="40" t="s">
        <v>139</v>
      </c>
      <c r="Q475" s="40" t="s">
        <v>139</v>
      </c>
      <c r="R475" s="40" t="s">
        <v>139</v>
      </c>
      <c r="S475" s="40" t="s">
        <v>139</v>
      </c>
    </row>
    <row r="476" spans="2:19" ht="26.4">
      <c r="B476" s="967" t="s">
        <v>489</v>
      </c>
      <c r="C476" s="968">
        <v>4</v>
      </c>
      <c r="D476" s="44" t="s">
        <v>490</v>
      </c>
      <c r="E476" s="49">
        <v>18000000</v>
      </c>
      <c r="F476" s="970" t="s">
        <v>8</v>
      </c>
      <c r="G476" s="39" t="s">
        <v>491</v>
      </c>
      <c r="H476" s="41"/>
      <c r="I476" s="41"/>
      <c r="J476" s="41"/>
      <c r="K476" s="41"/>
      <c r="L476" s="41"/>
      <c r="M476" s="41"/>
      <c r="N476" s="41"/>
      <c r="O476" s="41"/>
      <c r="P476" s="41"/>
      <c r="Q476" s="41"/>
      <c r="R476" s="41"/>
      <c r="S476" s="41"/>
    </row>
    <row r="477" spans="2:19">
      <c r="B477" s="967"/>
      <c r="C477" s="968"/>
      <c r="D477" s="967" t="s">
        <v>492</v>
      </c>
      <c r="E477" s="973">
        <v>425000000</v>
      </c>
      <c r="F477" s="970"/>
      <c r="G477" s="39" t="s">
        <v>493</v>
      </c>
      <c r="H477" s="41"/>
      <c r="I477" s="41"/>
      <c r="J477" s="41"/>
      <c r="K477" s="42" t="s">
        <v>149</v>
      </c>
      <c r="L477" s="42" t="s">
        <v>149</v>
      </c>
      <c r="M477" s="42" t="s">
        <v>149</v>
      </c>
      <c r="N477" s="42" t="s">
        <v>149</v>
      </c>
      <c r="O477" s="42" t="s">
        <v>149</v>
      </c>
      <c r="P477" s="42" t="s">
        <v>149</v>
      </c>
      <c r="Q477" s="42" t="s">
        <v>149</v>
      </c>
      <c r="R477" s="42" t="s">
        <v>149</v>
      </c>
      <c r="S477" s="42" t="s">
        <v>149</v>
      </c>
    </row>
    <row r="478" spans="2:19">
      <c r="B478" s="967"/>
      <c r="C478" s="968"/>
      <c r="D478" s="967"/>
      <c r="E478" s="973"/>
      <c r="F478" s="970"/>
      <c r="G478" s="39" t="s">
        <v>494</v>
      </c>
      <c r="H478" s="41"/>
      <c r="I478" s="41"/>
      <c r="J478" s="41"/>
      <c r="K478" s="42" t="s">
        <v>149</v>
      </c>
      <c r="L478" s="42" t="s">
        <v>149</v>
      </c>
      <c r="M478" s="42" t="s">
        <v>149</v>
      </c>
      <c r="N478" s="42" t="s">
        <v>149</v>
      </c>
      <c r="O478" s="42" t="s">
        <v>149</v>
      </c>
      <c r="P478" s="42" t="s">
        <v>149</v>
      </c>
      <c r="Q478" s="42" t="s">
        <v>149</v>
      </c>
      <c r="R478" s="42" t="s">
        <v>149</v>
      </c>
      <c r="S478" s="42" t="s">
        <v>149</v>
      </c>
    </row>
    <row r="479" spans="2:19">
      <c r="B479" s="967"/>
      <c r="C479" s="968"/>
      <c r="D479" s="967"/>
      <c r="E479" s="973"/>
      <c r="F479" s="970"/>
      <c r="G479" s="39" t="s">
        <v>495</v>
      </c>
      <c r="H479" s="41"/>
      <c r="I479" s="41"/>
      <c r="J479" s="41"/>
      <c r="K479" s="42" t="s">
        <v>149</v>
      </c>
      <c r="L479" s="42" t="s">
        <v>149</v>
      </c>
      <c r="M479" s="42" t="s">
        <v>149</v>
      </c>
      <c r="N479" s="42" t="s">
        <v>149</v>
      </c>
      <c r="O479" s="42" t="s">
        <v>149</v>
      </c>
      <c r="P479" s="42" t="s">
        <v>149</v>
      </c>
      <c r="Q479" s="42" t="s">
        <v>149</v>
      </c>
      <c r="R479" s="42" t="s">
        <v>149</v>
      </c>
      <c r="S479" s="42" t="s">
        <v>149</v>
      </c>
    </row>
    <row r="480" spans="2:19" ht="27" customHeight="1">
      <c r="B480" s="967" t="s">
        <v>496</v>
      </c>
      <c r="C480" s="972">
        <v>3</v>
      </c>
      <c r="D480" s="967" t="s">
        <v>497</v>
      </c>
      <c r="E480" s="969">
        <v>539170000</v>
      </c>
      <c r="F480" s="971" t="s">
        <v>7</v>
      </c>
      <c r="G480" s="39" t="s">
        <v>452</v>
      </c>
      <c r="H480" s="40" t="s">
        <v>149</v>
      </c>
      <c r="I480" s="40" t="s">
        <v>149</v>
      </c>
      <c r="J480" s="40" t="s">
        <v>149</v>
      </c>
      <c r="K480" s="41"/>
      <c r="L480" s="41"/>
      <c r="M480" s="41"/>
      <c r="N480" s="41"/>
      <c r="O480" s="41"/>
      <c r="P480" s="41"/>
      <c r="Q480" s="41"/>
      <c r="R480" s="41"/>
      <c r="S480" s="41"/>
    </row>
    <row r="481" spans="2:19" ht="27" customHeight="1">
      <c r="B481" s="967"/>
      <c r="C481" s="972"/>
      <c r="D481" s="967"/>
      <c r="E481" s="969"/>
      <c r="F481" s="971"/>
      <c r="G481" s="39" t="s">
        <v>456</v>
      </c>
      <c r="H481" s="41"/>
      <c r="I481" s="41"/>
      <c r="J481" s="41"/>
      <c r="K481" s="41"/>
      <c r="L481" s="41"/>
      <c r="M481" s="41"/>
      <c r="N481" s="40" t="s">
        <v>149</v>
      </c>
      <c r="O481" s="40" t="s">
        <v>149</v>
      </c>
      <c r="P481" s="40" t="s">
        <v>149</v>
      </c>
      <c r="Q481" s="40" t="s">
        <v>149</v>
      </c>
      <c r="R481" s="40" t="s">
        <v>149</v>
      </c>
      <c r="S481" s="40" t="s">
        <v>149</v>
      </c>
    </row>
    <row r="482" spans="2:19" ht="27" customHeight="1">
      <c r="B482" s="967"/>
      <c r="C482" s="972"/>
      <c r="D482" s="967" t="s">
        <v>498</v>
      </c>
      <c r="E482" s="969">
        <v>195165234</v>
      </c>
      <c r="F482" s="971"/>
      <c r="G482" s="39" t="s">
        <v>452</v>
      </c>
      <c r="H482" s="43" t="s">
        <v>149</v>
      </c>
      <c r="I482" s="43" t="s">
        <v>149</v>
      </c>
      <c r="J482" s="43" t="s">
        <v>149</v>
      </c>
      <c r="K482" s="41"/>
      <c r="L482" s="41"/>
      <c r="M482" s="41"/>
      <c r="N482" s="41"/>
      <c r="O482" s="41"/>
      <c r="P482" s="41"/>
      <c r="Q482" s="41"/>
      <c r="R482" s="41"/>
      <c r="S482" s="41"/>
    </row>
    <row r="483" spans="2:19" ht="27" customHeight="1">
      <c r="B483" s="967"/>
      <c r="C483" s="972"/>
      <c r="D483" s="967"/>
      <c r="E483" s="969"/>
      <c r="F483" s="971"/>
      <c r="G483" s="39" t="s">
        <v>499</v>
      </c>
      <c r="H483" s="41"/>
      <c r="I483" s="41"/>
      <c r="J483" s="41"/>
      <c r="K483" s="43" t="s">
        <v>149</v>
      </c>
      <c r="L483" s="43" t="s">
        <v>149</v>
      </c>
      <c r="M483" s="43" t="s">
        <v>149</v>
      </c>
      <c r="N483" s="40" t="s">
        <v>149</v>
      </c>
      <c r="O483" s="40" t="s">
        <v>149</v>
      </c>
      <c r="P483" s="40" t="s">
        <v>149</v>
      </c>
      <c r="Q483" s="41"/>
      <c r="R483" s="41"/>
      <c r="S483" s="41"/>
    </row>
    <row r="484" spans="2:19" ht="27" customHeight="1">
      <c r="B484" s="967"/>
      <c r="C484" s="972"/>
      <c r="D484" s="967"/>
      <c r="E484" s="969"/>
      <c r="F484" s="971"/>
      <c r="G484" s="39" t="s">
        <v>500</v>
      </c>
      <c r="H484" s="41"/>
      <c r="I484" s="41"/>
      <c r="J484" s="41"/>
      <c r="K484" s="41"/>
      <c r="L484" s="41"/>
      <c r="M484" s="41"/>
      <c r="N484" s="40" t="s">
        <v>149</v>
      </c>
      <c r="O484" s="40" t="s">
        <v>149</v>
      </c>
      <c r="P484" s="40" t="s">
        <v>149</v>
      </c>
      <c r="Q484" s="43" t="s">
        <v>149</v>
      </c>
      <c r="R484" s="43" t="s">
        <v>149</v>
      </c>
      <c r="S484" s="43" t="s">
        <v>149</v>
      </c>
    </row>
    <row r="485" spans="2:19" ht="27" customHeight="1">
      <c r="B485" s="967"/>
      <c r="C485" s="972"/>
      <c r="D485" s="967"/>
      <c r="E485" s="969"/>
      <c r="F485" s="971"/>
      <c r="G485" s="39" t="s">
        <v>501</v>
      </c>
      <c r="H485" s="41"/>
      <c r="I485" s="41"/>
      <c r="J485" s="41"/>
      <c r="K485" s="41"/>
      <c r="L485" s="41"/>
      <c r="M485" s="41"/>
      <c r="N485" s="41"/>
      <c r="O485" s="41"/>
      <c r="P485" s="41"/>
      <c r="Q485" s="43" t="s">
        <v>149</v>
      </c>
      <c r="R485" s="43" t="s">
        <v>149</v>
      </c>
      <c r="S485" s="43" t="s">
        <v>149</v>
      </c>
    </row>
    <row r="486" spans="2:19" ht="27" customHeight="1">
      <c r="B486" s="44" t="s">
        <v>502</v>
      </c>
      <c r="C486" s="48"/>
      <c r="D486" s="44" t="s">
        <v>503</v>
      </c>
      <c r="E486" s="65"/>
      <c r="F486" s="971"/>
      <c r="G486" s="39" t="s">
        <v>210</v>
      </c>
      <c r="H486" s="40" t="s">
        <v>139</v>
      </c>
      <c r="I486" s="40" t="s">
        <v>139</v>
      </c>
      <c r="J486" s="40" t="s">
        <v>139</v>
      </c>
      <c r="K486" s="40" t="s">
        <v>139</v>
      </c>
      <c r="L486" s="40" t="s">
        <v>139</v>
      </c>
      <c r="M486" s="40" t="s">
        <v>139</v>
      </c>
      <c r="N486" s="43" t="s">
        <v>139</v>
      </c>
      <c r="O486" s="43" t="s">
        <v>139</v>
      </c>
      <c r="P486" s="43" t="s">
        <v>139</v>
      </c>
      <c r="Q486" s="43" t="s">
        <v>139</v>
      </c>
      <c r="R486" s="43" t="s">
        <v>139</v>
      </c>
      <c r="S486" s="43" t="s">
        <v>139</v>
      </c>
    </row>
    <row r="487" spans="2:19">
      <c r="B487" s="964" t="s">
        <v>504</v>
      </c>
      <c r="C487" s="964"/>
      <c r="D487" s="964"/>
      <c r="E487" s="47">
        <v>1197335234</v>
      </c>
      <c r="F487" s="52"/>
      <c r="G487" s="53"/>
      <c r="H487" s="964"/>
      <c r="I487" s="964"/>
      <c r="J487" s="964"/>
      <c r="K487" s="964"/>
      <c r="L487" s="964"/>
      <c r="M487" s="964"/>
      <c r="N487" s="964"/>
      <c r="O487" s="964"/>
      <c r="P487" s="964"/>
      <c r="Q487" s="964"/>
      <c r="R487" s="964"/>
      <c r="S487" s="964"/>
    </row>
    <row r="488" spans="2:19">
      <c r="B488" s="964" t="s">
        <v>505</v>
      </c>
      <c r="C488" s="964"/>
      <c r="D488" s="964"/>
      <c r="E488" s="47">
        <v>5153349713</v>
      </c>
      <c r="F488" s="52"/>
      <c r="G488" s="53"/>
      <c r="H488" s="964"/>
      <c r="I488" s="964"/>
      <c r="J488" s="964"/>
      <c r="K488" s="964"/>
      <c r="L488" s="964"/>
      <c r="M488" s="964"/>
      <c r="N488" s="964"/>
      <c r="O488" s="964"/>
      <c r="P488" s="964"/>
      <c r="Q488" s="964"/>
      <c r="R488" s="964"/>
      <c r="S488" s="964"/>
    </row>
    <row r="489" spans="2:19">
      <c r="B489" s="966" t="s">
        <v>506</v>
      </c>
      <c r="C489" s="966"/>
      <c r="D489" s="966"/>
      <c r="E489" s="966"/>
      <c r="F489" s="966"/>
      <c r="G489" s="966"/>
      <c r="H489" s="966"/>
      <c r="I489" s="966"/>
      <c r="J489" s="966"/>
      <c r="K489" s="966"/>
      <c r="L489" s="966"/>
      <c r="M489" s="966"/>
      <c r="N489" s="966"/>
      <c r="O489" s="966"/>
      <c r="P489" s="966"/>
      <c r="Q489" s="966"/>
      <c r="R489" s="966"/>
      <c r="S489" s="966"/>
    </row>
    <row r="490" spans="2:19">
      <c r="B490" s="978" t="s">
        <v>507</v>
      </c>
      <c r="C490" s="978"/>
      <c r="D490" s="978"/>
      <c r="E490" s="978"/>
      <c r="F490" s="978"/>
      <c r="G490" s="38"/>
      <c r="H490" s="966"/>
      <c r="I490" s="966"/>
      <c r="J490" s="966"/>
      <c r="K490" s="966"/>
      <c r="L490" s="966"/>
      <c r="M490" s="966"/>
      <c r="N490" s="966"/>
      <c r="O490" s="966"/>
      <c r="P490" s="966"/>
      <c r="Q490" s="966"/>
      <c r="R490" s="966"/>
      <c r="S490" s="966"/>
    </row>
    <row r="491" spans="2:19" ht="55.8" customHeight="1">
      <c r="B491" s="967" t="s">
        <v>508</v>
      </c>
      <c r="C491" s="968" t="s">
        <v>509</v>
      </c>
      <c r="D491" s="44" t="s">
        <v>510</v>
      </c>
      <c r="E491" s="49">
        <v>7500000</v>
      </c>
      <c r="F491" s="970" t="s">
        <v>6</v>
      </c>
      <c r="G491" s="39" t="s">
        <v>511</v>
      </c>
      <c r="H491" s="40" t="s">
        <v>139</v>
      </c>
      <c r="I491" s="40" t="s">
        <v>139</v>
      </c>
      <c r="J491" s="40" t="s">
        <v>139</v>
      </c>
      <c r="K491" s="40" t="s">
        <v>139</v>
      </c>
      <c r="L491" s="41"/>
      <c r="M491" s="41"/>
      <c r="N491" s="41"/>
      <c r="O491" s="41"/>
      <c r="P491" s="41"/>
      <c r="Q491" s="41"/>
      <c r="R491" s="41"/>
      <c r="S491" s="41"/>
    </row>
    <row r="492" spans="2:19" ht="26.4">
      <c r="B492" s="967"/>
      <c r="C492" s="968"/>
      <c r="D492" s="44" t="s">
        <v>512</v>
      </c>
      <c r="E492" s="49">
        <v>2500000</v>
      </c>
      <c r="F492" s="970"/>
      <c r="G492" s="39"/>
      <c r="H492" s="41"/>
      <c r="I492" s="41"/>
      <c r="J492" s="41"/>
      <c r="K492" s="41"/>
      <c r="L492" s="40" t="s">
        <v>139</v>
      </c>
      <c r="M492" s="40" t="s">
        <v>139</v>
      </c>
      <c r="N492" s="40" t="s">
        <v>139</v>
      </c>
      <c r="O492" s="40" t="s">
        <v>139</v>
      </c>
      <c r="P492" s="41"/>
      <c r="Q492" s="41"/>
      <c r="R492" s="41"/>
      <c r="S492" s="41"/>
    </row>
    <row r="493" spans="2:19" ht="52.8">
      <c r="B493" s="44" t="s">
        <v>513</v>
      </c>
      <c r="C493" s="48" t="s">
        <v>509</v>
      </c>
      <c r="D493" s="44" t="s">
        <v>514</v>
      </c>
      <c r="E493" s="49">
        <v>2500000</v>
      </c>
      <c r="F493" s="970"/>
      <c r="G493" s="39"/>
      <c r="H493" s="41"/>
      <c r="I493" s="41"/>
      <c r="J493" s="40" t="s">
        <v>139</v>
      </c>
      <c r="K493" s="40" t="s">
        <v>139</v>
      </c>
      <c r="L493" s="40" t="s">
        <v>139</v>
      </c>
      <c r="M493" s="40" t="s">
        <v>139</v>
      </c>
      <c r="N493" s="41"/>
      <c r="O493" s="41"/>
      <c r="P493" s="41"/>
      <c r="Q493" s="41"/>
      <c r="R493" s="41"/>
      <c r="S493" s="41"/>
    </row>
    <row r="494" spans="2:19" ht="52.8">
      <c r="B494" s="44" t="s">
        <v>515</v>
      </c>
      <c r="C494" s="48" t="s">
        <v>509</v>
      </c>
      <c r="D494" s="44" t="s">
        <v>516</v>
      </c>
      <c r="E494" s="49">
        <v>5000000</v>
      </c>
      <c r="F494" s="970"/>
      <c r="G494" s="39"/>
      <c r="H494" s="41"/>
      <c r="I494" s="41"/>
      <c r="J494" s="41"/>
      <c r="K494" s="41"/>
      <c r="L494" s="41"/>
      <c r="M494" s="41"/>
      <c r="N494" s="40" t="s">
        <v>139</v>
      </c>
      <c r="O494" s="40" t="s">
        <v>139</v>
      </c>
      <c r="P494" s="40" t="s">
        <v>139</v>
      </c>
      <c r="Q494" s="40" t="s">
        <v>139</v>
      </c>
      <c r="R494" s="40" t="s">
        <v>139</v>
      </c>
      <c r="S494" s="40" t="s">
        <v>139</v>
      </c>
    </row>
    <row r="495" spans="2:19">
      <c r="B495" s="967" t="s">
        <v>517</v>
      </c>
      <c r="C495" s="968" t="s">
        <v>110</v>
      </c>
      <c r="D495" s="977" t="s">
        <v>518</v>
      </c>
      <c r="E495" s="969">
        <v>85006440</v>
      </c>
      <c r="F495" s="970" t="s">
        <v>8</v>
      </c>
      <c r="G495" s="39" t="s">
        <v>519</v>
      </c>
      <c r="H495" s="67" t="s">
        <v>149</v>
      </c>
      <c r="I495" s="67" t="s">
        <v>149</v>
      </c>
      <c r="J495" s="67" t="s">
        <v>149</v>
      </c>
      <c r="K495" s="40" t="s">
        <v>149</v>
      </c>
      <c r="L495" s="40" t="s">
        <v>149</v>
      </c>
      <c r="M495" s="40" t="s">
        <v>149</v>
      </c>
      <c r="N495" s="67" t="s">
        <v>149</v>
      </c>
      <c r="O495" s="67" t="s">
        <v>149</v>
      </c>
      <c r="P495" s="67" t="s">
        <v>149</v>
      </c>
      <c r="Q495" s="67" t="s">
        <v>149</v>
      </c>
      <c r="R495" s="67" t="s">
        <v>149</v>
      </c>
      <c r="S495" s="67" t="s">
        <v>149</v>
      </c>
    </row>
    <row r="496" spans="2:19">
      <c r="B496" s="967"/>
      <c r="C496" s="968"/>
      <c r="D496" s="977"/>
      <c r="E496" s="969"/>
      <c r="F496" s="970"/>
      <c r="G496" s="39" t="s">
        <v>520</v>
      </c>
      <c r="H496" s="67" t="s">
        <v>149</v>
      </c>
      <c r="I496" s="67" t="s">
        <v>149</v>
      </c>
      <c r="J496" s="67" t="s">
        <v>149</v>
      </c>
      <c r="K496" s="40" t="s">
        <v>149</v>
      </c>
      <c r="L496" s="40" t="s">
        <v>149</v>
      </c>
      <c r="M496" s="40" t="s">
        <v>149</v>
      </c>
      <c r="N496" s="67" t="s">
        <v>149</v>
      </c>
      <c r="O496" s="67" t="s">
        <v>149</v>
      </c>
      <c r="P496" s="67" t="s">
        <v>149</v>
      </c>
      <c r="Q496" s="67" t="s">
        <v>149</v>
      </c>
      <c r="R496" s="67" t="s">
        <v>149</v>
      </c>
      <c r="S496" s="67" t="s">
        <v>149</v>
      </c>
    </row>
    <row r="497" spans="2:19">
      <c r="B497" s="967"/>
      <c r="C497" s="968"/>
      <c r="D497" s="977"/>
      <c r="E497" s="969"/>
      <c r="F497" s="970"/>
      <c r="G497" s="39" t="s">
        <v>521</v>
      </c>
      <c r="H497" s="67" t="s">
        <v>149</v>
      </c>
      <c r="I497" s="67" t="s">
        <v>149</v>
      </c>
      <c r="J497" s="67" t="s">
        <v>149</v>
      </c>
      <c r="K497" s="40" t="s">
        <v>149</v>
      </c>
      <c r="L497" s="40" t="s">
        <v>149</v>
      </c>
      <c r="M497" s="40" t="s">
        <v>149</v>
      </c>
      <c r="N497" s="67" t="s">
        <v>149</v>
      </c>
      <c r="O497" s="67" t="s">
        <v>149</v>
      </c>
      <c r="P497" s="67" t="s">
        <v>149</v>
      </c>
      <c r="Q497" s="67" t="s">
        <v>149</v>
      </c>
      <c r="R497" s="67" t="s">
        <v>149</v>
      </c>
      <c r="S497" s="67" t="s">
        <v>149</v>
      </c>
    </row>
    <row r="498" spans="2:19">
      <c r="B498" s="967"/>
      <c r="C498" s="968"/>
      <c r="D498" s="977"/>
      <c r="E498" s="969"/>
      <c r="F498" s="970"/>
      <c r="G498" s="39" t="s">
        <v>27</v>
      </c>
      <c r="H498" s="67" t="s">
        <v>149</v>
      </c>
      <c r="I498" s="67" t="s">
        <v>149</v>
      </c>
      <c r="J498" s="67" t="s">
        <v>149</v>
      </c>
      <c r="K498" s="40" t="s">
        <v>149</v>
      </c>
      <c r="L498" s="40" t="s">
        <v>149</v>
      </c>
      <c r="M498" s="40" t="s">
        <v>149</v>
      </c>
      <c r="N498" s="67" t="s">
        <v>149</v>
      </c>
      <c r="O498" s="67" t="s">
        <v>149</v>
      </c>
      <c r="P498" s="67" t="s">
        <v>149</v>
      </c>
      <c r="Q498" s="67" t="s">
        <v>149</v>
      </c>
      <c r="R498" s="67" t="s">
        <v>149</v>
      </c>
      <c r="S498" s="67" t="s">
        <v>149</v>
      </c>
    </row>
    <row r="499" spans="2:19">
      <c r="B499" s="967"/>
      <c r="C499" s="968"/>
      <c r="D499" s="977"/>
      <c r="E499" s="969"/>
      <c r="F499" s="970"/>
      <c r="G499" s="39" t="s">
        <v>522</v>
      </c>
      <c r="H499" s="67" t="s">
        <v>149</v>
      </c>
      <c r="I499" s="67" t="s">
        <v>149</v>
      </c>
      <c r="J499" s="67" t="s">
        <v>149</v>
      </c>
      <c r="K499" s="40" t="s">
        <v>149</v>
      </c>
      <c r="L499" s="40" t="s">
        <v>149</v>
      </c>
      <c r="M499" s="40" t="s">
        <v>149</v>
      </c>
      <c r="N499" s="67" t="s">
        <v>149</v>
      </c>
      <c r="O499" s="67" t="s">
        <v>149</v>
      </c>
      <c r="P499" s="67" t="s">
        <v>149</v>
      </c>
      <c r="Q499" s="67" t="s">
        <v>149</v>
      </c>
      <c r="R499" s="67" t="s">
        <v>149</v>
      </c>
      <c r="S499" s="67" t="s">
        <v>149</v>
      </c>
    </row>
    <row r="500" spans="2:19" ht="26.4">
      <c r="B500" s="967"/>
      <c r="C500" s="968"/>
      <c r="D500" s="977"/>
      <c r="E500" s="969"/>
      <c r="F500" s="970"/>
      <c r="G500" s="39" t="s">
        <v>523</v>
      </c>
      <c r="H500" s="67" t="s">
        <v>149</v>
      </c>
      <c r="I500" s="67" t="s">
        <v>149</v>
      </c>
      <c r="J500" s="67" t="s">
        <v>149</v>
      </c>
      <c r="K500" s="40" t="s">
        <v>149</v>
      </c>
      <c r="L500" s="40" t="s">
        <v>149</v>
      </c>
      <c r="M500" s="40" t="s">
        <v>149</v>
      </c>
      <c r="N500" s="67" t="s">
        <v>149</v>
      </c>
      <c r="O500" s="67" t="s">
        <v>149</v>
      </c>
      <c r="P500" s="67" t="s">
        <v>149</v>
      </c>
      <c r="Q500" s="67" t="s">
        <v>149</v>
      </c>
      <c r="R500" s="67" t="s">
        <v>149</v>
      </c>
      <c r="S500" s="67" t="s">
        <v>149</v>
      </c>
    </row>
    <row r="501" spans="2:19" ht="26.4">
      <c r="B501" s="967"/>
      <c r="C501" s="968"/>
      <c r="D501" s="967" t="s">
        <v>524</v>
      </c>
      <c r="E501" s="969"/>
      <c r="F501" s="970"/>
      <c r="G501" s="39" t="s">
        <v>525</v>
      </c>
      <c r="H501" s="40" t="s">
        <v>149</v>
      </c>
      <c r="I501" s="40" t="s">
        <v>149</v>
      </c>
      <c r="J501" s="40" t="s">
        <v>149</v>
      </c>
      <c r="K501" s="42" t="s">
        <v>149</v>
      </c>
      <c r="L501" s="42" t="s">
        <v>149</v>
      </c>
      <c r="M501" s="42" t="s">
        <v>149</v>
      </c>
      <c r="N501" s="42" t="s">
        <v>149</v>
      </c>
      <c r="O501" s="42" t="s">
        <v>149</v>
      </c>
      <c r="P501" s="42" t="s">
        <v>149</v>
      </c>
      <c r="Q501" s="42" t="s">
        <v>149</v>
      </c>
      <c r="R501" s="42" t="s">
        <v>149</v>
      </c>
      <c r="S501" s="42" t="s">
        <v>149</v>
      </c>
    </row>
    <row r="502" spans="2:19">
      <c r="B502" s="967" t="s">
        <v>526</v>
      </c>
      <c r="C502" s="968"/>
      <c r="D502" s="967"/>
      <c r="E502" s="969"/>
      <c r="F502" s="970"/>
      <c r="G502" s="39"/>
      <c r="H502" s="40"/>
      <c r="I502" s="40"/>
      <c r="J502" s="40"/>
      <c r="K502" s="42"/>
      <c r="L502" s="42"/>
      <c r="M502" s="42"/>
      <c r="N502" s="42"/>
      <c r="O502" s="42"/>
      <c r="P502" s="42"/>
      <c r="Q502" s="42"/>
      <c r="R502" s="42"/>
      <c r="S502" s="42"/>
    </row>
    <row r="503" spans="2:19">
      <c r="B503" s="967"/>
      <c r="C503" s="968"/>
      <c r="D503" s="967"/>
      <c r="E503" s="969"/>
      <c r="F503" s="970"/>
      <c r="G503" s="39" t="s">
        <v>527</v>
      </c>
      <c r="H503" s="40" t="s">
        <v>149</v>
      </c>
      <c r="I503" s="40" t="s">
        <v>149</v>
      </c>
      <c r="J503" s="40" t="s">
        <v>149</v>
      </c>
      <c r="K503" s="42" t="s">
        <v>149</v>
      </c>
      <c r="L503" s="42" t="s">
        <v>149</v>
      </c>
      <c r="M503" s="42" t="s">
        <v>149</v>
      </c>
      <c r="N503" s="42" t="s">
        <v>149</v>
      </c>
      <c r="O503" s="42" t="s">
        <v>149</v>
      </c>
      <c r="P503" s="42" t="s">
        <v>149</v>
      </c>
      <c r="Q503" s="42" t="s">
        <v>149</v>
      </c>
      <c r="R503" s="42" t="s">
        <v>149</v>
      </c>
      <c r="S503" s="42" t="s">
        <v>149</v>
      </c>
    </row>
    <row r="504" spans="2:19">
      <c r="B504" s="967"/>
      <c r="C504" s="968"/>
      <c r="D504" s="967"/>
      <c r="E504" s="969"/>
      <c r="F504" s="970"/>
      <c r="G504" s="39" t="s">
        <v>528</v>
      </c>
      <c r="H504" s="40" t="s">
        <v>149</v>
      </c>
      <c r="I504" s="40" t="s">
        <v>149</v>
      </c>
      <c r="J504" s="40" t="s">
        <v>149</v>
      </c>
      <c r="K504" s="42" t="s">
        <v>149</v>
      </c>
      <c r="L504" s="42" t="s">
        <v>149</v>
      </c>
      <c r="M504" s="42" t="s">
        <v>149</v>
      </c>
      <c r="N504" s="42" t="s">
        <v>149</v>
      </c>
      <c r="O504" s="42" t="s">
        <v>149</v>
      </c>
      <c r="P504" s="42" t="s">
        <v>149</v>
      </c>
      <c r="Q504" s="42" t="s">
        <v>149</v>
      </c>
      <c r="R504" s="42" t="s">
        <v>149</v>
      </c>
      <c r="S504" s="42" t="s">
        <v>149</v>
      </c>
    </row>
    <row r="505" spans="2:19">
      <c r="B505" s="967"/>
      <c r="C505" s="968"/>
      <c r="D505" s="967"/>
      <c r="E505" s="969"/>
      <c r="F505" s="970"/>
      <c r="G505" s="39" t="s">
        <v>529</v>
      </c>
      <c r="H505" s="40" t="s">
        <v>149</v>
      </c>
      <c r="I505" s="40" t="s">
        <v>149</v>
      </c>
      <c r="J505" s="40" t="s">
        <v>149</v>
      </c>
      <c r="K505" s="42" t="s">
        <v>149</v>
      </c>
      <c r="L505" s="42" t="s">
        <v>149</v>
      </c>
      <c r="M505" s="42" t="s">
        <v>149</v>
      </c>
      <c r="N505" s="42" t="s">
        <v>149</v>
      </c>
      <c r="O505" s="42" t="s">
        <v>149</v>
      </c>
      <c r="P505" s="42" t="s">
        <v>149</v>
      </c>
      <c r="Q505" s="42" t="s">
        <v>149</v>
      </c>
      <c r="R505" s="42" t="s">
        <v>149</v>
      </c>
      <c r="S505" s="42" t="s">
        <v>149</v>
      </c>
    </row>
    <row r="506" spans="2:19">
      <c r="B506" s="967" t="s">
        <v>530</v>
      </c>
      <c r="C506" s="968"/>
      <c r="D506" s="967"/>
      <c r="E506" s="969"/>
      <c r="F506" s="970"/>
      <c r="G506" s="39" t="s">
        <v>531</v>
      </c>
      <c r="H506" s="40" t="s">
        <v>149</v>
      </c>
      <c r="I506" s="40" t="s">
        <v>149</v>
      </c>
      <c r="J506" s="40" t="s">
        <v>149</v>
      </c>
      <c r="K506" s="42" t="s">
        <v>149</v>
      </c>
      <c r="L506" s="42" t="s">
        <v>149</v>
      </c>
      <c r="M506" s="42" t="s">
        <v>149</v>
      </c>
      <c r="N506" s="42" t="s">
        <v>149</v>
      </c>
      <c r="O506" s="42" t="s">
        <v>149</v>
      </c>
      <c r="P506" s="42" t="s">
        <v>149</v>
      </c>
      <c r="Q506" s="42" t="s">
        <v>149</v>
      </c>
      <c r="R506" s="42" t="s">
        <v>149</v>
      </c>
      <c r="S506" s="42" t="s">
        <v>149</v>
      </c>
    </row>
    <row r="507" spans="2:19">
      <c r="B507" s="967"/>
      <c r="C507" s="968"/>
      <c r="D507" s="967"/>
      <c r="E507" s="969"/>
      <c r="F507" s="970"/>
      <c r="G507" s="39" t="s">
        <v>532</v>
      </c>
      <c r="H507" s="40" t="s">
        <v>149</v>
      </c>
      <c r="I507" s="40" t="s">
        <v>149</v>
      </c>
      <c r="J507" s="40" t="s">
        <v>149</v>
      </c>
      <c r="K507" s="42" t="s">
        <v>149</v>
      </c>
      <c r="L507" s="42" t="s">
        <v>149</v>
      </c>
      <c r="M507" s="42" t="s">
        <v>149</v>
      </c>
      <c r="N507" s="42" t="s">
        <v>149</v>
      </c>
      <c r="O507" s="42" t="s">
        <v>149</v>
      </c>
      <c r="P507" s="42" t="s">
        <v>149</v>
      </c>
      <c r="Q507" s="42" t="s">
        <v>149</v>
      </c>
      <c r="R507" s="42" t="s">
        <v>149</v>
      </c>
      <c r="S507" s="42" t="s">
        <v>149</v>
      </c>
    </row>
    <row r="508" spans="2:19">
      <c r="B508" s="967"/>
      <c r="C508" s="968"/>
      <c r="D508" s="967"/>
      <c r="E508" s="969"/>
      <c r="F508" s="970"/>
      <c r="G508" s="39" t="s">
        <v>533</v>
      </c>
      <c r="H508" s="40" t="s">
        <v>149</v>
      </c>
      <c r="I508" s="40" t="s">
        <v>149</v>
      </c>
      <c r="J508" s="40" t="s">
        <v>149</v>
      </c>
      <c r="K508" s="42" t="s">
        <v>149</v>
      </c>
      <c r="L508" s="42" t="s">
        <v>149</v>
      </c>
      <c r="M508" s="42" t="s">
        <v>149</v>
      </c>
      <c r="N508" s="42" t="s">
        <v>149</v>
      </c>
      <c r="O508" s="42" t="s">
        <v>149</v>
      </c>
      <c r="P508" s="42" t="s">
        <v>149</v>
      </c>
      <c r="Q508" s="42" t="s">
        <v>149</v>
      </c>
      <c r="R508" s="42" t="s">
        <v>149</v>
      </c>
      <c r="S508" s="42" t="s">
        <v>149</v>
      </c>
    </row>
    <row r="509" spans="2:19" ht="79.2">
      <c r="B509" s="967" t="s">
        <v>534</v>
      </c>
      <c r="C509" s="972" t="s">
        <v>110</v>
      </c>
      <c r="D509" s="44" t="s">
        <v>535</v>
      </c>
      <c r="E509" s="973">
        <v>7700000</v>
      </c>
      <c r="F509" s="970" t="s">
        <v>9</v>
      </c>
      <c r="G509" s="39" t="s">
        <v>536</v>
      </c>
      <c r="H509" s="40" t="s">
        <v>139</v>
      </c>
      <c r="I509" s="40" t="s">
        <v>139</v>
      </c>
      <c r="J509" s="40" t="s">
        <v>139</v>
      </c>
      <c r="K509" s="41"/>
      <c r="L509" s="41"/>
      <c r="M509" s="41"/>
      <c r="N509" s="41"/>
      <c r="O509" s="41"/>
      <c r="P509" s="41"/>
      <c r="Q509" s="41"/>
      <c r="R509" s="41"/>
      <c r="S509" s="41"/>
    </row>
    <row r="510" spans="2:19" ht="39.6">
      <c r="B510" s="967"/>
      <c r="C510" s="972"/>
      <c r="D510" s="967" t="s">
        <v>537</v>
      </c>
      <c r="E510" s="973"/>
      <c r="F510" s="970"/>
      <c r="G510" s="39" t="s">
        <v>538</v>
      </c>
      <c r="H510" s="40" t="s">
        <v>139</v>
      </c>
      <c r="I510" s="40" t="s">
        <v>139</v>
      </c>
      <c r="J510" s="40" t="s">
        <v>139</v>
      </c>
      <c r="K510" s="41"/>
      <c r="L510" s="41"/>
      <c r="M510" s="41"/>
      <c r="N510" s="41"/>
      <c r="O510" s="41"/>
      <c r="P510" s="41"/>
      <c r="Q510" s="41"/>
      <c r="R510" s="41"/>
      <c r="S510" s="41"/>
    </row>
    <row r="511" spans="2:19" ht="26.4">
      <c r="B511" s="967"/>
      <c r="C511" s="972"/>
      <c r="D511" s="967"/>
      <c r="E511" s="973"/>
      <c r="F511" s="970"/>
      <c r="G511" s="39" t="s">
        <v>539</v>
      </c>
      <c r="H511" s="41"/>
      <c r="I511" s="41"/>
      <c r="J511" s="41"/>
      <c r="K511" s="42" t="s">
        <v>139</v>
      </c>
      <c r="L511" s="41"/>
      <c r="M511" s="41"/>
      <c r="N511" s="41"/>
      <c r="O511" s="41"/>
      <c r="P511" s="41"/>
      <c r="Q511" s="41"/>
      <c r="R511" s="41"/>
      <c r="S511" s="41"/>
    </row>
    <row r="512" spans="2:19" ht="39.6">
      <c r="B512" s="967"/>
      <c r="C512" s="972"/>
      <c r="D512" s="967"/>
      <c r="E512" s="973"/>
      <c r="F512" s="970"/>
      <c r="G512" s="39" t="s">
        <v>540</v>
      </c>
      <c r="H512" s="41"/>
      <c r="I512" s="41"/>
      <c r="J512" s="41"/>
      <c r="K512" s="41"/>
      <c r="L512" s="42" t="s">
        <v>139</v>
      </c>
      <c r="M512" s="41"/>
      <c r="N512" s="41"/>
      <c r="O512" s="41"/>
      <c r="P512" s="41"/>
      <c r="Q512" s="41"/>
      <c r="R512" s="41"/>
      <c r="S512" s="41"/>
    </row>
    <row r="513" spans="2:19" ht="39.6">
      <c r="B513" s="967"/>
      <c r="C513" s="972"/>
      <c r="D513" s="967"/>
      <c r="E513" s="973"/>
      <c r="F513" s="970"/>
      <c r="G513" s="39" t="s">
        <v>541</v>
      </c>
      <c r="H513" s="41"/>
      <c r="I513" s="41"/>
      <c r="J513" s="41"/>
      <c r="K513" s="41"/>
      <c r="L513" s="42" t="s">
        <v>139</v>
      </c>
      <c r="M513" s="41"/>
      <c r="N513" s="41"/>
      <c r="O513" s="41"/>
      <c r="P513" s="41"/>
      <c r="Q513" s="41"/>
      <c r="R513" s="41"/>
      <c r="S513" s="41"/>
    </row>
    <row r="514" spans="2:19" ht="39.6" customHeight="1">
      <c r="B514" s="974" t="s">
        <v>542</v>
      </c>
      <c r="C514" s="972"/>
      <c r="D514" s="967" t="s">
        <v>543</v>
      </c>
      <c r="E514" s="973"/>
      <c r="F514" s="970"/>
      <c r="G514" s="39" t="s">
        <v>544</v>
      </c>
      <c r="H514" s="41"/>
      <c r="I514" s="41"/>
      <c r="J514" s="41"/>
      <c r="K514" s="41"/>
      <c r="L514" s="41"/>
      <c r="M514" s="42" t="s">
        <v>139</v>
      </c>
      <c r="N514" s="42" t="s">
        <v>139</v>
      </c>
      <c r="O514" s="42" t="s">
        <v>139</v>
      </c>
      <c r="P514" s="41"/>
      <c r="Q514" s="41"/>
      <c r="R514" s="41"/>
      <c r="S514" s="41"/>
    </row>
    <row r="515" spans="2:19" ht="26.4">
      <c r="B515" s="975"/>
      <c r="C515" s="972"/>
      <c r="D515" s="967"/>
      <c r="E515" s="973"/>
      <c r="F515" s="970"/>
      <c r="G515" s="39" t="s">
        <v>545</v>
      </c>
      <c r="H515" s="41"/>
      <c r="I515" s="41"/>
      <c r="J515" s="41"/>
      <c r="K515" s="41"/>
      <c r="L515" s="41"/>
      <c r="M515" s="42" t="s">
        <v>139</v>
      </c>
      <c r="N515" s="42" t="s">
        <v>139</v>
      </c>
      <c r="O515" s="42" t="s">
        <v>139</v>
      </c>
      <c r="P515" s="41"/>
      <c r="Q515" s="41"/>
      <c r="R515" s="41"/>
      <c r="S515" s="41"/>
    </row>
    <row r="516" spans="2:19" ht="21.6" customHeight="1">
      <c r="B516" s="975"/>
      <c r="C516" s="972"/>
      <c r="D516" s="967"/>
      <c r="E516" s="973"/>
      <c r="F516" s="970"/>
      <c r="G516" s="39" t="s">
        <v>546</v>
      </c>
      <c r="H516" s="41"/>
      <c r="I516" s="41"/>
      <c r="J516" s="41"/>
      <c r="K516" s="41"/>
      <c r="L516" s="41"/>
      <c r="M516" s="41"/>
      <c r="N516" s="42" t="s">
        <v>139</v>
      </c>
      <c r="O516" s="42" t="s">
        <v>139</v>
      </c>
      <c r="P516" s="41"/>
      <c r="Q516" s="41"/>
      <c r="R516" s="41"/>
      <c r="S516" s="41"/>
    </row>
    <row r="517" spans="2:19" ht="39.6">
      <c r="B517" s="975"/>
      <c r="C517" s="972"/>
      <c r="D517" s="967"/>
      <c r="E517" s="973"/>
      <c r="F517" s="970"/>
      <c r="G517" s="39" t="s">
        <v>547</v>
      </c>
      <c r="H517" s="41"/>
      <c r="I517" s="41"/>
      <c r="J517" s="41"/>
      <c r="K517" s="41"/>
      <c r="L517" s="41"/>
      <c r="M517" s="41"/>
      <c r="N517" s="42" t="s">
        <v>139</v>
      </c>
      <c r="O517" s="42" t="s">
        <v>139</v>
      </c>
      <c r="P517" s="42" t="s">
        <v>139</v>
      </c>
      <c r="Q517" s="42" t="s">
        <v>139</v>
      </c>
      <c r="R517" s="41"/>
      <c r="S517" s="41"/>
    </row>
    <row r="518" spans="2:19">
      <c r="B518" s="975"/>
      <c r="C518" s="972"/>
      <c r="D518" s="967"/>
      <c r="E518" s="973"/>
      <c r="F518" s="970"/>
      <c r="G518" s="39" t="s">
        <v>548</v>
      </c>
      <c r="H518" s="41"/>
      <c r="I518" s="41"/>
      <c r="J518" s="41"/>
      <c r="K518" s="41"/>
      <c r="L518" s="42" t="s">
        <v>139</v>
      </c>
      <c r="M518" s="42" t="s">
        <v>139</v>
      </c>
      <c r="N518" s="42" t="s">
        <v>139</v>
      </c>
      <c r="O518" s="42" t="s">
        <v>139</v>
      </c>
      <c r="P518" s="41"/>
      <c r="Q518" s="41"/>
      <c r="R518" s="41"/>
      <c r="S518" s="41"/>
    </row>
    <row r="519" spans="2:19" ht="26.4">
      <c r="B519" s="975"/>
      <c r="C519" s="972"/>
      <c r="D519" s="967" t="s">
        <v>549</v>
      </c>
      <c r="E519" s="973">
        <v>104700000</v>
      </c>
      <c r="F519" s="970"/>
      <c r="G519" s="39" t="s">
        <v>550</v>
      </c>
      <c r="H519" s="41"/>
      <c r="I519" s="41"/>
      <c r="J519" s="41"/>
      <c r="K519" s="41"/>
      <c r="L519" s="41"/>
      <c r="M519" s="41"/>
      <c r="N519" s="42" t="s">
        <v>139</v>
      </c>
      <c r="O519" s="42" t="s">
        <v>139</v>
      </c>
      <c r="P519" s="42" t="s">
        <v>139</v>
      </c>
      <c r="Q519" s="42" t="s">
        <v>139</v>
      </c>
      <c r="R519" s="41"/>
      <c r="S519" s="41"/>
    </row>
    <row r="520" spans="2:19" ht="39.6">
      <c r="B520" s="975"/>
      <c r="C520" s="972"/>
      <c r="D520" s="967"/>
      <c r="E520" s="973"/>
      <c r="F520" s="970"/>
      <c r="G520" s="39" t="s">
        <v>551</v>
      </c>
      <c r="H520" s="41"/>
      <c r="I520" s="41"/>
      <c r="J520" s="41"/>
      <c r="K520" s="41"/>
      <c r="L520" s="41"/>
      <c r="M520" s="41"/>
      <c r="N520" s="41"/>
      <c r="O520" s="41"/>
      <c r="P520" s="41"/>
      <c r="Q520" s="42" t="s">
        <v>139</v>
      </c>
      <c r="R520" s="42" t="s">
        <v>139</v>
      </c>
      <c r="S520" s="42" t="s">
        <v>139</v>
      </c>
    </row>
    <row r="521" spans="2:19" ht="39.6">
      <c r="B521" s="975"/>
      <c r="C521" s="972"/>
      <c r="D521" s="967"/>
      <c r="E521" s="973"/>
      <c r="F521" s="970"/>
      <c r="G521" s="39" t="s">
        <v>552</v>
      </c>
      <c r="H521" s="41"/>
      <c r="I521" s="41"/>
      <c r="J521" s="41"/>
      <c r="K521" s="41"/>
      <c r="L521" s="41"/>
      <c r="M521" s="41"/>
      <c r="N521" s="41"/>
      <c r="O521" s="41"/>
      <c r="P521" s="41"/>
      <c r="Q521" s="42" t="s">
        <v>139</v>
      </c>
      <c r="R521" s="42" t="s">
        <v>139</v>
      </c>
      <c r="S521" s="42" t="s">
        <v>139</v>
      </c>
    </row>
    <row r="522" spans="2:19" ht="26.4">
      <c r="B522" s="975"/>
      <c r="C522" s="972"/>
      <c r="D522" s="967"/>
      <c r="E522" s="973"/>
      <c r="F522" s="970"/>
      <c r="G522" s="39" t="s">
        <v>553</v>
      </c>
      <c r="H522" s="41"/>
      <c r="I522" s="41"/>
      <c r="J522" s="41"/>
      <c r="K522" s="41"/>
      <c r="L522" s="41"/>
      <c r="M522" s="41"/>
      <c r="N522" s="41"/>
      <c r="O522" s="41"/>
      <c r="P522" s="41"/>
      <c r="Q522" s="42" t="s">
        <v>139</v>
      </c>
      <c r="R522" s="42" t="s">
        <v>139</v>
      </c>
      <c r="S522" s="42" t="s">
        <v>139</v>
      </c>
    </row>
    <row r="523" spans="2:19" ht="39.6">
      <c r="B523" s="975"/>
      <c r="C523" s="972"/>
      <c r="D523" s="967"/>
      <c r="E523" s="973"/>
      <c r="F523" s="970"/>
      <c r="G523" s="39" t="s">
        <v>554</v>
      </c>
      <c r="H523" s="41"/>
      <c r="I523" s="41"/>
      <c r="J523" s="41"/>
      <c r="K523" s="41"/>
      <c r="L523" s="41"/>
      <c r="M523" s="41"/>
      <c r="N523" s="41"/>
      <c r="O523" s="41"/>
      <c r="P523" s="41"/>
      <c r="Q523" s="42" t="s">
        <v>139</v>
      </c>
      <c r="R523" s="42" t="s">
        <v>139</v>
      </c>
      <c r="S523" s="42" t="s">
        <v>139</v>
      </c>
    </row>
    <row r="524" spans="2:19" ht="28.2" customHeight="1">
      <c r="B524" s="975"/>
      <c r="C524" s="972"/>
      <c r="D524" s="967" t="s">
        <v>555</v>
      </c>
      <c r="E524" s="973">
        <v>10425000</v>
      </c>
      <c r="F524" s="970"/>
      <c r="G524" s="39" t="s">
        <v>556</v>
      </c>
      <c r="H524" s="41"/>
      <c r="I524" s="41"/>
      <c r="J524" s="41"/>
      <c r="K524" s="41"/>
      <c r="L524" s="41"/>
      <c r="M524" s="41"/>
      <c r="N524" s="41"/>
      <c r="O524" s="42" t="s">
        <v>139</v>
      </c>
      <c r="P524" s="42" t="s">
        <v>139</v>
      </c>
      <c r="Q524" s="42" t="s">
        <v>139</v>
      </c>
      <c r="R524" s="42" t="s">
        <v>139</v>
      </c>
      <c r="S524" s="42" t="s">
        <v>139</v>
      </c>
    </row>
    <row r="525" spans="2:19">
      <c r="B525" s="975"/>
      <c r="C525" s="972"/>
      <c r="D525" s="967"/>
      <c r="E525" s="973"/>
      <c r="F525" s="970"/>
      <c r="G525" s="39" t="s">
        <v>557</v>
      </c>
      <c r="H525" s="41"/>
      <c r="I525" s="41"/>
      <c r="J525" s="41"/>
      <c r="K525" s="41"/>
      <c r="L525" s="41"/>
      <c r="M525" s="41"/>
      <c r="N525" s="41"/>
      <c r="O525" s="42" t="s">
        <v>139</v>
      </c>
      <c r="P525" s="42" t="s">
        <v>139</v>
      </c>
      <c r="Q525" s="42" t="s">
        <v>139</v>
      </c>
      <c r="R525" s="42" t="s">
        <v>139</v>
      </c>
      <c r="S525" s="42" t="s">
        <v>139</v>
      </c>
    </row>
    <row r="526" spans="2:19">
      <c r="B526" s="975"/>
      <c r="C526" s="972"/>
      <c r="D526" s="967"/>
      <c r="E526" s="973"/>
      <c r="F526" s="970"/>
      <c r="G526" s="39" t="s">
        <v>558</v>
      </c>
      <c r="H526" s="41"/>
      <c r="I526" s="41"/>
      <c r="J526" s="41"/>
      <c r="K526" s="41"/>
      <c r="L526" s="41"/>
      <c r="M526" s="41"/>
      <c r="N526" s="41"/>
      <c r="O526" s="42" t="s">
        <v>139</v>
      </c>
      <c r="P526" s="42" t="s">
        <v>139</v>
      </c>
      <c r="Q526" s="42" t="s">
        <v>139</v>
      </c>
      <c r="R526" s="42" t="s">
        <v>139</v>
      </c>
      <c r="S526" s="42" t="s">
        <v>139</v>
      </c>
    </row>
    <row r="527" spans="2:19">
      <c r="B527" s="975"/>
      <c r="C527" s="972"/>
      <c r="D527" s="967"/>
      <c r="E527" s="973"/>
      <c r="F527" s="970"/>
      <c r="G527" s="39" t="s">
        <v>559</v>
      </c>
      <c r="H527" s="41"/>
      <c r="I527" s="41"/>
      <c r="J527" s="41"/>
      <c r="K527" s="41"/>
      <c r="L527" s="41"/>
      <c r="M527" s="41"/>
      <c r="N527" s="41"/>
      <c r="O527" s="42" t="s">
        <v>139</v>
      </c>
      <c r="P527" s="42" t="s">
        <v>139</v>
      </c>
      <c r="Q527" s="42" t="s">
        <v>139</v>
      </c>
      <c r="R527" s="42" t="s">
        <v>139</v>
      </c>
      <c r="S527" s="42" t="s">
        <v>139</v>
      </c>
    </row>
    <row r="528" spans="2:19" ht="26.4">
      <c r="B528" s="975"/>
      <c r="C528" s="972"/>
      <c r="D528" s="967"/>
      <c r="E528" s="973"/>
      <c r="F528" s="970"/>
      <c r="G528" s="39" t="s">
        <v>560</v>
      </c>
      <c r="H528" s="41"/>
      <c r="I528" s="41"/>
      <c r="J528" s="41"/>
      <c r="K528" s="41"/>
      <c r="L528" s="41"/>
      <c r="M528" s="41"/>
      <c r="N528" s="41"/>
      <c r="O528" s="42" t="s">
        <v>139</v>
      </c>
      <c r="P528" s="42" t="s">
        <v>139</v>
      </c>
      <c r="Q528" s="42" t="s">
        <v>139</v>
      </c>
      <c r="R528" s="42" t="s">
        <v>139</v>
      </c>
      <c r="S528" s="42" t="s">
        <v>139</v>
      </c>
    </row>
    <row r="529" spans="2:19">
      <c r="B529" s="976"/>
      <c r="C529" s="972"/>
      <c r="D529" s="967"/>
      <c r="E529" s="973"/>
      <c r="F529" s="970"/>
      <c r="G529" s="39" t="s">
        <v>210</v>
      </c>
      <c r="H529" s="42" t="s">
        <v>139</v>
      </c>
      <c r="I529" s="42" t="s">
        <v>139</v>
      </c>
      <c r="J529" s="42" t="s">
        <v>139</v>
      </c>
      <c r="K529" s="42" t="s">
        <v>139</v>
      </c>
      <c r="L529" s="42" t="s">
        <v>139</v>
      </c>
      <c r="M529" s="42" t="s">
        <v>139</v>
      </c>
      <c r="N529" s="42" t="s">
        <v>139</v>
      </c>
      <c r="O529" s="42" t="s">
        <v>139</v>
      </c>
      <c r="P529" s="42" t="s">
        <v>139</v>
      </c>
      <c r="Q529" s="42" t="s">
        <v>139</v>
      </c>
      <c r="R529" s="42" t="s">
        <v>139</v>
      </c>
      <c r="S529" s="42" t="s">
        <v>139</v>
      </c>
    </row>
    <row r="530" spans="2:19">
      <c r="B530" s="964" t="s">
        <v>561</v>
      </c>
      <c r="C530" s="964"/>
      <c r="D530" s="964"/>
      <c r="E530" s="32">
        <v>225331440</v>
      </c>
      <c r="F530" s="52"/>
      <c r="G530" s="53"/>
      <c r="H530" s="53"/>
      <c r="I530" s="53"/>
      <c r="J530" s="53"/>
      <c r="K530" s="53"/>
      <c r="L530" s="53"/>
      <c r="M530" s="53"/>
      <c r="N530" s="53"/>
      <c r="O530" s="53"/>
      <c r="P530" s="53"/>
      <c r="Q530" s="53"/>
      <c r="R530" s="53"/>
      <c r="S530" s="53"/>
    </row>
    <row r="531" spans="2:19">
      <c r="B531" s="966" t="s">
        <v>562</v>
      </c>
      <c r="C531" s="966"/>
      <c r="D531" s="966"/>
      <c r="E531" s="54"/>
      <c r="F531" s="55"/>
      <c r="G531" s="56"/>
      <c r="H531" s="56"/>
      <c r="I531" s="56"/>
      <c r="J531" s="56"/>
      <c r="K531" s="56"/>
      <c r="L531" s="56"/>
      <c r="M531" s="56"/>
      <c r="N531" s="56"/>
      <c r="O531" s="56"/>
      <c r="P531" s="56"/>
      <c r="Q531" s="56"/>
      <c r="R531" s="56"/>
      <c r="S531" s="56"/>
    </row>
    <row r="532" spans="2:19" ht="26.4">
      <c r="B532" s="967" t="s">
        <v>563</v>
      </c>
      <c r="C532" s="968"/>
      <c r="D532" s="44" t="s">
        <v>564</v>
      </c>
      <c r="E532" s="49">
        <v>7500000</v>
      </c>
      <c r="F532" s="61" t="s">
        <v>6</v>
      </c>
      <c r="G532" s="39" t="s">
        <v>565</v>
      </c>
      <c r="H532" s="41"/>
      <c r="I532" s="41"/>
      <c r="J532" s="40" t="s">
        <v>139</v>
      </c>
      <c r="K532" s="40" t="s">
        <v>139</v>
      </c>
      <c r="L532" s="40" t="s">
        <v>139</v>
      </c>
      <c r="M532" s="40" t="s">
        <v>139</v>
      </c>
      <c r="N532" s="40" t="s">
        <v>139</v>
      </c>
      <c r="O532" s="40" t="s">
        <v>139</v>
      </c>
      <c r="P532" s="40" t="s">
        <v>139</v>
      </c>
      <c r="Q532" s="40" t="s">
        <v>139</v>
      </c>
      <c r="R532" s="40" t="s">
        <v>139</v>
      </c>
      <c r="S532" s="40" t="s">
        <v>139</v>
      </c>
    </row>
    <row r="533" spans="2:19" ht="39.6">
      <c r="B533" s="967"/>
      <c r="C533" s="968"/>
      <c r="D533" s="44" t="s">
        <v>566</v>
      </c>
      <c r="E533" s="49">
        <v>7500000</v>
      </c>
      <c r="F533" s="61" t="s">
        <v>6</v>
      </c>
      <c r="G533" s="39" t="s">
        <v>567</v>
      </c>
      <c r="H533" s="40" t="s">
        <v>139</v>
      </c>
      <c r="I533" s="40" t="s">
        <v>139</v>
      </c>
      <c r="J533" s="40" t="s">
        <v>139</v>
      </c>
      <c r="K533" s="40" t="s">
        <v>139</v>
      </c>
      <c r="L533" s="40" t="s">
        <v>139</v>
      </c>
      <c r="M533" s="40" t="s">
        <v>139</v>
      </c>
      <c r="N533" s="40" t="s">
        <v>139</v>
      </c>
      <c r="O533" s="40" t="s">
        <v>139</v>
      </c>
      <c r="P533" s="40" t="s">
        <v>139</v>
      </c>
      <c r="Q533" s="40" t="s">
        <v>139</v>
      </c>
      <c r="R533" s="40" t="s">
        <v>139</v>
      </c>
      <c r="S533" s="40" t="s">
        <v>139</v>
      </c>
    </row>
    <row r="534" spans="2:19" ht="39.6">
      <c r="B534" s="967" t="s">
        <v>568</v>
      </c>
      <c r="C534" s="968"/>
      <c r="D534" s="44" t="s">
        <v>569</v>
      </c>
      <c r="E534" s="45">
        <v>93009735</v>
      </c>
      <c r="F534" s="971" t="s">
        <v>8</v>
      </c>
      <c r="G534" s="39" t="s">
        <v>570</v>
      </c>
      <c r="H534" s="67" t="s">
        <v>149</v>
      </c>
      <c r="I534" s="41"/>
      <c r="J534" s="41"/>
      <c r="K534" s="41"/>
      <c r="L534" s="41"/>
      <c r="M534" s="41"/>
      <c r="N534" s="41"/>
      <c r="O534" s="41"/>
      <c r="P534" s="41"/>
      <c r="Q534" s="41"/>
      <c r="R534" s="41"/>
      <c r="S534" s="41"/>
    </row>
    <row r="535" spans="2:19" ht="26.4">
      <c r="B535" s="967"/>
      <c r="C535" s="968"/>
      <c r="D535" s="14"/>
      <c r="E535" s="68"/>
      <c r="F535" s="971"/>
      <c r="G535" s="39" t="s">
        <v>571</v>
      </c>
      <c r="H535" s="41"/>
      <c r="I535" s="67" t="s">
        <v>149</v>
      </c>
      <c r="J535" s="67" t="s">
        <v>149</v>
      </c>
      <c r="K535" s="40" t="s">
        <v>149</v>
      </c>
      <c r="L535" s="40" t="s">
        <v>149</v>
      </c>
      <c r="M535" s="40" t="s">
        <v>149</v>
      </c>
      <c r="N535" s="40" t="s">
        <v>149</v>
      </c>
      <c r="O535" s="40" t="s">
        <v>149</v>
      </c>
      <c r="P535" s="40" t="s">
        <v>149</v>
      </c>
      <c r="Q535" s="40" t="s">
        <v>149</v>
      </c>
      <c r="R535" s="40" t="s">
        <v>149</v>
      </c>
      <c r="S535" s="40" t="s">
        <v>149</v>
      </c>
    </row>
    <row r="536" spans="2:19" ht="39.6">
      <c r="B536" s="967"/>
      <c r="C536" s="968"/>
      <c r="D536" s="44" t="s">
        <v>572</v>
      </c>
      <c r="E536" s="45">
        <v>68071680</v>
      </c>
      <c r="F536" s="971"/>
      <c r="G536" s="39" t="s">
        <v>573</v>
      </c>
      <c r="H536" s="67" t="s">
        <v>149</v>
      </c>
      <c r="I536" s="67" t="s">
        <v>149</v>
      </c>
      <c r="J536" s="67" t="s">
        <v>149</v>
      </c>
      <c r="K536" s="40" t="s">
        <v>149</v>
      </c>
      <c r="L536" s="40" t="s">
        <v>149</v>
      </c>
      <c r="M536" s="40" t="s">
        <v>149</v>
      </c>
      <c r="N536" s="40" t="s">
        <v>149</v>
      </c>
      <c r="O536" s="40" t="s">
        <v>149</v>
      </c>
      <c r="P536" s="40" t="s">
        <v>149</v>
      </c>
      <c r="Q536" s="40" t="s">
        <v>149</v>
      </c>
      <c r="R536" s="40" t="s">
        <v>149</v>
      </c>
      <c r="S536" s="40" t="s">
        <v>149</v>
      </c>
    </row>
    <row r="537" spans="2:19">
      <c r="B537" s="964" t="s">
        <v>574</v>
      </c>
      <c r="C537" s="964"/>
      <c r="D537" s="964"/>
      <c r="E537" s="47">
        <v>176081416</v>
      </c>
      <c r="F537" s="52"/>
      <c r="G537" s="33"/>
      <c r="H537" s="33"/>
      <c r="I537" s="33"/>
      <c r="J537" s="33"/>
      <c r="K537" s="33"/>
      <c r="L537" s="33"/>
      <c r="M537" s="33"/>
      <c r="N537" s="33"/>
      <c r="O537" s="33"/>
      <c r="P537" s="33"/>
      <c r="Q537" s="33"/>
      <c r="R537" s="33"/>
      <c r="S537" s="33"/>
    </row>
    <row r="538" spans="2:19">
      <c r="B538" s="966" t="s">
        <v>575</v>
      </c>
      <c r="C538" s="966"/>
      <c r="D538" s="966"/>
      <c r="E538" s="54"/>
      <c r="F538" s="55"/>
      <c r="G538" s="38"/>
      <c r="H538" s="38"/>
      <c r="I538" s="38"/>
      <c r="J538" s="38"/>
      <c r="K538" s="38"/>
      <c r="L538" s="38"/>
      <c r="M538" s="38"/>
      <c r="N538" s="38"/>
      <c r="O538" s="38"/>
      <c r="P538" s="38"/>
      <c r="Q538" s="38"/>
      <c r="R538" s="38"/>
      <c r="S538" s="38"/>
    </row>
    <row r="539" spans="2:19" ht="26.4">
      <c r="B539" s="967" t="s">
        <v>576</v>
      </c>
      <c r="C539" s="972"/>
      <c r="D539" s="44" t="s">
        <v>577</v>
      </c>
      <c r="E539" s="49">
        <v>12500000</v>
      </c>
      <c r="F539" s="61" t="s">
        <v>6</v>
      </c>
      <c r="G539" s="39" t="s">
        <v>565</v>
      </c>
      <c r="H539" s="41"/>
      <c r="I539" s="41"/>
      <c r="J539" s="40" t="s">
        <v>139</v>
      </c>
      <c r="K539" s="40" t="s">
        <v>139</v>
      </c>
      <c r="L539" s="40" t="s">
        <v>139</v>
      </c>
      <c r="M539" s="40" t="s">
        <v>139</v>
      </c>
      <c r="N539" s="40" t="s">
        <v>139</v>
      </c>
      <c r="O539" s="40" t="s">
        <v>139</v>
      </c>
      <c r="P539" s="40" t="s">
        <v>139</v>
      </c>
      <c r="Q539" s="40" t="s">
        <v>139</v>
      </c>
      <c r="R539" s="40" t="s">
        <v>139</v>
      </c>
      <c r="S539" s="40" t="s">
        <v>139</v>
      </c>
    </row>
    <row r="540" spans="2:19" ht="39.6">
      <c r="B540" s="967"/>
      <c r="C540" s="972"/>
      <c r="D540" s="44" t="s">
        <v>578</v>
      </c>
      <c r="E540" s="49">
        <v>12500000</v>
      </c>
      <c r="F540" s="61" t="s">
        <v>6</v>
      </c>
      <c r="G540" s="39" t="s">
        <v>567</v>
      </c>
      <c r="H540" s="40" t="s">
        <v>139</v>
      </c>
      <c r="I540" s="40" t="s">
        <v>139</v>
      </c>
      <c r="J540" s="40" t="s">
        <v>139</v>
      </c>
      <c r="K540" s="40" t="s">
        <v>139</v>
      </c>
      <c r="L540" s="40" t="s">
        <v>139</v>
      </c>
      <c r="M540" s="40" t="s">
        <v>139</v>
      </c>
      <c r="N540" s="40" t="s">
        <v>139</v>
      </c>
      <c r="O540" s="40" t="s">
        <v>139</v>
      </c>
      <c r="P540" s="40" t="s">
        <v>139</v>
      </c>
      <c r="Q540" s="40" t="s">
        <v>139</v>
      </c>
      <c r="R540" s="40" t="s">
        <v>139</v>
      </c>
      <c r="S540" s="40" t="s">
        <v>139</v>
      </c>
    </row>
    <row r="541" spans="2:19" ht="52.8">
      <c r="B541" s="967"/>
      <c r="C541" s="972"/>
      <c r="D541" s="44" t="s">
        <v>579</v>
      </c>
      <c r="E541" s="49">
        <v>24802596</v>
      </c>
      <c r="F541" s="970" t="s">
        <v>8</v>
      </c>
      <c r="G541" s="39" t="s">
        <v>580</v>
      </c>
      <c r="H541" s="41"/>
      <c r="I541" s="40" t="s">
        <v>149</v>
      </c>
      <c r="J541" s="40" t="s">
        <v>149</v>
      </c>
      <c r="K541" s="40" t="s">
        <v>149</v>
      </c>
      <c r="L541" s="40" t="s">
        <v>149</v>
      </c>
      <c r="M541" s="40" t="s">
        <v>149</v>
      </c>
      <c r="N541" s="40" t="s">
        <v>149</v>
      </c>
      <c r="O541" s="40" t="s">
        <v>149</v>
      </c>
      <c r="P541" s="40" t="s">
        <v>149</v>
      </c>
      <c r="Q541" s="40" t="s">
        <v>149</v>
      </c>
      <c r="R541" s="40" t="s">
        <v>149</v>
      </c>
      <c r="S541" s="40" t="s">
        <v>149</v>
      </c>
    </row>
    <row r="542" spans="2:19">
      <c r="B542" s="967"/>
      <c r="C542" s="972"/>
      <c r="D542" s="14"/>
      <c r="E542" s="57"/>
      <c r="F542" s="970"/>
      <c r="G542" s="39" t="s">
        <v>581</v>
      </c>
      <c r="H542" s="40" t="s">
        <v>149</v>
      </c>
      <c r="I542" s="40" t="s">
        <v>149</v>
      </c>
      <c r="J542" s="40" t="s">
        <v>149</v>
      </c>
      <c r="K542" s="40" t="s">
        <v>149</v>
      </c>
      <c r="L542" s="40" t="s">
        <v>149</v>
      </c>
      <c r="M542" s="40" t="s">
        <v>149</v>
      </c>
      <c r="N542" s="40" t="s">
        <v>149</v>
      </c>
      <c r="O542" s="40" t="s">
        <v>149</v>
      </c>
      <c r="P542" s="40" t="s">
        <v>149</v>
      </c>
      <c r="Q542" s="40" t="s">
        <v>149</v>
      </c>
      <c r="R542" s="40" t="s">
        <v>149</v>
      </c>
      <c r="S542" s="40" t="s">
        <v>149</v>
      </c>
    </row>
    <row r="543" spans="2:19" ht="39.6">
      <c r="B543" s="967"/>
      <c r="C543" s="972"/>
      <c r="D543" s="44" t="s">
        <v>582</v>
      </c>
      <c r="E543" s="49">
        <v>22690560</v>
      </c>
      <c r="F543" s="970"/>
      <c r="G543" s="39" t="s">
        <v>583</v>
      </c>
      <c r="H543" s="40" t="s">
        <v>149</v>
      </c>
      <c r="I543" s="40" t="s">
        <v>149</v>
      </c>
      <c r="J543" s="40" t="s">
        <v>149</v>
      </c>
      <c r="K543" s="40" t="s">
        <v>149</v>
      </c>
      <c r="L543" s="40" t="s">
        <v>149</v>
      </c>
      <c r="M543" s="40" t="s">
        <v>149</v>
      </c>
      <c r="N543" s="40" t="s">
        <v>149</v>
      </c>
      <c r="O543" s="40" t="s">
        <v>149</v>
      </c>
      <c r="P543" s="40" t="s">
        <v>149</v>
      </c>
      <c r="Q543" s="40" t="s">
        <v>149</v>
      </c>
      <c r="R543" s="40" t="s">
        <v>149</v>
      </c>
      <c r="S543" s="40" t="s">
        <v>149</v>
      </c>
    </row>
    <row r="544" spans="2:19">
      <c r="B544" s="964" t="s">
        <v>584</v>
      </c>
      <c r="C544" s="964"/>
      <c r="D544" s="964"/>
      <c r="E544" s="47">
        <v>72493156</v>
      </c>
      <c r="F544" s="52"/>
      <c r="G544" s="53"/>
      <c r="H544" s="53"/>
      <c r="I544" s="53"/>
      <c r="J544" s="53"/>
      <c r="K544" s="53"/>
      <c r="L544" s="53"/>
      <c r="M544" s="53"/>
      <c r="N544" s="53"/>
      <c r="O544" s="53"/>
      <c r="P544" s="53"/>
      <c r="Q544" s="53"/>
      <c r="R544" s="53"/>
      <c r="S544" s="53"/>
    </row>
    <row r="545" spans="2:19">
      <c r="B545" s="966" t="s">
        <v>585</v>
      </c>
      <c r="C545" s="966"/>
      <c r="D545" s="966"/>
      <c r="E545" s="54"/>
      <c r="F545" s="55"/>
      <c r="G545" s="56"/>
      <c r="H545" s="56"/>
      <c r="I545" s="56"/>
      <c r="J545" s="56"/>
      <c r="K545" s="56"/>
      <c r="L545" s="56"/>
      <c r="M545" s="56"/>
      <c r="N545" s="56"/>
      <c r="O545" s="56"/>
      <c r="P545" s="56"/>
      <c r="Q545" s="56"/>
      <c r="R545" s="56"/>
      <c r="S545" s="56"/>
    </row>
    <row r="546" spans="2:19" ht="26.4">
      <c r="B546" s="967" t="s">
        <v>586</v>
      </c>
      <c r="C546" s="968" t="s">
        <v>110</v>
      </c>
      <c r="D546" s="44" t="s">
        <v>587</v>
      </c>
      <c r="E546" s="45">
        <v>37500000</v>
      </c>
      <c r="F546" s="971" t="s">
        <v>6</v>
      </c>
      <c r="G546" s="39" t="s">
        <v>588</v>
      </c>
      <c r="H546" s="40" t="s">
        <v>149</v>
      </c>
      <c r="I546" s="40" t="s">
        <v>149</v>
      </c>
      <c r="J546" s="40" t="s">
        <v>149</v>
      </c>
      <c r="K546" s="40" t="s">
        <v>149</v>
      </c>
      <c r="L546" s="40" t="s">
        <v>149</v>
      </c>
      <c r="M546" s="40" t="s">
        <v>149</v>
      </c>
      <c r="N546" s="40" t="s">
        <v>149</v>
      </c>
      <c r="O546" s="40" t="s">
        <v>149</v>
      </c>
      <c r="P546" s="40" t="s">
        <v>149</v>
      </c>
      <c r="Q546" s="40" t="s">
        <v>149</v>
      </c>
      <c r="R546" s="40" t="s">
        <v>149</v>
      </c>
      <c r="S546" s="40" t="s">
        <v>149</v>
      </c>
    </row>
    <row r="547" spans="2:19" ht="26.4">
      <c r="B547" s="967"/>
      <c r="C547" s="968"/>
      <c r="D547" s="44" t="s">
        <v>589</v>
      </c>
      <c r="E547" s="45">
        <v>37500000</v>
      </c>
      <c r="F547" s="971"/>
      <c r="G547" s="39" t="s">
        <v>590</v>
      </c>
      <c r="H547" s="40" t="s">
        <v>149</v>
      </c>
      <c r="I547" s="40" t="s">
        <v>149</v>
      </c>
      <c r="J547" s="40" t="s">
        <v>149</v>
      </c>
      <c r="K547" s="40" t="s">
        <v>149</v>
      </c>
      <c r="L547" s="40" t="s">
        <v>149</v>
      </c>
      <c r="M547" s="40" t="s">
        <v>149</v>
      </c>
      <c r="N547" s="40" t="s">
        <v>149</v>
      </c>
      <c r="O547" s="40" t="s">
        <v>149</v>
      </c>
      <c r="P547" s="40" t="s">
        <v>149</v>
      </c>
      <c r="Q547" s="40" t="s">
        <v>149</v>
      </c>
      <c r="R547" s="40" t="s">
        <v>149</v>
      </c>
      <c r="S547" s="40" t="s">
        <v>149</v>
      </c>
    </row>
    <row r="548" spans="2:19" ht="26.4">
      <c r="B548" s="967"/>
      <c r="C548" s="968"/>
      <c r="D548" s="44" t="s">
        <v>591</v>
      </c>
      <c r="E548" s="45">
        <v>11250000</v>
      </c>
      <c r="F548" s="971"/>
      <c r="G548" s="39" t="s">
        <v>592</v>
      </c>
      <c r="H548" s="40" t="s">
        <v>149</v>
      </c>
      <c r="I548" s="40" t="s">
        <v>149</v>
      </c>
      <c r="J548" s="40" t="s">
        <v>149</v>
      </c>
      <c r="K548" s="40" t="s">
        <v>149</v>
      </c>
      <c r="L548" s="40" t="s">
        <v>149</v>
      </c>
      <c r="M548" s="40" t="s">
        <v>149</v>
      </c>
      <c r="N548" s="40" t="s">
        <v>149</v>
      </c>
      <c r="O548" s="40" t="s">
        <v>149</v>
      </c>
      <c r="P548" s="40" t="s">
        <v>149</v>
      </c>
      <c r="Q548" s="40" t="s">
        <v>149</v>
      </c>
      <c r="R548" s="40" t="s">
        <v>149</v>
      </c>
      <c r="S548" s="40" t="s">
        <v>149</v>
      </c>
    </row>
    <row r="549" spans="2:19" ht="26.4">
      <c r="B549" s="967"/>
      <c r="C549" s="968"/>
      <c r="D549" s="44" t="s">
        <v>593</v>
      </c>
      <c r="E549" s="45">
        <v>11250000</v>
      </c>
      <c r="F549" s="971"/>
      <c r="G549" s="39" t="s">
        <v>594</v>
      </c>
      <c r="H549" s="40" t="s">
        <v>149</v>
      </c>
      <c r="I549" s="40" t="s">
        <v>149</v>
      </c>
      <c r="J549" s="40" t="s">
        <v>149</v>
      </c>
      <c r="K549" s="40" t="s">
        <v>149</v>
      </c>
      <c r="L549" s="40" t="s">
        <v>149</v>
      </c>
      <c r="M549" s="40" t="s">
        <v>149</v>
      </c>
      <c r="N549" s="40" t="s">
        <v>149</v>
      </c>
      <c r="O549" s="40" t="s">
        <v>149</v>
      </c>
      <c r="P549" s="40" t="s">
        <v>149</v>
      </c>
      <c r="Q549" s="40" t="s">
        <v>149</v>
      </c>
      <c r="R549" s="40" t="s">
        <v>149</v>
      </c>
      <c r="S549" s="40" t="s">
        <v>149</v>
      </c>
    </row>
    <row r="550" spans="2:19" ht="26.4">
      <c r="B550" s="967"/>
      <c r="C550" s="968"/>
      <c r="D550" s="44" t="s">
        <v>595</v>
      </c>
      <c r="E550" s="45">
        <v>9000000</v>
      </c>
      <c r="F550" s="971"/>
      <c r="G550" s="39" t="s">
        <v>596</v>
      </c>
      <c r="H550" s="40" t="s">
        <v>149</v>
      </c>
      <c r="I550" s="40" t="s">
        <v>149</v>
      </c>
      <c r="J550" s="40" t="s">
        <v>149</v>
      </c>
      <c r="K550" s="40" t="s">
        <v>149</v>
      </c>
      <c r="L550" s="40" t="s">
        <v>149</v>
      </c>
      <c r="M550" s="40" t="s">
        <v>149</v>
      </c>
      <c r="N550" s="40" t="s">
        <v>149</v>
      </c>
      <c r="O550" s="40" t="s">
        <v>149</v>
      </c>
      <c r="P550" s="40" t="s">
        <v>149</v>
      </c>
      <c r="Q550" s="40" t="s">
        <v>149</v>
      </c>
      <c r="R550" s="40" t="s">
        <v>149</v>
      </c>
      <c r="S550" s="40" t="s">
        <v>149</v>
      </c>
    </row>
    <row r="551" spans="2:19" ht="26.4">
      <c r="B551" s="967"/>
      <c r="C551" s="968"/>
      <c r="D551" s="44" t="s">
        <v>597</v>
      </c>
      <c r="E551" s="45">
        <v>11250000</v>
      </c>
      <c r="F551" s="971"/>
      <c r="G551" s="39" t="s">
        <v>598</v>
      </c>
      <c r="H551" s="40" t="s">
        <v>149</v>
      </c>
      <c r="I551" s="40" t="s">
        <v>149</v>
      </c>
      <c r="J551" s="40" t="s">
        <v>149</v>
      </c>
      <c r="K551" s="40" t="s">
        <v>149</v>
      </c>
      <c r="L551" s="40" t="s">
        <v>149</v>
      </c>
      <c r="M551" s="40" t="s">
        <v>149</v>
      </c>
      <c r="N551" s="40" t="s">
        <v>149</v>
      </c>
      <c r="O551" s="40" t="s">
        <v>149</v>
      </c>
      <c r="P551" s="40" t="s">
        <v>149</v>
      </c>
      <c r="Q551" s="40" t="s">
        <v>149</v>
      </c>
      <c r="R551" s="40" t="s">
        <v>149</v>
      </c>
      <c r="S551" s="40" t="s">
        <v>149</v>
      </c>
    </row>
    <row r="552" spans="2:19" ht="26.4">
      <c r="B552" s="44" t="s">
        <v>599</v>
      </c>
      <c r="C552" s="968"/>
      <c r="D552" s="44" t="s">
        <v>600</v>
      </c>
      <c r="E552" s="45">
        <v>50000000</v>
      </c>
      <c r="F552" s="46" t="s">
        <v>9</v>
      </c>
      <c r="G552" s="39" t="s">
        <v>601</v>
      </c>
      <c r="H552" s="40" t="s">
        <v>149</v>
      </c>
      <c r="I552" s="40" t="s">
        <v>149</v>
      </c>
      <c r="J552" s="40" t="s">
        <v>149</v>
      </c>
      <c r="K552" s="40" t="s">
        <v>149</v>
      </c>
      <c r="L552" s="40" t="s">
        <v>149</v>
      </c>
      <c r="M552" s="40" t="s">
        <v>149</v>
      </c>
      <c r="N552" s="40" t="s">
        <v>149</v>
      </c>
      <c r="O552" s="40" t="s">
        <v>149</v>
      </c>
      <c r="P552" s="40" t="s">
        <v>149</v>
      </c>
      <c r="Q552" s="40" t="s">
        <v>149</v>
      </c>
      <c r="R552" s="40" t="s">
        <v>149</v>
      </c>
      <c r="S552" s="40" t="s">
        <v>149</v>
      </c>
    </row>
    <row r="553" spans="2:19">
      <c r="B553" s="964" t="s">
        <v>602</v>
      </c>
      <c r="C553" s="964"/>
      <c r="D553" s="964"/>
      <c r="E553" s="47">
        <v>167750000</v>
      </c>
      <c r="F553" s="69"/>
      <c r="G553" s="53"/>
      <c r="H553" s="53"/>
      <c r="I553" s="53"/>
      <c r="J553" s="53"/>
      <c r="K553" s="53"/>
      <c r="L553" s="53"/>
      <c r="M553" s="53"/>
      <c r="N553" s="53"/>
      <c r="O553" s="53"/>
      <c r="P553" s="53"/>
      <c r="Q553" s="53"/>
      <c r="R553" s="53"/>
      <c r="S553" s="53"/>
    </row>
    <row r="554" spans="2:19">
      <c r="B554" s="966" t="s">
        <v>603</v>
      </c>
      <c r="C554" s="966"/>
      <c r="D554" s="966"/>
      <c r="E554" s="54"/>
      <c r="F554" s="55"/>
      <c r="G554" s="56"/>
      <c r="H554" s="56"/>
      <c r="I554" s="56"/>
      <c r="J554" s="56"/>
      <c r="K554" s="56"/>
      <c r="L554" s="56"/>
      <c r="M554" s="56"/>
      <c r="N554" s="56"/>
      <c r="O554" s="56"/>
      <c r="P554" s="56"/>
      <c r="Q554" s="56"/>
      <c r="R554" s="56"/>
      <c r="S554" s="56"/>
    </row>
    <row r="555" spans="2:19">
      <c r="B555" s="967" t="s">
        <v>604</v>
      </c>
      <c r="C555" s="968" t="s">
        <v>509</v>
      </c>
      <c r="D555" s="967" t="s">
        <v>605</v>
      </c>
      <c r="E555" s="969" t="s">
        <v>606</v>
      </c>
      <c r="F555" s="970" t="s">
        <v>7</v>
      </c>
      <c r="G555" s="39" t="s">
        <v>607</v>
      </c>
      <c r="H555" s="43" t="s">
        <v>149</v>
      </c>
      <c r="I555" s="43" t="s">
        <v>149</v>
      </c>
      <c r="J555" s="43" t="s">
        <v>149</v>
      </c>
      <c r="K555" s="43" t="s">
        <v>149</v>
      </c>
      <c r="L555" s="43" t="s">
        <v>149</v>
      </c>
      <c r="M555" s="43" t="s">
        <v>149</v>
      </c>
      <c r="N555" s="43" t="s">
        <v>149</v>
      </c>
      <c r="O555" s="43" t="s">
        <v>149</v>
      </c>
      <c r="P555" s="43" t="s">
        <v>149</v>
      </c>
      <c r="Q555" s="43" t="s">
        <v>149</v>
      </c>
      <c r="R555" s="43" t="s">
        <v>149</v>
      </c>
      <c r="S555" s="43" t="s">
        <v>149</v>
      </c>
    </row>
    <row r="556" spans="2:19" ht="26.4">
      <c r="B556" s="967"/>
      <c r="C556" s="968"/>
      <c r="D556" s="967"/>
      <c r="E556" s="969"/>
      <c r="F556" s="970"/>
      <c r="G556" s="39" t="s">
        <v>608</v>
      </c>
      <c r="H556" s="41"/>
      <c r="I556" s="41"/>
      <c r="J556" s="41"/>
      <c r="K556" s="41"/>
      <c r="L556" s="41"/>
      <c r="M556" s="41"/>
      <c r="N556" s="43" t="s">
        <v>149</v>
      </c>
      <c r="O556" s="43" t="s">
        <v>149</v>
      </c>
      <c r="P556" s="41"/>
      <c r="Q556" s="41"/>
      <c r="R556" s="41"/>
      <c r="S556" s="41"/>
    </row>
    <row r="557" spans="2:19">
      <c r="B557" s="967"/>
      <c r="C557" s="968"/>
      <c r="D557" s="967"/>
      <c r="E557" s="969"/>
      <c r="F557" s="970"/>
      <c r="G557" s="39" t="s">
        <v>609</v>
      </c>
      <c r="H557" s="41"/>
      <c r="I557" s="41"/>
      <c r="J557" s="41"/>
      <c r="K557" s="43" t="s">
        <v>149</v>
      </c>
      <c r="L557" s="43" t="s">
        <v>149</v>
      </c>
      <c r="M557" s="43" t="s">
        <v>149</v>
      </c>
      <c r="N557" s="43" t="s">
        <v>149</v>
      </c>
      <c r="O557" s="41"/>
      <c r="P557" s="41"/>
      <c r="Q557" s="41"/>
      <c r="R557" s="41"/>
      <c r="S557" s="41"/>
    </row>
    <row r="558" spans="2:19">
      <c r="B558" s="967"/>
      <c r="C558" s="968"/>
      <c r="D558" s="967"/>
      <c r="E558" s="969"/>
      <c r="F558" s="970"/>
      <c r="G558" s="39" t="s">
        <v>610</v>
      </c>
      <c r="H558" s="41"/>
      <c r="I558" s="41"/>
      <c r="J558" s="41"/>
      <c r="K558" s="41"/>
      <c r="L558" s="41"/>
      <c r="M558" s="41"/>
      <c r="N558" s="41"/>
      <c r="O558" s="43" t="s">
        <v>149</v>
      </c>
      <c r="P558" s="43" t="s">
        <v>149</v>
      </c>
      <c r="Q558" s="43" t="s">
        <v>149</v>
      </c>
      <c r="R558" s="43" t="s">
        <v>149</v>
      </c>
      <c r="S558" s="43" t="s">
        <v>149</v>
      </c>
    </row>
    <row r="559" spans="2:19" ht="52.8">
      <c r="B559" s="967"/>
      <c r="C559" s="968"/>
      <c r="D559" s="44" t="s">
        <v>611</v>
      </c>
      <c r="E559" s="45">
        <v>117000000</v>
      </c>
      <c r="F559" s="70" t="s">
        <v>612</v>
      </c>
      <c r="G559" s="39" t="s">
        <v>613</v>
      </c>
      <c r="H559" s="43" t="s">
        <v>149</v>
      </c>
      <c r="I559" s="43" t="s">
        <v>149</v>
      </c>
      <c r="J559" s="43" t="s">
        <v>149</v>
      </c>
      <c r="K559" s="41"/>
      <c r="L559" s="41"/>
      <c r="M559" s="41"/>
      <c r="N559" s="41"/>
      <c r="O559" s="41"/>
      <c r="P559" s="41"/>
      <c r="Q559" s="41"/>
      <c r="R559" s="41"/>
      <c r="S559" s="41"/>
    </row>
    <row r="560" spans="2:19">
      <c r="B560" s="963" t="s">
        <v>614</v>
      </c>
      <c r="C560" s="963"/>
      <c r="D560" s="963"/>
      <c r="E560" s="47" t="s">
        <v>615</v>
      </c>
      <c r="F560" s="52"/>
      <c r="G560" s="53"/>
      <c r="H560" s="53"/>
      <c r="I560" s="53"/>
      <c r="J560" s="53"/>
      <c r="K560" s="53"/>
      <c r="L560" s="53"/>
      <c r="M560" s="53"/>
      <c r="N560" s="53"/>
      <c r="O560" s="53"/>
      <c r="P560" s="53"/>
      <c r="Q560" s="53"/>
      <c r="R560" s="53"/>
      <c r="S560" s="53"/>
    </row>
    <row r="561" spans="2:19">
      <c r="B561" s="964" t="s">
        <v>616</v>
      </c>
      <c r="C561" s="964"/>
      <c r="D561" s="964"/>
      <c r="E561" s="47">
        <v>808656011</v>
      </c>
      <c r="F561" s="52"/>
      <c r="G561" s="53"/>
      <c r="H561" s="53"/>
      <c r="I561" s="53"/>
      <c r="J561" s="53"/>
      <c r="K561" s="53"/>
      <c r="L561" s="53"/>
      <c r="M561" s="53"/>
      <c r="N561" s="53"/>
      <c r="O561" s="53"/>
      <c r="P561" s="53"/>
      <c r="Q561" s="53"/>
      <c r="R561" s="53"/>
      <c r="S561" s="53"/>
    </row>
    <row r="562" spans="2:19">
      <c r="B562" s="966" t="s">
        <v>617</v>
      </c>
      <c r="C562" s="966"/>
      <c r="D562" s="966"/>
      <c r="E562" s="54"/>
      <c r="F562" s="55"/>
      <c r="G562" s="38"/>
      <c r="H562" s="56"/>
      <c r="I562" s="56"/>
      <c r="J562" s="56"/>
      <c r="K562" s="56"/>
      <c r="L562" s="56"/>
      <c r="M562" s="56"/>
      <c r="N562" s="56"/>
      <c r="O562" s="56"/>
      <c r="P562" s="56"/>
      <c r="Q562" s="56"/>
      <c r="R562" s="56"/>
      <c r="S562" s="56"/>
    </row>
    <row r="563" spans="2:19">
      <c r="B563" s="34" t="s">
        <v>618</v>
      </c>
      <c r="C563" s="35"/>
      <c r="D563" s="38"/>
      <c r="E563" s="54"/>
      <c r="F563" s="55"/>
      <c r="G563" s="38"/>
      <c r="H563" s="56"/>
      <c r="I563" s="56"/>
      <c r="J563" s="56"/>
      <c r="K563" s="56"/>
      <c r="L563" s="56"/>
      <c r="M563" s="56"/>
      <c r="N563" s="56"/>
      <c r="O563" s="56"/>
      <c r="P563" s="56"/>
      <c r="Q563" s="56"/>
      <c r="R563" s="56"/>
      <c r="S563" s="56"/>
    </row>
    <row r="564" spans="2:19" ht="27.6" customHeight="1">
      <c r="B564" s="967" t="s">
        <v>619</v>
      </c>
      <c r="C564" s="968" t="s">
        <v>110</v>
      </c>
      <c r="D564" s="967" t="s">
        <v>620</v>
      </c>
      <c r="E564" s="45">
        <v>823225000</v>
      </c>
      <c r="F564" s="70" t="s">
        <v>621</v>
      </c>
      <c r="G564" s="71" t="s">
        <v>622</v>
      </c>
      <c r="H564" s="43" t="s">
        <v>139</v>
      </c>
      <c r="I564" s="43" t="s">
        <v>139</v>
      </c>
      <c r="J564" s="43" t="s">
        <v>139</v>
      </c>
      <c r="K564" s="43" t="s">
        <v>139</v>
      </c>
      <c r="L564" s="43" t="s">
        <v>139</v>
      </c>
      <c r="M564" s="43" t="s">
        <v>139</v>
      </c>
      <c r="N564" s="43" t="s">
        <v>139</v>
      </c>
      <c r="O564" s="43" t="s">
        <v>139</v>
      </c>
      <c r="P564" s="43" t="s">
        <v>139</v>
      </c>
      <c r="Q564" s="43" t="s">
        <v>139</v>
      </c>
      <c r="R564" s="43" t="s">
        <v>139</v>
      </c>
      <c r="S564" s="43" t="s">
        <v>139</v>
      </c>
    </row>
    <row r="565" spans="2:19" ht="27.6" customHeight="1">
      <c r="B565" s="967"/>
      <c r="C565" s="968"/>
      <c r="D565" s="967"/>
      <c r="E565" s="45"/>
      <c r="F565" s="70" t="s">
        <v>8</v>
      </c>
      <c r="G565" s="71" t="s">
        <v>623</v>
      </c>
      <c r="H565" s="43"/>
      <c r="I565" s="43"/>
      <c r="J565" s="43"/>
      <c r="K565" s="43"/>
      <c r="L565" s="43"/>
      <c r="M565" s="43"/>
      <c r="N565" s="43"/>
      <c r="O565" s="43"/>
      <c r="P565" s="43"/>
      <c r="Q565" s="43"/>
      <c r="R565" s="43"/>
      <c r="S565" s="43"/>
    </row>
    <row r="566" spans="2:19">
      <c r="B566" s="967"/>
      <c r="C566" s="968"/>
      <c r="D566" s="44" t="s">
        <v>624</v>
      </c>
      <c r="E566" s="45">
        <v>100000000</v>
      </c>
      <c r="F566" s="70" t="s">
        <v>621</v>
      </c>
      <c r="G566" s="71" t="s">
        <v>625</v>
      </c>
      <c r="H566" s="43" t="s">
        <v>139</v>
      </c>
      <c r="I566" s="43" t="s">
        <v>139</v>
      </c>
      <c r="J566" s="43" t="s">
        <v>139</v>
      </c>
      <c r="K566" s="43" t="s">
        <v>139</v>
      </c>
      <c r="L566" s="43" t="s">
        <v>139</v>
      </c>
      <c r="M566" s="43" t="s">
        <v>139</v>
      </c>
      <c r="N566" s="43" t="s">
        <v>139</v>
      </c>
      <c r="O566" s="43" t="s">
        <v>139</v>
      </c>
      <c r="P566" s="43" t="s">
        <v>139</v>
      </c>
      <c r="Q566" s="43" t="s">
        <v>139</v>
      </c>
      <c r="R566" s="43" t="s">
        <v>139</v>
      </c>
      <c r="S566" s="43" t="s">
        <v>139</v>
      </c>
    </row>
    <row r="567" spans="2:19" ht="26.4">
      <c r="B567" s="967"/>
      <c r="C567" s="968"/>
      <c r="D567" s="44" t="s">
        <v>626</v>
      </c>
      <c r="E567" s="45">
        <v>34306150</v>
      </c>
      <c r="F567" s="70" t="s">
        <v>621</v>
      </c>
      <c r="G567" s="71" t="s">
        <v>627</v>
      </c>
      <c r="H567" s="43" t="s">
        <v>139</v>
      </c>
      <c r="I567" s="43" t="s">
        <v>139</v>
      </c>
      <c r="J567" s="43" t="s">
        <v>139</v>
      </c>
      <c r="K567" s="43" t="s">
        <v>139</v>
      </c>
      <c r="L567" s="43" t="s">
        <v>139</v>
      </c>
      <c r="M567" s="43" t="s">
        <v>139</v>
      </c>
      <c r="N567" s="43" t="s">
        <v>139</v>
      </c>
      <c r="O567" s="43" t="s">
        <v>139</v>
      </c>
      <c r="P567" s="43" t="s">
        <v>139</v>
      </c>
      <c r="Q567" s="43" t="s">
        <v>139</v>
      </c>
      <c r="R567" s="43" t="s">
        <v>139</v>
      </c>
      <c r="S567" s="43" t="s">
        <v>139</v>
      </c>
    </row>
    <row r="568" spans="2:19" ht="26.4">
      <c r="B568" s="967"/>
      <c r="C568" s="968"/>
      <c r="D568" s="44" t="s">
        <v>628</v>
      </c>
      <c r="E568" s="45">
        <v>300000000</v>
      </c>
      <c r="F568" s="70" t="s">
        <v>621</v>
      </c>
      <c r="G568" s="71" t="s">
        <v>629</v>
      </c>
      <c r="H568" s="43" t="s">
        <v>139</v>
      </c>
      <c r="I568" s="43" t="s">
        <v>139</v>
      </c>
      <c r="J568" s="43" t="s">
        <v>139</v>
      </c>
      <c r="K568" s="43" t="s">
        <v>139</v>
      </c>
      <c r="L568" s="43" t="s">
        <v>139</v>
      </c>
      <c r="M568" s="43" t="s">
        <v>139</v>
      </c>
      <c r="N568" s="43" t="s">
        <v>139</v>
      </c>
      <c r="O568" s="43" t="s">
        <v>139</v>
      </c>
      <c r="P568" s="43" t="s">
        <v>139</v>
      </c>
      <c r="Q568" s="43" t="s">
        <v>139</v>
      </c>
      <c r="R568" s="43" t="s">
        <v>139</v>
      </c>
      <c r="S568" s="43" t="s">
        <v>139</v>
      </c>
    </row>
    <row r="569" spans="2:19" ht="26.4">
      <c r="B569" s="967"/>
      <c r="C569" s="968"/>
      <c r="D569" s="44" t="s">
        <v>630</v>
      </c>
      <c r="E569" s="45">
        <v>25000000</v>
      </c>
      <c r="F569" s="70" t="s">
        <v>621</v>
      </c>
      <c r="G569" s="71" t="s">
        <v>631</v>
      </c>
      <c r="H569" s="43" t="s">
        <v>139</v>
      </c>
      <c r="I569" s="43" t="s">
        <v>139</v>
      </c>
      <c r="J569" s="43" t="s">
        <v>139</v>
      </c>
      <c r="K569" s="43" t="s">
        <v>139</v>
      </c>
      <c r="L569" s="43" t="s">
        <v>139</v>
      </c>
      <c r="M569" s="43" t="s">
        <v>139</v>
      </c>
      <c r="N569" s="43" t="s">
        <v>139</v>
      </c>
      <c r="O569" s="43" t="s">
        <v>139</v>
      </c>
      <c r="P569" s="43" t="s">
        <v>139</v>
      </c>
      <c r="Q569" s="43" t="s">
        <v>139</v>
      </c>
      <c r="R569" s="43" t="s">
        <v>139</v>
      </c>
      <c r="S569" s="43" t="s">
        <v>139</v>
      </c>
    </row>
    <row r="570" spans="2:19" ht="26.4">
      <c r="B570" s="967"/>
      <c r="C570" s="968"/>
      <c r="D570" s="44" t="s">
        <v>632</v>
      </c>
      <c r="E570" s="49">
        <v>35000000</v>
      </c>
      <c r="F570" s="70" t="s">
        <v>621</v>
      </c>
      <c r="G570" s="71" t="s">
        <v>633</v>
      </c>
      <c r="H570" s="43" t="s">
        <v>139</v>
      </c>
      <c r="I570" s="43" t="s">
        <v>139</v>
      </c>
      <c r="J570" s="43" t="s">
        <v>139</v>
      </c>
      <c r="K570" s="43" t="s">
        <v>139</v>
      </c>
      <c r="L570" s="43" t="s">
        <v>139</v>
      </c>
      <c r="M570" s="43" t="s">
        <v>139</v>
      </c>
      <c r="N570" s="43" t="s">
        <v>139</v>
      </c>
      <c r="O570" s="43" t="s">
        <v>139</v>
      </c>
      <c r="P570" s="43" t="s">
        <v>139</v>
      </c>
      <c r="Q570" s="43" t="s">
        <v>139</v>
      </c>
      <c r="R570" s="43" t="s">
        <v>139</v>
      </c>
      <c r="S570" s="43" t="s">
        <v>139</v>
      </c>
    </row>
    <row r="571" spans="2:19" ht="26.4">
      <c r="B571" s="967"/>
      <c r="C571" s="968"/>
      <c r="D571" s="44" t="s">
        <v>634</v>
      </c>
      <c r="E571" s="49">
        <v>6500000</v>
      </c>
      <c r="F571" s="70" t="s">
        <v>621</v>
      </c>
      <c r="G571" s="71" t="s">
        <v>635</v>
      </c>
      <c r="H571" s="43" t="s">
        <v>139</v>
      </c>
      <c r="I571" s="43" t="s">
        <v>139</v>
      </c>
      <c r="J571" s="43" t="s">
        <v>139</v>
      </c>
      <c r="K571" s="43" t="s">
        <v>139</v>
      </c>
      <c r="L571" s="43" t="s">
        <v>139</v>
      </c>
      <c r="M571" s="43" t="s">
        <v>139</v>
      </c>
      <c r="N571" s="43" t="s">
        <v>139</v>
      </c>
      <c r="O571" s="43" t="s">
        <v>139</v>
      </c>
      <c r="P571" s="43" t="s">
        <v>139</v>
      </c>
      <c r="Q571" s="43" t="s">
        <v>139</v>
      </c>
      <c r="R571" s="43" t="s">
        <v>139</v>
      </c>
      <c r="S571" s="43" t="s">
        <v>139</v>
      </c>
    </row>
    <row r="572" spans="2:19" ht="26.4">
      <c r="B572" s="967"/>
      <c r="C572" s="968"/>
      <c r="D572" s="44" t="s">
        <v>636</v>
      </c>
      <c r="E572" s="49">
        <v>70000000</v>
      </c>
      <c r="F572" s="70" t="s">
        <v>621</v>
      </c>
      <c r="G572" s="71" t="s">
        <v>637</v>
      </c>
      <c r="H572" s="43" t="s">
        <v>139</v>
      </c>
      <c r="I572" s="43" t="s">
        <v>139</v>
      </c>
      <c r="J572" s="43" t="s">
        <v>139</v>
      </c>
      <c r="K572" s="43" t="s">
        <v>139</v>
      </c>
      <c r="L572" s="43" t="s">
        <v>139</v>
      </c>
      <c r="M572" s="43" t="s">
        <v>139</v>
      </c>
      <c r="N572" s="43" t="s">
        <v>139</v>
      </c>
      <c r="O572" s="43" t="s">
        <v>139</v>
      </c>
      <c r="P572" s="43" t="s">
        <v>139</v>
      </c>
      <c r="Q572" s="43" t="s">
        <v>139</v>
      </c>
      <c r="R572" s="43" t="s">
        <v>139</v>
      </c>
      <c r="S572" s="43" t="s">
        <v>139</v>
      </c>
    </row>
    <row r="573" spans="2:19" ht="26.4">
      <c r="B573" s="967"/>
      <c r="C573" s="968"/>
      <c r="D573" s="44" t="s">
        <v>638</v>
      </c>
      <c r="E573" s="49">
        <v>75000000</v>
      </c>
      <c r="F573" s="70" t="s">
        <v>621</v>
      </c>
      <c r="G573" s="71" t="s">
        <v>639</v>
      </c>
      <c r="H573" s="43" t="s">
        <v>139</v>
      </c>
      <c r="I573" s="43" t="s">
        <v>139</v>
      </c>
      <c r="J573" s="43" t="s">
        <v>139</v>
      </c>
      <c r="K573" s="43" t="s">
        <v>139</v>
      </c>
      <c r="L573" s="43" t="s">
        <v>139</v>
      </c>
      <c r="M573" s="43" t="s">
        <v>139</v>
      </c>
      <c r="N573" s="43" t="s">
        <v>139</v>
      </c>
      <c r="O573" s="43" t="s">
        <v>139</v>
      </c>
      <c r="P573" s="43" t="s">
        <v>139</v>
      </c>
      <c r="Q573" s="43" t="s">
        <v>139</v>
      </c>
      <c r="R573" s="43" t="s">
        <v>139</v>
      </c>
      <c r="S573" s="43" t="s">
        <v>139</v>
      </c>
    </row>
    <row r="574" spans="2:19" ht="26.4">
      <c r="B574" s="967"/>
      <c r="C574" s="968"/>
      <c r="D574" s="44" t="s">
        <v>640</v>
      </c>
      <c r="E574" s="49">
        <v>75000000</v>
      </c>
      <c r="F574" s="70" t="s">
        <v>621</v>
      </c>
      <c r="G574" s="71" t="s">
        <v>641</v>
      </c>
      <c r="H574" s="43" t="s">
        <v>139</v>
      </c>
      <c r="I574" s="43" t="s">
        <v>139</v>
      </c>
      <c r="J574" s="43" t="s">
        <v>139</v>
      </c>
      <c r="K574" s="43" t="s">
        <v>139</v>
      </c>
      <c r="L574" s="43" t="s">
        <v>139</v>
      </c>
      <c r="M574" s="43" t="s">
        <v>139</v>
      </c>
      <c r="N574" s="43" t="s">
        <v>139</v>
      </c>
      <c r="O574" s="43" t="s">
        <v>139</v>
      </c>
      <c r="P574" s="43" t="s">
        <v>139</v>
      </c>
      <c r="Q574" s="43" t="s">
        <v>139</v>
      </c>
      <c r="R574" s="43" t="s">
        <v>139</v>
      </c>
      <c r="S574" s="43" t="s">
        <v>139</v>
      </c>
    </row>
    <row r="575" spans="2:19" ht="39.6">
      <c r="B575" s="967"/>
      <c r="C575" s="968"/>
      <c r="D575" s="44" t="s">
        <v>642</v>
      </c>
      <c r="E575" s="49">
        <v>5000000</v>
      </c>
      <c r="F575" s="70" t="s">
        <v>621</v>
      </c>
      <c r="G575" s="71" t="s">
        <v>643</v>
      </c>
      <c r="H575" s="43" t="s">
        <v>139</v>
      </c>
      <c r="I575" s="43" t="s">
        <v>139</v>
      </c>
      <c r="J575" s="43" t="s">
        <v>139</v>
      </c>
      <c r="K575" s="43" t="s">
        <v>139</v>
      </c>
      <c r="L575" s="43" t="s">
        <v>139</v>
      </c>
      <c r="M575" s="43" t="s">
        <v>139</v>
      </c>
      <c r="N575" s="43" t="s">
        <v>139</v>
      </c>
      <c r="O575" s="43" t="s">
        <v>139</v>
      </c>
      <c r="P575" s="43" t="s">
        <v>139</v>
      </c>
      <c r="Q575" s="43" t="s">
        <v>139</v>
      </c>
      <c r="R575" s="43" t="s">
        <v>139</v>
      </c>
      <c r="S575" s="43" t="s">
        <v>139</v>
      </c>
    </row>
    <row r="576" spans="2:19">
      <c r="B576" s="967"/>
      <c r="C576" s="968"/>
      <c r="D576" s="44" t="s">
        <v>644</v>
      </c>
      <c r="E576" s="49">
        <v>15000000</v>
      </c>
      <c r="F576" s="70" t="s">
        <v>621</v>
      </c>
      <c r="G576" s="71" t="s">
        <v>645</v>
      </c>
      <c r="H576" s="43" t="s">
        <v>139</v>
      </c>
      <c r="I576" s="43" t="s">
        <v>139</v>
      </c>
      <c r="J576" s="43" t="s">
        <v>139</v>
      </c>
      <c r="K576" s="43" t="s">
        <v>139</v>
      </c>
      <c r="L576" s="43" t="s">
        <v>139</v>
      </c>
      <c r="M576" s="43" t="s">
        <v>139</v>
      </c>
      <c r="N576" s="43" t="s">
        <v>139</v>
      </c>
      <c r="O576" s="43" t="s">
        <v>139</v>
      </c>
      <c r="P576" s="43" t="s">
        <v>139</v>
      </c>
      <c r="Q576" s="43" t="s">
        <v>139</v>
      </c>
      <c r="R576" s="43" t="s">
        <v>139</v>
      </c>
      <c r="S576" s="43" t="s">
        <v>139</v>
      </c>
    </row>
    <row r="577" spans="2:19" ht="39.6">
      <c r="B577" s="967"/>
      <c r="C577" s="968"/>
      <c r="D577" s="44" t="s">
        <v>646</v>
      </c>
      <c r="E577" s="49">
        <v>60000000</v>
      </c>
      <c r="F577" s="70" t="s">
        <v>621</v>
      </c>
      <c r="G577" s="71" t="s">
        <v>647</v>
      </c>
      <c r="H577" s="43" t="s">
        <v>139</v>
      </c>
      <c r="I577" s="43" t="s">
        <v>139</v>
      </c>
      <c r="J577" s="43" t="s">
        <v>139</v>
      </c>
      <c r="K577" s="43" t="s">
        <v>139</v>
      </c>
      <c r="L577" s="43" t="s">
        <v>139</v>
      </c>
      <c r="M577" s="43" t="s">
        <v>139</v>
      </c>
      <c r="N577" s="43" t="s">
        <v>139</v>
      </c>
      <c r="O577" s="43" t="s">
        <v>139</v>
      </c>
      <c r="P577" s="43" t="s">
        <v>139</v>
      </c>
      <c r="Q577" s="43" t="s">
        <v>139</v>
      </c>
      <c r="R577" s="43" t="s">
        <v>139</v>
      </c>
      <c r="S577" s="43" t="s">
        <v>139</v>
      </c>
    </row>
    <row r="578" spans="2:19" ht="26.4">
      <c r="B578" s="967"/>
      <c r="C578" s="968"/>
      <c r="D578" s="44" t="s">
        <v>648</v>
      </c>
      <c r="E578" s="49">
        <v>22500000</v>
      </c>
      <c r="F578" s="70" t="s">
        <v>621</v>
      </c>
      <c r="G578" s="39" t="s">
        <v>649</v>
      </c>
      <c r="H578" s="43" t="s">
        <v>139</v>
      </c>
      <c r="I578" s="43" t="s">
        <v>139</v>
      </c>
      <c r="J578" s="43" t="s">
        <v>139</v>
      </c>
      <c r="K578" s="43" t="s">
        <v>139</v>
      </c>
      <c r="L578" s="43" t="s">
        <v>139</v>
      </c>
      <c r="M578" s="43" t="s">
        <v>139</v>
      </c>
      <c r="N578" s="43" t="s">
        <v>139</v>
      </c>
      <c r="O578" s="43" t="s">
        <v>139</v>
      </c>
      <c r="P578" s="43" t="s">
        <v>139</v>
      </c>
      <c r="Q578" s="43" t="s">
        <v>139</v>
      </c>
      <c r="R578" s="43" t="s">
        <v>139</v>
      </c>
      <c r="S578" s="43" t="s">
        <v>139</v>
      </c>
    </row>
    <row r="579" spans="2:19">
      <c r="B579" s="967"/>
      <c r="C579" s="968"/>
      <c r="D579" s="44" t="s">
        <v>650</v>
      </c>
      <c r="E579" s="49">
        <v>5000000</v>
      </c>
      <c r="F579" s="70" t="s">
        <v>621</v>
      </c>
      <c r="G579" s="39" t="s">
        <v>651</v>
      </c>
      <c r="H579" s="43" t="s">
        <v>139</v>
      </c>
      <c r="I579" s="43" t="s">
        <v>139</v>
      </c>
      <c r="J579" s="43" t="s">
        <v>139</v>
      </c>
      <c r="K579" s="43" t="s">
        <v>139</v>
      </c>
      <c r="L579" s="43" t="s">
        <v>139</v>
      </c>
      <c r="M579" s="43" t="s">
        <v>139</v>
      </c>
      <c r="N579" s="43" t="s">
        <v>139</v>
      </c>
      <c r="O579" s="43" t="s">
        <v>139</v>
      </c>
      <c r="P579" s="43" t="s">
        <v>139</v>
      </c>
      <c r="Q579" s="43" t="s">
        <v>139</v>
      </c>
      <c r="R579" s="43" t="s">
        <v>139</v>
      </c>
      <c r="S579" s="43" t="s">
        <v>139</v>
      </c>
    </row>
    <row r="580" spans="2:19" ht="26.4">
      <c r="B580" s="967"/>
      <c r="C580" s="968"/>
      <c r="D580" s="44" t="s">
        <v>652</v>
      </c>
      <c r="E580" s="49">
        <v>364714000</v>
      </c>
      <c r="F580" s="70" t="s">
        <v>612</v>
      </c>
      <c r="G580" s="39" t="s">
        <v>653</v>
      </c>
      <c r="H580" s="43" t="s">
        <v>139</v>
      </c>
      <c r="I580" s="43" t="s">
        <v>139</v>
      </c>
      <c r="J580" s="43" t="s">
        <v>139</v>
      </c>
      <c r="K580" s="43" t="s">
        <v>139</v>
      </c>
      <c r="L580" s="43" t="s">
        <v>139</v>
      </c>
      <c r="M580" s="43" t="s">
        <v>139</v>
      </c>
      <c r="N580" s="43" t="s">
        <v>139</v>
      </c>
      <c r="O580" s="43" t="s">
        <v>139</v>
      </c>
      <c r="P580" s="43" t="s">
        <v>139</v>
      </c>
      <c r="Q580" s="43" t="s">
        <v>139</v>
      </c>
      <c r="R580" s="43" t="s">
        <v>139</v>
      </c>
      <c r="S580" s="43" t="s">
        <v>139</v>
      </c>
    </row>
    <row r="581" spans="2:19" ht="26.4">
      <c r="B581" s="967"/>
      <c r="C581" s="968"/>
      <c r="D581" s="44" t="s">
        <v>654</v>
      </c>
      <c r="E581" s="49">
        <v>234765857</v>
      </c>
      <c r="F581" s="70" t="s">
        <v>655</v>
      </c>
      <c r="G581" s="72" t="s">
        <v>656</v>
      </c>
      <c r="H581" s="43" t="s">
        <v>139</v>
      </c>
      <c r="I581" s="43" t="s">
        <v>139</v>
      </c>
      <c r="J581" s="43" t="s">
        <v>139</v>
      </c>
      <c r="K581" s="43" t="s">
        <v>139</v>
      </c>
      <c r="L581" s="43" t="s">
        <v>139</v>
      </c>
      <c r="M581" s="43" t="s">
        <v>139</v>
      </c>
      <c r="N581" s="43" t="s">
        <v>139</v>
      </c>
      <c r="O581" s="43" t="s">
        <v>139</v>
      </c>
      <c r="P581" s="43" t="s">
        <v>139</v>
      </c>
      <c r="Q581" s="43" t="s">
        <v>139</v>
      </c>
      <c r="R581" s="43" t="s">
        <v>139</v>
      </c>
      <c r="S581" s="43" t="s">
        <v>139</v>
      </c>
    </row>
    <row r="582" spans="2:19" ht="26.4">
      <c r="B582" s="967"/>
      <c r="C582" s="968"/>
      <c r="D582" s="44" t="s">
        <v>657</v>
      </c>
      <c r="E582" s="49">
        <v>94150000</v>
      </c>
      <c r="F582" s="70" t="s">
        <v>655</v>
      </c>
      <c r="G582" s="72" t="s">
        <v>658</v>
      </c>
      <c r="H582" s="43" t="s">
        <v>139</v>
      </c>
      <c r="I582" s="43" t="s">
        <v>139</v>
      </c>
      <c r="J582" s="43" t="s">
        <v>139</v>
      </c>
      <c r="K582" s="43" t="s">
        <v>139</v>
      </c>
      <c r="L582" s="43" t="s">
        <v>139</v>
      </c>
      <c r="M582" s="43" t="s">
        <v>139</v>
      </c>
      <c r="N582" s="43" t="s">
        <v>139</v>
      </c>
      <c r="O582" s="43" t="s">
        <v>139</v>
      </c>
      <c r="P582" s="43" t="s">
        <v>139</v>
      </c>
      <c r="Q582" s="43" t="s">
        <v>139</v>
      </c>
      <c r="R582" s="43" t="s">
        <v>139</v>
      </c>
      <c r="S582" s="43" t="s">
        <v>139</v>
      </c>
    </row>
    <row r="583" spans="2:19" ht="26.4">
      <c r="B583" s="967"/>
      <c r="C583" s="968"/>
      <c r="D583" s="44" t="s">
        <v>659</v>
      </c>
      <c r="E583" s="49">
        <v>153018000</v>
      </c>
      <c r="F583" s="70" t="s">
        <v>655</v>
      </c>
      <c r="G583" s="72" t="s">
        <v>660</v>
      </c>
      <c r="H583" s="43" t="s">
        <v>139</v>
      </c>
      <c r="I583" s="43" t="s">
        <v>139</v>
      </c>
      <c r="J583" s="43" t="s">
        <v>139</v>
      </c>
      <c r="K583" s="43" t="s">
        <v>139</v>
      </c>
      <c r="L583" s="43" t="s">
        <v>139</v>
      </c>
      <c r="M583" s="43" t="s">
        <v>139</v>
      </c>
      <c r="N583" s="43" t="s">
        <v>139</v>
      </c>
      <c r="O583" s="43" t="s">
        <v>139</v>
      </c>
      <c r="P583" s="43" t="s">
        <v>139</v>
      </c>
      <c r="Q583" s="43" t="s">
        <v>139</v>
      </c>
      <c r="R583" s="43" t="s">
        <v>139</v>
      </c>
      <c r="S583" s="43" t="s">
        <v>139</v>
      </c>
    </row>
    <row r="584" spans="2:19" ht="22.8" customHeight="1">
      <c r="B584" s="967"/>
      <c r="C584" s="968"/>
      <c r="D584" s="44" t="s">
        <v>661</v>
      </c>
      <c r="E584" s="49">
        <v>149071918</v>
      </c>
      <c r="F584" s="70" t="s">
        <v>655</v>
      </c>
      <c r="G584" s="72" t="s">
        <v>662</v>
      </c>
      <c r="H584" s="43" t="s">
        <v>139</v>
      </c>
      <c r="I584" s="43" t="s">
        <v>139</v>
      </c>
      <c r="J584" s="43" t="s">
        <v>139</v>
      </c>
      <c r="K584" s="43" t="s">
        <v>139</v>
      </c>
      <c r="L584" s="43" t="s">
        <v>139</v>
      </c>
      <c r="M584" s="43" t="s">
        <v>139</v>
      </c>
      <c r="N584" s="43" t="s">
        <v>139</v>
      </c>
      <c r="O584" s="43" t="s">
        <v>139</v>
      </c>
      <c r="P584" s="43" t="s">
        <v>139</v>
      </c>
      <c r="Q584" s="43" t="s">
        <v>139</v>
      </c>
      <c r="R584" s="43" t="s">
        <v>139</v>
      </c>
      <c r="S584" s="43" t="s">
        <v>139</v>
      </c>
    </row>
    <row r="585" spans="2:19" ht="26.4">
      <c r="B585" s="967"/>
      <c r="C585" s="968"/>
      <c r="D585" s="44" t="s">
        <v>663</v>
      </c>
      <c r="E585" s="49">
        <v>242359591</v>
      </c>
      <c r="F585" s="70" t="s">
        <v>655</v>
      </c>
      <c r="G585" s="39" t="s">
        <v>664</v>
      </c>
      <c r="H585" s="43" t="s">
        <v>139</v>
      </c>
      <c r="I585" s="43" t="s">
        <v>139</v>
      </c>
      <c r="J585" s="43" t="s">
        <v>139</v>
      </c>
      <c r="K585" s="43" t="s">
        <v>139</v>
      </c>
      <c r="L585" s="43" t="s">
        <v>139</v>
      </c>
      <c r="M585" s="43" t="s">
        <v>139</v>
      </c>
      <c r="N585" s="43" t="s">
        <v>139</v>
      </c>
      <c r="O585" s="43" t="s">
        <v>139</v>
      </c>
      <c r="P585" s="43" t="s">
        <v>139</v>
      </c>
      <c r="Q585" s="43" t="s">
        <v>139</v>
      </c>
      <c r="R585" s="43" t="s">
        <v>139</v>
      </c>
      <c r="S585" s="43" t="s">
        <v>139</v>
      </c>
    </row>
    <row r="586" spans="2:19">
      <c r="B586" s="963" t="s">
        <v>665</v>
      </c>
      <c r="C586" s="963"/>
      <c r="D586" s="963"/>
      <c r="E586" s="47">
        <v>3943667182</v>
      </c>
      <c r="F586" s="52"/>
      <c r="G586" s="53"/>
      <c r="H586" s="53"/>
      <c r="I586" s="53"/>
      <c r="J586" s="53"/>
      <c r="K586" s="53"/>
      <c r="L586" s="53"/>
      <c r="M586" s="53"/>
      <c r="N586" s="53"/>
      <c r="O586" s="53"/>
      <c r="P586" s="53"/>
      <c r="Q586" s="53"/>
      <c r="R586" s="53"/>
      <c r="S586" s="53"/>
    </row>
    <row r="587" spans="2:19">
      <c r="B587" s="964" t="s">
        <v>666</v>
      </c>
      <c r="C587" s="964"/>
      <c r="D587" s="964"/>
      <c r="E587" s="47">
        <v>3943667182</v>
      </c>
      <c r="F587" s="52"/>
      <c r="G587" s="53"/>
      <c r="H587" s="53"/>
      <c r="I587" s="53"/>
      <c r="J587" s="53"/>
      <c r="K587" s="53"/>
      <c r="L587" s="53"/>
      <c r="M587" s="53"/>
      <c r="N587" s="53"/>
      <c r="O587" s="53"/>
      <c r="P587" s="53"/>
      <c r="Q587" s="53"/>
      <c r="R587" s="53"/>
      <c r="S587" s="53"/>
    </row>
    <row r="588" spans="2:19">
      <c r="B588" s="965" t="s">
        <v>667</v>
      </c>
      <c r="C588" s="965"/>
      <c r="D588" s="965"/>
      <c r="E588" s="73">
        <v>55262120037</v>
      </c>
      <c r="F588" s="74"/>
      <c r="G588" s="75"/>
      <c r="H588" s="75"/>
      <c r="I588" s="75"/>
      <c r="J588" s="75"/>
      <c r="K588" s="75"/>
      <c r="L588" s="75"/>
      <c r="M588" s="75"/>
      <c r="N588" s="75"/>
      <c r="O588" s="75"/>
      <c r="P588" s="75"/>
      <c r="Q588" s="75"/>
      <c r="R588" s="75"/>
      <c r="S588" s="75"/>
    </row>
    <row r="589" spans="2:19">
      <c r="B589" s="76"/>
    </row>
    <row r="590" spans="2:19">
      <c r="B590" s="82"/>
    </row>
    <row r="591" spans="2:19">
      <c r="B591" s="83"/>
    </row>
    <row r="592" spans="2:19">
      <c r="B592" s="83"/>
    </row>
    <row r="593" spans="1:19">
      <c r="B593" s="83"/>
    </row>
    <row r="594" spans="1:19">
      <c r="B594" s="83"/>
    </row>
    <row r="595" spans="1:19">
      <c r="B595" s="83"/>
    </row>
    <row r="596" spans="1:19">
      <c r="B596" s="83"/>
    </row>
    <row r="597" spans="1:19">
      <c r="B597" s="83"/>
    </row>
    <row r="598" spans="1:19">
      <c r="B598" s="84"/>
    </row>
    <row r="599" spans="1:19" s="20" customFormat="1">
      <c r="A599" s="254"/>
      <c r="B599" s="82"/>
      <c r="C599" s="77"/>
      <c r="D599" s="81"/>
      <c r="E599" s="79"/>
      <c r="F599" s="80"/>
      <c r="G599" s="81"/>
      <c r="H599" s="80"/>
      <c r="I599" s="80"/>
      <c r="J599" s="80"/>
      <c r="K599" s="80"/>
      <c r="L599" s="80"/>
      <c r="M599" s="80"/>
      <c r="N599" s="80"/>
      <c r="O599" s="80"/>
      <c r="P599" s="80"/>
      <c r="Q599" s="80"/>
      <c r="R599" s="80"/>
      <c r="S599" s="80"/>
    </row>
  </sheetData>
  <mergeCells count="359">
    <mergeCell ref="H1:S1"/>
    <mergeCell ref="H2:J2"/>
    <mergeCell ref="K2:M2"/>
    <mergeCell ref="N2:P2"/>
    <mergeCell ref="Q2:S2"/>
    <mergeCell ref="B6:B226"/>
    <mergeCell ref="C6:C13"/>
    <mergeCell ref="D6:D13"/>
    <mergeCell ref="E6:E13"/>
    <mergeCell ref="F6:F13"/>
    <mergeCell ref="B1:B3"/>
    <mergeCell ref="C1:C3"/>
    <mergeCell ref="D1:D3"/>
    <mergeCell ref="E1:E3"/>
    <mergeCell ref="F1:F3"/>
    <mergeCell ref="G1:G3"/>
    <mergeCell ref="C14:C48"/>
    <mergeCell ref="D14:D48"/>
    <mergeCell ref="E14:E46"/>
    <mergeCell ref="F14:F48"/>
    <mergeCell ref="E47:E48"/>
    <mergeCell ref="C49:C163"/>
    <mergeCell ref="D49:D56"/>
    <mergeCell ref="E49:E98"/>
    <mergeCell ref="F49:F56"/>
    <mergeCell ref="D57:D63"/>
    <mergeCell ref="D85:D91"/>
    <mergeCell ref="F85:F91"/>
    <mergeCell ref="D92:D98"/>
    <mergeCell ref="F92:F98"/>
    <mergeCell ref="D99:D106"/>
    <mergeCell ref="E99:E106"/>
    <mergeCell ref="F99:F106"/>
    <mergeCell ref="F57:F63"/>
    <mergeCell ref="D64:D70"/>
    <mergeCell ref="F64:F70"/>
    <mergeCell ref="D71:D77"/>
    <mergeCell ref="F71:F77"/>
    <mergeCell ref="D78:D84"/>
    <mergeCell ref="F78:F84"/>
    <mergeCell ref="F136:F142"/>
    <mergeCell ref="D143:D149"/>
    <mergeCell ref="F143:F149"/>
    <mergeCell ref="D150:D156"/>
    <mergeCell ref="F150:F156"/>
    <mergeCell ref="D157:D163"/>
    <mergeCell ref="F157:F163"/>
    <mergeCell ref="D107:D114"/>
    <mergeCell ref="E107:E163"/>
    <mergeCell ref="F107:F114"/>
    <mergeCell ref="D115:D121"/>
    <mergeCell ref="F115:F121"/>
    <mergeCell ref="D122:D128"/>
    <mergeCell ref="F122:F128"/>
    <mergeCell ref="D129:D135"/>
    <mergeCell ref="F129:F135"/>
    <mergeCell ref="D136:D142"/>
    <mergeCell ref="D200:D204"/>
    <mergeCell ref="F200:F205"/>
    <mergeCell ref="D205:D213"/>
    <mergeCell ref="F206:F213"/>
    <mergeCell ref="D214:D220"/>
    <mergeCell ref="F214:F220"/>
    <mergeCell ref="D185:D189"/>
    <mergeCell ref="F185:F189"/>
    <mergeCell ref="D190:D194"/>
    <mergeCell ref="F190:F194"/>
    <mergeCell ref="D195:D199"/>
    <mergeCell ref="F195:F199"/>
    <mergeCell ref="E164:E225"/>
    <mergeCell ref="F164:F168"/>
    <mergeCell ref="D169:D173"/>
    <mergeCell ref="F169:F173"/>
    <mergeCell ref="D174:D179"/>
    <mergeCell ref="F174:F179"/>
    <mergeCell ref="D180:D184"/>
    <mergeCell ref="F180:F184"/>
    <mergeCell ref="D221:D225"/>
    <mergeCell ref="F221:F225"/>
    <mergeCell ref="B227:D227"/>
    <mergeCell ref="B228:E228"/>
    <mergeCell ref="B229:B264"/>
    <mergeCell ref="F229:F234"/>
    <mergeCell ref="C231:C232"/>
    <mergeCell ref="D231:D232"/>
    <mergeCell ref="E231:E232"/>
    <mergeCell ref="C233:C234"/>
    <mergeCell ref="C164:C226"/>
    <mergeCell ref="D164:D168"/>
    <mergeCell ref="C245:C254"/>
    <mergeCell ref="D245:D253"/>
    <mergeCell ref="E245:E253"/>
    <mergeCell ref="F245:F254"/>
    <mergeCell ref="C255:C262"/>
    <mergeCell ref="D255:D261"/>
    <mergeCell ref="E255:E261"/>
    <mergeCell ref="F255:F262"/>
    <mergeCell ref="D233:D234"/>
    <mergeCell ref="E233:E234"/>
    <mergeCell ref="C235:C244"/>
    <mergeCell ref="D235:D243"/>
    <mergeCell ref="E235:E243"/>
    <mergeCell ref="F235:F244"/>
    <mergeCell ref="C263:C264"/>
    <mergeCell ref="D263:D264"/>
    <mergeCell ref="E263:E264"/>
    <mergeCell ref="F263:F264"/>
    <mergeCell ref="B265:B266"/>
    <mergeCell ref="C265:C266"/>
    <mergeCell ref="D265:D266"/>
    <mergeCell ref="E265:E266"/>
    <mergeCell ref="F265:F266"/>
    <mergeCell ref="F269:F271"/>
    <mergeCell ref="B272:B278"/>
    <mergeCell ref="C272:C278"/>
    <mergeCell ref="D272:D278"/>
    <mergeCell ref="E272:E278"/>
    <mergeCell ref="F272:F278"/>
    <mergeCell ref="B267:D267"/>
    <mergeCell ref="B268:D268"/>
    <mergeCell ref="B269:B271"/>
    <mergeCell ref="C269:C271"/>
    <mergeCell ref="D269:D271"/>
    <mergeCell ref="E269:E271"/>
    <mergeCell ref="B292:B308"/>
    <mergeCell ref="C292:C297"/>
    <mergeCell ref="D292:D297"/>
    <mergeCell ref="E292:E297"/>
    <mergeCell ref="F292:F308"/>
    <mergeCell ref="C298:C308"/>
    <mergeCell ref="D298:D308"/>
    <mergeCell ref="E298:E308"/>
    <mergeCell ref="B279:B283"/>
    <mergeCell ref="C279:C283"/>
    <mergeCell ref="D279:D283"/>
    <mergeCell ref="E279:E283"/>
    <mergeCell ref="F279:F283"/>
    <mergeCell ref="B284:B291"/>
    <mergeCell ref="C284:C291"/>
    <mergeCell ref="D284:D290"/>
    <mergeCell ref="E284:E290"/>
    <mergeCell ref="F284:F290"/>
    <mergeCell ref="F318:F324"/>
    <mergeCell ref="B321:B324"/>
    <mergeCell ref="C323:C324"/>
    <mergeCell ref="B309:B312"/>
    <mergeCell ref="C309:C312"/>
    <mergeCell ref="D309:D312"/>
    <mergeCell ref="E309:E312"/>
    <mergeCell ref="F309:F312"/>
    <mergeCell ref="B313:B317"/>
    <mergeCell ref="C313:C317"/>
    <mergeCell ref="D313:D316"/>
    <mergeCell ref="E313:E316"/>
    <mergeCell ref="F313:F317"/>
    <mergeCell ref="B325:D325"/>
    <mergeCell ref="B326:D326"/>
    <mergeCell ref="B327:B346"/>
    <mergeCell ref="C327:C329"/>
    <mergeCell ref="D327:D329"/>
    <mergeCell ref="E327:E329"/>
    <mergeCell ref="B318:B320"/>
    <mergeCell ref="C318:C320"/>
    <mergeCell ref="D318:D320"/>
    <mergeCell ref="E318:E320"/>
    <mergeCell ref="F327:F329"/>
    <mergeCell ref="C330:C345"/>
    <mergeCell ref="D330:D338"/>
    <mergeCell ref="E330:E338"/>
    <mergeCell ref="F330:F350"/>
    <mergeCell ref="D339:D343"/>
    <mergeCell ref="E339:E343"/>
    <mergeCell ref="D344:D345"/>
    <mergeCell ref="E344:E345"/>
    <mergeCell ref="F351:F357"/>
    <mergeCell ref="D358:D364"/>
    <mergeCell ref="E358:E364"/>
    <mergeCell ref="F358:F364"/>
    <mergeCell ref="D365:D371"/>
    <mergeCell ref="E365:E371"/>
    <mergeCell ref="F365:F371"/>
    <mergeCell ref="B347:B350"/>
    <mergeCell ref="C347:C350"/>
    <mergeCell ref="D347:D350"/>
    <mergeCell ref="E347:E350"/>
    <mergeCell ref="B351:B401"/>
    <mergeCell ref="C351:C379"/>
    <mergeCell ref="D351:D357"/>
    <mergeCell ref="E351:E357"/>
    <mergeCell ref="D372:D378"/>
    <mergeCell ref="E372:E378"/>
    <mergeCell ref="F391:F394"/>
    <mergeCell ref="D396:D400"/>
    <mergeCell ref="E396:E400"/>
    <mergeCell ref="F396:F400"/>
    <mergeCell ref="B402:D402"/>
    <mergeCell ref="B403:D403"/>
    <mergeCell ref="F372:F379"/>
    <mergeCell ref="C380:C401"/>
    <mergeCell ref="D380:D385"/>
    <mergeCell ref="E380:E385"/>
    <mergeCell ref="F380:F385"/>
    <mergeCell ref="D386:D390"/>
    <mergeCell ref="E386:E390"/>
    <mergeCell ref="F386:F390"/>
    <mergeCell ref="D391:D394"/>
    <mergeCell ref="E391:E394"/>
    <mergeCell ref="F412:F416"/>
    <mergeCell ref="B418:D418"/>
    <mergeCell ref="B419:D419"/>
    <mergeCell ref="B421:D421"/>
    <mergeCell ref="B422:B426"/>
    <mergeCell ref="C422:C424"/>
    <mergeCell ref="D422:D424"/>
    <mergeCell ref="E422:E424"/>
    <mergeCell ref="F422:F424"/>
    <mergeCell ref="C425:C426"/>
    <mergeCell ref="B404:B417"/>
    <mergeCell ref="C404:C417"/>
    <mergeCell ref="D404:D408"/>
    <mergeCell ref="E404:E408"/>
    <mergeCell ref="F404:F408"/>
    <mergeCell ref="D409:D411"/>
    <mergeCell ref="E409:E411"/>
    <mergeCell ref="F409:F411"/>
    <mergeCell ref="D412:D416"/>
    <mergeCell ref="E412:E416"/>
    <mergeCell ref="B429:B432"/>
    <mergeCell ref="C429:C432"/>
    <mergeCell ref="E429:E432"/>
    <mergeCell ref="F429:F432"/>
    <mergeCell ref="D430:D432"/>
    <mergeCell ref="B433:D433"/>
    <mergeCell ref="D425:D426"/>
    <mergeCell ref="E425:E426"/>
    <mergeCell ref="F425:F428"/>
    <mergeCell ref="B427:B428"/>
    <mergeCell ref="C427:C428"/>
    <mergeCell ref="D427:D428"/>
    <mergeCell ref="E427:E428"/>
    <mergeCell ref="B441:B444"/>
    <mergeCell ref="D441:D442"/>
    <mergeCell ref="E441:E442"/>
    <mergeCell ref="F441:F445"/>
    <mergeCell ref="D443:D444"/>
    <mergeCell ref="E443:E444"/>
    <mergeCell ref="B434:D434"/>
    <mergeCell ref="F436:F440"/>
    <mergeCell ref="B437:B438"/>
    <mergeCell ref="C437:C438"/>
    <mergeCell ref="D437:D438"/>
    <mergeCell ref="E437:E438"/>
    <mergeCell ref="F448:F451"/>
    <mergeCell ref="D452:D453"/>
    <mergeCell ref="E452:E453"/>
    <mergeCell ref="F452:F453"/>
    <mergeCell ref="D454:D455"/>
    <mergeCell ref="E454:E455"/>
    <mergeCell ref="F454:F455"/>
    <mergeCell ref="B446:D446"/>
    <mergeCell ref="B447:D447"/>
    <mergeCell ref="B448:B460"/>
    <mergeCell ref="C448:C459"/>
    <mergeCell ref="D448:D451"/>
    <mergeCell ref="E448:E451"/>
    <mergeCell ref="D456:D457"/>
    <mergeCell ref="E456:E457"/>
    <mergeCell ref="B463:B472"/>
    <mergeCell ref="F463:F468"/>
    <mergeCell ref="C465:C468"/>
    <mergeCell ref="D465:D468"/>
    <mergeCell ref="E465:E468"/>
    <mergeCell ref="F469:F472"/>
    <mergeCell ref="F456:F457"/>
    <mergeCell ref="D458:D459"/>
    <mergeCell ref="E458:E459"/>
    <mergeCell ref="F458:F459"/>
    <mergeCell ref="B461:D461"/>
    <mergeCell ref="B462:D462"/>
    <mergeCell ref="B480:B485"/>
    <mergeCell ref="C480:C485"/>
    <mergeCell ref="D480:D481"/>
    <mergeCell ref="E480:E481"/>
    <mergeCell ref="F480:F486"/>
    <mergeCell ref="D482:D485"/>
    <mergeCell ref="E482:E485"/>
    <mergeCell ref="B473:D473"/>
    <mergeCell ref="B474:D474"/>
    <mergeCell ref="B476:B479"/>
    <mergeCell ref="C476:C479"/>
    <mergeCell ref="F476:F479"/>
    <mergeCell ref="D477:D479"/>
    <mergeCell ref="E477:E479"/>
    <mergeCell ref="B489:G489"/>
    <mergeCell ref="H489:M489"/>
    <mergeCell ref="N489:S489"/>
    <mergeCell ref="B490:F490"/>
    <mergeCell ref="H490:M490"/>
    <mergeCell ref="N490:S490"/>
    <mergeCell ref="B487:D487"/>
    <mergeCell ref="H487:M487"/>
    <mergeCell ref="N487:S487"/>
    <mergeCell ref="B488:D488"/>
    <mergeCell ref="H488:M488"/>
    <mergeCell ref="N488:S488"/>
    <mergeCell ref="B491:B492"/>
    <mergeCell ref="C491:C492"/>
    <mergeCell ref="F491:F494"/>
    <mergeCell ref="B495:B501"/>
    <mergeCell ref="C495:C508"/>
    <mergeCell ref="D495:D500"/>
    <mergeCell ref="E495:E508"/>
    <mergeCell ref="F495:F508"/>
    <mergeCell ref="D501:D508"/>
    <mergeCell ref="B502:B505"/>
    <mergeCell ref="B506:B508"/>
    <mergeCell ref="B509:B513"/>
    <mergeCell ref="C509:C529"/>
    <mergeCell ref="E509:E518"/>
    <mergeCell ref="F509:F529"/>
    <mergeCell ref="D510:D513"/>
    <mergeCell ref="B514:B529"/>
    <mergeCell ref="D514:D518"/>
    <mergeCell ref="D519:D523"/>
    <mergeCell ref="E519:E523"/>
    <mergeCell ref="F534:F536"/>
    <mergeCell ref="B537:D537"/>
    <mergeCell ref="B538:D538"/>
    <mergeCell ref="B539:B543"/>
    <mergeCell ref="C539:C543"/>
    <mergeCell ref="F541:F543"/>
    <mergeCell ref="D524:D529"/>
    <mergeCell ref="E524:E529"/>
    <mergeCell ref="B530:D530"/>
    <mergeCell ref="B531:D531"/>
    <mergeCell ref="B532:B533"/>
    <mergeCell ref="C532:C536"/>
    <mergeCell ref="B534:B536"/>
    <mergeCell ref="B554:D554"/>
    <mergeCell ref="B555:B559"/>
    <mergeCell ref="C555:C559"/>
    <mergeCell ref="D555:D558"/>
    <mergeCell ref="E555:E558"/>
    <mergeCell ref="F555:F558"/>
    <mergeCell ref="B544:D544"/>
    <mergeCell ref="B545:D545"/>
    <mergeCell ref="B546:B551"/>
    <mergeCell ref="C546:C552"/>
    <mergeCell ref="F546:F551"/>
    <mergeCell ref="B553:D553"/>
    <mergeCell ref="B586:D586"/>
    <mergeCell ref="B587:D587"/>
    <mergeCell ref="B588:D588"/>
    <mergeCell ref="B560:D560"/>
    <mergeCell ref="B561:D561"/>
    <mergeCell ref="B562:D562"/>
    <mergeCell ref="B564:B585"/>
    <mergeCell ref="C564:C585"/>
    <mergeCell ref="D564:D565"/>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08645-B197-47C3-9DD0-8FDA1E3FA338}">
  <sheetPr>
    <tabColor rgb="FF00B050"/>
  </sheetPr>
  <dimension ref="B1:D31"/>
  <sheetViews>
    <sheetView workbookViewId="0">
      <pane xSplit="2" ySplit="1" topLeftCell="C10" activePane="bottomRight" state="frozen"/>
      <selection pane="topRight" activeCell="C1" sqref="C1"/>
      <selection pane="bottomLeft" activeCell="A2" sqref="A2"/>
      <selection pane="bottomRight" activeCell="C18" sqref="C18"/>
    </sheetView>
  </sheetViews>
  <sheetFormatPr baseColWidth="10" defaultRowHeight="18"/>
  <cols>
    <col min="1" max="1" width="15.88671875" style="232" customWidth="1"/>
    <col min="2" max="2" width="2.6640625" style="232" bestFit="1" customWidth="1"/>
    <col min="3" max="3" width="23.21875" style="232" customWidth="1"/>
    <col min="4" max="4" width="162.77734375" style="232" customWidth="1"/>
    <col min="5" max="16384" width="11.5546875" style="232"/>
  </cols>
  <sheetData>
    <row r="1" spans="2:4" ht="36.6" hidden="1" customHeight="1" thickBot="1">
      <c r="B1" s="997" t="s">
        <v>1306</v>
      </c>
      <c r="C1" s="998"/>
    </row>
    <row r="2" spans="2:4" ht="18.600000000000001" hidden="1" thickBot="1">
      <c r="B2" s="233" t="s">
        <v>1237</v>
      </c>
      <c r="C2" s="234" t="s">
        <v>1307</v>
      </c>
    </row>
    <row r="3" spans="2:4" ht="18.600000000000001" hidden="1" thickBot="1">
      <c r="B3" s="233" t="s">
        <v>1238</v>
      </c>
      <c r="C3" s="234" t="s">
        <v>1308</v>
      </c>
    </row>
    <row r="4" spans="2:4" ht="18.600000000000001" hidden="1" thickBot="1">
      <c r="B4" s="233" t="s">
        <v>1239</v>
      </c>
      <c r="C4" s="234" t="s">
        <v>1240</v>
      </c>
    </row>
    <row r="5" spans="2:4" ht="18.600000000000001" hidden="1" thickBot="1">
      <c r="B5" s="233" t="s">
        <v>1241</v>
      </c>
      <c r="C5" s="235" t="s">
        <v>1331</v>
      </c>
    </row>
    <row r="6" spans="2:4" ht="18.600000000000001" hidden="1" thickBot="1">
      <c r="B6" s="233" t="s">
        <v>1332</v>
      </c>
      <c r="C6" s="235" t="s">
        <v>1333</v>
      </c>
    </row>
    <row r="7" spans="2:4" hidden="1"/>
    <row r="8" spans="2:4" hidden="1"/>
    <row r="9" spans="2:4" ht="18.600000000000001" hidden="1" thickBot="1"/>
    <row r="10" spans="2:4" ht="18.600000000000001" thickBot="1">
      <c r="C10" s="630" t="s">
        <v>1878</v>
      </c>
      <c r="D10" s="631" t="s">
        <v>1879</v>
      </c>
    </row>
    <row r="11" spans="2:4" ht="18.600000000000001" thickBot="1">
      <c r="C11" s="999" t="s">
        <v>1880</v>
      </c>
      <c r="D11" s="1000"/>
    </row>
    <row r="12" spans="2:4" ht="25.8" customHeight="1" thickBot="1">
      <c r="C12" s="589" t="s">
        <v>1881</v>
      </c>
      <c r="D12" s="592" t="s">
        <v>1898</v>
      </c>
    </row>
    <row r="13" spans="2:4" ht="18.600000000000001" thickBot="1">
      <c r="C13" s="590" t="s">
        <v>1882</v>
      </c>
      <c r="D13" s="591" t="s">
        <v>1883</v>
      </c>
    </row>
    <row r="14" spans="2:4" ht="26.4" customHeight="1" thickBot="1">
      <c r="C14" s="589" t="s">
        <v>1884</v>
      </c>
      <c r="D14" s="592" t="s">
        <v>1898</v>
      </c>
    </row>
    <row r="15" spans="2:4" ht="18.600000000000001" thickBot="1">
      <c r="C15" s="590" t="s">
        <v>2002</v>
      </c>
      <c r="D15" s="591" t="s">
        <v>1886</v>
      </c>
    </row>
    <row r="16" spans="2:4" ht="19.2" customHeight="1" thickBot="1">
      <c r="C16" s="593" t="s">
        <v>2003</v>
      </c>
      <c r="D16" s="594" t="s">
        <v>1899</v>
      </c>
    </row>
    <row r="17" spans="3:4" ht="28.2" customHeight="1" thickBot="1">
      <c r="C17" s="1001" t="s">
        <v>1900</v>
      </c>
      <c r="D17" s="1002"/>
    </row>
    <row r="18" spans="3:4" ht="22.2" customHeight="1" thickBot="1">
      <c r="C18" s="595" t="s">
        <v>2004</v>
      </c>
      <c r="D18" s="596" t="s">
        <v>1901</v>
      </c>
    </row>
    <row r="19" spans="3:4" ht="18.600000000000001" thickBot="1">
      <c r="C19" s="590" t="s">
        <v>1888</v>
      </c>
      <c r="D19" s="591" t="s">
        <v>1883</v>
      </c>
    </row>
    <row r="20" spans="3:4" ht="27.6" customHeight="1" thickBot="1">
      <c r="C20" s="589" t="s">
        <v>1889</v>
      </c>
      <c r="D20" s="592" t="s">
        <v>1902</v>
      </c>
    </row>
    <row r="21" spans="3:4" ht="18.600000000000001" thickBot="1">
      <c r="C21" s="590" t="s">
        <v>1890</v>
      </c>
      <c r="D21" s="591" t="s">
        <v>1886</v>
      </c>
    </row>
    <row r="22" spans="3:4">
      <c r="C22" s="1003" t="s">
        <v>1891</v>
      </c>
      <c r="D22" s="597" t="s">
        <v>1903</v>
      </c>
    </row>
    <row r="23" spans="3:4" ht="16.8" customHeight="1" thickBot="1">
      <c r="C23" s="1004"/>
      <c r="D23" s="594" t="s">
        <v>1904</v>
      </c>
    </row>
    <row r="24" spans="3:4" ht="18.600000000000001" thickBot="1">
      <c r="C24" s="1005" t="s">
        <v>1892</v>
      </c>
      <c r="D24" s="1006"/>
    </row>
    <row r="25" spans="3:4" ht="21" customHeight="1" thickBot="1">
      <c r="C25" s="593" t="s">
        <v>1893</v>
      </c>
      <c r="D25" s="594" t="s">
        <v>1905</v>
      </c>
    </row>
    <row r="26" spans="3:4" ht="18.600000000000001" thickBot="1">
      <c r="C26" s="590" t="s">
        <v>1882</v>
      </c>
      <c r="D26" s="591" t="s">
        <v>1894</v>
      </c>
    </row>
    <row r="27" spans="3:4" ht="23.4" customHeight="1" thickBot="1">
      <c r="C27" s="593" t="s">
        <v>1884</v>
      </c>
      <c r="D27" s="594" t="s">
        <v>1906</v>
      </c>
    </row>
    <row r="28" spans="3:4" ht="18.600000000000001" thickBot="1">
      <c r="C28" s="590" t="s">
        <v>1885</v>
      </c>
      <c r="D28" s="591" t="s">
        <v>1886</v>
      </c>
    </row>
    <row r="29" spans="3:4" ht="23.4" customHeight="1" thickBot="1">
      <c r="C29" s="593" t="s">
        <v>1887</v>
      </c>
      <c r="D29" s="594" t="s">
        <v>1907</v>
      </c>
    </row>
    <row r="30" spans="3:4" ht="18.600000000000001" thickBot="1">
      <c r="C30" s="995" t="s">
        <v>1895</v>
      </c>
      <c r="D30" s="996"/>
    </row>
    <row r="31" spans="3:4" ht="18.600000000000001" thickBot="1">
      <c r="C31" s="995" t="s">
        <v>1896</v>
      </c>
      <c r="D31" s="996"/>
    </row>
  </sheetData>
  <mergeCells count="7">
    <mergeCell ref="C30:D30"/>
    <mergeCell ref="C31:D31"/>
    <mergeCell ref="B1:C1"/>
    <mergeCell ref="C11:D11"/>
    <mergeCell ref="C17:D17"/>
    <mergeCell ref="C22:C23"/>
    <mergeCell ref="C24:D24"/>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8FA1A-E749-4EDE-AB38-55CBE2918655}">
  <dimension ref="B1:I153"/>
  <sheetViews>
    <sheetView workbookViewId="0">
      <selection activeCell="B14" sqref="B14:B36"/>
    </sheetView>
  </sheetViews>
  <sheetFormatPr baseColWidth="10" defaultRowHeight="21.6"/>
  <cols>
    <col min="1" max="1" width="17.6640625" style="1" customWidth="1"/>
    <col min="2" max="2" width="24.33203125" style="210" customWidth="1"/>
    <col min="3" max="3" width="35.33203125" style="211" customWidth="1"/>
    <col min="4" max="4" width="8.6640625" style="212" customWidth="1"/>
    <col min="5" max="5" width="11.44140625" style="213" bestFit="1" customWidth="1"/>
    <col min="6" max="6" width="14.88671875" style="212" customWidth="1"/>
    <col min="7" max="7" width="42.5546875" style="1" customWidth="1"/>
    <col min="8" max="252" width="11.5546875" style="1"/>
    <col min="253" max="253" width="17.6640625" style="1" customWidth="1"/>
    <col min="254" max="254" width="24.33203125" style="1" customWidth="1"/>
    <col min="255" max="255" width="35.33203125" style="1" customWidth="1"/>
    <col min="256" max="256" width="8.6640625" style="1" customWidth="1"/>
    <col min="257" max="257" width="13.5546875" style="1" bestFit="1" customWidth="1"/>
    <col min="258" max="258" width="9.88671875" style="1" customWidth="1"/>
    <col min="259" max="259" width="14.88671875" style="1" customWidth="1"/>
    <col min="260" max="261" width="9.88671875" style="1" bestFit="1" customWidth="1"/>
    <col min="262" max="262" width="18.109375" style="1" bestFit="1" customWidth="1"/>
    <col min="263" max="508" width="11.5546875" style="1"/>
    <col min="509" max="509" width="17.6640625" style="1" customWidth="1"/>
    <col min="510" max="510" width="24.33203125" style="1" customWidth="1"/>
    <col min="511" max="511" width="35.33203125" style="1" customWidth="1"/>
    <col min="512" max="512" width="8.6640625" style="1" customWidth="1"/>
    <col min="513" max="513" width="13.5546875" style="1" bestFit="1" customWidth="1"/>
    <col min="514" max="514" width="9.88671875" style="1" customWidth="1"/>
    <col min="515" max="515" width="14.88671875" style="1" customWidth="1"/>
    <col min="516" max="517" width="9.88671875" style="1" bestFit="1" customWidth="1"/>
    <col min="518" max="518" width="18.109375" style="1" bestFit="1" customWidth="1"/>
    <col min="519" max="764" width="11.5546875" style="1"/>
    <col min="765" max="765" width="17.6640625" style="1" customWidth="1"/>
    <col min="766" max="766" width="24.33203125" style="1" customWidth="1"/>
    <col min="767" max="767" width="35.33203125" style="1" customWidth="1"/>
    <col min="768" max="768" width="8.6640625" style="1" customWidth="1"/>
    <col min="769" max="769" width="13.5546875" style="1" bestFit="1" customWidth="1"/>
    <col min="770" max="770" width="9.88671875" style="1" customWidth="1"/>
    <col min="771" max="771" width="14.88671875" style="1" customWidth="1"/>
    <col min="772" max="773" width="9.88671875" style="1" bestFit="1" customWidth="1"/>
    <col min="774" max="774" width="18.109375" style="1" bestFit="1" customWidth="1"/>
    <col min="775" max="1020" width="11.5546875" style="1"/>
    <col min="1021" max="1021" width="17.6640625" style="1" customWidth="1"/>
    <col min="1022" max="1022" width="24.33203125" style="1" customWidth="1"/>
    <col min="1023" max="1023" width="35.33203125" style="1" customWidth="1"/>
    <col min="1024" max="1024" width="8.6640625" style="1" customWidth="1"/>
    <col min="1025" max="1025" width="13.5546875" style="1" bestFit="1" customWidth="1"/>
    <col min="1026" max="1026" width="9.88671875" style="1" customWidth="1"/>
    <col min="1027" max="1027" width="14.88671875" style="1" customWidth="1"/>
    <col min="1028" max="1029" width="9.88671875" style="1" bestFit="1" customWidth="1"/>
    <col min="1030" max="1030" width="18.109375" style="1" bestFit="1" customWidth="1"/>
    <col min="1031" max="1276" width="11.5546875" style="1"/>
    <col min="1277" max="1277" width="17.6640625" style="1" customWidth="1"/>
    <col min="1278" max="1278" width="24.33203125" style="1" customWidth="1"/>
    <col min="1279" max="1279" width="35.33203125" style="1" customWidth="1"/>
    <col min="1280" max="1280" width="8.6640625" style="1" customWidth="1"/>
    <col min="1281" max="1281" width="13.5546875" style="1" bestFit="1" customWidth="1"/>
    <col min="1282" max="1282" width="9.88671875" style="1" customWidth="1"/>
    <col min="1283" max="1283" width="14.88671875" style="1" customWidth="1"/>
    <col min="1284" max="1285" width="9.88671875" style="1" bestFit="1" customWidth="1"/>
    <col min="1286" max="1286" width="18.109375" style="1" bestFit="1" customWidth="1"/>
    <col min="1287" max="1532" width="11.5546875" style="1"/>
    <col min="1533" max="1533" width="17.6640625" style="1" customWidth="1"/>
    <col min="1534" max="1534" width="24.33203125" style="1" customWidth="1"/>
    <col min="1535" max="1535" width="35.33203125" style="1" customWidth="1"/>
    <col min="1536" max="1536" width="8.6640625" style="1" customWidth="1"/>
    <col min="1537" max="1537" width="13.5546875" style="1" bestFit="1" customWidth="1"/>
    <col min="1538" max="1538" width="9.88671875" style="1" customWidth="1"/>
    <col min="1539" max="1539" width="14.88671875" style="1" customWidth="1"/>
    <col min="1540" max="1541" width="9.88671875" style="1" bestFit="1" customWidth="1"/>
    <col min="1542" max="1542" width="18.109375" style="1" bestFit="1" customWidth="1"/>
    <col min="1543" max="1788" width="11.5546875" style="1"/>
    <col min="1789" max="1789" width="17.6640625" style="1" customWidth="1"/>
    <col min="1790" max="1790" width="24.33203125" style="1" customWidth="1"/>
    <col min="1791" max="1791" width="35.33203125" style="1" customWidth="1"/>
    <col min="1792" max="1792" width="8.6640625" style="1" customWidth="1"/>
    <col min="1793" max="1793" width="13.5546875" style="1" bestFit="1" customWidth="1"/>
    <col min="1794" max="1794" width="9.88671875" style="1" customWidth="1"/>
    <col min="1795" max="1795" width="14.88671875" style="1" customWidth="1"/>
    <col min="1796" max="1797" width="9.88671875" style="1" bestFit="1" customWidth="1"/>
    <col min="1798" max="1798" width="18.109375" style="1" bestFit="1" customWidth="1"/>
    <col min="1799" max="2044" width="11.5546875" style="1"/>
    <col min="2045" max="2045" width="17.6640625" style="1" customWidth="1"/>
    <col min="2046" max="2046" width="24.33203125" style="1" customWidth="1"/>
    <col min="2047" max="2047" width="35.33203125" style="1" customWidth="1"/>
    <col min="2048" max="2048" width="8.6640625" style="1" customWidth="1"/>
    <col min="2049" max="2049" width="13.5546875" style="1" bestFit="1" customWidth="1"/>
    <col min="2050" max="2050" width="9.88671875" style="1" customWidth="1"/>
    <col min="2051" max="2051" width="14.88671875" style="1" customWidth="1"/>
    <col min="2052" max="2053" width="9.88671875" style="1" bestFit="1" customWidth="1"/>
    <col min="2054" max="2054" width="18.109375" style="1" bestFit="1" customWidth="1"/>
    <col min="2055" max="2300" width="11.5546875" style="1"/>
    <col min="2301" max="2301" width="17.6640625" style="1" customWidth="1"/>
    <col min="2302" max="2302" width="24.33203125" style="1" customWidth="1"/>
    <col min="2303" max="2303" width="35.33203125" style="1" customWidth="1"/>
    <col min="2304" max="2304" width="8.6640625" style="1" customWidth="1"/>
    <col min="2305" max="2305" width="13.5546875" style="1" bestFit="1" customWidth="1"/>
    <col min="2306" max="2306" width="9.88671875" style="1" customWidth="1"/>
    <col min="2307" max="2307" width="14.88671875" style="1" customWidth="1"/>
    <col min="2308" max="2309" width="9.88671875" style="1" bestFit="1" customWidth="1"/>
    <col min="2310" max="2310" width="18.109375" style="1" bestFit="1" customWidth="1"/>
    <col min="2311" max="2556" width="11.5546875" style="1"/>
    <col min="2557" max="2557" width="17.6640625" style="1" customWidth="1"/>
    <col min="2558" max="2558" width="24.33203125" style="1" customWidth="1"/>
    <col min="2559" max="2559" width="35.33203125" style="1" customWidth="1"/>
    <col min="2560" max="2560" width="8.6640625" style="1" customWidth="1"/>
    <col min="2561" max="2561" width="13.5546875" style="1" bestFit="1" customWidth="1"/>
    <col min="2562" max="2562" width="9.88671875" style="1" customWidth="1"/>
    <col min="2563" max="2563" width="14.88671875" style="1" customWidth="1"/>
    <col min="2564" max="2565" width="9.88671875" style="1" bestFit="1" customWidth="1"/>
    <col min="2566" max="2566" width="18.109375" style="1" bestFit="1" customWidth="1"/>
    <col min="2567" max="2812" width="11.5546875" style="1"/>
    <col min="2813" max="2813" width="17.6640625" style="1" customWidth="1"/>
    <col min="2814" max="2814" width="24.33203125" style="1" customWidth="1"/>
    <col min="2815" max="2815" width="35.33203125" style="1" customWidth="1"/>
    <col min="2816" max="2816" width="8.6640625" style="1" customWidth="1"/>
    <col min="2817" max="2817" width="13.5546875" style="1" bestFit="1" customWidth="1"/>
    <col min="2818" max="2818" width="9.88671875" style="1" customWidth="1"/>
    <col min="2819" max="2819" width="14.88671875" style="1" customWidth="1"/>
    <col min="2820" max="2821" width="9.88671875" style="1" bestFit="1" customWidth="1"/>
    <col min="2822" max="2822" width="18.109375" style="1" bestFit="1" customWidth="1"/>
    <col min="2823" max="3068" width="11.5546875" style="1"/>
    <col min="3069" max="3069" width="17.6640625" style="1" customWidth="1"/>
    <col min="3070" max="3070" width="24.33203125" style="1" customWidth="1"/>
    <col min="3071" max="3071" width="35.33203125" style="1" customWidth="1"/>
    <col min="3072" max="3072" width="8.6640625" style="1" customWidth="1"/>
    <col min="3073" max="3073" width="13.5546875" style="1" bestFit="1" customWidth="1"/>
    <col min="3074" max="3074" width="9.88671875" style="1" customWidth="1"/>
    <col min="3075" max="3075" width="14.88671875" style="1" customWidth="1"/>
    <col min="3076" max="3077" width="9.88671875" style="1" bestFit="1" customWidth="1"/>
    <col min="3078" max="3078" width="18.109375" style="1" bestFit="1" customWidth="1"/>
    <col min="3079" max="3324" width="11.5546875" style="1"/>
    <col min="3325" max="3325" width="17.6640625" style="1" customWidth="1"/>
    <col min="3326" max="3326" width="24.33203125" style="1" customWidth="1"/>
    <col min="3327" max="3327" width="35.33203125" style="1" customWidth="1"/>
    <col min="3328" max="3328" width="8.6640625" style="1" customWidth="1"/>
    <col min="3329" max="3329" width="13.5546875" style="1" bestFit="1" customWidth="1"/>
    <col min="3330" max="3330" width="9.88671875" style="1" customWidth="1"/>
    <col min="3331" max="3331" width="14.88671875" style="1" customWidth="1"/>
    <col min="3332" max="3333" width="9.88671875" style="1" bestFit="1" customWidth="1"/>
    <col min="3334" max="3334" width="18.109375" style="1" bestFit="1" customWidth="1"/>
    <col min="3335" max="3580" width="11.5546875" style="1"/>
    <col min="3581" max="3581" width="17.6640625" style="1" customWidth="1"/>
    <col min="3582" max="3582" width="24.33203125" style="1" customWidth="1"/>
    <col min="3583" max="3583" width="35.33203125" style="1" customWidth="1"/>
    <col min="3584" max="3584" width="8.6640625" style="1" customWidth="1"/>
    <col min="3585" max="3585" width="13.5546875" style="1" bestFit="1" customWidth="1"/>
    <col min="3586" max="3586" width="9.88671875" style="1" customWidth="1"/>
    <col min="3587" max="3587" width="14.88671875" style="1" customWidth="1"/>
    <col min="3588" max="3589" width="9.88671875" style="1" bestFit="1" customWidth="1"/>
    <col min="3590" max="3590" width="18.109375" style="1" bestFit="1" customWidth="1"/>
    <col min="3591" max="3836" width="11.5546875" style="1"/>
    <col min="3837" max="3837" width="17.6640625" style="1" customWidth="1"/>
    <col min="3838" max="3838" width="24.33203125" style="1" customWidth="1"/>
    <col min="3839" max="3839" width="35.33203125" style="1" customWidth="1"/>
    <col min="3840" max="3840" width="8.6640625" style="1" customWidth="1"/>
    <col min="3841" max="3841" width="13.5546875" style="1" bestFit="1" customWidth="1"/>
    <col min="3842" max="3842" width="9.88671875" style="1" customWidth="1"/>
    <col min="3843" max="3843" width="14.88671875" style="1" customWidth="1"/>
    <col min="3844" max="3845" width="9.88671875" style="1" bestFit="1" customWidth="1"/>
    <col min="3846" max="3846" width="18.109375" style="1" bestFit="1" customWidth="1"/>
    <col min="3847" max="4092" width="11.5546875" style="1"/>
    <col min="4093" max="4093" width="17.6640625" style="1" customWidth="1"/>
    <col min="4094" max="4094" width="24.33203125" style="1" customWidth="1"/>
    <col min="4095" max="4095" width="35.33203125" style="1" customWidth="1"/>
    <col min="4096" max="4096" width="8.6640625" style="1" customWidth="1"/>
    <col min="4097" max="4097" width="13.5546875" style="1" bestFit="1" customWidth="1"/>
    <col min="4098" max="4098" width="9.88671875" style="1" customWidth="1"/>
    <col min="4099" max="4099" width="14.88671875" style="1" customWidth="1"/>
    <col min="4100" max="4101" width="9.88671875" style="1" bestFit="1" customWidth="1"/>
    <col min="4102" max="4102" width="18.109375" style="1" bestFit="1" customWidth="1"/>
    <col min="4103" max="4348" width="11.5546875" style="1"/>
    <col min="4349" max="4349" width="17.6640625" style="1" customWidth="1"/>
    <col min="4350" max="4350" width="24.33203125" style="1" customWidth="1"/>
    <col min="4351" max="4351" width="35.33203125" style="1" customWidth="1"/>
    <col min="4352" max="4352" width="8.6640625" style="1" customWidth="1"/>
    <col min="4353" max="4353" width="13.5546875" style="1" bestFit="1" customWidth="1"/>
    <col min="4354" max="4354" width="9.88671875" style="1" customWidth="1"/>
    <col min="4355" max="4355" width="14.88671875" style="1" customWidth="1"/>
    <col min="4356" max="4357" width="9.88671875" style="1" bestFit="1" customWidth="1"/>
    <col min="4358" max="4358" width="18.109375" style="1" bestFit="1" customWidth="1"/>
    <col min="4359" max="4604" width="11.5546875" style="1"/>
    <col min="4605" max="4605" width="17.6640625" style="1" customWidth="1"/>
    <col min="4606" max="4606" width="24.33203125" style="1" customWidth="1"/>
    <col min="4607" max="4607" width="35.33203125" style="1" customWidth="1"/>
    <col min="4608" max="4608" width="8.6640625" style="1" customWidth="1"/>
    <col min="4609" max="4609" width="13.5546875" style="1" bestFit="1" customWidth="1"/>
    <col min="4610" max="4610" width="9.88671875" style="1" customWidth="1"/>
    <col min="4611" max="4611" width="14.88671875" style="1" customWidth="1"/>
    <col min="4612" max="4613" width="9.88671875" style="1" bestFit="1" customWidth="1"/>
    <col min="4614" max="4614" width="18.109375" style="1" bestFit="1" customWidth="1"/>
    <col min="4615" max="4860" width="11.5546875" style="1"/>
    <col min="4861" max="4861" width="17.6640625" style="1" customWidth="1"/>
    <col min="4862" max="4862" width="24.33203125" style="1" customWidth="1"/>
    <col min="4863" max="4863" width="35.33203125" style="1" customWidth="1"/>
    <col min="4864" max="4864" width="8.6640625" style="1" customWidth="1"/>
    <col min="4865" max="4865" width="13.5546875" style="1" bestFit="1" customWidth="1"/>
    <col min="4866" max="4866" width="9.88671875" style="1" customWidth="1"/>
    <col min="4867" max="4867" width="14.88671875" style="1" customWidth="1"/>
    <col min="4868" max="4869" width="9.88671875" style="1" bestFit="1" customWidth="1"/>
    <col min="4870" max="4870" width="18.109375" style="1" bestFit="1" customWidth="1"/>
    <col min="4871" max="5116" width="11.5546875" style="1"/>
    <col min="5117" max="5117" width="17.6640625" style="1" customWidth="1"/>
    <col min="5118" max="5118" width="24.33203125" style="1" customWidth="1"/>
    <col min="5119" max="5119" width="35.33203125" style="1" customWidth="1"/>
    <col min="5120" max="5120" width="8.6640625" style="1" customWidth="1"/>
    <col min="5121" max="5121" width="13.5546875" style="1" bestFit="1" customWidth="1"/>
    <col min="5122" max="5122" width="9.88671875" style="1" customWidth="1"/>
    <col min="5123" max="5123" width="14.88671875" style="1" customWidth="1"/>
    <col min="5124" max="5125" width="9.88671875" style="1" bestFit="1" customWidth="1"/>
    <col min="5126" max="5126" width="18.109375" style="1" bestFit="1" customWidth="1"/>
    <col min="5127" max="5372" width="11.5546875" style="1"/>
    <col min="5373" max="5373" width="17.6640625" style="1" customWidth="1"/>
    <col min="5374" max="5374" width="24.33203125" style="1" customWidth="1"/>
    <col min="5375" max="5375" width="35.33203125" style="1" customWidth="1"/>
    <col min="5376" max="5376" width="8.6640625" style="1" customWidth="1"/>
    <col min="5377" max="5377" width="13.5546875" style="1" bestFit="1" customWidth="1"/>
    <col min="5378" max="5378" width="9.88671875" style="1" customWidth="1"/>
    <col min="5379" max="5379" width="14.88671875" style="1" customWidth="1"/>
    <col min="5380" max="5381" width="9.88671875" style="1" bestFit="1" customWidth="1"/>
    <col min="5382" max="5382" width="18.109375" style="1" bestFit="1" customWidth="1"/>
    <col min="5383" max="5628" width="11.5546875" style="1"/>
    <col min="5629" max="5629" width="17.6640625" style="1" customWidth="1"/>
    <col min="5630" max="5630" width="24.33203125" style="1" customWidth="1"/>
    <col min="5631" max="5631" width="35.33203125" style="1" customWidth="1"/>
    <col min="5632" max="5632" width="8.6640625" style="1" customWidth="1"/>
    <col min="5633" max="5633" width="13.5546875" style="1" bestFit="1" customWidth="1"/>
    <col min="5634" max="5634" width="9.88671875" style="1" customWidth="1"/>
    <col min="5635" max="5635" width="14.88671875" style="1" customWidth="1"/>
    <col min="5636" max="5637" width="9.88671875" style="1" bestFit="1" customWidth="1"/>
    <col min="5638" max="5638" width="18.109375" style="1" bestFit="1" customWidth="1"/>
    <col min="5639" max="5884" width="11.5546875" style="1"/>
    <col min="5885" max="5885" width="17.6640625" style="1" customWidth="1"/>
    <col min="5886" max="5886" width="24.33203125" style="1" customWidth="1"/>
    <col min="5887" max="5887" width="35.33203125" style="1" customWidth="1"/>
    <col min="5888" max="5888" width="8.6640625" style="1" customWidth="1"/>
    <col min="5889" max="5889" width="13.5546875" style="1" bestFit="1" customWidth="1"/>
    <col min="5890" max="5890" width="9.88671875" style="1" customWidth="1"/>
    <col min="5891" max="5891" width="14.88671875" style="1" customWidth="1"/>
    <col min="5892" max="5893" width="9.88671875" style="1" bestFit="1" customWidth="1"/>
    <col min="5894" max="5894" width="18.109375" style="1" bestFit="1" customWidth="1"/>
    <col min="5895" max="6140" width="11.5546875" style="1"/>
    <col min="6141" max="6141" width="17.6640625" style="1" customWidth="1"/>
    <col min="6142" max="6142" width="24.33203125" style="1" customWidth="1"/>
    <col min="6143" max="6143" width="35.33203125" style="1" customWidth="1"/>
    <col min="6144" max="6144" width="8.6640625" style="1" customWidth="1"/>
    <col min="6145" max="6145" width="13.5546875" style="1" bestFit="1" customWidth="1"/>
    <col min="6146" max="6146" width="9.88671875" style="1" customWidth="1"/>
    <col min="6147" max="6147" width="14.88671875" style="1" customWidth="1"/>
    <col min="6148" max="6149" width="9.88671875" style="1" bestFit="1" customWidth="1"/>
    <col min="6150" max="6150" width="18.109375" style="1" bestFit="1" customWidth="1"/>
    <col min="6151" max="6396" width="11.5546875" style="1"/>
    <col min="6397" max="6397" width="17.6640625" style="1" customWidth="1"/>
    <col min="6398" max="6398" width="24.33203125" style="1" customWidth="1"/>
    <col min="6399" max="6399" width="35.33203125" style="1" customWidth="1"/>
    <col min="6400" max="6400" width="8.6640625" style="1" customWidth="1"/>
    <col min="6401" max="6401" width="13.5546875" style="1" bestFit="1" customWidth="1"/>
    <col min="6402" max="6402" width="9.88671875" style="1" customWidth="1"/>
    <col min="6403" max="6403" width="14.88671875" style="1" customWidth="1"/>
    <col min="6404" max="6405" width="9.88671875" style="1" bestFit="1" customWidth="1"/>
    <col min="6406" max="6406" width="18.109375" style="1" bestFit="1" customWidth="1"/>
    <col min="6407" max="6652" width="11.5546875" style="1"/>
    <col min="6653" max="6653" width="17.6640625" style="1" customWidth="1"/>
    <col min="6654" max="6654" width="24.33203125" style="1" customWidth="1"/>
    <col min="6655" max="6655" width="35.33203125" style="1" customWidth="1"/>
    <col min="6656" max="6656" width="8.6640625" style="1" customWidth="1"/>
    <col min="6657" max="6657" width="13.5546875" style="1" bestFit="1" customWidth="1"/>
    <col min="6658" max="6658" width="9.88671875" style="1" customWidth="1"/>
    <col min="6659" max="6659" width="14.88671875" style="1" customWidth="1"/>
    <col min="6660" max="6661" width="9.88671875" style="1" bestFit="1" customWidth="1"/>
    <col min="6662" max="6662" width="18.109375" style="1" bestFit="1" customWidth="1"/>
    <col min="6663" max="6908" width="11.5546875" style="1"/>
    <col min="6909" max="6909" width="17.6640625" style="1" customWidth="1"/>
    <col min="6910" max="6910" width="24.33203125" style="1" customWidth="1"/>
    <col min="6911" max="6911" width="35.33203125" style="1" customWidth="1"/>
    <col min="6912" max="6912" width="8.6640625" style="1" customWidth="1"/>
    <col min="6913" max="6913" width="13.5546875" style="1" bestFit="1" customWidth="1"/>
    <col min="6914" max="6914" width="9.88671875" style="1" customWidth="1"/>
    <col min="6915" max="6915" width="14.88671875" style="1" customWidth="1"/>
    <col min="6916" max="6917" width="9.88671875" style="1" bestFit="1" customWidth="1"/>
    <col min="6918" max="6918" width="18.109375" style="1" bestFit="1" customWidth="1"/>
    <col min="6919" max="7164" width="11.5546875" style="1"/>
    <col min="7165" max="7165" width="17.6640625" style="1" customWidth="1"/>
    <col min="7166" max="7166" width="24.33203125" style="1" customWidth="1"/>
    <col min="7167" max="7167" width="35.33203125" style="1" customWidth="1"/>
    <col min="7168" max="7168" width="8.6640625" style="1" customWidth="1"/>
    <col min="7169" max="7169" width="13.5546875" style="1" bestFit="1" customWidth="1"/>
    <col min="7170" max="7170" width="9.88671875" style="1" customWidth="1"/>
    <col min="7171" max="7171" width="14.88671875" style="1" customWidth="1"/>
    <col min="7172" max="7173" width="9.88671875" style="1" bestFit="1" customWidth="1"/>
    <col min="7174" max="7174" width="18.109375" style="1" bestFit="1" customWidth="1"/>
    <col min="7175" max="7420" width="11.5546875" style="1"/>
    <col min="7421" max="7421" width="17.6640625" style="1" customWidth="1"/>
    <col min="7422" max="7422" width="24.33203125" style="1" customWidth="1"/>
    <col min="7423" max="7423" width="35.33203125" style="1" customWidth="1"/>
    <col min="7424" max="7424" width="8.6640625" style="1" customWidth="1"/>
    <col min="7425" max="7425" width="13.5546875" style="1" bestFit="1" customWidth="1"/>
    <col min="7426" max="7426" width="9.88671875" style="1" customWidth="1"/>
    <col min="7427" max="7427" width="14.88671875" style="1" customWidth="1"/>
    <col min="7428" max="7429" width="9.88671875" style="1" bestFit="1" customWidth="1"/>
    <col min="7430" max="7430" width="18.109375" style="1" bestFit="1" customWidth="1"/>
    <col min="7431" max="7676" width="11.5546875" style="1"/>
    <col min="7677" max="7677" width="17.6640625" style="1" customWidth="1"/>
    <col min="7678" max="7678" width="24.33203125" style="1" customWidth="1"/>
    <col min="7679" max="7679" width="35.33203125" style="1" customWidth="1"/>
    <col min="7680" max="7680" width="8.6640625" style="1" customWidth="1"/>
    <col min="7681" max="7681" width="13.5546875" style="1" bestFit="1" customWidth="1"/>
    <col min="7682" max="7682" width="9.88671875" style="1" customWidth="1"/>
    <col min="7683" max="7683" width="14.88671875" style="1" customWidth="1"/>
    <col min="7684" max="7685" width="9.88671875" style="1" bestFit="1" customWidth="1"/>
    <col min="7686" max="7686" width="18.109375" style="1" bestFit="1" customWidth="1"/>
    <col min="7687" max="7932" width="11.5546875" style="1"/>
    <col min="7933" max="7933" width="17.6640625" style="1" customWidth="1"/>
    <col min="7934" max="7934" width="24.33203125" style="1" customWidth="1"/>
    <col min="7935" max="7935" width="35.33203125" style="1" customWidth="1"/>
    <col min="7936" max="7936" width="8.6640625" style="1" customWidth="1"/>
    <col min="7937" max="7937" width="13.5546875" style="1" bestFit="1" customWidth="1"/>
    <col min="7938" max="7938" width="9.88671875" style="1" customWidth="1"/>
    <col min="7939" max="7939" width="14.88671875" style="1" customWidth="1"/>
    <col min="7940" max="7941" width="9.88671875" style="1" bestFit="1" customWidth="1"/>
    <col min="7942" max="7942" width="18.109375" style="1" bestFit="1" customWidth="1"/>
    <col min="7943" max="8188" width="11.5546875" style="1"/>
    <col min="8189" max="8189" width="17.6640625" style="1" customWidth="1"/>
    <col min="8190" max="8190" width="24.33203125" style="1" customWidth="1"/>
    <col min="8191" max="8191" width="35.33203125" style="1" customWidth="1"/>
    <col min="8192" max="8192" width="8.6640625" style="1" customWidth="1"/>
    <col min="8193" max="8193" width="13.5546875" style="1" bestFit="1" customWidth="1"/>
    <col min="8194" max="8194" width="9.88671875" style="1" customWidth="1"/>
    <col min="8195" max="8195" width="14.88671875" style="1" customWidth="1"/>
    <col min="8196" max="8197" width="9.88671875" style="1" bestFit="1" customWidth="1"/>
    <col min="8198" max="8198" width="18.109375" style="1" bestFit="1" customWidth="1"/>
    <col min="8199" max="8444" width="11.5546875" style="1"/>
    <col min="8445" max="8445" width="17.6640625" style="1" customWidth="1"/>
    <col min="8446" max="8446" width="24.33203125" style="1" customWidth="1"/>
    <col min="8447" max="8447" width="35.33203125" style="1" customWidth="1"/>
    <col min="8448" max="8448" width="8.6640625" style="1" customWidth="1"/>
    <col min="8449" max="8449" width="13.5546875" style="1" bestFit="1" customWidth="1"/>
    <col min="8450" max="8450" width="9.88671875" style="1" customWidth="1"/>
    <col min="8451" max="8451" width="14.88671875" style="1" customWidth="1"/>
    <col min="8452" max="8453" width="9.88671875" style="1" bestFit="1" customWidth="1"/>
    <col min="8454" max="8454" width="18.109375" style="1" bestFit="1" customWidth="1"/>
    <col min="8455" max="8700" width="11.5546875" style="1"/>
    <col min="8701" max="8701" width="17.6640625" style="1" customWidth="1"/>
    <col min="8702" max="8702" width="24.33203125" style="1" customWidth="1"/>
    <col min="8703" max="8703" width="35.33203125" style="1" customWidth="1"/>
    <col min="8704" max="8704" width="8.6640625" style="1" customWidth="1"/>
    <col min="8705" max="8705" width="13.5546875" style="1" bestFit="1" customWidth="1"/>
    <col min="8706" max="8706" width="9.88671875" style="1" customWidth="1"/>
    <col min="8707" max="8707" width="14.88671875" style="1" customWidth="1"/>
    <col min="8708" max="8709" width="9.88671875" style="1" bestFit="1" customWidth="1"/>
    <col min="8710" max="8710" width="18.109375" style="1" bestFit="1" customWidth="1"/>
    <col min="8711" max="8956" width="11.5546875" style="1"/>
    <col min="8957" max="8957" width="17.6640625" style="1" customWidth="1"/>
    <col min="8958" max="8958" width="24.33203125" style="1" customWidth="1"/>
    <col min="8959" max="8959" width="35.33203125" style="1" customWidth="1"/>
    <col min="8960" max="8960" width="8.6640625" style="1" customWidth="1"/>
    <col min="8961" max="8961" width="13.5546875" style="1" bestFit="1" customWidth="1"/>
    <col min="8962" max="8962" width="9.88671875" style="1" customWidth="1"/>
    <col min="8963" max="8963" width="14.88671875" style="1" customWidth="1"/>
    <col min="8964" max="8965" width="9.88671875" style="1" bestFit="1" customWidth="1"/>
    <col min="8966" max="8966" width="18.109375" style="1" bestFit="1" customWidth="1"/>
    <col min="8967" max="9212" width="11.5546875" style="1"/>
    <col min="9213" max="9213" width="17.6640625" style="1" customWidth="1"/>
    <col min="9214" max="9214" width="24.33203125" style="1" customWidth="1"/>
    <col min="9215" max="9215" width="35.33203125" style="1" customWidth="1"/>
    <col min="9216" max="9216" width="8.6640625" style="1" customWidth="1"/>
    <col min="9217" max="9217" width="13.5546875" style="1" bestFit="1" customWidth="1"/>
    <col min="9218" max="9218" width="9.88671875" style="1" customWidth="1"/>
    <col min="9219" max="9219" width="14.88671875" style="1" customWidth="1"/>
    <col min="9220" max="9221" width="9.88671875" style="1" bestFit="1" customWidth="1"/>
    <col min="9222" max="9222" width="18.109375" style="1" bestFit="1" customWidth="1"/>
    <col min="9223" max="9468" width="11.5546875" style="1"/>
    <col min="9469" max="9469" width="17.6640625" style="1" customWidth="1"/>
    <col min="9470" max="9470" width="24.33203125" style="1" customWidth="1"/>
    <col min="9471" max="9471" width="35.33203125" style="1" customWidth="1"/>
    <col min="9472" max="9472" width="8.6640625" style="1" customWidth="1"/>
    <col min="9473" max="9473" width="13.5546875" style="1" bestFit="1" customWidth="1"/>
    <col min="9474" max="9474" width="9.88671875" style="1" customWidth="1"/>
    <col min="9475" max="9475" width="14.88671875" style="1" customWidth="1"/>
    <col min="9476" max="9477" width="9.88671875" style="1" bestFit="1" customWidth="1"/>
    <col min="9478" max="9478" width="18.109375" style="1" bestFit="1" customWidth="1"/>
    <col min="9479" max="9724" width="11.5546875" style="1"/>
    <col min="9725" max="9725" width="17.6640625" style="1" customWidth="1"/>
    <col min="9726" max="9726" width="24.33203125" style="1" customWidth="1"/>
    <col min="9727" max="9727" width="35.33203125" style="1" customWidth="1"/>
    <col min="9728" max="9728" width="8.6640625" style="1" customWidth="1"/>
    <col min="9729" max="9729" width="13.5546875" style="1" bestFit="1" customWidth="1"/>
    <col min="9730" max="9730" width="9.88671875" style="1" customWidth="1"/>
    <col min="9731" max="9731" width="14.88671875" style="1" customWidth="1"/>
    <col min="9732" max="9733" width="9.88671875" style="1" bestFit="1" customWidth="1"/>
    <col min="9734" max="9734" width="18.109375" style="1" bestFit="1" customWidth="1"/>
    <col min="9735" max="9980" width="11.5546875" style="1"/>
    <col min="9981" max="9981" width="17.6640625" style="1" customWidth="1"/>
    <col min="9982" max="9982" width="24.33203125" style="1" customWidth="1"/>
    <col min="9983" max="9983" width="35.33203125" style="1" customWidth="1"/>
    <col min="9984" max="9984" width="8.6640625" style="1" customWidth="1"/>
    <col min="9985" max="9985" width="13.5546875" style="1" bestFit="1" customWidth="1"/>
    <col min="9986" max="9986" width="9.88671875" style="1" customWidth="1"/>
    <col min="9987" max="9987" width="14.88671875" style="1" customWidth="1"/>
    <col min="9988" max="9989" width="9.88671875" style="1" bestFit="1" customWidth="1"/>
    <col min="9990" max="9990" width="18.109375" style="1" bestFit="1" customWidth="1"/>
    <col min="9991" max="10236" width="11.5546875" style="1"/>
    <col min="10237" max="10237" width="17.6640625" style="1" customWidth="1"/>
    <col min="10238" max="10238" width="24.33203125" style="1" customWidth="1"/>
    <col min="10239" max="10239" width="35.33203125" style="1" customWidth="1"/>
    <col min="10240" max="10240" width="8.6640625" style="1" customWidth="1"/>
    <col min="10241" max="10241" width="13.5546875" style="1" bestFit="1" customWidth="1"/>
    <col min="10242" max="10242" width="9.88671875" style="1" customWidth="1"/>
    <col min="10243" max="10243" width="14.88671875" style="1" customWidth="1"/>
    <col min="10244" max="10245" width="9.88671875" style="1" bestFit="1" customWidth="1"/>
    <col min="10246" max="10246" width="18.109375" style="1" bestFit="1" customWidth="1"/>
    <col min="10247" max="10492" width="11.5546875" style="1"/>
    <col min="10493" max="10493" width="17.6640625" style="1" customWidth="1"/>
    <col min="10494" max="10494" width="24.33203125" style="1" customWidth="1"/>
    <col min="10495" max="10495" width="35.33203125" style="1" customWidth="1"/>
    <col min="10496" max="10496" width="8.6640625" style="1" customWidth="1"/>
    <col min="10497" max="10497" width="13.5546875" style="1" bestFit="1" customWidth="1"/>
    <col min="10498" max="10498" width="9.88671875" style="1" customWidth="1"/>
    <col min="10499" max="10499" width="14.88671875" style="1" customWidth="1"/>
    <col min="10500" max="10501" width="9.88671875" style="1" bestFit="1" customWidth="1"/>
    <col min="10502" max="10502" width="18.109375" style="1" bestFit="1" customWidth="1"/>
    <col min="10503" max="10748" width="11.5546875" style="1"/>
    <col min="10749" max="10749" width="17.6640625" style="1" customWidth="1"/>
    <col min="10750" max="10750" width="24.33203125" style="1" customWidth="1"/>
    <col min="10751" max="10751" width="35.33203125" style="1" customWidth="1"/>
    <col min="10752" max="10752" width="8.6640625" style="1" customWidth="1"/>
    <col min="10753" max="10753" width="13.5546875" style="1" bestFit="1" customWidth="1"/>
    <col min="10754" max="10754" width="9.88671875" style="1" customWidth="1"/>
    <col min="10755" max="10755" width="14.88671875" style="1" customWidth="1"/>
    <col min="10756" max="10757" width="9.88671875" style="1" bestFit="1" customWidth="1"/>
    <col min="10758" max="10758" width="18.109375" style="1" bestFit="1" customWidth="1"/>
    <col min="10759" max="11004" width="11.5546875" style="1"/>
    <col min="11005" max="11005" width="17.6640625" style="1" customWidth="1"/>
    <col min="11006" max="11006" width="24.33203125" style="1" customWidth="1"/>
    <col min="11007" max="11007" width="35.33203125" style="1" customWidth="1"/>
    <col min="11008" max="11008" width="8.6640625" style="1" customWidth="1"/>
    <col min="11009" max="11009" width="13.5546875" style="1" bestFit="1" customWidth="1"/>
    <col min="11010" max="11010" width="9.88671875" style="1" customWidth="1"/>
    <col min="11011" max="11011" width="14.88671875" style="1" customWidth="1"/>
    <col min="11012" max="11013" width="9.88671875" style="1" bestFit="1" customWidth="1"/>
    <col min="11014" max="11014" width="18.109375" style="1" bestFit="1" customWidth="1"/>
    <col min="11015" max="11260" width="11.5546875" style="1"/>
    <col min="11261" max="11261" width="17.6640625" style="1" customWidth="1"/>
    <col min="11262" max="11262" width="24.33203125" style="1" customWidth="1"/>
    <col min="11263" max="11263" width="35.33203125" style="1" customWidth="1"/>
    <col min="11264" max="11264" width="8.6640625" style="1" customWidth="1"/>
    <col min="11265" max="11265" width="13.5546875" style="1" bestFit="1" customWidth="1"/>
    <col min="11266" max="11266" width="9.88671875" style="1" customWidth="1"/>
    <col min="11267" max="11267" width="14.88671875" style="1" customWidth="1"/>
    <col min="11268" max="11269" width="9.88671875" style="1" bestFit="1" customWidth="1"/>
    <col min="11270" max="11270" width="18.109375" style="1" bestFit="1" customWidth="1"/>
    <col min="11271" max="11516" width="11.5546875" style="1"/>
    <col min="11517" max="11517" width="17.6640625" style="1" customWidth="1"/>
    <col min="11518" max="11518" width="24.33203125" style="1" customWidth="1"/>
    <col min="11519" max="11519" width="35.33203125" style="1" customWidth="1"/>
    <col min="11520" max="11520" width="8.6640625" style="1" customWidth="1"/>
    <col min="11521" max="11521" width="13.5546875" style="1" bestFit="1" customWidth="1"/>
    <col min="11522" max="11522" width="9.88671875" style="1" customWidth="1"/>
    <col min="11523" max="11523" width="14.88671875" style="1" customWidth="1"/>
    <col min="11524" max="11525" width="9.88671875" style="1" bestFit="1" customWidth="1"/>
    <col min="11526" max="11526" width="18.109375" style="1" bestFit="1" customWidth="1"/>
    <col min="11527" max="11772" width="11.5546875" style="1"/>
    <col min="11773" max="11773" width="17.6640625" style="1" customWidth="1"/>
    <col min="11774" max="11774" width="24.33203125" style="1" customWidth="1"/>
    <col min="11775" max="11775" width="35.33203125" style="1" customWidth="1"/>
    <col min="11776" max="11776" width="8.6640625" style="1" customWidth="1"/>
    <col min="11777" max="11777" width="13.5546875" style="1" bestFit="1" customWidth="1"/>
    <col min="11778" max="11778" width="9.88671875" style="1" customWidth="1"/>
    <col min="11779" max="11779" width="14.88671875" style="1" customWidth="1"/>
    <col min="11780" max="11781" width="9.88671875" style="1" bestFit="1" customWidth="1"/>
    <col min="11782" max="11782" width="18.109375" style="1" bestFit="1" customWidth="1"/>
    <col min="11783" max="12028" width="11.5546875" style="1"/>
    <col min="12029" max="12029" width="17.6640625" style="1" customWidth="1"/>
    <col min="12030" max="12030" width="24.33203125" style="1" customWidth="1"/>
    <col min="12031" max="12031" width="35.33203125" style="1" customWidth="1"/>
    <col min="12032" max="12032" width="8.6640625" style="1" customWidth="1"/>
    <col min="12033" max="12033" width="13.5546875" style="1" bestFit="1" customWidth="1"/>
    <col min="12034" max="12034" width="9.88671875" style="1" customWidth="1"/>
    <col min="12035" max="12035" width="14.88671875" style="1" customWidth="1"/>
    <col min="12036" max="12037" width="9.88671875" style="1" bestFit="1" customWidth="1"/>
    <col min="12038" max="12038" width="18.109375" style="1" bestFit="1" customWidth="1"/>
    <col min="12039" max="12284" width="11.5546875" style="1"/>
    <col min="12285" max="12285" width="17.6640625" style="1" customWidth="1"/>
    <col min="12286" max="12286" width="24.33203125" style="1" customWidth="1"/>
    <col min="12287" max="12287" width="35.33203125" style="1" customWidth="1"/>
    <col min="12288" max="12288" width="8.6640625" style="1" customWidth="1"/>
    <col min="12289" max="12289" width="13.5546875" style="1" bestFit="1" customWidth="1"/>
    <col min="12290" max="12290" width="9.88671875" style="1" customWidth="1"/>
    <col min="12291" max="12291" width="14.88671875" style="1" customWidth="1"/>
    <col min="12292" max="12293" width="9.88671875" style="1" bestFit="1" customWidth="1"/>
    <col min="12294" max="12294" width="18.109375" style="1" bestFit="1" customWidth="1"/>
    <col min="12295" max="12540" width="11.5546875" style="1"/>
    <col min="12541" max="12541" width="17.6640625" style="1" customWidth="1"/>
    <col min="12542" max="12542" width="24.33203125" style="1" customWidth="1"/>
    <col min="12543" max="12543" width="35.33203125" style="1" customWidth="1"/>
    <col min="12544" max="12544" width="8.6640625" style="1" customWidth="1"/>
    <col min="12545" max="12545" width="13.5546875" style="1" bestFit="1" customWidth="1"/>
    <col min="12546" max="12546" width="9.88671875" style="1" customWidth="1"/>
    <col min="12547" max="12547" width="14.88671875" style="1" customWidth="1"/>
    <col min="12548" max="12549" width="9.88671875" style="1" bestFit="1" customWidth="1"/>
    <col min="12550" max="12550" width="18.109375" style="1" bestFit="1" customWidth="1"/>
    <col min="12551" max="12796" width="11.5546875" style="1"/>
    <col min="12797" max="12797" width="17.6640625" style="1" customWidth="1"/>
    <col min="12798" max="12798" width="24.33203125" style="1" customWidth="1"/>
    <col min="12799" max="12799" width="35.33203125" style="1" customWidth="1"/>
    <col min="12800" max="12800" width="8.6640625" style="1" customWidth="1"/>
    <col min="12801" max="12801" width="13.5546875" style="1" bestFit="1" customWidth="1"/>
    <col min="12802" max="12802" width="9.88671875" style="1" customWidth="1"/>
    <col min="12803" max="12803" width="14.88671875" style="1" customWidth="1"/>
    <col min="12804" max="12805" width="9.88671875" style="1" bestFit="1" customWidth="1"/>
    <col min="12806" max="12806" width="18.109375" style="1" bestFit="1" customWidth="1"/>
    <col min="12807" max="13052" width="11.5546875" style="1"/>
    <col min="13053" max="13053" width="17.6640625" style="1" customWidth="1"/>
    <col min="13054" max="13054" width="24.33203125" style="1" customWidth="1"/>
    <col min="13055" max="13055" width="35.33203125" style="1" customWidth="1"/>
    <col min="13056" max="13056" width="8.6640625" style="1" customWidth="1"/>
    <col min="13057" max="13057" width="13.5546875" style="1" bestFit="1" customWidth="1"/>
    <col min="13058" max="13058" width="9.88671875" style="1" customWidth="1"/>
    <col min="13059" max="13059" width="14.88671875" style="1" customWidth="1"/>
    <col min="13060" max="13061" width="9.88671875" style="1" bestFit="1" customWidth="1"/>
    <col min="13062" max="13062" width="18.109375" style="1" bestFit="1" customWidth="1"/>
    <col min="13063" max="13308" width="11.5546875" style="1"/>
    <col min="13309" max="13309" width="17.6640625" style="1" customWidth="1"/>
    <col min="13310" max="13310" width="24.33203125" style="1" customWidth="1"/>
    <col min="13311" max="13311" width="35.33203125" style="1" customWidth="1"/>
    <col min="13312" max="13312" width="8.6640625" style="1" customWidth="1"/>
    <col min="13313" max="13313" width="13.5546875" style="1" bestFit="1" customWidth="1"/>
    <col min="13314" max="13314" width="9.88671875" style="1" customWidth="1"/>
    <col min="13315" max="13315" width="14.88671875" style="1" customWidth="1"/>
    <col min="13316" max="13317" width="9.88671875" style="1" bestFit="1" customWidth="1"/>
    <col min="13318" max="13318" width="18.109375" style="1" bestFit="1" customWidth="1"/>
    <col min="13319" max="13564" width="11.5546875" style="1"/>
    <col min="13565" max="13565" width="17.6640625" style="1" customWidth="1"/>
    <col min="13566" max="13566" width="24.33203125" style="1" customWidth="1"/>
    <col min="13567" max="13567" width="35.33203125" style="1" customWidth="1"/>
    <col min="13568" max="13568" width="8.6640625" style="1" customWidth="1"/>
    <col min="13569" max="13569" width="13.5546875" style="1" bestFit="1" customWidth="1"/>
    <col min="13570" max="13570" width="9.88671875" style="1" customWidth="1"/>
    <col min="13571" max="13571" width="14.88671875" style="1" customWidth="1"/>
    <col min="13572" max="13573" width="9.88671875" style="1" bestFit="1" customWidth="1"/>
    <col min="13574" max="13574" width="18.109375" style="1" bestFit="1" customWidth="1"/>
    <col min="13575" max="13820" width="11.5546875" style="1"/>
    <col min="13821" max="13821" width="17.6640625" style="1" customWidth="1"/>
    <col min="13822" max="13822" width="24.33203125" style="1" customWidth="1"/>
    <col min="13823" max="13823" width="35.33203125" style="1" customWidth="1"/>
    <col min="13824" max="13824" width="8.6640625" style="1" customWidth="1"/>
    <col min="13825" max="13825" width="13.5546875" style="1" bestFit="1" customWidth="1"/>
    <col min="13826" max="13826" width="9.88671875" style="1" customWidth="1"/>
    <col min="13827" max="13827" width="14.88671875" style="1" customWidth="1"/>
    <col min="13828" max="13829" width="9.88671875" style="1" bestFit="1" customWidth="1"/>
    <col min="13830" max="13830" width="18.109375" style="1" bestFit="1" customWidth="1"/>
    <col min="13831" max="14076" width="11.5546875" style="1"/>
    <col min="14077" max="14077" width="17.6640625" style="1" customWidth="1"/>
    <col min="14078" max="14078" width="24.33203125" style="1" customWidth="1"/>
    <col min="14079" max="14079" width="35.33203125" style="1" customWidth="1"/>
    <col min="14080" max="14080" width="8.6640625" style="1" customWidth="1"/>
    <col min="14081" max="14081" width="13.5546875" style="1" bestFit="1" customWidth="1"/>
    <col min="14082" max="14082" width="9.88671875" style="1" customWidth="1"/>
    <col min="14083" max="14083" width="14.88671875" style="1" customWidth="1"/>
    <col min="14084" max="14085" width="9.88671875" style="1" bestFit="1" customWidth="1"/>
    <col min="14086" max="14086" width="18.109375" style="1" bestFit="1" customWidth="1"/>
    <col min="14087" max="14332" width="11.5546875" style="1"/>
    <col min="14333" max="14333" width="17.6640625" style="1" customWidth="1"/>
    <col min="14334" max="14334" width="24.33203125" style="1" customWidth="1"/>
    <col min="14335" max="14335" width="35.33203125" style="1" customWidth="1"/>
    <col min="14336" max="14336" width="8.6640625" style="1" customWidth="1"/>
    <col min="14337" max="14337" width="13.5546875" style="1" bestFit="1" customWidth="1"/>
    <col min="14338" max="14338" width="9.88671875" style="1" customWidth="1"/>
    <col min="14339" max="14339" width="14.88671875" style="1" customWidth="1"/>
    <col min="14340" max="14341" width="9.88671875" style="1" bestFit="1" customWidth="1"/>
    <col min="14342" max="14342" width="18.109375" style="1" bestFit="1" customWidth="1"/>
    <col min="14343" max="14588" width="11.5546875" style="1"/>
    <col min="14589" max="14589" width="17.6640625" style="1" customWidth="1"/>
    <col min="14590" max="14590" width="24.33203125" style="1" customWidth="1"/>
    <col min="14591" max="14591" width="35.33203125" style="1" customWidth="1"/>
    <col min="14592" max="14592" width="8.6640625" style="1" customWidth="1"/>
    <col min="14593" max="14593" width="13.5546875" style="1" bestFit="1" customWidth="1"/>
    <col min="14594" max="14594" width="9.88671875" style="1" customWidth="1"/>
    <col min="14595" max="14595" width="14.88671875" style="1" customWidth="1"/>
    <col min="14596" max="14597" width="9.88671875" style="1" bestFit="1" customWidth="1"/>
    <col min="14598" max="14598" width="18.109375" style="1" bestFit="1" customWidth="1"/>
    <col min="14599" max="14844" width="11.5546875" style="1"/>
    <col min="14845" max="14845" width="17.6640625" style="1" customWidth="1"/>
    <col min="14846" max="14846" width="24.33203125" style="1" customWidth="1"/>
    <col min="14847" max="14847" width="35.33203125" style="1" customWidth="1"/>
    <col min="14848" max="14848" width="8.6640625" style="1" customWidth="1"/>
    <col min="14849" max="14849" width="13.5546875" style="1" bestFit="1" customWidth="1"/>
    <col min="14850" max="14850" width="9.88671875" style="1" customWidth="1"/>
    <col min="14851" max="14851" width="14.88671875" style="1" customWidth="1"/>
    <col min="14852" max="14853" width="9.88671875" style="1" bestFit="1" customWidth="1"/>
    <col min="14854" max="14854" width="18.109375" style="1" bestFit="1" customWidth="1"/>
    <col min="14855" max="15100" width="11.5546875" style="1"/>
    <col min="15101" max="15101" width="17.6640625" style="1" customWidth="1"/>
    <col min="15102" max="15102" width="24.33203125" style="1" customWidth="1"/>
    <col min="15103" max="15103" width="35.33203125" style="1" customWidth="1"/>
    <col min="15104" max="15104" width="8.6640625" style="1" customWidth="1"/>
    <col min="15105" max="15105" width="13.5546875" style="1" bestFit="1" customWidth="1"/>
    <col min="15106" max="15106" width="9.88671875" style="1" customWidth="1"/>
    <col min="15107" max="15107" width="14.88671875" style="1" customWidth="1"/>
    <col min="15108" max="15109" width="9.88671875" style="1" bestFit="1" customWidth="1"/>
    <col min="15110" max="15110" width="18.109375" style="1" bestFit="1" customWidth="1"/>
    <col min="15111" max="15356" width="11.5546875" style="1"/>
    <col min="15357" max="15357" width="17.6640625" style="1" customWidth="1"/>
    <col min="15358" max="15358" width="24.33203125" style="1" customWidth="1"/>
    <col min="15359" max="15359" width="35.33203125" style="1" customWidth="1"/>
    <col min="15360" max="15360" width="8.6640625" style="1" customWidth="1"/>
    <col min="15361" max="15361" width="13.5546875" style="1" bestFit="1" customWidth="1"/>
    <col min="15362" max="15362" width="9.88671875" style="1" customWidth="1"/>
    <col min="15363" max="15363" width="14.88671875" style="1" customWidth="1"/>
    <col min="15364" max="15365" width="9.88671875" style="1" bestFit="1" customWidth="1"/>
    <col min="15366" max="15366" width="18.109375" style="1" bestFit="1" customWidth="1"/>
    <col min="15367" max="15612" width="11.5546875" style="1"/>
    <col min="15613" max="15613" width="17.6640625" style="1" customWidth="1"/>
    <col min="15614" max="15614" width="24.33203125" style="1" customWidth="1"/>
    <col min="15615" max="15615" width="35.33203125" style="1" customWidth="1"/>
    <col min="15616" max="15616" width="8.6640625" style="1" customWidth="1"/>
    <col min="15617" max="15617" width="13.5546875" style="1" bestFit="1" customWidth="1"/>
    <col min="15618" max="15618" width="9.88671875" style="1" customWidth="1"/>
    <col min="15619" max="15619" width="14.88671875" style="1" customWidth="1"/>
    <col min="15620" max="15621" width="9.88671875" style="1" bestFit="1" customWidth="1"/>
    <col min="15622" max="15622" width="18.109375" style="1" bestFit="1" customWidth="1"/>
    <col min="15623" max="15868" width="11.5546875" style="1"/>
    <col min="15869" max="15869" width="17.6640625" style="1" customWidth="1"/>
    <col min="15870" max="15870" width="24.33203125" style="1" customWidth="1"/>
    <col min="15871" max="15871" width="35.33203125" style="1" customWidth="1"/>
    <col min="15872" max="15872" width="8.6640625" style="1" customWidth="1"/>
    <col min="15873" max="15873" width="13.5546875" style="1" bestFit="1" customWidth="1"/>
    <col min="15874" max="15874" width="9.88671875" style="1" customWidth="1"/>
    <col min="15875" max="15875" width="14.88671875" style="1" customWidth="1"/>
    <col min="15876" max="15877" width="9.88671875" style="1" bestFit="1" customWidth="1"/>
    <col min="15878" max="15878" width="18.109375" style="1" bestFit="1" customWidth="1"/>
    <col min="15879" max="16124" width="11.5546875" style="1"/>
    <col min="16125" max="16125" width="17.6640625" style="1" customWidth="1"/>
    <col min="16126" max="16126" width="24.33203125" style="1" customWidth="1"/>
    <col min="16127" max="16127" width="35.33203125" style="1" customWidth="1"/>
    <col min="16128" max="16128" width="8.6640625" style="1" customWidth="1"/>
    <col min="16129" max="16129" width="13.5546875" style="1" bestFit="1" customWidth="1"/>
    <col min="16130" max="16130" width="9.88671875" style="1" customWidth="1"/>
    <col min="16131" max="16131" width="14.88671875" style="1" customWidth="1"/>
    <col min="16132" max="16133" width="9.88671875" style="1" bestFit="1" customWidth="1"/>
    <col min="16134" max="16134" width="18.109375" style="1" bestFit="1" customWidth="1"/>
    <col min="16135" max="16384" width="11.5546875" style="1"/>
  </cols>
  <sheetData>
    <row r="1" spans="2:7" ht="4.2" customHeight="1" thickBot="1"/>
    <row r="2" spans="2:7" s="214" customFormat="1" ht="17.399999999999999" customHeight="1" thickBot="1">
      <c r="B2" s="1114" t="s">
        <v>1187</v>
      </c>
      <c r="C2" s="1116" t="s">
        <v>989</v>
      </c>
      <c r="D2" s="1116" t="s">
        <v>42</v>
      </c>
      <c r="E2" s="1118" t="s">
        <v>990</v>
      </c>
      <c r="F2" s="1119"/>
      <c r="G2" s="1120" t="s">
        <v>3</v>
      </c>
    </row>
    <row r="3" spans="2:7" s="214" customFormat="1" ht="20.399999999999999" customHeight="1" thickBot="1">
      <c r="B3" s="1115"/>
      <c r="C3" s="1117"/>
      <c r="D3" s="1117"/>
      <c r="E3" s="215" t="s">
        <v>991</v>
      </c>
      <c r="F3" s="215" t="s">
        <v>116</v>
      </c>
      <c r="G3" s="1120"/>
    </row>
    <row r="4" spans="2:7" s="214" customFormat="1" ht="13.2" customHeight="1">
      <c r="B4" s="1121" t="s">
        <v>4</v>
      </c>
      <c r="C4" s="1122"/>
      <c r="D4" s="1122"/>
      <c r="E4" s="1122"/>
      <c r="F4" s="216"/>
      <c r="G4" s="1123" t="s">
        <v>1188</v>
      </c>
    </row>
    <row r="5" spans="2:7" s="214" customFormat="1" ht="17.399999999999999" customHeight="1">
      <c r="B5" s="1093" t="s">
        <v>1189</v>
      </c>
      <c r="C5" s="1126" t="s">
        <v>992</v>
      </c>
      <c r="D5" s="1127"/>
      <c r="E5" s="1128"/>
      <c r="F5" s="216"/>
      <c r="G5" s="1124"/>
    </row>
    <row r="6" spans="2:7" s="214" customFormat="1" ht="17.399999999999999" customHeight="1">
      <c r="B6" s="1093"/>
      <c r="C6" s="1095" t="s">
        <v>993</v>
      </c>
      <c r="D6" s="1014">
        <f>+SUM(F6:F8)</f>
        <v>710</v>
      </c>
      <c r="E6" s="199" t="s">
        <v>7</v>
      </c>
      <c r="F6" s="217">
        <v>200</v>
      </c>
      <c r="G6" s="1124"/>
    </row>
    <row r="7" spans="2:7" s="214" customFormat="1" ht="17.399999999999999" customHeight="1">
      <c r="B7" s="1093"/>
      <c r="C7" s="1096"/>
      <c r="D7" s="1014"/>
      <c r="E7" s="199" t="s">
        <v>8</v>
      </c>
      <c r="F7" s="217">
        <v>300</v>
      </c>
      <c r="G7" s="1124"/>
    </row>
    <row r="8" spans="2:7" ht="17.399999999999999" customHeight="1" thickBot="1">
      <c r="B8" s="1093"/>
      <c r="C8" s="1097"/>
      <c r="D8" s="1014"/>
      <c r="E8" s="199" t="s">
        <v>9</v>
      </c>
      <c r="F8" s="218">
        <v>210</v>
      </c>
      <c r="G8" s="1125"/>
    </row>
    <row r="9" spans="2:7" ht="17.399999999999999" customHeight="1" thickBot="1">
      <c r="B9" s="1104" t="s">
        <v>1190</v>
      </c>
      <c r="C9" s="1031" t="s">
        <v>994</v>
      </c>
      <c r="D9" s="1032"/>
      <c r="E9" s="1105"/>
      <c r="F9" s="198"/>
      <c r="G9" s="1106" t="s">
        <v>1191</v>
      </c>
    </row>
    <row r="10" spans="2:7" s="221" customFormat="1" ht="17.399999999999999" customHeight="1">
      <c r="B10" s="1104"/>
      <c r="C10" s="1108" t="s">
        <v>995</v>
      </c>
      <c r="D10" s="1111"/>
      <c r="E10" s="219" t="s">
        <v>7</v>
      </c>
      <c r="F10" s="220">
        <v>42</v>
      </c>
      <c r="G10" s="1107"/>
    </row>
    <row r="11" spans="2:7" s="221" customFormat="1" ht="17.399999999999999" customHeight="1">
      <c r="B11" s="1104"/>
      <c r="C11" s="1109"/>
      <c r="D11" s="1112"/>
      <c r="E11" s="222" t="s">
        <v>8</v>
      </c>
      <c r="F11" s="220">
        <v>30</v>
      </c>
      <c r="G11" s="1107"/>
    </row>
    <row r="12" spans="2:7" s="221" customFormat="1" ht="17.399999999999999" customHeight="1">
      <c r="B12" s="1104"/>
      <c r="C12" s="1109"/>
      <c r="D12" s="1112"/>
      <c r="E12" s="222" t="s">
        <v>9</v>
      </c>
      <c r="F12" s="220">
        <v>22</v>
      </c>
      <c r="G12" s="1107"/>
    </row>
    <row r="13" spans="2:7" s="221" customFormat="1" ht="17.399999999999999" customHeight="1" thickBot="1">
      <c r="B13" s="223"/>
      <c r="C13" s="1110"/>
      <c r="D13" s="1113"/>
      <c r="E13" s="224" t="s">
        <v>11</v>
      </c>
      <c r="F13" s="220">
        <v>2000</v>
      </c>
      <c r="G13" s="225"/>
    </row>
    <row r="14" spans="2:7" ht="17.399999999999999" customHeight="1">
      <c r="B14" s="1093" t="s">
        <v>1192</v>
      </c>
      <c r="C14" s="1031" t="s">
        <v>996</v>
      </c>
      <c r="D14" s="1032"/>
      <c r="E14" s="1094"/>
      <c r="F14" s="198"/>
    </row>
    <row r="15" spans="2:7" ht="17.399999999999999" customHeight="1">
      <c r="B15" s="1093"/>
      <c r="C15" s="1095" t="s">
        <v>1193</v>
      </c>
      <c r="D15" s="1098"/>
      <c r="E15" s="201" t="s">
        <v>7</v>
      </c>
      <c r="F15" s="200">
        <v>55</v>
      </c>
    </row>
    <row r="16" spans="2:7" ht="17.399999999999999" customHeight="1">
      <c r="B16" s="1093"/>
      <c r="C16" s="1096"/>
      <c r="D16" s="1098"/>
      <c r="E16" s="201" t="s">
        <v>8</v>
      </c>
      <c r="F16" s="200">
        <v>40</v>
      </c>
    </row>
    <row r="17" spans="2:6" ht="17.399999999999999" customHeight="1">
      <c r="B17" s="1093"/>
      <c r="C17" s="1097"/>
      <c r="D17" s="1098"/>
      <c r="E17" s="201" t="s">
        <v>9</v>
      </c>
      <c r="F17" s="200">
        <v>20</v>
      </c>
    </row>
    <row r="18" spans="2:6" ht="17.399999999999999" customHeight="1">
      <c r="B18" s="1093"/>
      <c r="C18" s="1099" t="s">
        <v>1194</v>
      </c>
      <c r="D18" s="1098"/>
      <c r="E18" s="201" t="s">
        <v>7</v>
      </c>
      <c r="F18" s="200">
        <v>30</v>
      </c>
    </row>
    <row r="19" spans="2:6" ht="17.399999999999999" customHeight="1">
      <c r="B19" s="1093"/>
      <c r="C19" s="1100"/>
      <c r="D19" s="1098"/>
      <c r="E19" s="201" t="s">
        <v>8</v>
      </c>
      <c r="F19" s="200">
        <v>40</v>
      </c>
    </row>
    <row r="20" spans="2:6" ht="17.399999999999999" customHeight="1">
      <c r="B20" s="1093"/>
      <c r="C20" s="1101"/>
      <c r="D20" s="1098"/>
      <c r="E20" s="201" t="s">
        <v>9</v>
      </c>
      <c r="F20" s="200">
        <v>10</v>
      </c>
    </row>
    <row r="21" spans="2:6" ht="17.399999999999999" customHeight="1">
      <c r="B21" s="1093"/>
      <c r="C21" s="1099" t="s">
        <v>997</v>
      </c>
      <c r="D21" s="1102"/>
      <c r="E21" s="201" t="s">
        <v>7</v>
      </c>
      <c r="F21" s="200">
        <v>25</v>
      </c>
    </row>
    <row r="22" spans="2:6" ht="17.399999999999999" customHeight="1">
      <c r="B22" s="1093"/>
      <c r="C22" s="1100"/>
      <c r="D22" s="1102"/>
      <c r="E22" s="201" t="s">
        <v>8</v>
      </c>
      <c r="F22" s="198"/>
    </row>
    <row r="23" spans="2:6" ht="17.399999999999999" customHeight="1">
      <c r="B23" s="1093"/>
      <c r="C23" s="1101"/>
      <c r="D23" s="1102"/>
      <c r="E23" s="201" t="s">
        <v>9</v>
      </c>
      <c r="F23" s="200">
        <v>10</v>
      </c>
    </row>
    <row r="24" spans="2:6" ht="17.399999999999999" customHeight="1">
      <c r="B24" s="1093"/>
      <c r="C24" s="1037" t="s">
        <v>1195</v>
      </c>
      <c r="D24" s="1103"/>
      <c r="E24" s="201" t="s">
        <v>7</v>
      </c>
      <c r="F24" s="200">
        <v>29</v>
      </c>
    </row>
    <row r="25" spans="2:6" ht="17.399999999999999" customHeight="1">
      <c r="B25" s="1093"/>
      <c r="C25" s="1038"/>
      <c r="D25" s="1103"/>
      <c r="E25" s="201" t="s">
        <v>8</v>
      </c>
      <c r="F25" s="200">
        <v>40</v>
      </c>
    </row>
    <row r="26" spans="2:6" ht="17.399999999999999" customHeight="1">
      <c r="B26" s="1093"/>
      <c r="C26" s="1039"/>
      <c r="D26" s="1103"/>
      <c r="E26" s="201" t="s">
        <v>9</v>
      </c>
      <c r="F26" s="200">
        <v>10</v>
      </c>
    </row>
    <row r="27" spans="2:6" ht="17.399999999999999" hidden="1" customHeight="1">
      <c r="B27" s="1093"/>
      <c r="C27" s="1084" t="s">
        <v>998</v>
      </c>
      <c r="D27" s="1085" t="s">
        <v>999</v>
      </c>
      <c r="E27" s="201" t="s">
        <v>1000</v>
      </c>
      <c r="F27" s="198"/>
    </row>
    <row r="28" spans="2:6" ht="17.399999999999999" hidden="1" customHeight="1">
      <c r="B28" s="1093"/>
      <c r="C28" s="1084"/>
      <c r="D28" s="1085"/>
      <c r="E28" s="201" t="s">
        <v>7</v>
      </c>
      <c r="F28" s="200">
        <v>400</v>
      </c>
    </row>
    <row r="29" spans="2:6" ht="17.399999999999999" hidden="1" customHeight="1">
      <c r="B29" s="1093"/>
      <c r="C29" s="1084"/>
      <c r="D29" s="1085"/>
      <c r="E29" s="201" t="s">
        <v>8</v>
      </c>
      <c r="F29" s="200">
        <v>500</v>
      </c>
    </row>
    <row r="30" spans="2:6" ht="17.399999999999999" hidden="1" customHeight="1">
      <c r="B30" s="1093"/>
      <c r="C30" s="1084"/>
      <c r="D30" s="1085"/>
      <c r="E30" s="201" t="s">
        <v>9</v>
      </c>
      <c r="F30" s="200">
        <v>200</v>
      </c>
    </row>
    <row r="31" spans="2:6" ht="17.399999999999999" customHeight="1">
      <c r="B31" s="1093"/>
      <c r="C31" s="1086" t="s">
        <v>1001</v>
      </c>
      <c r="D31" s="1089"/>
      <c r="E31" s="201" t="s">
        <v>7</v>
      </c>
      <c r="F31" s="200">
        <v>30</v>
      </c>
    </row>
    <row r="32" spans="2:6" ht="17.399999999999999" customHeight="1">
      <c r="B32" s="1093"/>
      <c r="C32" s="1087"/>
      <c r="D32" s="1089"/>
      <c r="E32" s="201" t="s">
        <v>8</v>
      </c>
      <c r="F32" s="200">
        <v>40</v>
      </c>
    </row>
    <row r="33" spans="2:6" ht="17.399999999999999" customHeight="1">
      <c r="B33" s="1093"/>
      <c r="C33" s="1088"/>
      <c r="D33" s="1089"/>
      <c r="E33" s="201" t="s">
        <v>9</v>
      </c>
      <c r="F33" s="200">
        <v>10</v>
      </c>
    </row>
    <row r="34" spans="2:6" ht="22.8" customHeight="1">
      <c r="B34" s="1093"/>
      <c r="C34" s="1090" t="s">
        <v>1196</v>
      </c>
      <c r="D34" s="1014"/>
      <c r="E34" s="201" t="s">
        <v>7</v>
      </c>
      <c r="F34" s="226">
        <v>228</v>
      </c>
    </row>
    <row r="35" spans="2:6" ht="22.8" customHeight="1">
      <c r="B35" s="1093"/>
      <c r="C35" s="1091"/>
      <c r="D35" s="1014"/>
      <c r="E35" s="201" t="s">
        <v>8</v>
      </c>
      <c r="F35" s="198"/>
    </row>
    <row r="36" spans="2:6" ht="22.8" customHeight="1">
      <c r="B36" s="1093"/>
      <c r="C36" s="1092"/>
      <c r="D36" s="1014"/>
      <c r="E36" s="201" t="s">
        <v>9</v>
      </c>
      <c r="F36" s="198"/>
    </row>
    <row r="37" spans="2:6" ht="17.399999999999999" customHeight="1">
      <c r="B37" s="1075" t="s">
        <v>1197</v>
      </c>
      <c r="C37" s="1031" t="s">
        <v>1002</v>
      </c>
      <c r="D37" s="1032"/>
      <c r="E37" s="1033"/>
      <c r="F37" s="198"/>
    </row>
    <row r="38" spans="2:6" ht="17.399999999999999" customHeight="1">
      <c r="B38" s="1075"/>
      <c r="C38" s="1076" t="s">
        <v>1003</v>
      </c>
      <c r="D38" s="1079" t="s">
        <v>1198</v>
      </c>
      <c r="E38" s="201" t="s">
        <v>7</v>
      </c>
      <c r="F38" s="200">
        <v>21</v>
      </c>
    </row>
    <row r="39" spans="2:6" ht="17.399999999999999" customHeight="1">
      <c r="B39" s="1075"/>
      <c r="C39" s="1077"/>
      <c r="D39" s="1079"/>
      <c r="E39" s="201" t="s">
        <v>8</v>
      </c>
      <c r="F39" s="198"/>
    </row>
    <row r="40" spans="2:6" ht="17.399999999999999" customHeight="1">
      <c r="B40" s="1075"/>
      <c r="C40" s="1078"/>
      <c r="D40" s="1079"/>
      <c r="E40" s="201" t="s">
        <v>9</v>
      </c>
      <c r="F40" s="198"/>
    </row>
    <row r="41" spans="2:6" ht="17.399999999999999" customHeight="1">
      <c r="B41" s="1075"/>
      <c r="C41" s="1080" t="s">
        <v>1199</v>
      </c>
      <c r="D41" s="1014"/>
      <c r="E41" s="201" t="s">
        <v>7</v>
      </c>
      <c r="F41" s="200">
        <v>8</v>
      </c>
    </row>
    <row r="42" spans="2:6" ht="17.399999999999999" customHeight="1">
      <c r="B42" s="1075"/>
      <c r="C42" s="1081"/>
      <c r="D42" s="1014"/>
      <c r="E42" s="201" t="s">
        <v>8</v>
      </c>
      <c r="F42" s="198"/>
    </row>
    <row r="43" spans="2:6" ht="17.399999999999999" customHeight="1">
      <c r="B43" s="1075"/>
      <c r="C43" s="1082"/>
      <c r="D43" s="1014"/>
      <c r="E43" s="201" t="s">
        <v>9</v>
      </c>
      <c r="F43" s="198"/>
    </row>
    <row r="44" spans="2:6" ht="17.399999999999999" customHeight="1">
      <c r="B44" s="1075"/>
      <c r="C44" s="1080" t="s">
        <v>1200</v>
      </c>
      <c r="D44" s="1083"/>
      <c r="E44" s="201" t="s">
        <v>7</v>
      </c>
      <c r="F44" s="200">
        <v>8</v>
      </c>
    </row>
    <row r="45" spans="2:6" ht="17.399999999999999" customHeight="1">
      <c r="B45" s="1075"/>
      <c r="C45" s="1081"/>
      <c r="D45" s="1083"/>
      <c r="E45" s="201" t="s">
        <v>8</v>
      </c>
      <c r="F45" s="198"/>
    </row>
    <row r="46" spans="2:6" ht="17.399999999999999" customHeight="1">
      <c r="B46" s="1075"/>
      <c r="C46" s="1082"/>
      <c r="D46" s="1083"/>
      <c r="E46" s="201" t="s">
        <v>9</v>
      </c>
      <c r="F46" s="198"/>
    </row>
    <row r="47" spans="2:6" ht="17.399999999999999" customHeight="1">
      <c r="B47" s="1075"/>
      <c r="C47" s="1080" t="s">
        <v>1201</v>
      </c>
      <c r="D47" s="1014"/>
      <c r="E47" s="201" t="s">
        <v>7</v>
      </c>
      <c r="F47" s="200">
        <v>5</v>
      </c>
    </row>
    <row r="48" spans="2:6" ht="17.399999999999999" customHeight="1">
      <c r="B48" s="1075"/>
      <c r="C48" s="1081"/>
      <c r="D48" s="1014"/>
      <c r="E48" s="201" t="s">
        <v>8</v>
      </c>
      <c r="F48" s="198"/>
    </row>
    <row r="49" spans="2:6" ht="17.399999999999999" customHeight="1">
      <c r="B49" s="1075"/>
      <c r="C49" s="1082"/>
      <c r="D49" s="1014"/>
      <c r="E49" s="201" t="s">
        <v>9</v>
      </c>
      <c r="F49" s="198"/>
    </row>
    <row r="50" spans="2:6" s="227" customFormat="1" ht="17.399999999999999" customHeight="1">
      <c r="B50" s="1075"/>
      <c r="C50" s="1072" t="s">
        <v>1004</v>
      </c>
      <c r="D50" s="1014"/>
      <c r="E50" s="201" t="s">
        <v>7</v>
      </c>
      <c r="F50" s="198"/>
    </row>
    <row r="51" spans="2:6" s="227" customFormat="1" ht="17.399999999999999" customHeight="1">
      <c r="B51" s="1075"/>
      <c r="C51" s="1073"/>
      <c r="D51" s="1014"/>
      <c r="E51" s="201" t="s">
        <v>8</v>
      </c>
      <c r="F51" s="200">
        <v>40</v>
      </c>
    </row>
    <row r="52" spans="2:6" s="227" customFormat="1" ht="17.399999999999999" customHeight="1">
      <c r="B52" s="1075"/>
      <c r="C52" s="1074"/>
      <c r="D52" s="1014"/>
      <c r="E52" s="201" t="s">
        <v>9</v>
      </c>
      <c r="F52" s="198"/>
    </row>
    <row r="53" spans="2:6" ht="17.399999999999999" customHeight="1">
      <c r="B53" s="1075"/>
      <c r="C53" s="1031" t="s">
        <v>1005</v>
      </c>
      <c r="D53" s="1032"/>
      <c r="E53" s="1033"/>
      <c r="F53" s="198"/>
    </row>
    <row r="54" spans="2:6" ht="17.399999999999999" customHeight="1">
      <c r="B54" s="1075"/>
      <c r="C54" s="1072" t="s">
        <v>1006</v>
      </c>
      <c r="D54" s="1014"/>
      <c r="E54" s="201" t="s">
        <v>7</v>
      </c>
      <c r="F54" s="200">
        <v>30</v>
      </c>
    </row>
    <row r="55" spans="2:6" ht="17.399999999999999" customHeight="1">
      <c r="B55" s="1075"/>
      <c r="C55" s="1073"/>
      <c r="D55" s="1014"/>
      <c r="E55" s="201" t="s">
        <v>8</v>
      </c>
      <c r="F55" s="200">
        <v>20</v>
      </c>
    </row>
    <row r="56" spans="2:6" ht="17.399999999999999" customHeight="1">
      <c r="B56" s="1075"/>
      <c r="C56" s="1074"/>
      <c r="D56" s="1014"/>
      <c r="E56" s="201" t="s">
        <v>9</v>
      </c>
      <c r="F56" s="200">
        <v>20</v>
      </c>
    </row>
    <row r="57" spans="2:6" ht="17.399999999999999" customHeight="1">
      <c r="B57" s="1075"/>
      <c r="C57" s="1062" t="s">
        <v>1202</v>
      </c>
      <c r="D57" s="1014"/>
      <c r="E57" s="201" t="s">
        <v>7</v>
      </c>
      <c r="F57" s="198"/>
    </row>
    <row r="58" spans="2:6" ht="17.399999999999999" customHeight="1">
      <c r="B58" s="1075"/>
      <c r="C58" s="1063"/>
      <c r="D58" s="1014"/>
      <c r="E58" s="201" t="s">
        <v>8</v>
      </c>
      <c r="F58" s="200">
        <v>100</v>
      </c>
    </row>
    <row r="59" spans="2:6" ht="17.399999999999999" customHeight="1">
      <c r="B59" s="1075"/>
      <c r="C59" s="1064"/>
      <c r="D59" s="1014"/>
      <c r="E59" s="201" t="s">
        <v>9</v>
      </c>
      <c r="F59" s="198"/>
    </row>
    <row r="60" spans="2:6" ht="17.399999999999999" customHeight="1">
      <c r="B60" s="1075"/>
      <c r="C60" s="1062" t="s">
        <v>1203</v>
      </c>
      <c r="D60" s="1014"/>
      <c r="E60" s="201" t="s">
        <v>7</v>
      </c>
      <c r="F60" s="198"/>
    </row>
    <row r="61" spans="2:6" ht="17.399999999999999" customHeight="1">
      <c r="B61" s="1075"/>
      <c r="C61" s="1063"/>
      <c r="D61" s="1014"/>
      <c r="E61" s="201" t="s">
        <v>8</v>
      </c>
      <c r="F61" s="200">
        <v>3000</v>
      </c>
    </row>
    <row r="62" spans="2:6" ht="17.399999999999999" customHeight="1">
      <c r="B62" s="1075"/>
      <c r="C62" s="1064"/>
      <c r="D62" s="1014"/>
      <c r="E62" s="201" t="s">
        <v>9</v>
      </c>
      <c r="F62" s="198"/>
    </row>
    <row r="63" spans="2:6" ht="17.399999999999999" customHeight="1">
      <c r="B63" s="1075"/>
      <c r="C63" s="1062" t="s">
        <v>1204</v>
      </c>
      <c r="D63" s="1014"/>
      <c r="E63" s="201" t="s">
        <v>7</v>
      </c>
      <c r="F63" s="198"/>
    </row>
    <row r="64" spans="2:6" ht="17.399999999999999" customHeight="1">
      <c r="B64" s="1075"/>
      <c r="C64" s="1063"/>
      <c r="D64" s="1014"/>
      <c r="E64" s="201" t="s">
        <v>8</v>
      </c>
      <c r="F64" s="228">
        <v>0.8</v>
      </c>
    </row>
    <row r="65" spans="2:6" ht="17.399999999999999" customHeight="1">
      <c r="B65" s="1075"/>
      <c r="C65" s="1064"/>
      <c r="D65" s="1014"/>
      <c r="E65" s="201" t="s">
        <v>9</v>
      </c>
      <c r="F65" s="198"/>
    </row>
    <row r="66" spans="2:6" ht="17.399999999999999" customHeight="1">
      <c r="B66" s="1065" t="s">
        <v>407</v>
      </c>
      <c r="C66" s="1066"/>
      <c r="D66" s="1066"/>
      <c r="E66" s="1067"/>
      <c r="F66" s="198"/>
    </row>
    <row r="67" spans="2:6" ht="17.399999999999999" customHeight="1">
      <c r="B67" s="1068" t="s">
        <v>1205</v>
      </c>
      <c r="C67" s="1031" t="s">
        <v>1007</v>
      </c>
      <c r="D67" s="1032"/>
      <c r="E67" s="1033"/>
      <c r="F67" s="198"/>
    </row>
    <row r="68" spans="2:6" ht="17.399999999999999" customHeight="1">
      <c r="B68" s="1068"/>
      <c r="C68" s="1069" t="s">
        <v>1008</v>
      </c>
      <c r="D68" s="1014"/>
      <c r="E68" s="201" t="s">
        <v>7</v>
      </c>
      <c r="F68" s="200">
        <v>284</v>
      </c>
    </row>
    <row r="69" spans="2:6" ht="17.399999999999999" customHeight="1">
      <c r="B69" s="1068"/>
      <c r="C69" s="1070"/>
      <c r="D69" s="1014"/>
      <c r="E69" s="201" t="s">
        <v>8</v>
      </c>
      <c r="F69" s="200">
        <v>500</v>
      </c>
    </row>
    <row r="70" spans="2:6" ht="17.399999999999999" customHeight="1">
      <c r="B70" s="1068"/>
      <c r="C70" s="1071"/>
      <c r="D70" s="1014"/>
      <c r="E70" s="201" t="s">
        <v>9</v>
      </c>
      <c r="F70" s="198"/>
    </row>
    <row r="71" spans="2:6" ht="17.399999999999999" customHeight="1">
      <c r="B71" s="1068"/>
      <c r="C71" s="1055" t="s">
        <v>1206</v>
      </c>
      <c r="D71" s="1014"/>
      <c r="E71" s="201" t="s">
        <v>7</v>
      </c>
      <c r="F71" s="198"/>
    </row>
    <row r="72" spans="2:6" ht="17.399999999999999" customHeight="1">
      <c r="B72" s="1068"/>
      <c r="C72" s="1056"/>
      <c r="D72" s="1014"/>
      <c r="E72" s="201" t="s">
        <v>8</v>
      </c>
      <c r="F72" s="200">
        <v>30</v>
      </c>
    </row>
    <row r="73" spans="2:6" ht="17.399999999999999" customHeight="1">
      <c r="B73" s="1068"/>
      <c r="C73" s="1057"/>
      <c r="D73" s="1014"/>
      <c r="E73" s="201" t="s">
        <v>9</v>
      </c>
      <c r="F73" s="198"/>
    </row>
    <row r="74" spans="2:6" ht="17.399999999999999" customHeight="1">
      <c r="B74" s="1068"/>
      <c r="C74" s="1055" t="s">
        <v>1207</v>
      </c>
      <c r="D74" s="1014"/>
      <c r="E74" s="201" t="s">
        <v>7</v>
      </c>
      <c r="F74" s="198"/>
    </row>
    <row r="75" spans="2:6" ht="17.399999999999999" customHeight="1">
      <c r="B75" s="1068"/>
      <c r="C75" s="1056"/>
      <c r="D75" s="1014"/>
      <c r="E75" s="201" t="s">
        <v>8</v>
      </c>
      <c r="F75" s="200">
        <v>5</v>
      </c>
    </row>
    <row r="76" spans="2:6" ht="17.399999999999999" customHeight="1">
      <c r="B76" s="1068"/>
      <c r="C76" s="1057"/>
      <c r="D76" s="1014"/>
      <c r="E76" s="201" t="s">
        <v>9</v>
      </c>
      <c r="F76" s="198"/>
    </row>
    <row r="77" spans="2:6" ht="17.399999999999999" customHeight="1">
      <c r="B77" s="1068"/>
      <c r="C77" s="1058" t="s">
        <v>1208</v>
      </c>
      <c r="D77" s="1014"/>
      <c r="E77" s="201" t="s">
        <v>7</v>
      </c>
      <c r="F77" s="200">
        <v>255</v>
      </c>
    </row>
    <row r="78" spans="2:6" ht="17.399999999999999" customHeight="1">
      <c r="B78" s="1068"/>
      <c r="C78" s="1059"/>
      <c r="D78" s="1014"/>
      <c r="E78" s="201" t="s">
        <v>8</v>
      </c>
      <c r="F78" s="200">
        <v>25</v>
      </c>
    </row>
    <row r="79" spans="2:6" ht="17.399999999999999" customHeight="1">
      <c r="B79" s="1068"/>
      <c r="C79" s="1060"/>
      <c r="D79" s="1014"/>
      <c r="E79" s="201" t="s">
        <v>9</v>
      </c>
      <c r="F79" s="198"/>
    </row>
    <row r="80" spans="2:6" ht="17.399999999999999" customHeight="1">
      <c r="B80" s="1068"/>
      <c r="C80" s="1058" t="s">
        <v>1209</v>
      </c>
      <c r="D80" s="1061"/>
      <c r="E80" s="201" t="s">
        <v>7</v>
      </c>
      <c r="F80" s="200">
        <v>300</v>
      </c>
    </row>
    <row r="81" spans="2:6" ht="17.399999999999999" customHeight="1">
      <c r="B81" s="1068"/>
      <c r="C81" s="1059"/>
      <c r="D81" s="1061"/>
      <c r="E81" s="201" t="s">
        <v>8</v>
      </c>
      <c r="F81" s="200">
        <v>125</v>
      </c>
    </row>
    <row r="82" spans="2:6" ht="17.399999999999999" customHeight="1">
      <c r="B82" s="1068"/>
      <c r="C82" s="1060"/>
      <c r="D82" s="1061"/>
      <c r="E82" s="201" t="s">
        <v>9</v>
      </c>
      <c r="F82" s="198"/>
    </row>
    <row r="83" spans="2:6" ht="17.399999999999999" customHeight="1">
      <c r="B83" s="1028" t="s">
        <v>1210</v>
      </c>
      <c r="C83" s="1031" t="s">
        <v>1211</v>
      </c>
      <c r="D83" s="1032"/>
      <c r="E83" s="1033"/>
      <c r="F83" s="198"/>
    </row>
    <row r="84" spans="2:6" ht="17.399999999999999" customHeight="1">
      <c r="B84" s="1029"/>
      <c r="C84" s="1034" t="s">
        <v>1009</v>
      </c>
      <c r="D84" s="1027"/>
      <c r="E84" s="201" t="s">
        <v>7</v>
      </c>
      <c r="F84" s="198"/>
    </row>
    <row r="85" spans="2:6" ht="17.399999999999999" customHeight="1">
      <c r="B85" s="1029"/>
      <c r="C85" s="1035"/>
      <c r="D85" s="1027"/>
      <c r="E85" s="201" t="s">
        <v>8</v>
      </c>
      <c r="F85" s="200">
        <v>25</v>
      </c>
    </row>
    <row r="86" spans="2:6" ht="17.399999999999999" customHeight="1">
      <c r="B86" s="1029"/>
      <c r="C86" s="1036"/>
      <c r="D86" s="1027"/>
      <c r="E86" s="201" t="s">
        <v>9</v>
      </c>
      <c r="F86" s="200">
        <v>15</v>
      </c>
    </row>
    <row r="87" spans="2:6" ht="17.399999999999999" customHeight="1">
      <c r="B87" s="1029"/>
      <c r="C87" s="1034" t="s">
        <v>1212</v>
      </c>
      <c r="D87" s="1027"/>
      <c r="E87" s="201" t="s">
        <v>7</v>
      </c>
      <c r="F87" s="198"/>
    </row>
    <row r="88" spans="2:6" ht="17.399999999999999" customHeight="1">
      <c r="B88" s="1029"/>
      <c r="C88" s="1035"/>
      <c r="D88" s="1027"/>
      <c r="E88" s="201" t="s">
        <v>8</v>
      </c>
      <c r="F88" s="200">
        <v>25</v>
      </c>
    </row>
    <row r="89" spans="2:6" ht="17.399999999999999" customHeight="1">
      <c r="B89" s="1029"/>
      <c r="C89" s="1036"/>
      <c r="D89" s="1027"/>
      <c r="E89" s="201" t="s">
        <v>9</v>
      </c>
      <c r="F89" s="200">
        <v>15</v>
      </c>
    </row>
    <row r="90" spans="2:6" ht="17.399999999999999" customHeight="1">
      <c r="B90" s="1029"/>
      <c r="C90" s="1037" t="s">
        <v>1010</v>
      </c>
      <c r="D90" s="1014"/>
      <c r="E90" s="201" t="s">
        <v>7</v>
      </c>
      <c r="F90" s="200">
        <v>60</v>
      </c>
    </row>
    <row r="91" spans="2:6" ht="17.399999999999999" customHeight="1">
      <c r="B91" s="1029"/>
      <c r="C91" s="1038"/>
      <c r="D91" s="1014"/>
      <c r="E91" s="201" t="s">
        <v>8</v>
      </c>
      <c r="F91" s="200">
        <v>40</v>
      </c>
    </row>
    <row r="92" spans="2:6" ht="17.399999999999999" customHeight="1">
      <c r="B92" s="1029"/>
      <c r="C92" s="1039"/>
      <c r="D92" s="1014"/>
      <c r="E92" s="201" t="s">
        <v>9</v>
      </c>
      <c r="F92" s="198"/>
    </row>
    <row r="93" spans="2:6" ht="17.399999999999999" hidden="1" customHeight="1">
      <c r="B93" s="1029"/>
      <c r="C93" s="1040" t="s">
        <v>1213</v>
      </c>
      <c r="D93" s="1043" t="s">
        <v>1214</v>
      </c>
      <c r="E93" s="201" t="s">
        <v>1000</v>
      </c>
      <c r="F93" s="198"/>
    </row>
    <row r="94" spans="2:6" ht="17.399999999999999" hidden="1" customHeight="1">
      <c r="B94" s="1029"/>
      <c r="C94" s="1041"/>
      <c r="D94" s="1044"/>
      <c r="E94" s="201" t="s">
        <v>7</v>
      </c>
      <c r="F94" s="200">
        <v>300</v>
      </c>
    </row>
    <row r="95" spans="2:6" ht="17.399999999999999" hidden="1" customHeight="1">
      <c r="B95" s="1029"/>
      <c r="C95" s="1041"/>
      <c r="D95" s="1044"/>
      <c r="E95" s="201" t="s">
        <v>8</v>
      </c>
      <c r="F95" s="200">
        <v>120</v>
      </c>
    </row>
    <row r="96" spans="2:6" hidden="1">
      <c r="B96" s="1029"/>
      <c r="C96" s="1042"/>
      <c r="D96" s="1045"/>
      <c r="E96" s="201" t="s">
        <v>9</v>
      </c>
      <c r="F96" s="198"/>
    </row>
    <row r="97" spans="2:6" ht="17.399999999999999" customHeight="1">
      <c r="B97" s="1029"/>
      <c r="C97" s="1046" t="s">
        <v>1215</v>
      </c>
      <c r="D97" s="1014"/>
      <c r="E97" s="201" t="s">
        <v>7</v>
      </c>
      <c r="F97" s="200">
        <v>60</v>
      </c>
    </row>
    <row r="98" spans="2:6" ht="17.399999999999999" customHeight="1">
      <c r="B98" s="1029"/>
      <c r="C98" s="1047"/>
      <c r="D98" s="1014"/>
      <c r="E98" s="201" t="s">
        <v>8</v>
      </c>
      <c r="F98" s="200">
        <v>40</v>
      </c>
    </row>
    <row r="99" spans="2:6" ht="17.399999999999999" customHeight="1">
      <c r="B99" s="1029"/>
      <c r="C99" s="1048"/>
      <c r="D99" s="1014"/>
      <c r="E99" s="201" t="s">
        <v>9</v>
      </c>
      <c r="F99" s="198"/>
    </row>
    <row r="100" spans="2:6" ht="17.399999999999999" customHeight="1">
      <c r="B100" s="1029"/>
      <c r="C100" s="1034" t="s">
        <v>1216</v>
      </c>
      <c r="D100" s="1014"/>
      <c r="E100" s="201" t="s">
        <v>7</v>
      </c>
      <c r="F100" s="200">
        <v>100</v>
      </c>
    </row>
    <row r="101" spans="2:6" ht="17.399999999999999" customHeight="1">
      <c r="B101" s="1029"/>
      <c r="C101" s="1035"/>
      <c r="D101" s="1014"/>
      <c r="E101" s="201" t="s">
        <v>8</v>
      </c>
      <c r="F101" s="198"/>
    </row>
    <row r="102" spans="2:6" ht="17.399999999999999" customHeight="1">
      <c r="B102" s="1029"/>
      <c r="C102" s="1036"/>
      <c r="D102" s="1014"/>
      <c r="E102" s="201" t="s">
        <v>9</v>
      </c>
      <c r="F102" s="198"/>
    </row>
    <row r="103" spans="2:6" ht="17.399999999999999" customHeight="1">
      <c r="B103" s="1029"/>
      <c r="C103" s="1037" t="s">
        <v>1217</v>
      </c>
      <c r="D103" s="1014"/>
      <c r="E103" s="201" t="s">
        <v>7</v>
      </c>
      <c r="F103" s="200">
        <v>1000</v>
      </c>
    </row>
    <row r="104" spans="2:6" ht="17.399999999999999" customHeight="1">
      <c r="B104" s="1029"/>
      <c r="C104" s="1038"/>
      <c r="D104" s="1014"/>
      <c r="E104" s="201" t="s">
        <v>8</v>
      </c>
      <c r="F104" s="198"/>
    </row>
    <row r="105" spans="2:6" ht="17.399999999999999" customHeight="1">
      <c r="B105" s="1029"/>
      <c r="C105" s="1039"/>
      <c r="D105" s="1014"/>
      <c r="E105" s="201" t="s">
        <v>9</v>
      </c>
      <c r="F105" s="198"/>
    </row>
    <row r="106" spans="2:6" ht="17.399999999999999" customHeight="1">
      <c r="B106" s="1029"/>
      <c r="C106" s="1046" t="s">
        <v>1011</v>
      </c>
      <c r="D106" s="1014"/>
      <c r="E106" s="201" t="s">
        <v>7</v>
      </c>
      <c r="F106" s="200">
        <v>10</v>
      </c>
    </row>
    <row r="107" spans="2:6" ht="17.399999999999999" customHeight="1">
      <c r="B107" s="1029"/>
      <c r="C107" s="1047"/>
      <c r="D107" s="1014"/>
      <c r="E107" s="201" t="s">
        <v>8</v>
      </c>
      <c r="F107" s="198"/>
    </row>
    <row r="108" spans="2:6" ht="17.399999999999999" customHeight="1">
      <c r="B108" s="1029"/>
      <c r="C108" s="1048"/>
      <c r="D108" s="1014"/>
      <c r="E108" s="201" t="s">
        <v>9</v>
      </c>
      <c r="F108" s="198"/>
    </row>
    <row r="109" spans="2:6" ht="17.399999999999999" customHeight="1">
      <c r="B109" s="1029"/>
      <c r="C109" s="1046" t="s">
        <v>1218</v>
      </c>
      <c r="D109" s="1014"/>
      <c r="E109" s="201" t="s">
        <v>7</v>
      </c>
      <c r="F109" s="200">
        <v>10</v>
      </c>
    </row>
    <row r="110" spans="2:6" ht="17.399999999999999" customHeight="1">
      <c r="B110" s="1029"/>
      <c r="C110" s="1047"/>
      <c r="D110" s="1014"/>
      <c r="E110" s="201" t="s">
        <v>8</v>
      </c>
      <c r="F110" s="198"/>
    </row>
    <row r="111" spans="2:6" ht="17.399999999999999" customHeight="1">
      <c r="B111" s="1029"/>
      <c r="C111" s="1048"/>
      <c r="D111" s="1014"/>
      <c r="E111" s="201" t="s">
        <v>9</v>
      </c>
      <c r="F111" s="198"/>
    </row>
    <row r="112" spans="2:6" hidden="1">
      <c r="B112" s="1029"/>
      <c r="C112" s="1049" t="s">
        <v>1219</v>
      </c>
      <c r="D112" s="1052" t="s">
        <v>1198</v>
      </c>
      <c r="E112" s="201" t="s">
        <v>1000</v>
      </c>
      <c r="F112" s="198"/>
    </row>
    <row r="113" spans="2:6" hidden="1">
      <c r="B113" s="1029"/>
      <c r="C113" s="1050"/>
      <c r="D113" s="1053"/>
      <c r="E113" s="201" t="s">
        <v>7</v>
      </c>
      <c r="F113" s="200">
        <v>10</v>
      </c>
    </row>
    <row r="114" spans="2:6" hidden="1">
      <c r="B114" s="1029"/>
      <c r="C114" s="1050"/>
      <c r="D114" s="1053"/>
      <c r="E114" s="201" t="s">
        <v>8</v>
      </c>
      <c r="F114" s="198"/>
    </row>
    <row r="115" spans="2:6" hidden="1">
      <c r="B115" s="1030"/>
      <c r="C115" s="1051"/>
      <c r="D115" s="1054"/>
      <c r="E115" s="201" t="s">
        <v>9</v>
      </c>
      <c r="F115" s="198"/>
    </row>
    <row r="116" spans="2:6" ht="17.399999999999999" customHeight="1">
      <c r="B116" s="1017" t="s">
        <v>506</v>
      </c>
      <c r="C116" s="1017"/>
      <c r="D116" s="1017"/>
      <c r="E116" s="1018"/>
      <c r="F116" s="1019"/>
    </row>
    <row r="117" spans="2:6" ht="17.399999999999999" customHeight="1">
      <c r="B117" s="1022" t="s">
        <v>1220</v>
      </c>
      <c r="C117" s="1023" t="s">
        <v>1221</v>
      </c>
      <c r="D117" s="1023"/>
      <c r="E117" s="1020"/>
      <c r="F117" s="1021"/>
    </row>
    <row r="118" spans="2:6" ht="17.399999999999999" customHeight="1">
      <c r="B118" s="1022"/>
      <c r="C118" s="1024" t="s">
        <v>1222</v>
      </c>
      <c r="D118" s="1027"/>
      <c r="E118" s="201" t="s">
        <v>7</v>
      </c>
      <c r="F118" s="198"/>
    </row>
    <row r="119" spans="2:6" ht="17.399999999999999" customHeight="1">
      <c r="B119" s="1022"/>
      <c r="C119" s="1025"/>
      <c r="D119" s="1027"/>
      <c r="E119" s="201" t="s">
        <v>8</v>
      </c>
      <c r="F119" s="198"/>
    </row>
    <row r="120" spans="2:6" ht="17.399999999999999" customHeight="1">
      <c r="B120" s="1022"/>
      <c r="C120" s="1026"/>
      <c r="D120" s="1027"/>
      <c r="E120" s="201" t="s">
        <v>9</v>
      </c>
      <c r="F120" s="198"/>
    </row>
    <row r="121" spans="2:6" ht="17.399999999999999" customHeight="1">
      <c r="B121" s="1022"/>
      <c r="C121" s="1024" t="s">
        <v>1223</v>
      </c>
      <c r="D121" s="1027"/>
      <c r="E121" s="201" t="s">
        <v>7</v>
      </c>
      <c r="F121" s="229">
        <v>1</v>
      </c>
    </row>
    <row r="122" spans="2:6" ht="17.399999999999999" customHeight="1">
      <c r="B122" s="1022"/>
      <c r="C122" s="1025"/>
      <c r="D122" s="1027"/>
      <c r="E122" s="201" t="s">
        <v>8</v>
      </c>
      <c r="F122" s="229">
        <v>1</v>
      </c>
    </row>
    <row r="123" spans="2:6" ht="17.399999999999999" customHeight="1">
      <c r="B123" s="1022"/>
      <c r="C123" s="1026"/>
      <c r="D123" s="1027"/>
      <c r="E123" s="201" t="s">
        <v>9</v>
      </c>
      <c r="F123" s="229">
        <v>1</v>
      </c>
    </row>
    <row r="124" spans="2:6" ht="22.8" customHeight="1">
      <c r="B124" s="1022"/>
      <c r="C124" s="1024" t="s">
        <v>1224</v>
      </c>
      <c r="D124" s="1027"/>
      <c r="E124" s="201" t="s">
        <v>7</v>
      </c>
      <c r="F124" s="229">
        <v>1</v>
      </c>
    </row>
    <row r="125" spans="2:6" ht="22.8" customHeight="1">
      <c r="B125" s="1022"/>
      <c r="C125" s="1025"/>
      <c r="D125" s="1027"/>
      <c r="E125" s="201" t="s">
        <v>8</v>
      </c>
      <c r="F125" s="229">
        <v>1</v>
      </c>
    </row>
    <row r="126" spans="2:6" ht="22.8" customHeight="1">
      <c r="B126" s="1022"/>
      <c r="C126" s="1026"/>
      <c r="D126" s="1027"/>
      <c r="E126" s="201" t="s">
        <v>9</v>
      </c>
      <c r="F126" s="229">
        <v>1</v>
      </c>
    </row>
    <row r="127" spans="2:6" ht="17.399999999999999" customHeight="1">
      <c r="B127" s="1022"/>
      <c r="C127" s="1024" t="s">
        <v>1225</v>
      </c>
      <c r="D127" s="1027"/>
      <c r="E127" s="201" t="s">
        <v>7</v>
      </c>
      <c r="F127" s="198"/>
    </row>
    <row r="128" spans="2:6" ht="17.399999999999999" customHeight="1">
      <c r="B128" s="1022"/>
      <c r="C128" s="1025"/>
      <c r="D128" s="1027"/>
      <c r="E128" s="201" t="s">
        <v>8</v>
      </c>
      <c r="F128" s="200">
        <v>300</v>
      </c>
    </row>
    <row r="129" spans="2:6" ht="17.399999999999999" customHeight="1">
      <c r="B129" s="1022"/>
      <c r="C129" s="1026"/>
      <c r="D129" s="1027"/>
      <c r="E129" s="201" t="s">
        <v>9</v>
      </c>
      <c r="F129" s="198"/>
    </row>
    <row r="130" spans="2:6" ht="17.399999999999999" customHeight="1">
      <c r="B130" s="1022"/>
      <c r="C130" s="1024" t="s">
        <v>1226</v>
      </c>
      <c r="D130" s="1027"/>
      <c r="E130" s="201" t="s">
        <v>7</v>
      </c>
      <c r="F130" s="198"/>
    </row>
    <row r="131" spans="2:6" ht="17.399999999999999" customHeight="1">
      <c r="B131" s="1022"/>
      <c r="C131" s="1025"/>
      <c r="D131" s="1027"/>
      <c r="E131" s="201" t="s">
        <v>8</v>
      </c>
      <c r="F131" s="198"/>
    </row>
    <row r="132" spans="2:6" ht="17.399999999999999" customHeight="1">
      <c r="B132" s="1022"/>
      <c r="C132" s="1026"/>
      <c r="D132" s="1027"/>
      <c r="E132" s="201" t="s">
        <v>9</v>
      </c>
      <c r="F132" s="200">
        <v>25</v>
      </c>
    </row>
    <row r="133" spans="2:6" ht="17.399999999999999" customHeight="1">
      <c r="B133" s="1007" t="s">
        <v>1227</v>
      </c>
      <c r="C133" s="1008" t="s">
        <v>1228</v>
      </c>
      <c r="D133" s="1009"/>
      <c r="E133" s="1010"/>
      <c r="F133" s="198"/>
    </row>
    <row r="134" spans="2:6" ht="17.399999999999999" customHeight="1">
      <c r="B134" s="1007"/>
      <c r="C134" s="1011" t="s">
        <v>1229</v>
      </c>
      <c r="D134" s="1014"/>
      <c r="E134" s="201" t="s">
        <v>7</v>
      </c>
      <c r="F134" s="198"/>
    </row>
    <row r="135" spans="2:6" ht="17.399999999999999" customHeight="1">
      <c r="B135" s="1007"/>
      <c r="C135" s="1012"/>
      <c r="D135" s="1014"/>
      <c r="E135" s="201" t="s">
        <v>8</v>
      </c>
      <c r="F135" s="230">
        <v>1500000</v>
      </c>
    </row>
    <row r="136" spans="2:6" ht="17.399999999999999" customHeight="1">
      <c r="B136" s="1007"/>
      <c r="C136" s="1013"/>
      <c r="D136" s="1014"/>
      <c r="E136" s="201" t="s">
        <v>9</v>
      </c>
      <c r="F136" s="198"/>
    </row>
    <row r="137" spans="2:6" ht="17.399999999999999" customHeight="1">
      <c r="B137" s="1007"/>
      <c r="C137" s="1011" t="s">
        <v>1230</v>
      </c>
      <c r="D137" s="1014"/>
      <c r="E137" s="201" t="s">
        <v>7</v>
      </c>
      <c r="F137" s="198"/>
    </row>
    <row r="138" spans="2:6" ht="17.399999999999999" customHeight="1">
      <c r="B138" s="1007"/>
      <c r="C138" s="1012"/>
      <c r="D138" s="1014"/>
      <c r="E138" s="201" t="s">
        <v>8</v>
      </c>
      <c r="F138" s="200">
        <v>100</v>
      </c>
    </row>
    <row r="139" spans="2:6" ht="17.399999999999999" customHeight="1">
      <c r="B139" s="1007"/>
      <c r="C139" s="1013"/>
      <c r="D139" s="1014"/>
      <c r="E139" s="201" t="s">
        <v>9</v>
      </c>
      <c r="F139" s="198"/>
    </row>
    <row r="140" spans="2:6" ht="17.399999999999999" customHeight="1">
      <c r="B140" s="1007"/>
      <c r="C140" s="1011" t="s">
        <v>1231</v>
      </c>
      <c r="D140" s="1014"/>
      <c r="E140" s="201" t="s">
        <v>7</v>
      </c>
      <c r="F140" s="198"/>
    </row>
    <row r="141" spans="2:6" ht="17.399999999999999" customHeight="1">
      <c r="B141" s="1007"/>
      <c r="C141" s="1012"/>
      <c r="D141" s="1014"/>
      <c r="E141" s="201" t="s">
        <v>8</v>
      </c>
      <c r="F141" s="200">
        <v>50</v>
      </c>
    </row>
    <row r="142" spans="2:6" ht="17.399999999999999" customHeight="1">
      <c r="B142" s="1007"/>
      <c r="C142" s="1013"/>
      <c r="D142" s="1014"/>
      <c r="E142" s="201" t="s">
        <v>9</v>
      </c>
      <c r="F142" s="198"/>
    </row>
    <row r="143" spans="2:6" ht="17.399999999999999" customHeight="1">
      <c r="B143" s="1007"/>
      <c r="C143" s="1011" t="s">
        <v>1232</v>
      </c>
      <c r="D143" s="1014"/>
      <c r="E143" s="201" t="s">
        <v>7</v>
      </c>
      <c r="F143" s="198"/>
    </row>
    <row r="144" spans="2:6" ht="17.399999999999999" customHeight="1">
      <c r="B144" s="1007"/>
      <c r="C144" s="1012"/>
      <c r="D144" s="1014"/>
      <c r="E144" s="201" t="s">
        <v>8</v>
      </c>
      <c r="F144" s="200">
        <v>250</v>
      </c>
    </row>
    <row r="145" spans="2:9" ht="17.399999999999999" customHeight="1">
      <c r="B145" s="1007"/>
      <c r="C145" s="1013"/>
      <c r="D145" s="1014"/>
      <c r="E145" s="201" t="s">
        <v>9</v>
      </c>
      <c r="F145" s="198"/>
    </row>
    <row r="146" spans="2:9" ht="17.399999999999999" customHeight="1">
      <c r="B146" s="1007"/>
      <c r="C146" s="1011" t="s">
        <v>1233</v>
      </c>
      <c r="D146" s="1014"/>
      <c r="E146" s="201" t="s">
        <v>7</v>
      </c>
      <c r="F146" s="198"/>
    </row>
    <row r="147" spans="2:9" ht="17.399999999999999" customHeight="1">
      <c r="B147" s="1007"/>
      <c r="C147" s="1012"/>
      <c r="D147" s="1014"/>
      <c r="E147" s="201" t="s">
        <v>8</v>
      </c>
      <c r="F147" s="200">
        <v>250</v>
      </c>
    </row>
    <row r="148" spans="2:9" ht="17.399999999999999" customHeight="1">
      <c r="B148" s="1007"/>
      <c r="C148" s="1013"/>
      <c r="D148" s="1014"/>
      <c r="E148" s="201" t="s">
        <v>9</v>
      </c>
      <c r="F148" s="198"/>
    </row>
    <row r="149" spans="2:9" ht="17.399999999999999" customHeight="1">
      <c r="B149" s="1007"/>
      <c r="C149" s="1011" t="s">
        <v>1234</v>
      </c>
      <c r="D149" s="1014"/>
      <c r="E149" s="201" t="s">
        <v>7</v>
      </c>
      <c r="F149" s="198"/>
    </row>
    <row r="150" spans="2:9" ht="17.399999999999999" customHeight="1">
      <c r="B150" s="1007"/>
      <c r="C150" s="1012"/>
      <c r="D150" s="1014"/>
      <c r="E150" s="201" t="s">
        <v>8</v>
      </c>
      <c r="F150" s="200">
        <v>2000</v>
      </c>
    </row>
    <row r="151" spans="2:9" ht="17.399999999999999" customHeight="1">
      <c r="B151" s="1007"/>
      <c r="C151" s="1013"/>
      <c r="D151" s="1014"/>
      <c r="E151" s="201" t="s">
        <v>9</v>
      </c>
      <c r="F151" s="198"/>
    </row>
    <row r="152" spans="2:9" ht="17.399999999999999" customHeight="1">
      <c r="B152" s="1015" t="s">
        <v>1235</v>
      </c>
      <c r="C152" s="1016"/>
      <c r="D152" s="1016"/>
      <c r="E152" s="1016"/>
      <c r="F152" s="1016"/>
    </row>
    <row r="153" spans="2:9" s="212" customFormat="1">
      <c r="B153" s="210"/>
      <c r="C153" s="231" t="s">
        <v>1236</v>
      </c>
      <c r="E153" s="213"/>
      <c r="G153" s="1"/>
      <c r="H153" s="1"/>
      <c r="I153" s="1"/>
    </row>
  </sheetData>
  <mergeCells count="117">
    <mergeCell ref="D6:D8"/>
    <mergeCell ref="B9:B12"/>
    <mergeCell ref="C9:E9"/>
    <mergeCell ref="G9:G12"/>
    <mergeCell ref="C10:C13"/>
    <mergeCell ref="D10:D13"/>
    <mergeCell ref="B2:B3"/>
    <mergeCell ref="C2:C3"/>
    <mergeCell ref="D2:D3"/>
    <mergeCell ref="E2:F2"/>
    <mergeCell ref="G2:G3"/>
    <mergeCell ref="B4:E4"/>
    <mergeCell ref="G4:G8"/>
    <mergeCell ref="B5:B8"/>
    <mergeCell ref="C5:E5"/>
    <mergeCell ref="C6:C8"/>
    <mergeCell ref="C27:C30"/>
    <mergeCell ref="D27:D30"/>
    <mergeCell ref="C31:C33"/>
    <mergeCell ref="D31:D33"/>
    <mergeCell ref="C34:C36"/>
    <mergeCell ref="D34:D36"/>
    <mergeCell ref="B14:B36"/>
    <mergeCell ref="C14:E14"/>
    <mergeCell ref="C15:C17"/>
    <mergeCell ref="D15:D17"/>
    <mergeCell ref="C18:C20"/>
    <mergeCell ref="D18:D20"/>
    <mergeCell ref="C21:C23"/>
    <mergeCell ref="D21:D23"/>
    <mergeCell ref="C24:C26"/>
    <mergeCell ref="D24:D26"/>
    <mergeCell ref="C50:C52"/>
    <mergeCell ref="D50:D52"/>
    <mergeCell ref="C53:E53"/>
    <mergeCell ref="C54:C56"/>
    <mergeCell ref="D54:D56"/>
    <mergeCell ref="C57:C59"/>
    <mergeCell ref="D57:D59"/>
    <mergeCell ref="B37:B65"/>
    <mergeCell ref="C37:E37"/>
    <mergeCell ref="C38:C40"/>
    <mergeCell ref="D38:D40"/>
    <mergeCell ref="C41:C43"/>
    <mergeCell ref="D41:D43"/>
    <mergeCell ref="C44:C46"/>
    <mergeCell ref="D44:D46"/>
    <mergeCell ref="C47:C49"/>
    <mergeCell ref="D47:D49"/>
    <mergeCell ref="D71:D73"/>
    <mergeCell ref="C74:C76"/>
    <mergeCell ref="D74:D76"/>
    <mergeCell ref="C77:C79"/>
    <mergeCell ref="D77:D79"/>
    <mergeCell ref="C80:C82"/>
    <mergeCell ref="D80:D82"/>
    <mergeCell ref="C60:C62"/>
    <mergeCell ref="D60:D62"/>
    <mergeCell ref="C63:C65"/>
    <mergeCell ref="D63:D65"/>
    <mergeCell ref="B66:E66"/>
    <mergeCell ref="B67:B82"/>
    <mergeCell ref="C67:E67"/>
    <mergeCell ref="C68:C70"/>
    <mergeCell ref="D68:D70"/>
    <mergeCell ref="C71:C73"/>
    <mergeCell ref="B83:B115"/>
    <mergeCell ref="C83:E83"/>
    <mergeCell ref="C84:C86"/>
    <mergeCell ref="D84:D86"/>
    <mergeCell ref="C87:C89"/>
    <mergeCell ref="D87:D89"/>
    <mergeCell ref="C90:C92"/>
    <mergeCell ref="D90:D92"/>
    <mergeCell ref="C93:C96"/>
    <mergeCell ref="D93:D96"/>
    <mergeCell ref="C106:C108"/>
    <mergeCell ref="D106:D108"/>
    <mergeCell ref="C109:C111"/>
    <mergeCell ref="D109:D111"/>
    <mergeCell ref="C112:C115"/>
    <mergeCell ref="D112:D115"/>
    <mergeCell ref="C97:C99"/>
    <mergeCell ref="D97:D99"/>
    <mergeCell ref="C100:C102"/>
    <mergeCell ref="D100:D102"/>
    <mergeCell ref="C103:C105"/>
    <mergeCell ref="D103:D105"/>
    <mergeCell ref="B116:D116"/>
    <mergeCell ref="E116:F117"/>
    <mergeCell ref="B117:B132"/>
    <mergeCell ref="C117:D117"/>
    <mergeCell ref="C118:C120"/>
    <mergeCell ref="D118:D120"/>
    <mergeCell ref="C121:C123"/>
    <mergeCell ref="D121:D123"/>
    <mergeCell ref="C124:C126"/>
    <mergeCell ref="D124:D126"/>
    <mergeCell ref="C127:C129"/>
    <mergeCell ref="D127:D129"/>
    <mergeCell ref="C130:C132"/>
    <mergeCell ref="D130:D132"/>
    <mergeCell ref="B133:B151"/>
    <mergeCell ref="C133:E133"/>
    <mergeCell ref="C134:C136"/>
    <mergeCell ref="D134:D136"/>
    <mergeCell ref="C137:C139"/>
    <mergeCell ref="D137:D139"/>
    <mergeCell ref="C149:C151"/>
    <mergeCell ref="D149:D151"/>
    <mergeCell ref="B152:F152"/>
    <mergeCell ref="C140:C142"/>
    <mergeCell ref="D140:D142"/>
    <mergeCell ref="C143:C145"/>
    <mergeCell ref="D143:D145"/>
    <mergeCell ref="C146:C148"/>
    <mergeCell ref="D146:D148"/>
  </mergeCell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FF229-0DCB-489A-8D9A-525D05F36F85}">
  <sheetPr>
    <tabColor rgb="FFFFFF00"/>
  </sheetPr>
  <dimension ref="B1:Q84"/>
  <sheetViews>
    <sheetView workbookViewId="0">
      <pane xSplit="4" ySplit="3" topLeftCell="M4" activePane="bottomRight" state="frozen"/>
      <selection pane="topRight" activeCell="E1" sqref="E1"/>
      <selection pane="bottomLeft" activeCell="A4" sqref="A4"/>
      <selection pane="bottomRight" activeCell="P61" sqref="P61"/>
    </sheetView>
  </sheetViews>
  <sheetFormatPr baseColWidth="10" defaultColWidth="35.5546875" defaultRowHeight="10.199999999999999"/>
  <cols>
    <col min="1" max="1" width="18.77734375" style="444" customWidth="1"/>
    <col min="2" max="2" width="15.6640625" style="444" customWidth="1"/>
    <col min="3" max="3" width="23.44140625" style="685" customWidth="1"/>
    <col min="4" max="4" width="51.88671875" style="444" bestFit="1" customWidth="1"/>
    <col min="5" max="5" width="7.5546875" style="444" bestFit="1" customWidth="1"/>
    <col min="6" max="6" width="5" style="444" bestFit="1" customWidth="1"/>
    <col min="7" max="7" width="64.33203125" style="444" bestFit="1" customWidth="1"/>
    <col min="8" max="8" width="56.109375" style="444" bestFit="1" customWidth="1"/>
    <col min="9" max="9" width="25.109375" style="685" customWidth="1"/>
    <col min="10" max="10" width="6.5546875" style="686" customWidth="1"/>
    <col min="11" max="11" width="3.6640625" style="444" bestFit="1" customWidth="1"/>
    <col min="12" max="12" width="26.21875" style="444" customWidth="1"/>
    <col min="13" max="13" width="16.77734375" style="444" customWidth="1"/>
    <col min="14" max="14" width="7.88671875" style="444" customWidth="1"/>
    <col min="15" max="15" width="6.44140625" style="444" customWidth="1"/>
    <col min="16" max="16" width="74.44140625" style="444" customWidth="1"/>
    <col min="17" max="16384" width="35.5546875" style="444"/>
  </cols>
  <sheetData>
    <row r="1" spans="2:17">
      <c r="B1" s="1161" t="s">
        <v>59</v>
      </c>
      <c r="C1" s="1177" t="s">
        <v>671</v>
      </c>
      <c r="D1" s="1161" t="s">
        <v>1756</v>
      </c>
      <c r="E1" s="1175" t="s">
        <v>1757</v>
      </c>
      <c r="F1" s="1175"/>
      <c r="G1" s="1175"/>
      <c r="H1" s="1175"/>
      <c r="I1" s="1161" t="s">
        <v>1803</v>
      </c>
      <c r="J1" s="1176" t="s">
        <v>1759</v>
      </c>
      <c r="K1" s="1176"/>
      <c r="L1" s="1176"/>
      <c r="M1" s="1161" t="s">
        <v>2051</v>
      </c>
      <c r="N1" s="1176" t="s">
        <v>2068</v>
      </c>
      <c r="O1" s="1176"/>
      <c r="P1" s="1176"/>
    </row>
    <row r="2" spans="2:17" ht="30" customHeight="1">
      <c r="B2" s="1161"/>
      <c r="C2" s="1177"/>
      <c r="D2" s="1161"/>
      <c r="E2" s="653" t="s">
        <v>672</v>
      </c>
      <c r="F2" s="653" t="s">
        <v>673</v>
      </c>
      <c r="G2" s="653" t="s">
        <v>674</v>
      </c>
      <c r="H2" s="653" t="s">
        <v>1758</v>
      </c>
      <c r="I2" s="1161"/>
      <c r="J2" s="654" t="s">
        <v>2019</v>
      </c>
      <c r="K2" s="654" t="s">
        <v>673</v>
      </c>
      <c r="L2" s="654" t="s">
        <v>1783</v>
      </c>
      <c r="M2" s="1161"/>
      <c r="N2" s="654" t="s">
        <v>2069</v>
      </c>
      <c r="O2" s="654" t="s">
        <v>673</v>
      </c>
      <c r="P2" s="654" t="s">
        <v>2052</v>
      </c>
    </row>
    <row r="3" spans="2:17">
      <c r="B3" s="1215" t="s">
        <v>135</v>
      </c>
      <c r="C3" s="1216"/>
      <c r="D3" s="1216"/>
      <c r="E3" s="1216"/>
      <c r="F3" s="1216"/>
      <c r="G3" s="1216"/>
      <c r="H3" s="1217"/>
      <c r="I3" s="655"/>
      <c r="J3" s="656"/>
      <c r="K3" s="450"/>
      <c r="L3" s="450"/>
      <c r="M3" s="690"/>
      <c r="N3" s="690"/>
      <c r="O3" s="690"/>
      <c r="P3" s="690"/>
    </row>
    <row r="4" spans="2:17" ht="102">
      <c r="B4" s="1212" t="s">
        <v>675</v>
      </c>
      <c r="C4" s="1157" t="s">
        <v>676</v>
      </c>
      <c r="D4" s="657" t="s">
        <v>677</v>
      </c>
      <c r="E4" s="658">
        <v>0.8</v>
      </c>
      <c r="F4" s="659">
        <v>0.78</v>
      </c>
      <c r="G4" s="657" t="s">
        <v>678</v>
      </c>
      <c r="H4" s="657" t="s">
        <v>679</v>
      </c>
      <c r="I4" s="391" t="s">
        <v>677</v>
      </c>
      <c r="J4" s="1165">
        <v>0</v>
      </c>
      <c r="K4" s="1165">
        <v>0</v>
      </c>
      <c r="L4" s="336" t="s">
        <v>2116</v>
      </c>
      <c r="M4" s="690"/>
      <c r="N4" s="1150">
        <v>38.200000000000003</v>
      </c>
      <c r="O4" s="1150">
        <v>0</v>
      </c>
      <c r="P4" s="336" t="s">
        <v>2091</v>
      </c>
    </row>
    <row r="5" spans="2:17" ht="255">
      <c r="B5" s="1213"/>
      <c r="C5" s="1162"/>
      <c r="D5" s="1143" t="s">
        <v>680</v>
      </c>
      <c r="E5" s="1190">
        <v>0.75</v>
      </c>
      <c r="F5" s="1207">
        <v>0.72</v>
      </c>
      <c r="G5" s="660" t="s">
        <v>2020</v>
      </c>
      <c r="H5" s="1143" t="s">
        <v>681</v>
      </c>
      <c r="I5" s="1157" t="s">
        <v>680</v>
      </c>
      <c r="J5" s="1174"/>
      <c r="K5" s="1174"/>
      <c r="L5" s="533" t="s">
        <v>2021</v>
      </c>
      <c r="M5" s="690"/>
      <c r="N5" s="1151"/>
      <c r="O5" s="1151"/>
      <c r="P5" s="1137" t="s">
        <v>2093</v>
      </c>
    </row>
    <row r="6" spans="2:17" ht="20.399999999999999" customHeight="1">
      <c r="B6" s="1213"/>
      <c r="C6" s="1162"/>
      <c r="D6" s="1145"/>
      <c r="E6" s="1191"/>
      <c r="F6" s="1208"/>
      <c r="G6" s="660" t="s">
        <v>2022</v>
      </c>
      <c r="H6" s="1145"/>
      <c r="I6" s="1158"/>
      <c r="J6" s="1174"/>
      <c r="K6" s="1174"/>
      <c r="L6" s="533" t="s">
        <v>2023</v>
      </c>
      <c r="M6" s="690"/>
      <c r="N6" s="1151"/>
      <c r="O6" s="1151"/>
      <c r="P6" s="1138"/>
    </row>
    <row r="7" spans="2:17" ht="96" customHeight="1">
      <c r="B7" s="1213"/>
      <c r="C7" s="1162"/>
      <c r="D7" s="1143" t="s">
        <v>682</v>
      </c>
      <c r="E7" s="1190">
        <v>0.5</v>
      </c>
      <c r="F7" s="1207">
        <v>0.42</v>
      </c>
      <c r="G7" s="660" t="s">
        <v>2024</v>
      </c>
      <c r="H7" s="661" t="s">
        <v>684</v>
      </c>
      <c r="I7" s="1157" t="s">
        <v>682</v>
      </c>
      <c r="J7" s="1174"/>
      <c r="K7" s="1174"/>
      <c r="L7" s="1137" t="s">
        <v>2025</v>
      </c>
      <c r="M7" s="690"/>
      <c r="N7" s="1151"/>
      <c r="O7" s="1151"/>
      <c r="P7" s="1137" t="s">
        <v>2092</v>
      </c>
    </row>
    <row r="8" spans="2:17" ht="96" customHeight="1">
      <c r="B8" s="1213"/>
      <c r="C8" s="1162"/>
      <c r="D8" s="1144"/>
      <c r="E8" s="1192"/>
      <c r="F8" s="1209"/>
      <c r="G8" s="657" t="s">
        <v>683</v>
      </c>
      <c r="H8" s="662"/>
      <c r="I8" s="1162"/>
      <c r="J8" s="1174"/>
      <c r="K8" s="1174"/>
      <c r="L8" s="1153"/>
      <c r="M8" s="690"/>
      <c r="N8" s="1151"/>
      <c r="O8" s="1151"/>
      <c r="P8" s="1153"/>
      <c r="Q8" s="444">
        <f>12.5+2+6.5+6.1+14</f>
        <v>41.1</v>
      </c>
    </row>
    <row r="9" spans="2:17" ht="96" customHeight="1">
      <c r="B9" s="1214"/>
      <c r="C9" s="1158"/>
      <c r="D9" s="1145"/>
      <c r="E9" s="1191"/>
      <c r="F9" s="1208"/>
      <c r="G9" s="660" t="s">
        <v>2026</v>
      </c>
      <c r="H9" s="661" t="s">
        <v>685</v>
      </c>
      <c r="I9" s="1158"/>
      <c r="J9" s="1166"/>
      <c r="K9" s="1166"/>
      <c r="L9" s="1138"/>
      <c r="M9" s="690"/>
      <c r="N9" s="1152"/>
      <c r="O9" s="1152"/>
      <c r="P9" s="1138"/>
    </row>
    <row r="10" spans="2:17" ht="122.4">
      <c r="B10" s="1212" t="s">
        <v>686</v>
      </c>
      <c r="C10" s="1157" t="s">
        <v>687</v>
      </c>
      <c r="D10" s="657" t="s">
        <v>688</v>
      </c>
      <c r="E10" s="658">
        <v>0.35</v>
      </c>
      <c r="F10" s="659">
        <v>0.2</v>
      </c>
      <c r="G10" s="657" t="s">
        <v>689</v>
      </c>
      <c r="H10" s="657" t="s">
        <v>690</v>
      </c>
      <c r="I10" s="391" t="s">
        <v>688</v>
      </c>
      <c r="J10" s="1163">
        <f>16.5+28.5</f>
        <v>45</v>
      </c>
      <c r="K10" s="1181">
        <v>0</v>
      </c>
      <c r="L10" s="336" t="s">
        <v>2027</v>
      </c>
      <c r="M10" s="690"/>
      <c r="N10" s="1150">
        <f>16.5+28.5+24</f>
        <v>69</v>
      </c>
      <c r="O10" s="1150">
        <v>0</v>
      </c>
      <c r="P10" s="742" t="s">
        <v>2094</v>
      </c>
    </row>
    <row r="11" spans="2:17" ht="10.199999999999999" customHeight="1">
      <c r="B11" s="1213"/>
      <c r="C11" s="1162"/>
      <c r="D11" s="1202" t="s">
        <v>77</v>
      </c>
      <c r="E11" s="1190">
        <v>0.75</v>
      </c>
      <c r="F11" s="1207">
        <v>0.7</v>
      </c>
      <c r="G11" s="663" t="s">
        <v>2028</v>
      </c>
      <c r="H11" s="1143" t="s">
        <v>2029</v>
      </c>
      <c r="I11" s="1157" t="s">
        <v>77</v>
      </c>
      <c r="J11" s="1173"/>
      <c r="K11" s="1182"/>
      <c r="L11" s="1137" t="s">
        <v>2030</v>
      </c>
      <c r="M11" s="690"/>
      <c r="N11" s="1151"/>
      <c r="O11" s="1151"/>
      <c r="P11" s="1154" t="s">
        <v>2095</v>
      </c>
    </row>
    <row r="12" spans="2:17" ht="20.399999999999999">
      <c r="B12" s="1213"/>
      <c r="C12" s="1162"/>
      <c r="D12" s="1203"/>
      <c r="E12" s="1192"/>
      <c r="F12" s="1209"/>
      <c r="G12" s="663" t="s">
        <v>2031</v>
      </c>
      <c r="H12" s="1144"/>
      <c r="I12" s="1162"/>
      <c r="J12" s="1173"/>
      <c r="K12" s="1182"/>
      <c r="L12" s="1153"/>
      <c r="M12" s="690"/>
      <c r="N12" s="1151"/>
      <c r="O12" s="1151"/>
      <c r="P12" s="1155"/>
    </row>
    <row r="13" spans="2:17">
      <c r="B13" s="1213"/>
      <c r="C13" s="1162"/>
      <c r="D13" s="1203"/>
      <c r="E13" s="1192"/>
      <c r="F13" s="1209"/>
      <c r="G13" s="663" t="s">
        <v>2032</v>
      </c>
      <c r="H13" s="1144"/>
      <c r="I13" s="1162"/>
      <c r="J13" s="1173"/>
      <c r="K13" s="1182"/>
      <c r="L13" s="1153"/>
      <c r="M13" s="690"/>
      <c r="N13" s="1151"/>
      <c r="O13" s="1151"/>
      <c r="P13" s="1155"/>
    </row>
    <row r="14" spans="2:17" ht="20.399999999999999">
      <c r="B14" s="1213"/>
      <c r="C14" s="1162"/>
      <c r="D14" s="1204"/>
      <c r="E14" s="1191"/>
      <c r="F14" s="1208"/>
      <c r="G14" s="663" t="s">
        <v>2033</v>
      </c>
      <c r="H14" s="1145"/>
      <c r="I14" s="1158"/>
      <c r="J14" s="1173"/>
      <c r="K14" s="1182"/>
      <c r="L14" s="1138"/>
      <c r="M14" s="690"/>
      <c r="N14" s="1151"/>
      <c r="O14" s="1151"/>
      <c r="P14" s="1156"/>
    </row>
    <row r="15" spans="2:17" ht="20.399999999999999">
      <c r="B15" s="1213"/>
      <c r="C15" s="1162"/>
      <c r="D15" s="1202" t="s">
        <v>78</v>
      </c>
      <c r="E15" s="1190">
        <v>0.55000000000000004</v>
      </c>
      <c r="F15" s="1207">
        <v>0.47</v>
      </c>
      <c r="G15" s="660" t="s">
        <v>2034</v>
      </c>
      <c r="H15" s="1202" t="s">
        <v>691</v>
      </c>
      <c r="I15" s="1157" t="s">
        <v>78</v>
      </c>
      <c r="J15" s="1173"/>
      <c r="K15" s="1182"/>
      <c r="L15" s="1179" t="s">
        <v>2035</v>
      </c>
      <c r="M15" s="690"/>
      <c r="N15" s="1151"/>
      <c r="O15" s="1151"/>
      <c r="P15" s="1154" t="s">
        <v>2096</v>
      </c>
    </row>
    <row r="16" spans="2:17" ht="20.399999999999999">
      <c r="B16" s="1213"/>
      <c r="C16" s="1162"/>
      <c r="D16" s="1204"/>
      <c r="E16" s="1191"/>
      <c r="F16" s="1208"/>
      <c r="G16" s="660" t="s">
        <v>2036</v>
      </c>
      <c r="H16" s="1204"/>
      <c r="I16" s="1158"/>
      <c r="J16" s="1173"/>
      <c r="K16" s="1182"/>
      <c r="L16" s="1180"/>
      <c r="M16" s="690"/>
      <c r="N16" s="1151"/>
      <c r="O16" s="1151"/>
      <c r="P16" s="1156"/>
    </row>
    <row r="17" spans="2:16">
      <c r="B17" s="1213"/>
      <c r="C17" s="1162"/>
      <c r="D17" s="1202" t="s">
        <v>79</v>
      </c>
      <c r="E17" s="1190">
        <v>0.35</v>
      </c>
      <c r="F17" s="1207">
        <v>0.2</v>
      </c>
      <c r="G17" s="660" t="s">
        <v>2037</v>
      </c>
      <c r="H17" s="1202" t="s">
        <v>691</v>
      </c>
      <c r="I17" s="1157" t="s">
        <v>79</v>
      </c>
      <c r="J17" s="1173"/>
      <c r="K17" s="1182"/>
      <c r="L17" s="1137" t="s">
        <v>2038</v>
      </c>
      <c r="M17" s="690"/>
      <c r="N17" s="1151"/>
      <c r="O17" s="1151"/>
      <c r="P17" s="1154" t="s">
        <v>2097</v>
      </c>
    </row>
    <row r="18" spans="2:16">
      <c r="B18" s="1213"/>
      <c r="C18" s="1162"/>
      <c r="D18" s="1203"/>
      <c r="E18" s="1192"/>
      <c r="F18" s="1209"/>
      <c r="G18" s="657" t="s">
        <v>692</v>
      </c>
      <c r="H18" s="1203"/>
      <c r="I18" s="1162"/>
      <c r="J18" s="1173"/>
      <c r="K18" s="1182"/>
      <c r="L18" s="1153"/>
      <c r="M18" s="690"/>
      <c r="N18" s="1151"/>
      <c r="O18" s="1151"/>
      <c r="P18" s="1155"/>
    </row>
    <row r="19" spans="2:16">
      <c r="B19" s="1213"/>
      <c r="C19" s="1162"/>
      <c r="D19" s="1203"/>
      <c r="E19" s="1192"/>
      <c r="F19" s="1209"/>
      <c r="G19" s="660" t="s">
        <v>2039</v>
      </c>
      <c r="H19" s="1203"/>
      <c r="I19" s="1162"/>
      <c r="J19" s="1173"/>
      <c r="K19" s="1182"/>
      <c r="L19" s="1153"/>
      <c r="M19" s="690"/>
      <c r="N19" s="1151"/>
      <c r="O19" s="1151"/>
      <c r="P19" s="1155"/>
    </row>
    <row r="20" spans="2:16" ht="20.399999999999999">
      <c r="B20" s="1213"/>
      <c r="C20" s="1162"/>
      <c r="D20" s="1204"/>
      <c r="E20" s="1191"/>
      <c r="F20" s="1208"/>
      <c r="G20" s="657" t="s">
        <v>693</v>
      </c>
      <c r="H20" s="1204"/>
      <c r="I20" s="1158"/>
      <c r="J20" s="1164"/>
      <c r="K20" s="1183"/>
      <c r="L20" s="1138"/>
      <c r="M20" s="690"/>
      <c r="N20" s="1151"/>
      <c r="O20" s="1151"/>
      <c r="P20" s="1156"/>
    </row>
    <row r="21" spans="2:16" ht="41.4" customHeight="1">
      <c r="B21" s="1214"/>
      <c r="C21" s="1158"/>
      <c r="D21" s="661"/>
      <c r="E21" s="658"/>
      <c r="F21" s="659"/>
      <c r="G21" s="657"/>
      <c r="H21" s="661"/>
      <c r="I21" s="391" t="s">
        <v>1874</v>
      </c>
      <c r="J21" s="664"/>
      <c r="K21" s="344"/>
      <c r="L21" s="331" t="s">
        <v>1873</v>
      </c>
      <c r="M21" s="690"/>
      <c r="N21" s="1152"/>
      <c r="O21" s="1152"/>
      <c r="P21" s="744" t="s">
        <v>1565</v>
      </c>
    </row>
    <row r="22" spans="2:16" ht="51">
      <c r="B22" s="660" t="s">
        <v>694</v>
      </c>
      <c r="C22" s="391" t="s">
        <v>695</v>
      </c>
      <c r="D22" s="657" t="s">
        <v>696</v>
      </c>
      <c r="E22" s="658">
        <v>0.35</v>
      </c>
      <c r="F22" s="659">
        <v>0.2</v>
      </c>
      <c r="G22" s="657" t="s">
        <v>697</v>
      </c>
      <c r="H22" s="661" t="s">
        <v>698</v>
      </c>
      <c r="I22" s="391" t="s">
        <v>696</v>
      </c>
      <c r="J22" s="664">
        <v>0</v>
      </c>
      <c r="K22" s="664">
        <v>0</v>
      </c>
      <c r="L22" s="657" t="s">
        <v>697</v>
      </c>
      <c r="M22" s="690"/>
      <c r="N22" s="745">
        <v>29.8</v>
      </c>
      <c r="O22" s="745">
        <v>0</v>
      </c>
      <c r="P22" s="746" t="s">
        <v>2098</v>
      </c>
    </row>
    <row r="23" spans="2:16" ht="20.399999999999999">
      <c r="B23" s="663" t="s">
        <v>112</v>
      </c>
      <c r="C23" s="391" t="s">
        <v>1802</v>
      </c>
      <c r="D23" s="665"/>
      <c r="E23" s="658"/>
      <c r="F23" s="659"/>
      <c r="G23" s="666" t="s">
        <v>2040</v>
      </c>
      <c r="H23" s="661"/>
      <c r="I23" s="667"/>
      <c r="J23" s="664">
        <v>0</v>
      </c>
      <c r="K23" s="651">
        <v>0</v>
      </c>
      <c r="L23" s="657" t="s">
        <v>1822</v>
      </c>
      <c r="M23" s="690"/>
      <c r="N23" s="747">
        <v>0</v>
      </c>
      <c r="O23" s="747">
        <v>0</v>
      </c>
      <c r="P23" s="749" t="s">
        <v>64</v>
      </c>
    </row>
    <row r="24" spans="2:16">
      <c r="B24" s="1184" t="s">
        <v>699</v>
      </c>
      <c r="C24" s="1185"/>
      <c r="D24" s="1185"/>
      <c r="E24" s="1185"/>
      <c r="F24" s="1185"/>
      <c r="G24" s="1185"/>
      <c r="H24" s="1186"/>
      <c r="I24" s="668"/>
      <c r="J24" s="489"/>
      <c r="K24" s="450"/>
      <c r="L24" s="450"/>
      <c r="M24" s="690"/>
      <c r="N24" s="690"/>
      <c r="O24" s="690"/>
      <c r="P24" s="743"/>
    </row>
    <row r="25" spans="2:16" ht="255">
      <c r="B25" s="663" t="s">
        <v>68</v>
      </c>
      <c r="C25" s="391" t="s">
        <v>700</v>
      </c>
      <c r="D25" s="657" t="s">
        <v>701</v>
      </c>
      <c r="E25" s="658">
        <v>0.45</v>
      </c>
      <c r="F25" s="658">
        <v>0.3</v>
      </c>
      <c r="G25" s="657" t="s">
        <v>702</v>
      </c>
      <c r="H25" s="657" t="s">
        <v>703</v>
      </c>
      <c r="I25" s="391" t="s">
        <v>701</v>
      </c>
      <c r="J25" s="664">
        <v>19</v>
      </c>
      <c r="K25" s="651">
        <v>1</v>
      </c>
      <c r="L25" s="533" t="s">
        <v>2041</v>
      </c>
      <c r="M25" s="690"/>
      <c r="N25" s="745">
        <v>19</v>
      </c>
      <c r="O25" s="745">
        <v>6</v>
      </c>
      <c r="P25" s="750" t="s">
        <v>2099</v>
      </c>
    </row>
    <row r="26" spans="2:16" ht="40.799999999999997">
      <c r="B26" s="663" t="s">
        <v>106</v>
      </c>
      <c r="C26" s="391" t="s">
        <v>704</v>
      </c>
      <c r="D26" s="657" t="s">
        <v>705</v>
      </c>
      <c r="E26" s="658">
        <v>0.2</v>
      </c>
      <c r="F26" s="658">
        <v>0.15</v>
      </c>
      <c r="G26" s="657" t="s">
        <v>706</v>
      </c>
      <c r="H26" s="657" t="s">
        <v>707</v>
      </c>
      <c r="I26" s="391" t="s">
        <v>705</v>
      </c>
      <c r="J26" s="664">
        <v>0</v>
      </c>
      <c r="K26" s="664">
        <v>0</v>
      </c>
      <c r="L26" s="336" t="s">
        <v>2005</v>
      </c>
      <c r="M26" s="690"/>
      <c r="N26" s="752">
        <v>0</v>
      </c>
      <c r="O26" s="752">
        <v>0</v>
      </c>
      <c r="P26" s="753" t="s">
        <v>2100</v>
      </c>
    </row>
    <row r="27" spans="2:16" ht="41.4">
      <c r="B27" s="663" t="s">
        <v>111</v>
      </c>
      <c r="C27" s="391" t="s">
        <v>708</v>
      </c>
      <c r="D27" s="657" t="s">
        <v>709</v>
      </c>
      <c r="E27" s="658">
        <v>0.3</v>
      </c>
      <c r="F27" s="658">
        <v>0.2</v>
      </c>
      <c r="G27" s="657" t="s">
        <v>710</v>
      </c>
      <c r="H27" s="657" t="s">
        <v>711</v>
      </c>
      <c r="I27" s="391" t="s">
        <v>709</v>
      </c>
      <c r="J27" s="664">
        <v>0</v>
      </c>
      <c r="K27" s="664">
        <v>0</v>
      </c>
      <c r="L27" s="336" t="s">
        <v>1786</v>
      </c>
      <c r="M27" s="690"/>
      <c r="N27" s="752">
        <v>0</v>
      </c>
      <c r="O27" s="752">
        <v>0</v>
      </c>
      <c r="P27" s="753" t="s">
        <v>2117</v>
      </c>
    </row>
    <row r="28" spans="2:16" ht="30.6">
      <c r="B28" s="1193" t="s">
        <v>712</v>
      </c>
      <c r="C28" s="391" t="s">
        <v>713</v>
      </c>
      <c r="D28" s="657" t="s">
        <v>714</v>
      </c>
      <c r="E28" s="658">
        <v>0.25</v>
      </c>
      <c r="F28" s="658">
        <v>0.12</v>
      </c>
      <c r="G28" s="669" t="s">
        <v>715</v>
      </c>
      <c r="H28" s="657" t="s">
        <v>716</v>
      </c>
      <c r="I28" s="391" t="s">
        <v>714</v>
      </c>
      <c r="J28" s="664">
        <f>39+75</f>
        <v>114</v>
      </c>
      <c r="K28" s="651">
        <v>50</v>
      </c>
      <c r="L28" s="336" t="s">
        <v>1790</v>
      </c>
      <c r="M28" s="690"/>
      <c r="N28" s="751">
        <f>+J28-K28+75</f>
        <v>139</v>
      </c>
      <c r="O28" s="751">
        <f>113-86</f>
        <v>27</v>
      </c>
      <c r="P28" s="746" t="s">
        <v>2075</v>
      </c>
    </row>
    <row r="29" spans="2:16" ht="14.4" customHeight="1">
      <c r="B29" s="1194"/>
      <c r="C29" s="1157" t="s">
        <v>717</v>
      </c>
      <c r="D29" s="1143" t="s">
        <v>718</v>
      </c>
      <c r="E29" s="1190">
        <v>0.5</v>
      </c>
      <c r="F29" s="1190">
        <v>0.5</v>
      </c>
      <c r="G29" s="657" t="s">
        <v>719</v>
      </c>
      <c r="H29" s="661" t="s">
        <v>720</v>
      </c>
      <c r="I29" s="1157" t="s">
        <v>718</v>
      </c>
      <c r="J29" s="1159"/>
      <c r="K29" s="1159"/>
      <c r="L29" s="1137" t="s">
        <v>1792</v>
      </c>
      <c r="M29" s="690"/>
      <c r="N29" s="1146"/>
      <c r="O29" s="1146"/>
      <c r="P29" s="1133" t="s">
        <v>2101</v>
      </c>
    </row>
    <row r="30" spans="2:16">
      <c r="B30" s="1194"/>
      <c r="C30" s="1162"/>
      <c r="D30" s="1144"/>
      <c r="E30" s="1192"/>
      <c r="F30" s="1192"/>
      <c r="G30" s="670" t="s">
        <v>2042</v>
      </c>
      <c r="H30" s="670" t="s">
        <v>2043</v>
      </c>
      <c r="I30" s="1162"/>
      <c r="J30" s="1178"/>
      <c r="K30" s="1178"/>
      <c r="L30" s="1153"/>
      <c r="M30" s="690"/>
      <c r="N30" s="1147"/>
      <c r="O30" s="1147"/>
      <c r="P30" s="1149"/>
    </row>
    <row r="31" spans="2:16" ht="35.4" customHeight="1">
      <c r="B31" s="1195"/>
      <c r="C31" s="1158"/>
      <c r="D31" s="1145"/>
      <c r="E31" s="1191"/>
      <c r="F31" s="1191"/>
      <c r="G31" s="670" t="s">
        <v>2044</v>
      </c>
      <c r="H31" s="670" t="s">
        <v>2045</v>
      </c>
      <c r="I31" s="1158"/>
      <c r="J31" s="1160"/>
      <c r="K31" s="1160"/>
      <c r="L31" s="1138"/>
      <c r="M31" s="690"/>
      <c r="N31" s="1148"/>
      <c r="O31" s="1148"/>
      <c r="P31" s="1134"/>
    </row>
    <row r="32" spans="2:16">
      <c r="B32" s="663" t="s">
        <v>112</v>
      </c>
      <c r="C32" s="391" t="s">
        <v>1804</v>
      </c>
      <c r="D32" s="665"/>
      <c r="E32" s="658"/>
      <c r="F32" s="658"/>
      <c r="G32" s="670"/>
      <c r="H32" s="670"/>
      <c r="I32" s="391" t="s">
        <v>1805</v>
      </c>
      <c r="J32" s="489">
        <v>1</v>
      </c>
      <c r="K32" s="656">
        <v>18</v>
      </c>
      <c r="L32" s="671" t="s">
        <v>2006</v>
      </c>
      <c r="M32" s="690"/>
      <c r="N32" s="754"/>
      <c r="O32" s="754"/>
      <c r="P32" s="755"/>
    </row>
    <row r="33" spans="2:16">
      <c r="B33" s="1184" t="s">
        <v>12</v>
      </c>
      <c r="C33" s="1185"/>
      <c r="D33" s="1185"/>
      <c r="E33" s="1185"/>
      <c r="F33" s="1185"/>
      <c r="G33" s="1185"/>
      <c r="H33" s="1186"/>
      <c r="I33" s="668"/>
      <c r="J33" s="656"/>
      <c r="K33" s="450"/>
      <c r="L33" s="450"/>
      <c r="M33" s="690"/>
      <c r="N33" s="751"/>
      <c r="O33" s="751"/>
      <c r="P33" s="756"/>
    </row>
    <row r="34" spans="2:16" ht="51" customHeight="1">
      <c r="B34" s="663" t="s">
        <v>112</v>
      </c>
      <c r="C34" s="391" t="s">
        <v>721</v>
      </c>
      <c r="D34" s="657" t="s">
        <v>1823</v>
      </c>
      <c r="E34" s="658">
        <v>0.6</v>
      </c>
      <c r="F34" s="658">
        <v>0.6</v>
      </c>
      <c r="G34" s="657" t="s">
        <v>722</v>
      </c>
      <c r="H34" s="657" t="s">
        <v>723</v>
      </c>
      <c r="I34" s="391" t="s">
        <v>1797</v>
      </c>
      <c r="J34" s="651">
        <v>0</v>
      </c>
      <c r="K34" s="651">
        <v>0</v>
      </c>
      <c r="L34" s="533" t="s">
        <v>2007</v>
      </c>
      <c r="M34" s="690"/>
      <c r="N34" s="757">
        <v>3</v>
      </c>
      <c r="O34" s="757">
        <v>0</v>
      </c>
      <c r="P34" s="533" t="s">
        <v>2102</v>
      </c>
    </row>
    <row r="35" spans="2:16" ht="51" customHeight="1">
      <c r="B35" s="1187" t="s">
        <v>68</v>
      </c>
      <c r="C35" s="1157" t="s">
        <v>724</v>
      </c>
      <c r="D35" s="1143" t="s">
        <v>725</v>
      </c>
      <c r="E35" s="1190">
        <v>0.75</v>
      </c>
      <c r="F35" s="1199">
        <v>0.05</v>
      </c>
      <c r="G35" s="1205" t="s">
        <v>2046</v>
      </c>
      <c r="H35" s="1143" t="s">
        <v>726</v>
      </c>
      <c r="I35" s="1157" t="s">
        <v>725</v>
      </c>
      <c r="J35" s="1165">
        <v>0</v>
      </c>
      <c r="K35" s="1165">
        <v>0</v>
      </c>
      <c r="L35" s="1143" t="s">
        <v>2009</v>
      </c>
      <c r="M35" s="690"/>
      <c r="N35" s="1131">
        <v>0</v>
      </c>
      <c r="O35" s="1131">
        <v>0</v>
      </c>
      <c r="P35" s="1143" t="s">
        <v>2103</v>
      </c>
    </row>
    <row r="36" spans="2:16" ht="51" customHeight="1">
      <c r="B36" s="1188"/>
      <c r="C36" s="1158"/>
      <c r="D36" s="1145"/>
      <c r="E36" s="1191"/>
      <c r="F36" s="1201"/>
      <c r="G36" s="1206"/>
      <c r="H36" s="1145"/>
      <c r="I36" s="1158"/>
      <c r="J36" s="1166"/>
      <c r="K36" s="1166"/>
      <c r="L36" s="1145"/>
      <c r="M36" s="690"/>
      <c r="N36" s="1132"/>
      <c r="O36" s="1132"/>
      <c r="P36" s="1145"/>
    </row>
    <row r="37" spans="2:16" ht="51" customHeight="1">
      <c r="B37" s="1188"/>
      <c r="C37" s="1157" t="s">
        <v>2008</v>
      </c>
      <c r="D37" s="1169" t="s">
        <v>1794</v>
      </c>
      <c r="E37" s="1190">
        <v>1</v>
      </c>
      <c r="F37" s="1199">
        <v>0</v>
      </c>
      <c r="G37" s="1202"/>
      <c r="H37" s="1143" t="s">
        <v>727</v>
      </c>
      <c r="I37" s="1157" t="s">
        <v>1794</v>
      </c>
      <c r="J37" s="1163">
        <v>11</v>
      </c>
      <c r="K37" s="1165">
        <v>0</v>
      </c>
      <c r="L37" s="1137" t="s">
        <v>1793</v>
      </c>
      <c r="M37" s="690"/>
      <c r="N37" s="1131">
        <v>11</v>
      </c>
      <c r="O37" s="1131">
        <v>0</v>
      </c>
      <c r="P37" s="1137" t="s">
        <v>1793</v>
      </c>
    </row>
    <row r="38" spans="2:16" ht="51" customHeight="1">
      <c r="B38" s="1189"/>
      <c r="C38" s="1158"/>
      <c r="D38" s="1170"/>
      <c r="E38" s="1191"/>
      <c r="F38" s="1201"/>
      <c r="G38" s="1204"/>
      <c r="H38" s="1145"/>
      <c r="I38" s="1158"/>
      <c r="J38" s="1164"/>
      <c r="K38" s="1166"/>
      <c r="L38" s="1138"/>
      <c r="M38" s="690"/>
      <c r="N38" s="1132"/>
      <c r="O38" s="1132"/>
      <c r="P38" s="1138"/>
    </row>
    <row r="39" spans="2:16" ht="51" customHeight="1">
      <c r="B39" s="1193" t="s">
        <v>728</v>
      </c>
      <c r="C39" s="1157" t="s">
        <v>729</v>
      </c>
      <c r="D39" s="1143" t="s">
        <v>730</v>
      </c>
      <c r="E39" s="1190">
        <v>0.45</v>
      </c>
      <c r="F39" s="1199">
        <v>0.05</v>
      </c>
      <c r="G39" s="1143" t="s">
        <v>731</v>
      </c>
      <c r="H39" s="1202" t="s">
        <v>732</v>
      </c>
      <c r="I39" s="1157" t="s">
        <v>730</v>
      </c>
      <c r="J39" s="1163">
        <v>3</v>
      </c>
      <c r="K39" s="1165">
        <v>0</v>
      </c>
      <c r="L39" s="1143" t="s">
        <v>731</v>
      </c>
      <c r="M39" s="690"/>
      <c r="N39" s="1131">
        <v>3</v>
      </c>
      <c r="O39" s="1131">
        <v>0</v>
      </c>
      <c r="P39" s="1143" t="s">
        <v>731</v>
      </c>
    </row>
    <row r="40" spans="2:16" ht="51" customHeight="1">
      <c r="B40" s="1194"/>
      <c r="C40" s="1162"/>
      <c r="D40" s="1144"/>
      <c r="E40" s="1192"/>
      <c r="F40" s="1200"/>
      <c r="G40" s="1144"/>
      <c r="H40" s="1203"/>
      <c r="I40" s="1162"/>
      <c r="J40" s="1173"/>
      <c r="K40" s="1174"/>
      <c r="L40" s="1144"/>
      <c r="M40" s="690"/>
      <c r="N40" s="1141"/>
      <c r="O40" s="1141"/>
      <c r="P40" s="1144"/>
    </row>
    <row r="41" spans="2:16" ht="51" customHeight="1">
      <c r="B41" s="1194"/>
      <c r="C41" s="1162"/>
      <c r="D41" s="1145"/>
      <c r="E41" s="1191"/>
      <c r="F41" s="1201"/>
      <c r="G41" s="1145"/>
      <c r="H41" s="1204"/>
      <c r="I41" s="1158"/>
      <c r="J41" s="1164"/>
      <c r="K41" s="1166"/>
      <c r="L41" s="1145"/>
      <c r="M41" s="690"/>
      <c r="N41" s="1132"/>
      <c r="O41" s="1132"/>
      <c r="P41" s="1145"/>
    </row>
    <row r="42" spans="2:16" ht="51" customHeight="1">
      <c r="B42" s="1195"/>
      <c r="C42" s="1158"/>
      <c r="D42" s="657" t="s">
        <v>733</v>
      </c>
      <c r="E42" s="658">
        <v>0.53</v>
      </c>
      <c r="F42" s="658">
        <v>0.47</v>
      </c>
      <c r="G42" s="657" t="s">
        <v>734</v>
      </c>
      <c r="H42" s="657" t="s">
        <v>735</v>
      </c>
      <c r="I42" s="391" t="s">
        <v>1798</v>
      </c>
      <c r="J42" s="651">
        <v>6</v>
      </c>
      <c r="K42" s="651">
        <v>9</v>
      </c>
      <c r="L42" s="657" t="s">
        <v>2010</v>
      </c>
      <c r="M42" s="690"/>
      <c r="N42" s="757">
        <v>3</v>
      </c>
      <c r="O42" s="757">
        <v>2</v>
      </c>
      <c r="P42" s="657" t="s">
        <v>2104</v>
      </c>
    </row>
    <row r="43" spans="2:16" ht="96.6" customHeight="1">
      <c r="B43" s="1193" t="s">
        <v>107</v>
      </c>
      <c r="C43" s="391" t="s">
        <v>736</v>
      </c>
      <c r="D43" s="657" t="s">
        <v>737</v>
      </c>
      <c r="E43" s="658">
        <v>0.35</v>
      </c>
      <c r="F43" s="672">
        <v>0.2</v>
      </c>
      <c r="G43" s="657" t="s">
        <v>738</v>
      </c>
      <c r="H43" s="657" t="s">
        <v>1908</v>
      </c>
      <c r="I43" s="391" t="s">
        <v>737</v>
      </c>
      <c r="J43" s="664">
        <v>0</v>
      </c>
      <c r="K43" s="664">
        <v>0</v>
      </c>
      <c r="L43" s="336" t="s">
        <v>1787</v>
      </c>
      <c r="M43" s="690"/>
      <c r="N43" s="757">
        <v>0</v>
      </c>
      <c r="O43" s="757">
        <v>0</v>
      </c>
      <c r="P43" s="336" t="s">
        <v>2105</v>
      </c>
    </row>
    <row r="44" spans="2:16" ht="40.200000000000003" customHeight="1">
      <c r="B44" s="1194"/>
      <c r="C44" s="1196" t="s">
        <v>739</v>
      </c>
      <c r="D44" s="1143" t="s">
        <v>1799</v>
      </c>
      <c r="E44" s="1190">
        <v>0.2</v>
      </c>
      <c r="F44" s="1190">
        <v>0.1</v>
      </c>
      <c r="G44" s="1143" t="s">
        <v>94</v>
      </c>
      <c r="H44" s="1143" t="s">
        <v>56</v>
      </c>
      <c r="I44" s="1157" t="s">
        <v>1799</v>
      </c>
      <c r="J44" s="1163" t="s">
        <v>1791</v>
      </c>
      <c r="K44" s="1163">
        <v>0</v>
      </c>
      <c r="L44" s="1137" t="s">
        <v>1788</v>
      </c>
      <c r="M44" s="690"/>
      <c r="N44" s="1131">
        <v>3</v>
      </c>
      <c r="O44" s="1131">
        <v>0</v>
      </c>
      <c r="P44" s="1135" t="s">
        <v>2106</v>
      </c>
    </row>
    <row r="45" spans="2:16" ht="40.200000000000003" customHeight="1">
      <c r="B45" s="1194"/>
      <c r="C45" s="1197"/>
      <c r="D45" s="1144"/>
      <c r="E45" s="1192"/>
      <c r="F45" s="1192"/>
      <c r="G45" s="1144"/>
      <c r="H45" s="1144"/>
      <c r="I45" s="1162"/>
      <c r="J45" s="1173"/>
      <c r="K45" s="1173"/>
      <c r="L45" s="1153"/>
      <c r="M45" s="690"/>
      <c r="N45" s="1141"/>
      <c r="O45" s="1141"/>
      <c r="P45" s="1142"/>
    </row>
    <row r="46" spans="2:16" ht="40.200000000000003" customHeight="1">
      <c r="B46" s="1194"/>
      <c r="C46" s="1198"/>
      <c r="D46" s="1145"/>
      <c r="E46" s="1191"/>
      <c r="F46" s="1191"/>
      <c r="G46" s="1145"/>
      <c r="H46" s="1145"/>
      <c r="I46" s="1158"/>
      <c r="J46" s="1164"/>
      <c r="K46" s="1164"/>
      <c r="L46" s="1138"/>
      <c r="M46" s="690"/>
      <c r="N46" s="1132"/>
      <c r="O46" s="1132"/>
      <c r="P46" s="1130"/>
    </row>
    <row r="47" spans="2:16" ht="55.2">
      <c r="B47" s="1195"/>
      <c r="C47" s="391" t="s">
        <v>740</v>
      </c>
      <c r="D47" s="657" t="s">
        <v>741</v>
      </c>
      <c r="E47" s="658">
        <v>0.2</v>
      </c>
      <c r="F47" s="658">
        <v>0.2</v>
      </c>
      <c r="G47" s="657" t="s">
        <v>95</v>
      </c>
      <c r="H47" s="657" t="s">
        <v>742</v>
      </c>
      <c r="I47" s="391" t="s">
        <v>741</v>
      </c>
      <c r="J47" s="673"/>
      <c r="K47" s="674"/>
      <c r="L47" s="675" t="s">
        <v>95</v>
      </c>
      <c r="M47" s="690"/>
      <c r="N47" s="757"/>
      <c r="O47" s="757"/>
      <c r="P47" s="758" t="s">
        <v>2107</v>
      </c>
    </row>
    <row r="48" spans="2:16" ht="13.8">
      <c r="B48" s="1184" t="s">
        <v>13</v>
      </c>
      <c r="C48" s="1185"/>
      <c r="D48" s="1185"/>
      <c r="E48" s="1185"/>
      <c r="F48" s="1185"/>
      <c r="G48" s="1185"/>
      <c r="H48" s="1186"/>
      <c r="I48" s="668"/>
      <c r="J48" s="656"/>
      <c r="K48" s="450"/>
      <c r="L48" s="450"/>
      <c r="M48" s="690"/>
      <c r="N48" s="757"/>
      <c r="O48" s="757"/>
      <c r="P48" s="748"/>
    </row>
    <row r="49" spans="2:16" ht="61.2">
      <c r="B49" s="663" t="s">
        <v>743</v>
      </c>
      <c r="C49" s="391" t="s">
        <v>744</v>
      </c>
      <c r="D49" s="657" t="s">
        <v>1824</v>
      </c>
      <c r="E49" s="658">
        <v>0.6</v>
      </c>
      <c r="F49" s="658">
        <v>0.47</v>
      </c>
      <c r="G49" s="657" t="s">
        <v>2047</v>
      </c>
      <c r="H49" s="657" t="s">
        <v>745</v>
      </c>
      <c r="I49" s="391" t="s">
        <v>1800</v>
      </c>
      <c r="J49" s="664">
        <v>5</v>
      </c>
      <c r="K49" s="651">
        <v>0</v>
      </c>
      <c r="L49" s="657" t="s">
        <v>2048</v>
      </c>
      <c r="M49" s="690"/>
      <c r="N49" s="757">
        <f>5+10</f>
        <v>15</v>
      </c>
      <c r="O49" s="757">
        <v>0</v>
      </c>
      <c r="P49" s="657" t="s">
        <v>2119</v>
      </c>
    </row>
    <row r="50" spans="2:16" ht="41.4" customHeight="1">
      <c r="B50" s="1187" t="s">
        <v>106</v>
      </c>
      <c r="C50" s="676" t="s">
        <v>2049</v>
      </c>
      <c r="D50" s="657" t="s">
        <v>746</v>
      </c>
      <c r="E50" s="658">
        <v>0.2</v>
      </c>
      <c r="F50" s="658">
        <v>0.2</v>
      </c>
      <c r="G50" s="657" t="s">
        <v>747</v>
      </c>
      <c r="H50" s="657"/>
      <c r="I50" s="391" t="s">
        <v>746</v>
      </c>
      <c r="J50" s="664">
        <v>0</v>
      </c>
      <c r="K50" s="664">
        <v>0</v>
      </c>
      <c r="L50" s="336" t="s">
        <v>1875</v>
      </c>
      <c r="M50" s="690"/>
      <c r="N50" s="1131">
        <v>0</v>
      </c>
      <c r="O50" s="1131">
        <v>0</v>
      </c>
      <c r="P50" s="1139" t="s">
        <v>2108</v>
      </c>
    </row>
    <row r="51" spans="2:16" ht="30.6">
      <c r="B51" s="1189"/>
      <c r="C51" s="391" t="s">
        <v>748</v>
      </c>
      <c r="D51" s="657" t="s">
        <v>749</v>
      </c>
      <c r="E51" s="658">
        <v>0.2</v>
      </c>
      <c r="F51" s="658">
        <v>0.1</v>
      </c>
      <c r="G51" s="657" t="s">
        <v>750</v>
      </c>
      <c r="H51" s="657"/>
      <c r="I51" s="391" t="s">
        <v>749</v>
      </c>
      <c r="J51" s="664">
        <v>0</v>
      </c>
      <c r="K51" s="664">
        <v>0</v>
      </c>
      <c r="L51" s="336" t="s">
        <v>2011</v>
      </c>
      <c r="M51" s="690"/>
      <c r="N51" s="1132"/>
      <c r="O51" s="1132"/>
      <c r="P51" s="1140"/>
    </row>
    <row r="52" spans="2:16" ht="13.8" customHeight="1">
      <c r="B52" s="1187" t="s">
        <v>111</v>
      </c>
      <c r="C52" s="391"/>
      <c r="D52" s="1143" t="s">
        <v>752</v>
      </c>
      <c r="E52" s="1190">
        <v>0.35</v>
      </c>
      <c r="F52" s="1190">
        <v>0.2</v>
      </c>
      <c r="G52" s="1143" t="s">
        <v>753</v>
      </c>
      <c r="H52" s="1143" t="s">
        <v>754</v>
      </c>
      <c r="I52" s="1157" t="s">
        <v>752</v>
      </c>
      <c r="J52" s="1163">
        <v>0</v>
      </c>
      <c r="K52" s="1163">
        <v>0</v>
      </c>
      <c r="L52" s="1137" t="s">
        <v>1795</v>
      </c>
      <c r="M52" s="690"/>
      <c r="N52" s="1131">
        <v>0</v>
      </c>
      <c r="O52" s="1131">
        <v>0</v>
      </c>
      <c r="P52" s="1129" t="s">
        <v>2109</v>
      </c>
    </row>
    <row r="53" spans="2:16" ht="13.8" customHeight="1">
      <c r="B53" s="1188"/>
      <c r="C53" s="677"/>
      <c r="D53" s="1144"/>
      <c r="E53" s="1192"/>
      <c r="F53" s="1192"/>
      <c r="G53" s="1144"/>
      <c r="H53" s="1144"/>
      <c r="I53" s="1162"/>
      <c r="J53" s="1173"/>
      <c r="K53" s="1173"/>
      <c r="L53" s="1153"/>
      <c r="M53" s="690"/>
      <c r="N53" s="1141"/>
      <c r="O53" s="1141"/>
      <c r="P53" s="1142"/>
    </row>
    <row r="54" spans="2:16" ht="30.6">
      <c r="B54" s="1188"/>
      <c r="C54" s="391" t="s">
        <v>751</v>
      </c>
      <c r="D54" s="1145"/>
      <c r="E54" s="1191"/>
      <c r="F54" s="1191"/>
      <c r="G54" s="1145"/>
      <c r="H54" s="1145"/>
      <c r="I54" s="1158"/>
      <c r="J54" s="1173"/>
      <c r="K54" s="1173"/>
      <c r="L54" s="1153"/>
      <c r="M54" s="690"/>
      <c r="N54" s="1141"/>
      <c r="O54" s="1141"/>
      <c r="P54" s="1142"/>
    </row>
    <row r="55" spans="2:16" ht="30.6">
      <c r="B55" s="1189"/>
      <c r="C55" s="391" t="s">
        <v>748</v>
      </c>
      <c r="D55" s="657" t="s">
        <v>749</v>
      </c>
      <c r="E55" s="658">
        <v>0.2</v>
      </c>
      <c r="F55" s="658">
        <v>0.15</v>
      </c>
      <c r="G55" s="657" t="s">
        <v>97</v>
      </c>
      <c r="H55" s="657" t="s">
        <v>755</v>
      </c>
      <c r="I55" s="391" t="s">
        <v>749</v>
      </c>
      <c r="J55" s="1164"/>
      <c r="K55" s="1164"/>
      <c r="L55" s="1138"/>
      <c r="M55" s="690"/>
      <c r="N55" s="1132"/>
      <c r="O55" s="1132"/>
      <c r="P55" s="1130"/>
    </row>
    <row r="56" spans="2:16" ht="30.6">
      <c r="B56" s="678" t="s">
        <v>112</v>
      </c>
      <c r="C56" s="391" t="s">
        <v>802</v>
      </c>
      <c r="D56" s="657" t="s">
        <v>1801</v>
      </c>
      <c r="E56" s="679"/>
      <c r="F56" s="679"/>
      <c r="G56" s="665"/>
      <c r="H56" s="665"/>
      <c r="I56" s="391" t="s">
        <v>1801</v>
      </c>
      <c r="J56" s="664">
        <v>0</v>
      </c>
      <c r="K56" s="664">
        <v>0</v>
      </c>
      <c r="L56" s="331" t="s">
        <v>1796</v>
      </c>
      <c r="M56" s="690"/>
      <c r="N56" s="757">
        <v>0</v>
      </c>
      <c r="O56" s="757">
        <v>0</v>
      </c>
      <c r="P56" s="759" t="s">
        <v>2070</v>
      </c>
    </row>
    <row r="57" spans="2:16" ht="13.8">
      <c r="B57" s="1184" t="s">
        <v>14</v>
      </c>
      <c r="C57" s="1185"/>
      <c r="D57" s="1185"/>
      <c r="E57" s="1185"/>
      <c r="F57" s="1185"/>
      <c r="G57" s="1185"/>
      <c r="H57" s="1186"/>
      <c r="I57" s="668"/>
      <c r="J57" s="656"/>
      <c r="K57" s="450"/>
      <c r="L57" s="450"/>
      <c r="M57" s="690"/>
      <c r="N57" s="757"/>
      <c r="O57" s="757"/>
      <c r="P57" s="748"/>
    </row>
    <row r="58" spans="2:16" ht="41.4" customHeight="1">
      <c r="B58" s="1187" t="s">
        <v>743</v>
      </c>
      <c r="C58" s="1157" t="s">
        <v>756</v>
      </c>
      <c r="D58" s="657" t="s">
        <v>757</v>
      </c>
      <c r="E58" s="658">
        <v>0.6</v>
      </c>
      <c r="F58" s="680">
        <v>0.56499999999999995</v>
      </c>
      <c r="G58" s="657" t="s">
        <v>758</v>
      </c>
      <c r="H58" s="681" t="s">
        <v>56</v>
      </c>
      <c r="I58" s="391" t="s">
        <v>757</v>
      </c>
      <c r="J58" s="664">
        <v>0</v>
      </c>
      <c r="K58" s="664">
        <v>0</v>
      </c>
      <c r="L58" s="657" t="s">
        <v>1806</v>
      </c>
      <c r="M58" s="690"/>
      <c r="N58" s="1131">
        <v>21</v>
      </c>
      <c r="O58" s="1131">
        <v>0</v>
      </c>
      <c r="P58" s="1139" t="s">
        <v>2110</v>
      </c>
    </row>
    <row r="59" spans="2:16" ht="30.6">
      <c r="B59" s="1189"/>
      <c r="C59" s="1158"/>
      <c r="D59" s="657" t="s">
        <v>759</v>
      </c>
      <c r="E59" s="658">
        <v>0.2</v>
      </c>
      <c r="F59" s="658">
        <v>0.2</v>
      </c>
      <c r="G59" s="657" t="s">
        <v>760</v>
      </c>
      <c r="H59" s="657" t="s">
        <v>56</v>
      </c>
      <c r="I59" s="391" t="s">
        <v>759</v>
      </c>
      <c r="J59" s="664">
        <v>0</v>
      </c>
      <c r="K59" s="664">
        <v>0</v>
      </c>
      <c r="L59" s="344" t="s">
        <v>1807</v>
      </c>
      <c r="M59" s="690"/>
      <c r="N59" s="1132"/>
      <c r="O59" s="1132"/>
      <c r="P59" s="1140"/>
    </row>
    <row r="60" spans="2:16" ht="13.8">
      <c r="B60" s="1184" t="s">
        <v>16</v>
      </c>
      <c r="C60" s="1185"/>
      <c r="D60" s="1185"/>
      <c r="E60" s="1185"/>
      <c r="F60" s="1185"/>
      <c r="G60" s="1185"/>
      <c r="H60" s="1186"/>
      <c r="I60" s="668"/>
      <c r="J60" s="651"/>
      <c r="K60" s="651"/>
      <c r="L60" s="450"/>
      <c r="M60" s="690"/>
      <c r="N60" s="757"/>
      <c r="O60" s="757"/>
      <c r="P60" s="748"/>
    </row>
    <row r="61" spans="2:16" ht="51">
      <c r="B61" s="663" t="s">
        <v>68</v>
      </c>
      <c r="C61" s="391" t="s">
        <v>1808</v>
      </c>
      <c r="D61" s="657" t="s">
        <v>1809</v>
      </c>
      <c r="E61" s="658">
        <v>0.5</v>
      </c>
      <c r="F61" s="658">
        <v>0.2</v>
      </c>
      <c r="G61" s="657" t="s">
        <v>761</v>
      </c>
      <c r="H61" s="657" t="s">
        <v>762</v>
      </c>
      <c r="I61" s="391" t="s">
        <v>1809</v>
      </c>
      <c r="J61" s="664">
        <v>29</v>
      </c>
      <c r="K61" s="521">
        <v>0</v>
      </c>
      <c r="L61" s="533" t="s">
        <v>1810</v>
      </c>
      <c r="M61" s="690"/>
      <c r="N61" s="757">
        <v>29</v>
      </c>
      <c r="O61" s="757">
        <v>0</v>
      </c>
      <c r="P61" s="336" t="s">
        <v>1810</v>
      </c>
    </row>
    <row r="62" spans="2:16" ht="30.6">
      <c r="B62" s="1187" t="s">
        <v>106</v>
      </c>
      <c r="C62" s="1157" t="s">
        <v>763</v>
      </c>
      <c r="D62" s="657" t="s">
        <v>764</v>
      </c>
      <c r="E62" s="658">
        <v>0.55000000000000004</v>
      </c>
      <c r="F62" s="658">
        <v>0.35</v>
      </c>
      <c r="G62" s="657" t="s">
        <v>765</v>
      </c>
      <c r="H62" s="681" t="s">
        <v>56</v>
      </c>
      <c r="I62" s="391" t="s">
        <v>764</v>
      </c>
      <c r="J62" s="1163">
        <v>250</v>
      </c>
      <c r="K62" s="1165">
        <v>0</v>
      </c>
      <c r="L62" s="1137" t="s">
        <v>1811</v>
      </c>
      <c r="M62" s="690"/>
      <c r="N62" s="1131">
        <f>250+198</f>
        <v>448</v>
      </c>
      <c r="O62" s="1131">
        <v>0</v>
      </c>
      <c r="P62" s="1137" t="s">
        <v>1811</v>
      </c>
    </row>
    <row r="63" spans="2:16" ht="40.799999999999997">
      <c r="B63" s="1189"/>
      <c r="C63" s="1158"/>
      <c r="D63" s="657" t="s">
        <v>766</v>
      </c>
      <c r="E63" s="658">
        <v>0.2</v>
      </c>
      <c r="F63" s="658">
        <v>0.2</v>
      </c>
      <c r="G63" s="657" t="s">
        <v>1909</v>
      </c>
      <c r="H63" s="681" t="s">
        <v>56</v>
      </c>
      <c r="I63" s="391" t="s">
        <v>766</v>
      </c>
      <c r="J63" s="1164"/>
      <c r="K63" s="1166"/>
      <c r="L63" s="1138"/>
      <c r="M63" s="690"/>
      <c r="N63" s="1132"/>
      <c r="O63" s="1132"/>
      <c r="P63" s="1138"/>
    </row>
    <row r="64" spans="2:16" ht="66.599999999999994" customHeight="1">
      <c r="B64" s="663" t="s">
        <v>112</v>
      </c>
      <c r="C64" s="391" t="s">
        <v>1812</v>
      </c>
      <c r="D64" s="665"/>
      <c r="E64" s="679"/>
      <c r="F64" s="679"/>
      <c r="G64" s="665"/>
      <c r="H64" s="682"/>
      <c r="I64" s="667"/>
      <c r="J64" s="664"/>
      <c r="K64" s="664"/>
      <c r="L64" s="683"/>
      <c r="M64" s="690"/>
      <c r="N64" s="757">
        <v>0</v>
      </c>
      <c r="O64" s="757">
        <v>0</v>
      </c>
      <c r="P64" s="565" t="s">
        <v>1784</v>
      </c>
    </row>
    <row r="65" spans="2:16" ht="13.8">
      <c r="B65" s="1184" t="s">
        <v>789</v>
      </c>
      <c r="C65" s="1185"/>
      <c r="D65" s="1185"/>
      <c r="E65" s="1185"/>
      <c r="F65" s="1185"/>
      <c r="G65" s="1185"/>
      <c r="H65" s="1186"/>
      <c r="I65" s="668"/>
      <c r="J65" s="656"/>
      <c r="K65" s="450"/>
      <c r="L65" s="450"/>
      <c r="M65" s="690"/>
      <c r="N65" s="757"/>
      <c r="O65" s="757"/>
      <c r="P65" s="748"/>
    </row>
    <row r="66" spans="2:16" ht="13.8" customHeight="1">
      <c r="B66" s="1187" t="s">
        <v>68</v>
      </c>
      <c r="C66" s="1157" t="s">
        <v>1825</v>
      </c>
      <c r="D66" s="1169" t="s">
        <v>1826</v>
      </c>
      <c r="E66" s="658">
        <v>0.5</v>
      </c>
      <c r="F66" s="658">
        <v>0.2</v>
      </c>
      <c r="G66" s="1169" t="s">
        <v>1827</v>
      </c>
      <c r="H66" s="657" t="s">
        <v>768</v>
      </c>
      <c r="I66" s="1157" t="s">
        <v>767</v>
      </c>
      <c r="J66" s="1163">
        <v>35</v>
      </c>
      <c r="K66" s="1165">
        <v>0</v>
      </c>
      <c r="L66" s="1165" t="s">
        <v>1813</v>
      </c>
      <c r="M66" s="690"/>
      <c r="N66" s="1131">
        <v>35</v>
      </c>
      <c r="O66" s="1131">
        <v>32</v>
      </c>
      <c r="P66" s="1129" t="s">
        <v>2111</v>
      </c>
    </row>
    <row r="67" spans="2:16" ht="13.8" customHeight="1">
      <c r="B67" s="1189"/>
      <c r="C67" s="1158"/>
      <c r="D67" s="1170"/>
      <c r="E67" s="658">
        <v>1</v>
      </c>
      <c r="F67" s="658">
        <v>1</v>
      </c>
      <c r="G67" s="1170"/>
      <c r="H67" s="657" t="s">
        <v>769</v>
      </c>
      <c r="I67" s="1158"/>
      <c r="J67" s="1164"/>
      <c r="K67" s="1166"/>
      <c r="L67" s="1166"/>
      <c r="M67" s="690"/>
      <c r="N67" s="1132"/>
      <c r="O67" s="1132"/>
      <c r="P67" s="1130"/>
    </row>
    <row r="68" spans="2:16" ht="49.8" customHeight="1">
      <c r="B68" s="1187" t="s">
        <v>106</v>
      </c>
      <c r="C68" s="1157" t="s">
        <v>770</v>
      </c>
      <c r="D68" s="1169" t="s">
        <v>1828</v>
      </c>
      <c r="E68" s="658">
        <v>0.7</v>
      </c>
      <c r="F68" s="658">
        <v>0.6</v>
      </c>
      <c r="G68" s="1169" t="s">
        <v>1829</v>
      </c>
      <c r="H68" s="1143" t="s">
        <v>771</v>
      </c>
      <c r="I68" s="1157" t="s">
        <v>772</v>
      </c>
      <c r="J68" s="1171"/>
      <c r="K68" s="1159"/>
      <c r="L68" s="1137" t="s">
        <v>2012</v>
      </c>
      <c r="M68" s="690"/>
      <c r="N68" s="1131">
        <v>15</v>
      </c>
      <c r="O68" s="1131">
        <v>0</v>
      </c>
      <c r="P68" s="1129" t="s">
        <v>2112</v>
      </c>
    </row>
    <row r="69" spans="2:16" ht="49.8" customHeight="1">
      <c r="B69" s="1188"/>
      <c r="C69" s="1158"/>
      <c r="D69" s="1170"/>
      <c r="E69" s="658">
        <v>0.35</v>
      </c>
      <c r="F69" s="658">
        <v>0.2</v>
      </c>
      <c r="G69" s="1170"/>
      <c r="H69" s="1145"/>
      <c r="I69" s="1158"/>
      <c r="J69" s="1172"/>
      <c r="K69" s="1160"/>
      <c r="L69" s="1138"/>
      <c r="M69" s="690"/>
      <c r="N69" s="1132"/>
      <c r="O69" s="1132"/>
      <c r="P69" s="1130"/>
    </row>
    <row r="70" spans="2:16" ht="91.8">
      <c r="B70" s="1189"/>
      <c r="C70" s="391" t="s">
        <v>1814</v>
      </c>
      <c r="D70" s="657" t="s">
        <v>1815</v>
      </c>
      <c r="E70" s="658">
        <v>0.2</v>
      </c>
      <c r="F70" s="658">
        <v>0.2</v>
      </c>
      <c r="G70" s="657" t="s">
        <v>670</v>
      </c>
      <c r="H70" s="681" t="s">
        <v>56</v>
      </c>
      <c r="I70" s="391" t="s">
        <v>1815</v>
      </c>
      <c r="J70" s="664">
        <v>0</v>
      </c>
      <c r="K70" s="664">
        <v>0</v>
      </c>
      <c r="L70" s="657" t="s">
        <v>2013</v>
      </c>
      <c r="M70" s="690"/>
      <c r="N70" s="760">
        <v>0</v>
      </c>
      <c r="O70" s="760">
        <v>0</v>
      </c>
      <c r="P70" s="753" t="s">
        <v>2113</v>
      </c>
    </row>
    <row r="71" spans="2:16" ht="30.6">
      <c r="B71" s="663" t="s">
        <v>105</v>
      </c>
      <c r="C71" s="391" t="s">
        <v>1816</v>
      </c>
      <c r="D71" s="657" t="s">
        <v>1817</v>
      </c>
      <c r="E71" s="679"/>
      <c r="F71" s="679"/>
      <c r="G71" s="665"/>
      <c r="H71" s="682"/>
      <c r="I71" s="391" t="s">
        <v>1817</v>
      </c>
      <c r="J71" s="664">
        <v>0</v>
      </c>
      <c r="K71" s="664">
        <v>0</v>
      </c>
      <c r="L71" s="657" t="s">
        <v>1818</v>
      </c>
      <c r="M71" s="690"/>
      <c r="N71" s="757">
        <v>0</v>
      </c>
      <c r="O71" s="757">
        <v>0</v>
      </c>
      <c r="P71" s="753" t="s">
        <v>2114</v>
      </c>
    </row>
    <row r="72" spans="2:16" ht="13.8">
      <c r="B72" s="1184" t="s">
        <v>788</v>
      </c>
      <c r="C72" s="1185"/>
      <c r="D72" s="1185"/>
      <c r="E72" s="1185"/>
      <c r="F72" s="1185"/>
      <c r="G72" s="1185"/>
      <c r="H72" s="1186"/>
      <c r="I72" s="668"/>
      <c r="J72" s="656"/>
      <c r="K72" s="450"/>
      <c r="L72" s="450"/>
      <c r="M72" s="690"/>
      <c r="N72" s="757"/>
      <c r="O72" s="757"/>
      <c r="P72" s="748"/>
    </row>
    <row r="73" spans="2:16" ht="52.8" customHeight="1">
      <c r="B73" s="663" t="s">
        <v>784</v>
      </c>
      <c r="C73" s="391" t="s">
        <v>787</v>
      </c>
      <c r="D73" s="657" t="s">
        <v>785</v>
      </c>
      <c r="E73" s="684">
        <v>0.2</v>
      </c>
      <c r="F73" s="684">
        <v>0.2</v>
      </c>
      <c r="G73" s="657" t="s">
        <v>786</v>
      </c>
      <c r="H73" s="657"/>
      <c r="I73" s="391" t="s">
        <v>785</v>
      </c>
      <c r="J73" s="651">
        <v>0</v>
      </c>
      <c r="K73" s="651">
        <v>0</v>
      </c>
      <c r="L73" s="336" t="s">
        <v>1819</v>
      </c>
      <c r="M73" s="690"/>
      <c r="N73" s="757">
        <v>0</v>
      </c>
      <c r="O73" s="757">
        <v>0</v>
      </c>
      <c r="P73" s="1133" t="s">
        <v>2071</v>
      </c>
    </row>
    <row r="74" spans="2:16" ht="13.8">
      <c r="B74" s="1184" t="s">
        <v>773</v>
      </c>
      <c r="C74" s="1185"/>
      <c r="D74" s="1185"/>
      <c r="E74" s="1185"/>
      <c r="F74" s="1185"/>
      <c r="G74" s="1185"/>
      <c r="H74" s="1186"/>
      <c r="I74" s="668"/>
      <c r="J74" s="656"/>
      <c r="K74" s="450"/>
      <c r="L74" s="450"/>
      <c r="M74" s="690"/>
      <c r="N74" s="757"/>
      <c r="O74" s="757"/>
      <c r="P74" s="1134"/>
    </row>
    <row r="75" spans="2:16" ht="20.399999999999999">
      <c r="B75" s="1193" t="s">
        <v>106</v>
      </c>
      <c r="C75" s="1157" t="s">
        <v>774</v>
      </c>
      <c r="D75" s="657" t="s">
        <v>775</v>
      </c>
      <c r="E75" s="658">
        <v>1</v>
      </c>
      <c r="F75" s="658">
        <v>1</v>
      </c>
      <c r="G75" s="657" t="s">
        <v>776</v>
      </c>
      <c r="H75" s="1202" t="s">
        <v>777</v>
      </c>
      <c r="I75" s="391" t="s">
        <v>775</v>
      </c>
      <c r="J75" s="1163">
        <v>0</v>
      </c>
      <c r="K75" s="1165">
        <v>0</v>
      </c>
      <c r="L75" s="1137" t="s">
        <v>1876</v>
      </c>
      <c r="M75" s="690"/>
      <c r="N75" s="1131">
        <v>0</v>
      </c>
      <c r="O75" s="1131">
        <v>0</v>
      </c>
      <c r="P75" s="1129" t="s">
        <v>2072</v>
      </c>
    </row>
    <row r="76" spans="2:16" ht="30.6">
      <c r="B76" s="1195"/>
      <c r="C76" s="1158"/>
      <c r="D76" s="657" t="s">
        <v>778</v>
      </c>
      <c r="E76" s="658">
        <v>0.2</v>
      </c>
      <c r="F76" s="658">
        <v>0.1</v>
      </c>
      <c r="G76" s="657" t="s">
        <v>91</v>
      </c>
      <c r="H76" s="1204"/>
      <c r="I76" s="391" t="s">
        <v>778</v>
      </c>
      <c r="J76" s="1164"/>
      <c r="K76" s="1166"/>
      <c r="L76" s="1138"/>
      <c r="M76" s="690"/>
      <c r="N76" s="1132"/>
      <c r="O76" s="1132"/>
      <c r="P76" s="1130"/>
    </row>
    <row r="77" spans="2:16" ht="30.6">
      <c r="B77" s="1193" t="s">
        <v>111</v>
      </c>
      <c r="C77" s="1157" t="s">
        <v>779</v>
      </c>
      <c r="D77" s="657" t="s">
        <v>780</v>
      </c>
      <c r="E77" s="658">
        <v>0.2</v>
      </c>
      <c r="F77" s="658">
        <v>0.05</v>
      </c>
      <c r="G77" s="657" t="s">
        <v>781</v>
      </c>
      <c r="H77" s="1143" t="s">
        <v>777</v>
      </c>
      <c r="I77" s="391" t="s">
        <v>780</v>
      </c>
      <c r="J77" s="1163">
        <v>0</v>
      </c>
      <c r="K77" s="1163">
        <v>0</v>
      </c>
      <c r="L77" s="1167" t="s">
        <v>1820</v>
      </c>
      <c r="M77" s="690"/>
      <c r="N77" s="1131">
        <v>0</v>
      </c>
      <c r="O77" s="1131">
        <v>0</v>
      </c>
      <c r="P77" s="1135" t="s">
        <v>1820</v>
      </c>
    </row>
    <row r="78" spans="2:16" ht="40.799999999999997">
      <c r="B78" s="1195"/>
      <c r="C78" s="1158"/>
      <c r="D78" s="657" t="s">
        <v>782</v>
      </c>
      <c r="E78" s="658">
        <v>0.2</v>
      </c>
      <c r="F78" s="658">
        <v>0.05</v>
      </c>
      <c r="G78" s="657" t="s">
        <v>783</v>
      </c>
      <c r="H78" s="1145"/>
      <c r="I78" s="391" t="s">
        <v>2050</v>
      </c>
      <c r="J78" s="1164"/>
      <c r="K78" s="1164"/>
      <c r="L78" s="1168"/>
      <c r="M78" s="690"/>
      <c r="N78" s="1132"/>
      <c r="O78" s="1132"/>
      <c r="P78" s="1130"/>
    </row>
    <row r="79" spans="2:16" ht="13.8">
      <c r="B79" s="1184" t="s">
        <v>797</v>
      </c>
      <c r="C79" s="1185"/>
      <c r="D79" s="1185"/>
      <c r="E79" s="1185"/>
      <c r="F79" s="1185"/>
      <c r="G79" s="1185"/>
      <c r="H79" s="1186"/>
      <c r="I79" s="668"/>
      <c r="J79" s="656"/>
      <c r="K79" s="450"/>
      <c r="L79" s="450"/>
      <c r="M79" s="690"/>
      <c r="N79" s="757"/>
      <c r="O79" s="757"/>
      <c r="P79" s="748"/>
    </row>
    <row r="80" spans="2:16" ht="177">
      <c r="B80" s="663" t="s">
        <v>784</v>
      </c>
      <c r="C80" s="391" t="s">
        <v>75</v>
      </c>
      <c r="D80" s="657" t="s">
        <v>790</v>
      </c>
      <c r="E80" s="684">
        <v>0.2</v>
      </c>
      <c r="F80" s="684">
        <v>0.2</v>
      </c>
      <c r="G80" s="666" t="s">
        <v>791</v>
      </c>
      <c r="H80" s="657" t="s">
        <v>56</v>
      </c>
      <c r="I80" s="391" t="s">
        <v>790</v>
      </c>
      <c r="J80" s="651">
        <v>0</v>
      </c>
      <c r="K80" s="651">
        <v>0</v>
      </c>
      <c r="L80" s="336" t="s">
        <v>1785</v>
      </c>
      <c r="M80" s="690"/>
      <c r="N80" s="757">
        <v>0</v>
      </c>
      <c r="O80" s="757">
        <v>0</v>
      </c>
      <c r="P80" s="262" t="s">
        <v>2115</v>
      </c>
    </row>
    <row r="81" spans="2:16" ht="13.8" customHeight="1">
      <c r="B81" s="1187" t="s">
        <v>106</v>
      </c>
      <c r="C81" s="1157" t="s">
        <v>792</v>
      </c>
      <c r="D81" s="1143" t="s">
        <v>793</v>
      </c>
      <c r="E81" s="1210">
        <v>0.2</v>
      </c>
      <c r="F81" s="1210">
        <v>0.15</v>
      </c>
      <c r="G81" s="666" t="s">
        <v>794</v>
      </c>
      <c r="H81" s="1143" t="s">
        <v>796</v>
      </c>
      <c r="I81" s="1157" t="s">
        <v>793</v>
      </c>
      <c r="J81" s="1159"/>
      <c r="K81" s="1159"/>
      <c r="L81" s="1137" t="s">
        <v>1877</v>
      </c>
      <c r="M81" s="690"/>
      <c r="N81" s="1131"/>
      <c r="O81" s="1131"/>
      <c r="P81" s="1129" t="s">
        <v>2073</v>
      </c>
    </row>
    <row r="82" spans="2:16" ht="43.8" customHeight="1">
      <c r="B82" s="1189"/>
      <c r="C82" s="1158"/>
      <c r="D82" s="1145"/>
      <c r="E82" s="1211"/>
      <c r="F82" s="1211"/>
      <c r="G82" s="666" t="s">
        <v>795</v>
      </c>
      <c r="H82" s="1145"/>
      <c r="I82" s="1158"/>
      <c r="J82" s="1160"/>
      <c r="K82" s="1160"/>
      <c r="L82" s="1138"/>
      <c r="M82" s="690"/>
      <c r="N82" s="1132"/>
      <c r="O82" s="1132"/>
      <c r="P82" s="1136"/>
    </row>
    <row r="83" spans="2:16" ht="13.8">
      <c r="B83" s="1184" t="s">
        <v>798</v>
      </c>
      <c r="C83" s="1185"/>
      <c r="D83" s="1185"/>
      <c r="E83" s="1185"/>
      <c r="F83" s="1185"/>
      <c r="G83" s="1185"/>
      <c r="H83" s="1186"/>
      <c r="I83" s="668"/>
      <c r="J83" s="656"/>
      <c r="K83" s="450"/>
      <c r="L83" s="450"/>
      <c r="M83" s="690"/>
      <c r="N83" s="757"/>
      <c r="O83" s="757"/>
      <c r="P83" s="748"/>
    </row>
    <row r="84" spans="2:16" ht="30.6">
      <c r="B84" s="657" t="s">
        <v>111</v>
      </c>
      <c r="C84" s="391" t="s">
        <v>800</v>
      </c>
      <c r="D84" s="657" t="s">
        <v>799</v>
      </c>
      <c r="E84" s="658">
        <v>0.2</v>
      </c>
      <c r="F84" s="658">
        <v>0.2</v>
      </c>
      <c r="G84" s="657" t="s">
        <v>801</v>
      </c>
      <c r="H84" s="657"/>
      <c r="I84" s="391" t="s">
        <v>799</v>
      </c>
      <c r="J84" s="673"/>
      <c r="K84" s="674"/>
      <c r="L84" s="336" t="s">
        <v>1821</v>
      </c>
      <c r="M84" s="690"/>
      <c r="N84" s="757"/>
      <c r="O84" s="757"/>
      <c r="P84" s="652" t="s">
        <v>1789</v>
      </c>
    </row>
  </sheetData>
  <mergeCells count="216">
    <mergeCell ref="N1:P1"/>
    <mergeCell ref="H75:H76"/>
    <mergeCell ref="C75:C76"/>
    <mergeCell ref="B75:B76"/>
    <mergeCell ref="B74:H74"/>
    <mergeCell ref="B72:H72"/>
    <mergeCell ref="B58:B59"/>
    <mergeCell ref="B57:H57"/>
    <mergeCell ref="F7:F9"/>
    <mergeCell ref="M1:M2"/>
    <mergeCell ref="B4:B9"/>
    <mergeCell ref="C4:C9"/>
    <mergeCell ref="D5:D6"/>
    <mergeCell ref="E5:E6"/>
    <mergeCell ref="F5:F6"/>
    <mergeCell ref="B10:B21"/>
    <mergeCell ref="C10:C21"/>
    <mergeCell ref="B3:H3"/>
    <mergeCell ref="D11:D14"/>
    <mergeCell ref="E11:E14"/>
    <mergeCell ref="F11:F14"/>
    <mergeCell ref="H11:H14"/>
    <mergeCell ref="D15:D16"/>
    <mergeCell ref="E15:E16"/>
    <mergeCell ref="B83:H83"/>
    <mergeCell ref="H81:H82"/>
    <mergeCell ref="F81:F82"/>
    <mergeCell ref="E81:E82"/>
    <mergeCell ref="D81:D82"/>
    <mergeCell ref="C81:C82"/>
    <mergeCell ref="B81:B82"/>
    <mergeCell ref="B79:H79"/>
    <mergeCell ref="H77:H78"/>
    <mergeCell ref="C77:C78"/>
    <mergeCell ref="B77:B78"/>
    <mergeCell ref="F15:F16"/>
    <mergeCell ref="H15:H16"/>
    <mergeCell ref="H5:H6"/>
    <mergeCell ref="D7:D9"/>
    <mergeCell ref="E7:E9"/>
    <mergeCell ref="B24:H24"/>
    <mergeCell ref="B28:B31"/>
    <mergeCell ref="C29:C31"/>
    <mergeCell ref="D29:D31"/>
    <mergeCell ref="E29:E31"/>
    <mergeCell ref="F29:F31"/>
    <mergeCell ref="D17:D20"/>
    <mergeCell ref="E17:E20"/>
    <mergeCell ref="F17:F20"/>
    <mergeCell ref="H17:H20"/>
    <mergeCell ref="F35:F36"/>
    <mergeCell ref="G35:G36"/>
    <mergeCell ref="H35:H36"/>
    <mergeCell ref="C37:C38"/>
    <mergeCell ref="E37:E38"/>
    <mergeCell ref="D37:D38"/>
    <mergeCell ref="F37:F38"/>
    <mergeCell ref="G37:G38"/>
    <mergeCell ref="H37:H38"/>
    <mergeCell ref="B39:B42"/>
    <mergeCell ref="C39:C42"/>
    <mergeCell ref="D39:D41"/>
    <mergeCell ref="E39:E41"/>
    <mergeCell ref="F39:F41"/>
    <mergeCell ref="G39:G41"/>
    <mergeCell ref="H39:H41"/>
    <mergeCell ref="B48:H48"/>
    <mergeCell ref="B50:B51"/>
    <mergeCell ref="B52:B55"/>
    <mergeCell ref="D52:D54"/>
    <mergeCell ref="E52:E54"/>
    <mergeCell ref="F52:F54"/>
    <mergeCell ref="G52:G54"/>
    <mergeCell ref="H52:H54"/>
    <mergeCell ref="H44:H46"/>
    <mergeCell ref="B43:B47"/>
    <mergeCell ref="D44:D46"/>
    <mergeCell ref="E44:E46"/>
    <mergeCell ref="F44:F46"/>
    <mergeCell ref="G44:G46"/>
    <mergeCell ref="C44:C46"/>
    <mergeCell ref="C58:C59"/>
    <mergeCell ref="B62:B63"/>
    <mergeCell ref="C62:C63"/>
    <mergeCell ref="B60:H60"/>
    <mergeCell ref="B65:H65"/>
    <mergeCell ref="B66:B67"/>
    <mergeCell ref="B68:B70"/>
    <mergeCell ref="C68:C69"/>
    <mergeCell ref="H68:H69"/>
    <mergeCell ref="G66:G67"/>
    <mergeCell ref="D66:D67"/>
    <mergeCell ref="C66:C67"/>
    <mergeCell ref="E1:H1"/>
    <mergeCell ref="J1:L1"/>
    <mergeCell ref="B1:B2"/>
    <mergeCell ref="C1:C2"/>
    <mergeCell ref="D1:D2"/>
    <mergeCell ref="L29:L31"/>
    <mergeCell ref="J29:J31"/>
    <mergeCell ref="K29:K31"/>
    <mergeCell ref="J35:J36"/>
    <mergeCell ref="K35:K36"/>
    <mergeCell ref="L35:L36"/>
    <mergeCell ref="J4:J9"/>
    <mergeCell ref="K4:K9"/>
    <mergeCell ref="L7:L9"/>
    <mergeCell ref="L11:L14"/>
    <mergeCell ref="L15:L16"/>
    <mergeCell ref="L17:L20"/>
    <mergeCell ref="J10:J20"/>
    <mergeCell ref="K10:K20"/>
    <mergeCell ref="B33:H33"/>
    <mergeCell ref="B35:B38"/>
    <mergeCell ref="C35:C36"/>
    <mergeCell ref="D35:D36"/>
    <mergeCell ref="E35:E36"/>
    <mergeCell ref="J44:J46"/>
    <mergeCell ref="K44:K46"/>
    <mergeCell ref="L44:L46"/>
    <mergeCell ref="J37:J38"/>
    <mergeCell ref="K37:K38"/>
    <mergeCell ref="L37:L38"/>
    <mergeCell ref="J39:J41"/>
    <mergeCell ref="K39:K41"/>
    <mergeCell ref="L39:L41"/>
    <mergeCell ref="L66:L67"/>
    <mergeCell ref="G68:G69"/>
    <mergeCell ref="D68:D69"/>
    <mergeCell ref="L68:L69"/>
    <mergeCell ref="J68:J69"/>
    <mergeCell ref="K68:K69"/>
    <mergeCell ref="I66:I67"/>
    <mergeCell ref="I68:I69"/>
    <mergeCell ref="J52:J55"/>
    <mergeCell ref="K52:K55"/>
    <mergeCell ref="L52:L55"/>
    <mergeCell ref="J62:J63"/>
    <mergeCell ref="K62:K63"/>
    <mergeCell ref="L62:L63"/>
    <mergeCell ref="I81:I82"/>
    <mergeCell ref="J81:J82"/>
    <mergeCell ref="K81:K82"/>
    <mergeCell ref="L81:L82"/>
    <mergeCell ref="I1:I2"/>
    <mergeCell ref="I5:I6"/>
    <mergeCell ref="I7:I9"/>
    <mergeCell ref="I11:I14"/>
    <mergeCell ref="I15:I16"/>
    <mergeCell ref="I17:I20"/>
    <mergeCell ref="I29:I31"/>
    <mergeCell ref="I35:I36"/>
    <mergeCell ref="I37:I38"/>
    <mergeCell ref="I39:I41"/>
    <mergeCell ref="I44:I46"/>
    <mergeCell ref="I52:I54"/>
    <mergeCell ref="J75:J76"/>
    <mergeCell ref="K75:K76"/>
    <mergeCell ref="L75:L76"/>
    <mergeCell ref="J77:J78"/>
    <mergeCell ref="K77:K78"/>
    <mergeCell ref="L77:L78"/>
    <mergeCell ref="J66:J67"/>
    <mergeCell ref="K66:K67"/>
    <mergeCell ref="N29:N31"/>
    <mergeCell ref="O29:O31"/>
    <mergeCell ref="P29:P31"/>
    <mergeCell ref="N35:N36"/>
    <mergeCell ref="O35:O36"/>
    <mergeCell ref="P35:P36"/>
    <mergeCell ref="N4:N9"/>
    <mergeCell ref="O4:O9"/>
    <mergeCell ref="P5:P6"/>
    <mergeCell ref="P7:P9"/>
    <mergeCell ref="N10:N21"/>
    <mergeCell ref="O10:O21"/>
    <mergeCell ref="P11:P14"/>
    <mergeCell ref="P15:P16"/>
    <mergeCell ref="P17:P20"/>
    <mergeCell ref="N37:N38"/>
    <mergeCell ref="O37:O38"/>
    <mergeCell ref="P37:P38"/>
    <mergeCell ref="N39:N41"/>
    <mergeCell ref="O39:O41"/>
    <mergeCell ref="P39:P41"/>
    <mergeCell ref="N44:N46"/>
    <mergeCell ref="O44:O46"/>
    <mergeCell ref="P44:P46"/>
    <mergeCell ref="P50:P51"/>
    <mergeCell ref="N50:N51"/>
    <mergeCell ref="O50:O51"/>
    <mergeCell ref="N52:N55"/>
    <mergeCell ref="O52:O55"/>
    <mergeCell ref="P52:P55"/>
    <mergeCell ref="N58:N59"/>
    <mergeCell ref="O58:O59"/>
    <mergeCell ref="P58:P59"/>
    <mergeCell ref="N62:N63"/>
    <mergeCell ref="O62:O63"/>
    <mergeCell ref="P62:P63"/>
    <mergeCell ref="N66:N67"/>
    <mergeCell ref="O66:O67"/>
    <mergeCell ref="P66:P67"/>
    <mergeCell ref="N68:N69"/>
    <mergeCell ref="O68:O69"/>
    <mergeCell ref="P68:P69"/>
    <mergeCell ref="P75:P76"/>
    <mergeCell ref="N75:N76"/>
    <mergeCell ref="O75:O76"/>
    <mergeCell ref="P73:P74"/>
    <mergeCell ref="N77:N78"/>
    <mergeCell ref="O77:O78"/>
    <mergeCell ref="P77:P78"/>
    <mergeCell ref="N81:N82"/>
    <mergeCell ref="O81:O82"/>
    <mergeCell ref="P81:P82"/>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5D432-F6DC-4A0C-B9AA-6ED70938F318}">
  <sheetPr>
    <tabColor rgb="FFFFFF00"/>
  </sheetPr>
  <dimension ref="A1:O79"/>
  <sheetViews>
    <sheetView workbookViewId="0">
      <pane xSplit="3" ySplit="4" topLeftCell="I11" activePane="bottomRight" state="frozen"/>
      <selection pane="topRight" activeCell="D1" sqref="D1"/>
      <selection pane="bottomLeft" activeCell="A5" sqref="A5"/>
      <selection pane="bottomRight" activeCell="P18" sqref="P18"/>
    </sheetView>
  </sheetViews>
  <sheetFormatPr baseColWidth="10" defaultRowHeight="14.4"/>
  <cols>
    <col min="1" max="1" width="19.21875" style="12" customWidth="1"/>
    <col min="2" max="2" width="15.5546875" style="12" bestFit="1" customWidth="1"/>
    <col min="3" max="3" width="58.44140625" style="12" customWidth="1"/>
    <col min="4" max="4" width="57.33203125" style="12" customWidth="1"/>
    <col min="5" max="5" width="39.21875" style="12" customWidth="1"/>
    <col min="6" max="6" width="40.88671875" style="691" customWidth="1"/>
    <col min="7" max="7" width="43.33203125" style="12" customWidth="1"/>
    <col min="8" max="8" width="40.88671875" style="12" customWidth="1"/>
    <col min="9" max="9" width="11.5546875" style="12"/>
    <col min="10" max="10" width="16.44140625" style="12" customWidth="1"/>
    <col min="11" max="11" width="14.6640625" style="12" customWidth="1"/>
    <col min="12" max="14" width="11.5546875" style="12"/>
    <col min="15" max="15" width="11.5546875" style="582"/>
    <col min="16" max="16384" width="11.5546875" style="12"/>
  </cols>
  <sheetData>
    <row r="1" spans="1:15" ht="15" thickBot="1"/>
    <row r="2" spans="1:15" ht="15" thickBot="1">
      <c r="A2" s="179"/>
      <c r="B2" s="563"/>
      <c r="C2" s="563"/>
      <c r="D2" s="692" t="s">
        <v>886</v>
      </c>
      <c r="E2" s="1227" t="s">
        <v>1830</v>
      </c>
      <c r="F2" s="1228"/>
      <c r="G2" s="1229" t="s">
        <v>2057</v>
      </c>
      <c r="H2" s="1229"/>
    </row>
    <row r="3" spans="1:15" ht="14.4" customHeight="1">
      <c r="A3" s="180"/>
      <c r="B3" s="1225" t="s">
        <v>887</v>
      </c>
      <c r="C3" s="1218" t="s">
        <v>888</v>
      </c>
      <c r="D3" s="1220" t="s">
        <v>889</v>
      </c>
      <c r="E3" s="1220" t="s">
        <v>2056</v>
      </c>
      <c r="F3" s="1231" t="s">
        <v>890</v>
      </c>
      <c r="G3" s="1230" t="s">
        <v>2056</v>
      </c>
      <c r="H3" s="1230" t="s">
        <v>890</v>
      </c>
    </row>
    <row r="4" spans="1:15" ht="15" thickBot="1">
      <c r="A4" s="181"/>
      <c r="B4" s="1226"/>
      <c r="C4" s="1219"/>
      <c r="D4" s="1219"/>
      <c r="E4" s="1219"/>
      <c r="F4" s="1232"/>
      <c r="G4" s="1230"/>
      <c r="H4" s="1230"/>
    </row>
    <row r="5" spans="1:15">
      <c r="B5" s="1222" t="s">
        <v>784</v>
      </c>
      <c r="C5" s="182" t="s">
        <v>891</v>
      </c>
      <c r="D5" s="183" t="s">
        <v>892</v>
      </c>
      <c r="E5" s="574" t="s">
        <v>1831</v>
      </c>
      <c r="F5" s="693" t="s">
        <v>1832</v>
      </c>
      <c r="G5" s="689" t="s">
        <v>805</v>
      </c>
      <c r="H5" s="689"/>
    </row>
    <row r="6" spans="1:15">
      <c r="B6" s="1223"/>
      <c r="C6" s="182" t="s">
        <v>893</v>
      </c>
      <c r="D6" s="183" t="s">
        <v>894</v>
      </c>
      <c r="E6" s="575" t="s">
        <v>894</v>
      </c>
      <c r="F6" s="693" t="s">
        <v>1833</v>
      </c>
      <c r="G6" s="689"/>
      <c r="H6" s="689"/>
    </row>
    <row r="7" spans="1:15">
      <c r="B7" s="1223"/>
      <c r="C7" s="185" t="s">
        <v>895</v>
      </c>
      <c r="D7" s="183" t="s">
        <v>892</v>
      </c>
      <c r="E7" s="574" t="s">
        <v>1834</v>
      </c>
      <c r="F7" s="693" t="s">
        <v>1835</v>
      </c>
      <c r="G7" s="689"/>
      <c r="H7" s="689"/>
    </row>
    <row r="8" spans="1:15" ht="41.4">
      <c r="B8" s="1223"/>
      <c r="C8" s="185" t="s">
        <v>896</v>
      </c>
      <c r="D8" s="183" t="s">
        <v>897</v>
      </c>
      <c r="E8" s="575" t="s">
        <v>897</v>
      </c>
      <c r="F8" s="694" t="s">
        <v>1836</v>
      </c>
      <c r="G8" s="689" t="s">
        <v>2085</v>
      </c>
      <c r="H8" s="689"/>
      <c r="J8" s="584" t="s">
        <v>1859</v>
      </c>
      <c r="K8" s="584" t="s">
        <v>1860</v>
      </c>
      <c r="L8" s="584" t="s">
        <v>1861</v>
      </c>
      <c r="M8" s="584" t="s">
        <v>1862</v>
      </c>
      <c r="N8" s="584" t="s">
        <v>1863</v>
      </c>
      <c r="O8" s="585" t="s">
        <v>1864</v>
      </c>
    </row>
    <row r="9" spans="1:15" ht="28.8">
      <c r="B9" s="1223"/>
      <c r="C9" s="185" t="s">
        <v>898</v>
      </c>
      <c r="D9" s="183" t="s">
        <v>899</v>
      </c>
      <c r="E9" s="575" t="s">
        <v>899</v>
      </c>
      <c r="F9" s="694" t="s">
        <v>1837</v>
      </c>
      <c r="G9" s="581" t="s">
        <v>2086</v>
      </c>
      <c r="H9" s="689"/>
      <c r="J9" s="584" t="s">
        <v>1865</v>
      </c>
      <c r="K9" s="722">
        <v>4</v>
      </c>
      <c r="L9" s="722">
        <v>4</v>
      </c>
      <c r="M9" s="722">
        <v>0</v>
      </c>
      <c r="N9" s="722">
        <v>3</v>
      </c>
      <c r="O9" s="723">
        <f>+N9/K9</f>
        <v>0.75</v>
      </c>
    </row>
    <row r="10" spans="1:15" ht="26.4">
      <c r="B10" s="1223"/>
      <c r="C10" s="185" t="s">
        <v>900</v>
      </c>
      <c r="D10" s="183" t="s">
        <v>901</v>
      </c>
      <c r="E10" s="574" t="s">
        <v>901</v>
      </c>
      <c r="F10" s="694" t="s">
        <v>1836</v>
      </c>
      <c r="G10" s="689" t="s">
        <v>2085</v>
      </c>
      <c r="H10" s="689"/>
      <c r="J10" s="584" t="s">
        <v>1866</v>
      </c>
      <c r="K10" s="722">
        <v>5</v>
      </c>
      <c r="L10" s="722">
        <v>5</v>
      </c>
      <c r="M10" s="722">
        <v>3</v>
      </c>
      <c r="N10" s="722">
        <v>1</v>
      </c>
      <c r="O10" s="723">
        <f>+N10/K10</f>
        <v>0.2</v>
      </c>
    </row>
    <row r="11" spans="1:15" ht="39.6">
      <c r="B11" s="1223"/>
      <c r="C11" s="262" t="s">
        <v>902</v>
      </c>
      <c r="D11" s="183" t="s">
        <v>903</v>
      </c>
      <c r="E11" s="574" t="s">
        <v>1838</v>
      </c>
      <c r="F11" s="693"/>
      <c r="G11" s="689"/>
      <c r="H11" s="689"/>
      <c r="J11" s="584" t="s">
        <v>1867</v>
      </c>
      <c r="K11" s="722"/>
      <c r="L11" s="722"/>
      <c r="M11" s="724"/>
      <c r="N11" s="722"/>
      <c r="O11" s="723"/>
    </row>
    <row r="12" spans="1:15" ht="39.6">
      <c r="B12" s="1223"/>
      <c r="C12" s="262" t="s">
        <v>904</v>
      </c>
      <c r="D12" s="183" t="s">
        <v>903</v>
      </c>
      <c r="E12" s="574" t="s">
        <v>1838</v>
      </c>
      <c r="F12" s="693"/>
      <c r="G12" s="689"/>
      <c r="H12" s="689"/>
      <c r="J12" s="584" t="s">
        <v>1868</v>
      </c>
      <c r="K12" s="722">
        <v>4</v>
      </c>
      <c r="L12" s="722">
        <v>4</v>
      </c>
      <c r="M12" s="722">
        <v>0</v>
      </c>
      <c r="N12" s="722">
        <v>0</v>
      </c>
      <c r="O12" s="723">
        <f>+N12/K12</f>
        <v>0</v>
      </c>
    </row>
    <row r="13" spans="1:15" ht="26.4">
      <c r="B13" s="1223"/>
      <c r="C13" s="263" t="s">
        <v>905</v>
      </c>
      <c r="D13" s="183" t="s">
        <v>903</v>
      </c>
      <c r="E13" s="574" t="s">
        <v>1839</v>
      </c>
      <c r="F13" s="693"/>
      <c r="G13" s="689"/>
      <c r="H13" s="689"/>
      <c r="J13" s="585" t="s">
        <v>1869</v>
      </c>
      <c r="K13" s="725">
        <f>+K9+K10+K11+K12</f>
        <v>13</v>
      </c>
      <c r="L13" s="725">
        <f>+L9+L10+L11+L12</f>
        <v>13</v>
      </c>
      <c r="M13" s="725">
        <f>+M9+M10+M11+M12</f>
        <v>3</v>
      </c>
      <c r="N13" s="725">
        <f>+N9+N10+N11+N12</f>
        <v>4</v>
      </c>
      <c r="O13" s="723">
        <f>+N13/K13</f>
        <v>0.30769230769230771</v>
      </c>
    </row>
    <row r="14" spans="1:15" ht="26.4">
      <c r="B14" s="1223"/>
      <c r="C14" s="264" t="s">
        <v>906</v>
      </c>
      <c r="D14" s="183" t="s">
        <v>907</v>
      </c>
      <c r="E14" s="574" t="s">
        <v>1840</v>
      </c>
      <c r="F14" s="693"/>
      <c r="G14" s="689"/>
      <c r="H14" s="689"/>
    </row>
    <row r="15" spans="1:15" ht="30" customHeight="1">
      <c r="B15" s="1223"/>
      <c r="C15" s="263" t="s">
        <v>908</v>
      </c>
      <c r="D15" s="183" t="s">
        <v>903</v>
      </c>
      <c r="E15" s="574" t="s">
        <v>1840</v>
      </c>
      <c r="F15" s="693"/>
      <c r="G15" s="689"/>
      <c r="H15" s="689"/>
      <c r="J15" s="584" t="s">
        <v>2160</v>
      </c>
      <c r="K15" s="584" t="s">
        <v>1860</v>
      </c>
      <c r="L15" s="584" t="s">
        <v>1861</v>
      </c>
      <c r="M15" s="584" t="s">
        <v>1862</v>
      </c>
      <c r="N15" s="584" t="s">
        <v>1863</v>
      </c>
      <c r="O15" s="585" t="s">
        <v>1864</v>
      </c>
    </row>
    <row r="16" spans="1:15" ht="39.6">
      <c r="B16" s="1223"/>
      <c r="C16" s="263" t="s">
        <v>909</v>
      </c>
      <c r="D16" s="183" t="s">
        <v>910</v>
      </c>
      <c r="E16" s="574" t="s">
        <v>1840</v>
      </c>
      <c r="F16" s="693"/>
      <c r="G16" s="689"/>
      <c r="H16" s="689"/>
      <c r="J16" s="584" t="s">
        <v>1865</v>
      </c>
      <c r="K16" s="722">
        <v>15</v>
      </c>
      <c r="L16" s="722">
        <v>15</v>
      </c>
      <c r="M16" s="722">
        <v>0</v>
      </c>
      <c r="N16" s="722">
        <v>13</v>
      </c>
      <c r="O16" s="723">
        <f>+N16/K16</f>
        <v>0.8666666666666667</v>
      </c>
    </row>
    <row r="17" spans="2:15">
      <c r="B17" s="1224"/>
      <c r="C17" s="186" t="s">
        <v>1312</v>
      </c>
      <c r="D17" s="187"/>
      <c r="E17" s="576"/>
      <c r="F17" s="693"/>
      <c r="G17" s="689"/>
      <c r="H17" s="689"/>
      <c r="J17" s="584" t="s">
        <v>1866</v>
      </c>
      <c r="K17" s="722">
        <v>21</v>
      </c>
      <c r="L17" s="722">
        <v>22</v>
      </c>
      <c r="M17" s="722">
        <v>4</v>
      </c>
      <c r="N17" s="722">
        <v>7</v>
      </c>
      <c r="O17" s="723">
        <f>+N17/K17</f>
        <v>0.33333333333333331</v>
      </c>
    </row>
    <row r="18" spans="2:15" ht="26.4">
      <c r="B18" s="1222" t="s">
        <v>106</v>
      </c>
      <c r="C18" s="259" t="s">
        <v>911</v>
      </c>
      <c r="D18" s="188" t="s">
        <v>912</v>
      </c>
      <c r="E18" s="577" t="s">
        <v>1841</v>
      </c>
      <c r="F18" s="693"/>
      <c r="G18" s="689" t="s">
        <v>2087</v>
      </c>
      <c r="H18" s="689"/>
      <c r="J18" s="584" t="s">
        <v>1867</v>
      </c>
      <c r="K18" s="722">
        <v>21</v>
      </c>
      <c r="L18" s="722">
        <v>21</v>
      </c>
      <c r="M18" s="785">
        <v>1</v>
      </c>
      <c r="N18" s="722">
        <v>6</v>
      </c>
      <c r="O18" s="723">
        <f>+N18/K18</f>
        <v>0.2857142857142857</v>
      </c>
    </row>
    <row r="19" spans="2:15">
      <c r="B19" s="1223"/>
      <c r="C19" s="259" t="s">
        <v>913</v>
      </c>
      <c r="D19" s="188" t="s">
        <v>914</v>
      </c>
      <c r="E19" s="577" t="s">
        <v>1842</v>
      </c>
      <c r="F19" s="693"/>
      <c r="G19" s="689"/>
      <c r="H19" s="689"/>
      <c r="J19" s="584" t="s">
        <v>1868</v>
      </c>
      <c r="K19" s="722">
        <v>14</v>
      </c>
      <c r="L19" s="722">
        <v>14</v>
      </c>
      <c r="M19" s="722">
        <v>0</v>
      </c>
      <c r="N19" s="722">
        <v>12</v>
      </c>
      <c r="O19" s="723">
        <f>+N19/K19</f>
        <v>0.8571428571428571</v>
      </c>
    </row>
    <row r="20" spans="2:15">
      <c r="B20" s="1223"/>
      <c r="C20" s="207" t="s">
        <v>1295</v>
      </c>
      <c r="D20" s="205" t="s">
        <v>64</v>
      </c>
      <c r="E20" s="205" t="s">
        <v>64</v>
      </c>
      <c r="F20" s="693"/>
      <c r="G20" s="689"/>
      <c r="H20" s="689"/>
      <c r="J20" s="786" t="s">
        <v>1869</v>
      </c>
      <c r="K20" s="787">
        <f>+K16+K17+K18+K19</f>
        <v>71</v>
      </c>
      <c r="L20" s="787">
        <f>+L16+L17+L18+L19</f>
        <v>72</v>
      </c>
      <c r="M20" s="787">
        <f>+M16+M17+M18+M19</f>
        <v>5</v>
      </c>
      <c r="N20" s="787">
        <f>+N16+N17+N18+N19</f>
        <v>38</v>
      </c>
      <c r="O20" s="723">
        <f>+N20/K20</f>
        <v>0.53521126760563376</v>
      </c>
    </row>
    <row r="21" spans="2:15">
      <c r="B21" s="1223"/>
      <c r="C21" s="259" t="s">
        <v>1310</v>
      </c>
      <c r="D21" s="188" t="s">
        <v>915</v>
      </c>
      <c r="E21" s="577" t="s">
        <v>1843</v>
      </c>
      <c r="F21" s="693"/>
      <c r="G21" s="689"/>
      <c r="H21" s="689"/>
    </row>
    <row r="22" spans="2:15">
      <c r="B22" s="1223"/>
      <c r="C22" s="259" t="s">
        <v>1313</v>
      </c>
      <c r="D22" s="188" t="s">
        <v>1314</v>
      </c>
      <c r="E22" s="577" t="s">
        <v>1844</v>
      </c>
      <c r="F22" s="693"/>
      <c r="G22" s="689" t="s">
        <v>2079</v>
      </c>
      <c r="H22" s="689"/>
    </row>
    <row r="23" spans="2:15">
      <c r="B23" s="1223"/>
      <c r="C23" s="244" t="s">
        <v>1294</v>
      </c>
      <c r="D23" s="188" t="s">
        <v>1314</v>
      </c>
      <c r="E23" s="577" t="s">
        <v>64</v>
      </c>
      <c r="F23" s="693"/>
      <c r="G23" s="689" t="s">
        <v>2090</v>
      </c>
      <c r="H23" s="689"/>
    </row>
    <row r="24" spans="2:15">
      <c r="B24" s="1223"/>
      <c r="C24" s="244" t="s">
        <v>2088</v>
      </c>
      <c r="D24" s="188"/>
      <c r="E24" s="577"/>
      <c r="F24" s="693"/>
      <c r="G24" s="689" t="s">
        <v>2089</v>
      </c>
      <c r="H24" s="689"/>
    </row>
    <row r="25" spans="2:15">
      <c r="B25" s="1223"/>
      <c r="C25" s="207" t="s">
        <v>1315</v>
      </c>
      <c r="D25" s="188" t="s">
        <v>1316</v>
      </c>
      <c r="E25" s="577"/>
      <c r="F25" s="693"/>
      <c r="G25" s="689"/>
      <c r="H25" s="689"/>
    </row>
    <row r="26" spans="2:15">
      <c r="B26" s="1223"/>
      <c r="C26" s="259" t="s">
        <v>1318</v>
      </c>
      <c r="D26" s="188" t="s">
        <v>916</v>
      </c>
      <c r="E26" s="577" t="s">
        <v>1845</v>
      </c>
      <c r="F26" s="693"/>
      <c r="G26" s="689"/>
      <c r="H26" s="689"/>
    </row>
    <row r="27" spans="2:15" ht="39.6">
      <c r="B27" s="1223"/>
      <c r="C27" s="259" t="s">
        <v>1311</v>
      </c>
      <c r="D27" s="188" t="s">
        <v>1320</v>
      </c>
      <c r="E27" s="577" t="s">
        <v>1846</v>
      </c>
      <c r="F27" s="693"/>
      <c r="G27" s="689"/>
      <c r="H27" s="689"/>
    </row>
    <row r="28" spans="2:15" ht="35.4">
      <c r="B28" s="1223"/>
      <c r="C28" s="245" t="s">
        <v>1317</v>
      </c>
      <c r="D28" s="183"/>
      <c r="E28" s="574" t="s">
        <v>64</v>
      </c>
      <c r="F28" s="693"/>
      <c r="G28" s="689"/>
      <c r="H28" s="689"/>
    </row>
    <row r="29" spans="2:15">
      <c r="B29" s="1223"/>
      <c r="C29" s="260" t="s">
        <v>1319</v>
      </c>
      <c r="D29" s="183"/>
      <c r="E29" s="574" t="s">
        <v>1844</v>
      </c>
      <c r="F29" s="693"/>
      <c r="G29" s="689"/>
      <c r="H29" s="689"/>
    </row>
    <row r="30" spans="2:15">
      <c r="B30" s="1223"/>
      <c r="C30" s="236" t="s">
        <v>1254</v>
      </c>
      <c r="D30" s="183"/>
      <c r="E30" s="574" t="s">
        <v>1847</v>
      </c>
      <c r="F30" s="693"/>
      <c r="G30" s="689" t="s">
        <v>2087</v>
      </c>
      <c r="H30" s="689"/>
    </row>
    <row r="31" spans="2:15">
      <c r="B31" s="1223"/>
      <c r="C31" s="236" t="s">
        <v>1252</v>
      </c>
      <c r="D31" s="183"/>
      <c r="E31" s="574" t="s">
        <v>64</v>
      </c>
      <c r="F31" s="693"/>
      <c r="G31" s="689"/>
      <c r="H31" s="689"/>
    </row>
    <row r="32" spans="2:15">
      <c r="B32" s="1223"/>
      <c r="C32" s="236" t="s">
        <v>1253</v>
      </c>
      <c r="D32" s="183"/>
      <c r="E32" s="574" t="s">
        <v>1847</v>
      </c>
      <c r="F32" s="693"/>
      <c r="G32" s="689" t="s">
        <v>2087</v>
      </c>
      <c r="H32" s="689"/>
    </row>
    <row r="33" spans="2:8">
      <c r="B33" s="1223"/>
      <c r="C33" s="236" t="s">
        <v>1248</v>
      </c>
      <c r="D33" s="183"/>
      <c r="E33" s="574" t="s">
        <v>64</v>
      </c>
      <c r="F33" s="693"/>
      <c r="G33" s="689"/>
      <c r="H33" s="689"/>
    </row>
    <row r="34" spans="2:8">
      <c r="B34" s="1223"/>
      <c r="C34" s="236" t="s">
        <v>1249</v>
      </c>
      <c r="D34" s="183"/>
      <c r="E34" s="574" t="s">
        <v>64</v>
      </c>
      <c r="F34" s="693"/>
      <c r="G34" s="689"/>
      <c r="H34" s="689"/>
    </row>
    <row r="35" spans="2:8">
      <c r="B35" s="1223"/>
      <c r="C35" s="236" t="s">
        <v>1250</v>
      </c>
      <c r="D35" s="183"/>
      <c r="E35" s="574" t="s">
        <v>64</v>
      </c>
      <c r="F35" s="693"/>
      <c r="G35" s="689"/>
      <c r="H35" s="689"/>
    </row>
    <row r="36" spans="2:8">
      <c r="B36" s="1223"/>
      <c r="C36" s="236" t="s">
        <v>1251</v>
      </c>
      <c r="D36" s="183"/>
      <c r="E36" s="574" t="s">
        <v>64</v>
      </c>
      <c r="F36" s="693"/>
      <c r="G36" s="689"/>
      <c r="H36" s="689"/>
    </row>
    <row r="37" spans="2:8">
      <c r="B37" s="1224"/>
      <c r="C37" s="186" t="s">
        <v>1312</v>
      </c>
      <c r="D37" s="183"/>
      <c r="E37" s="183"/>
      <c r="F37" s="693"/>
      <c r="G37" s="689"/>
      <c r="H37" s="689"/>
    </row>
    <row r="38" spans="2:8" ht="52.8">
      <c r="B38" s="1222" t="s">
        <v>111</v>
      </c>
      <c r="C38" s="189" t="s">
        <v>1309</v>
      </c>
      <c r="D38" s="258" t="s">
        <v>64</v>
      </c>
      <c r="E38" s="258" t="s">
        <v>64</v>
      </c>
      <c r="F38" s="693"/>
      <c r="G38" s="689"/>
      <c r="H38" s="689"/>
    </row>
    <row r="39" spans="2:8" ht="39.6">
      <c r="B39" s="1223"/>
      <c r="C39" s="189" t="s">
        <v>1260</v>
      </c>
      <c r="D39" s="241" t="s">
        <v>1283</v>
      </c>
      <c r="E39" s="578" t="s">
        <v>1848</v>
      </c>
      <c r="F39" s="693"/>
      <c r="G39" s="689"/>
      <c r="H39" s="689"/>
    </row>
    <row r="40" spans="2:8" ht="27.6">
      <c r="B40" s="1223"/>
      <c r="C40" s="238" t="s">
        <v>1284</v>
      </c>
      <c r="D40" s="241" t="s">
        <v>1283</v>
      </c>
      <c r="E40" s="578"/>
      <c r="F40" s="693"/>
      <c r="G40" s="689"/>
      <c r="H40" s="689"/>
    </row>
    <row r="41" spans="2:8" ht="27.6">
      <c r="B41" s="1223"/>
      <c r="C41" s="238" t="s">
        <v>1261</v>
      </c>
      <c r="D41" s="241" t="s">
        <v>1019</v>
      </c>
      <c r="E41" s="578"/>
      <c r="F41" s="693"/>
      <c r="G41" s="689"/>
      <c r="H41" s="689"/>
    </row>
    <row r="42" spans="2:8" ht="27.6">
      <c r="B42" s="1223"/>
      <c r="C42" s="238" t="s">
        <v>1262</v>
      </c>
      <c r="D42" s="241" t="s">
        <v>1283</v>
      </c>
      <c r="E42" s="578" t="s">
        <v>1848</v>
      </c>
      <c r="F42" s="693"/>
      <c r="G42" s="689"/>
      <c r="H42" s="689"/>
    </row>
    <row r="43" spans="2:8" ht="27.6">
      <c r="B43" s="1223"/>
      <c r="C43" s="238" t="s">
        <v>1263</v>
      </c>
      <c r="D43" s="242" t="s">
        <v>1289</v>
      </c>
      <c r="E43" s="579"/>
      <c r="F43" s="693"/>
      <c r="G43" s="689"/>
      <c r="H43" s="689"/>
    </row>
    <row r="44" spans="2:8" ht="27.6">
      <c r="B44" s="1223"/>
      <c r="C44" s="238" t="s">
        <v>1264</v>
      </c>
      <c r="D44" s="242" t="s">
        <v>1290</v>
      </c>
      <c r="E44" s="579"/>
      <c r="F44" s="693"/>
      <c r="G44" s="689"/>
      <c r="H44" s="689"/>
    </row>
    <row r="45" spans="2:8" ht="27.6">
      <c r="B45" s="1223"/>
      <c r="C45" s="238" t="s">
        <v>1265</v>
      </c>
      <c r="D45" s="191" t="s">
        <v>1292</v>
      </c>
      <c r="E45" s="194" t="s">
        <v>64</v>
      </c>
      <c r="F45" s="693"/>
      <c r="G45" s="689"/>
      <c r="H45" s="689"/>
    </row>
    <row r="46" spans="2:8" ht="27.6">
      <c r="B46" s="1223"/>
      <c r="C46" s="238" t="s">
        <v>1266</v>
      </c>
      <c r="D46" s="240" t="s">
        <v>1286</v>
      </c>
      <c r="E46" s="580" t="s">
        <v>1849</v>
      </c>
      <c r="F46" s="693"/>
      <c r="G46" s="689"/>
      <c r="H46" s="689"/>
    </row>
    <row r="47" spans="2:8" ht="41.4">
      <c r="B47" s="1223"/>
      <c r="C47" s="239" t="s">
        <v>1267</v>
      </c>
      <c r="D47" s="194" t="s">
        <v>1285</v>
      </c>
      <c r="E47" s="194" t="s">
        <v>1850</v>
      </c>
      <c r="F47" s="693"/>
      <c r="G47" s="689"/>
      <c r="H47" s="689"/>
    </row>
    <row r="48" spans="2:8" ht="27.6">
      <c r="B48" s="1223"/>
      <c r="C48" s="238" t="s">
        <v>1268</v>
      </c>
      <c r="D48" s="191" t="s">
        <v>64</v>
      </c>
      <c r="E48" s="194"/>
      <c r="F48" s="693"/>
      <c r="G48" s="689"/>
      <c r="H48" s="689"/>
    </row>
    <row r="49" spans="2:8" ht="27.6">
      <c r="B49" s="1223"/>
      <c r="C49" s="238" t="s">
        <v>1269</v>
      </c>
      <c r="D49" s="240" t="s">
        <v>1287</v>
      </c>
      <c r="E49" s="580" t="s">
        <v>1849</v>
      </c>
      <c r="F49" s="693"/>
      <c r="G49" s="689"/>
      <c r="H49" s="689"/>
    </row>
    <row r="50" spans="2:8" ht="56.4">
      <c r="B50" s="1223"/>
      <c r="C50" s="238" t="s">
        <v>1270</v>
      </c>
      <c r="D50" s="240" t="s">
        <v>1288</v>
      </c>
      <c r="E50" s="580" t="s">
        <v>1849</v>
      </c>
      <c r="F50" s="693"/>
      <c r="G50" s="689"/>
      <c r="H50" s="689"/>
    </row>
    <row r="51" spans="2:8" ht="27.6">
      <c r="B51" s="1223"/>
      <c r="C51" s="238" t="s">
        <v>1271</v>
      </c>
      <c r="D51" s="191" t="s">
        <v>1292</v>
      </c>
      <c r="E51" s="194" t="s">
        <v>1851</v>
      </c>
      <c r="F51" s="693"/>
      <c r="G51" s="689"/>
      <c r="H51" s="689"/>
    </row>
    <row r="52" spans="2:8" ht="41.4">
      <c r="B52" s="1223"/>
      <c r="C52" s="238" t="s">
        <v>1272</v>
      </c>
      <c r="D52" s="191" t="s">
        <v>64</v>
      </c>
      <c r="E52" s="194" t="s">
        <v>1852</v>
      </c>
      <c r="F52" s="693"/>
      <c r="G52" s="689"/>
      <c r="H52" s="689"/>
    </row>
    <row r="53" spans="2:8" ht="41.4">
      <c r="B53" s="1223"/>
      <c r="C53" s="239" t="s">
        <v>1273</v>
      </c>
      <c r="D53" s="194" t="s">
        <v>1291</v>
      </c>
      <c r="E53" s="194"/>
      <c r="F53" s="693"/>
      <c r="G53" s="689"/>
      <c r="H53" s="689"/>
    </row>
    <row r="54" spans="2:8" ht="55.2">
      <c r="B54" s="1223"/>
      <c r="C54" s="238" t="s">
        <v>1274</v>
      </c>
      <c r="D54" s="191" t="s">
        <v>64</v>
      </c>
      <c r="E54" s="194"/>
      <c r="F54" s="693"/>
      <c r="G54" s="689"/>
      <c r="H54" s="689"/>
    </row>
    <row r="55" spans="2:8" ht="41.4">
      <c r="B55" s="1223"/>
      <c r="C55" s="238" t="s">
        <v>1275</v>
      </c>
      <c r="D55" s="191" t="s">
        <v>64</v>
      </c>
      <c r="E55" s="194"/>
      <c r="F55" s="693"/>
      <c r="G55" s="689"/>
      <c r="H55" s="689"/>
    </row>
    <row r="56" spans="2:8" ht="27.6">
      <c r="B56" s="1223"/>
      <c r="C56" s="238" t="s">
        <v>1276</v>
      </c>
      <c r="D56" s="191" t="s">
        <v>64</v>
      </c>
      <c r="E56" s="194"/>
      <c r="F56" s="693"/>
      <c r="G56" s="689"/>
      <c r="H56" s="689"/>
    </row>
    <row r="57" spans="2:8" ht="27.6">
      <c r="B57" s="1223"/>
      <c r="C57" s="238" t="s">
        <v>1277</v>
      </c>
      <c r="D57" s="191" t="s">
        <v>1292</v>
      </c>
      <c r="E57" s="194" t="s">
        <v>1852</v>
      </c>
      <c r="F57" s="693"/>
      <c r="G57" s="689"/>
      <c r="H57" s="689"/>
    </row>
    <row r="58" spans="2:8" ht="27.6">
      <c r="B58" s="1223"/>
      <c r="C58" s="238" t="s">
        <v>1278</v>
      </c>
      <c r="D58" s="191" t="s">
        <v>1292</v>
      </c>
      <c r="E58" s="194" t="s">
        <v>1852</v>
      </c>
      <c r="F58" s="693"/>
      <c r="G58" s="689"/>
      <c r="H58" s="689"/>
    </row>
    <row r="59" spans="2:8" ht="27.6">
      <c r="B59" s="1223"/>
      <c r="C59" s="238" t="s">
        <v>1279</v>
      </c>
      <c r="D59" s="191" t="s">
        <v>64</v>
      </c>
      <c r="E59" s="194"/>
      <c r="F59" s="693"/>
      <c r="G59" s="689"/>
      <c r="H59" s="689"/>
    </row>
    <row r="60" spans="2:8" ht="69">
      <c r="B60" s="1223"/>
      <c r="C60" s="238" t="s">
        <v>1280</v>
      </c>
      <c r="D60" s="191" t="s">
        <v>1293</v>
      </c>
      <c r="E60" s="194"/>
      <c r="F60" s="693"/>
      <c r="G60" s="689"/>
      <c r="H60" s="689"/>
    </row>
    <row r="61" spans="2:8" ht="41.4">
      <c r="B61" s="1223"/>
      <c r="C61" s="238" t="s">
        <v>1281</v>
      </c>
      <c r="D61" s="191" t="s">
        <v>1293</v>
      </c>
      <c r="E61" s="194"/>
      <c r="F61" s="693"/>
      <c r="G61" s="689"/>
      <c r="H61" s="689"/>
    </row>
    <row r="62" spans="2:8" ht="24.6" customHeight="1">
      <c r="B62" s="1224"/>
      <c r="C62" s="238" t="s">
        <v>1282</v>
      </c>
      <c r="D62" s="191" t="s">
        <v>1293</v>
      </c>
      <c r="E62" s="194"/>
      <c r="F62" s="693"/>
      <c r="G62" s="689"/>
      <c r="H62" s="689"/>
    </row>
    <row r="63" spans="2:8">
      <c r="B63" s="1221" t="s">
        <v>112</v>
      </c>
      <c r="C63" s="184" t="s">
        <v>917</v>
      </c>
      <c r="D63" s="183" t="s">
        <v>918</v>
      </c>
      <c r="E63" s="574" t="s">
        <v>1850</v>
      </c>
      <c r="F63" s="693"/>
      <c r="G63" s="689"/>
      <c r="H63" s="689"/>
    </row>
    <row r="64" spans="2:8">
      <c r="B64" s="1221"/>
      <c r="C64" s="184" t="s">
        <v>919</v>
      </c>
      <c r="D64" s="183" t="s">
        <v>920</v>
      </c>
      <c r="E64" s="574" t="s">
        <v>1850</v>
      </c>
      <c r="F64" s="693"/>
      <c r="G64" s="689"/>
      <c r="H64" s="689"/>
    </row>
    <row r="65" spans="2:8">
      <c r="B65" s="1221"/>
      <c r="C65" s="184" t="s">
        <v>921</v>
      </c>
      <c r="D65" s="183" t="s">
        <v>922</v>
      </c>
      <c r="E65" s="574"/>
      <c r="F65" s="693"/>
      <c r="G65" s="689"/>
      <c r="H65" s="689"/>
    </row>
    <row r="66" spans="2:8" ht="26.4">
      <c r="B66" s="1221"/>
      <c r="C66" s="189" t="s">
        <v>923</v>
      </c>
      <c r="D66" s="183" t="s">
        <v>924</v>
      </c>
      <c r="E66" s="574" t="s">
        <v>1853</v>
      </c>
      <c r="F66" s="693"/>
      <c r="G66" s="689"/>
      <c r="H66" s="689"/>
    </row>
    <row r="67" spans="2:8">
      <c r="B67" s="1221"/>
      <c r="C67" s="581" t="s">
        <v>981</v>
      </c>
      <c r="D67" s="28" t="s">
        <v>982</v>
      </c>
      <c r="E67" s="582"/>
      <c r="F67" s="693"/>
      <c r="G67" s="689"/>
      <c r="H67" s="689"/>
    </row>
    <row r="68" spans="2:8">
      <c r="B68" s="1221"/>
      <c r="C68" s="21" t="s">
        <v>1854</v>
      </c>
      <c r="D68" s="28" t="s">
        <v>983</v>
      </c>
      <c r="E68" s="261" t="s">
        <v>1872</v>
      </c>
      <c r="F68" s="693"/>
      <c r="G68" s="689"/>
      <c r="H68" s="689"/>
    </row>
    <row r="69" spans="2:8">
      <c r="B69" s="1221"/>
      <c r="C69" s="586" t="s">
        <v>1855</v>
      </c>
      <c r="D69" s="587" t="s">
        <v>983</v>
      </c>
      <c r="E69" s="261" t="s">
        <v>1856</v>
      </c>
      <c r="F69" s="695"/>
      <c r="G69" s="689"/>
      <c r="H69" s="689"/>
    </row>
    <row r="70" spans="2:8">
      <c r="B70" s="1221"/>
      <c r="C70" s="21" t="s">
        <v>1255</v>
      </c>
      <c r="D70" s="28" t="s">
        <v>983</v>
      </c>
      <c r="E70" s="261" t="s">
        <v>1857</v>
      </c>
      <c r="F70" s="695"/>
      <c r="G70" s="689"/>
      <c r="H70" s="689"/>
    </row>
    <row r="71" spans="2:8">
      <c r="B71" s="1221"/>
      <c r="C71" s="21" t="s">
        <v>1256</v>
      </c>
      <c r="D71" s="28" t="s">
        <v>983</v>
      </c>
      <c r="E71" s="261" t="s">
        <v>922</v>
      </c>
      <c r="F71" s="695"/>
      <c r="G71" s="689"/>
      <c r="H71" s="689"/>
    </row>
    <row r="72" spans="2:8">
      <c r="B72" s="1221"/>
      <c r="C72" s="193" t="s">
        <v>1321</v>
      </c>
      <c r="D72" s="28"/>
      <c r="E72" s="261" t="s">
        <v>64</v>
      </c>
      <c r="F72" s="695"/>
      <c r="G72" s="689"/>
      <c r="H72" s="689"/>
    </row>
    <row r="73" spans="2:8">
      <c r="B73" s="1221"/>
      <c r="C73" s="193" t="s">
        <v>1322</v>
      </c>
      <c r="D73" s="28"/>
      <c r="E73" s="261" t="s">
        <v>64</v>
      </c>
      <c r="F73" s="695"/>
      <c r="G73" s="689"/>
      <c r="H73" s="689"/>
    </row>
    <row r="74" spans="2:8">
      <c r="B74" s="1221"/>
      <c r="C74" s="586" t="s">
        <v>386</v>
      </c>
      <c r="D74" s="28"/>
      <c r="E74" s="587" t="s">
        <v>1871</v>
      </c>
      <c r="F74" s="695"/>
      <c r="G74" s="689"/>
      <c r="H74" s="689"/>
    </row>
    <row r="75" spans="2:8">
      <c r="B75" s="1221"/>
      <c r="C75" s="21" t="s">
        <v>1323</v>
      </c>
      <c r="D75" s="192"/>
      <c r="E75" s="583" t="s">
        <v>1858</v>
      </c>
      <c r="F75" s="695"/>
      <c r="G75" s="689"/>
      <c r="H75" s="689"/>
    </row>
    <row r="76" spans="2:8" s="740" customFormat="1">
      <c r="B76" s="1221"/>
      <c r="C76" s="739" t="s">
        <v>1870</v>
      </c>
      <c r="F76" s="741"/>
      <c r="G76" s="740" t="s">
        <v>2079</v>
      </c>
    </row>
    <row r="77" spans="2:8" s="740" customFormat="1">
      <c r="B77" s="1221"/>
      <c r="C77" s="739" t="s">
        <v>2080</v>
      </c>
      <c r="F77" s="741"/>
      <c r="G77" s="740" t="s">
        <v>2083</v>
      </c>
    </row>
    <row r="78" spans="2:8" s="740" customFormat="1">
      <c r="B78" s="1221"/>
      <c r="C78" s="739" t="s">
        <v>2081</v>
      </c>
      <c r="F78" s="741"/>
      <c r="G78" s="740" t="s">
        <v>2084</v>
      </c>
    </row>
    <row r="79" spans="2:8" s="740" customFormat="1">
      <c r="B79" s="1221"/>
      <c r="C79" s="739" t="s">
        <v>2082</v>
      </c>
      <c r="F79" s="741"/>
      <c r="G79" s="740" t="s">
        <v>2083</v>
      </c>
    </row>
  </sheetData>
  <mergeCells count="13">
    <mergeCell ref="E2:F2"/>
    <mergeCell ref="E3:E4"/>
    <mergeCell ref="G2:H2"/>
    <mergeCell ref="G3:G4"/>
    <mergeCell ref="H3:H4"/>
    <mergeCell ref="F3:F4"/>
    <mergeCell ref="C3:C4"/>
    <mergeCell ref="D3:D4"/>
    <mergeCell ref="B63:B79"/>
    <mergeCell ref="B5:B17"/>
    <mergeCell ref="B18:B37"/>
    <mergeCell ref="B38:B62"/>
    <mergeCell ref="B3:B4"/>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23</vt:i4>
      </vt:variant>
      <vt:variant>
        <vt:lpstr>Plages nommées</vt:lpstr>
      </vt:variant>
      <vt:variant>
        <vt:i4>7</vt:i4>
      </vt:variant>
    </vt:vector>
  </HeadingPairs>
  <TitlesOfParts>
    <vt:vector size="30" baseType="lpstr">
      <vt:lpstr>PONDERATION</vt:lpstr>
      <vt:lpstr>ACCUEIL</vt:lpstr>
      <vt:lpstr>EXECUTION PHYSIQUE</vt:lpstr>
      <vt:lpstr>MATRICE COORDINATION MENSUELLE</vt:lpstr>
      <vt:lpstr>PTBA 2023</vt:lpstr>
      <vt:lpstr>AGENDA ATELIER BILAN MiPa</vt:lpstr>
      <vt:lpstr>EXTRANTS PHASE 2</vt:lpstr>
      <vt:lpstr>AVANCEMENT TECHNIQUE</vt:lpstr>
      <vt:lpstr>PPM </vt:lpstr>
      <vt:lpstr>DETAILS DECAISSEMENTS</vt:lpstr>
      <vt:lpstr>CONTROLE AVEC T 3 ET T4</vt:lpstr>
      <vt:lpstr>EX CONVENTIONS</vt:lpstr>
      <vt:lpstr>EXECUTION DU PTBA 2024 TRIM 2</vt:lpstr>
      <vt:lpstr>Repartit budget PTBA par projet</vt:lpstr>
      <vt:lpstr>Execution budgetaire PTBA 2025</vt:lpstr>
      <vt:lpstr>DECAISSEMENT GLOBAUX 2025</vt:lpstr>
      <vt:lpstr>Execution technique  PTBA 2025</vt:lpstr>
      <vt:lpstr>Avancement Global PONDERE</vt:lpstr>
      <vt:lpstr>EXE TECH ANNUELLE PTBA 2025</vt:lpstr>
      <vt:lpstr>Analyse par Projet</vt:lpstr>
      <vt:lpstr>TEC. BUDGETAIRE. PPM </vt:lpstr>
      <vt:lpstr>PERFORMANCE GLOBALE 2025</vt:lpstr>
      <vt:lpstr>Marchés FSD</vt:lpstr>
      <vt:lpstr>'Execution budgetaire PTBA 2025'!_ftn1</vt:lpstr>
      <vt:lpstr>'Execution budgetaire PTBA 2025'!_ftnref1</vt:lpstr>
      <vt:lpstr>'Analyse par Projet'!_Hlk102504666</vt:lpstr>
      <vt:lpstr>'Repartit budget PTBA par projet'!_Hlk184255164</vt:lpstr>
      <vt:lpstr>'Repartit budget PTBA par projet'!_Hlk184257579</vt:lpstr>
      <vt:lpstr>'Repartit budget PTBA par projet'!_Hlk187311713</vt:lpstr>
      <vt:lpstr>'AVANCEMENT TECHNIQUE'!_Hlk68534722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M&amp;E</dc:creator>
  <cp:lastModifiedBy>PUDC MASSENE</cp:lastModifiedBy>
  <dcterms:created xsi:type="dcterms:W3CDTF">2023-03-28T10:27:24Z</dcterms:created>
  <dcterms:modified xsi:type="dcterms:W3CDTF">2025-06-02T21:01:53Z</dcterms:modified>
</cp:coreProperties>
</file>