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arca-pc\LSPI ERP Report Project\Project Documentations\"/>
    </mc:Choice>
  </mc:AlternateContent>
  <xr:revisionPtr revIDLastSave="0" documentId="13_ncr:1_{703E307D-BDA2-49F3-AB94-9D497F457B61}" xr6:coauthVersionLast="45" xr6:coauthVersionMax="45" xr10:uidLastSave="{00000000-0000-0000-0000-000000000000}"/>
  <bookViews>
    <workbookView xWindow="-108" yWindow="-108" windowWidth="23256" windowHeight="12576" activeTab="1" xr2:uid="{14D6C47A-3D5F-4110-AEDE-D7FA7A5FA9FA}"/>
  </bookViews>
  <sheets>
    <sheet name="Sheet1" sheetId="1" r:id="rId1"/>
    <sheet name="FG-DK-100D" sheetId="2" r:id="rId2"/>
    <sheet name="Sheet2" sheetId="3" r:id="rId3"/>
  </sheets>
  <definedNames>
    <definedName name="_xlnm._FilterDatabase" localSheetId="1" hidden="1">'FG-DK-100D'!$A$3:$O$72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1" i="2" l="1"/>
  <c r="I46" i="2"/>
  <c r="I36" i="2" s="1"/>
  <c r="I32" i="2" s="1"/>
  <c r="H51" i="2"/>
  <c r="H50" i="2"/>
  <c r="H49" i="2"/>
  <c r="H48" i="2"/>
  <c r="H47" i="2"/>
  <c r="K48" i="3" l="1"/>
  <c r="J48" i="3"/>
  <c r="L48" i="3"/>
  <c r="L50" i="3"/>
  <c r="I48" i="3"/>
  <c r="I51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P6" i="2" l="1"/>
  <c r="N37" i="2"/>
  <c r="O37" i="2" s="1"/>
  <c r="N46" i="2"/>
  <c r="N36" i="2" s="1"/>
  <c r="N33" i="2"/>
  <c r="O33" i="2" s="1"/>
  <c r="N53" i="2"/>
  <c r="O53" i="2" s="1"/>
  <c r="N56" i="2"/>
  <c r="N59" i="2"/>
  <c r="N61" i="2"/>
  <c r="O61" i="2" s="1"/>
  <c r="N65" i="2"/>
  <c r="O65" i="2" s="1"/>
  <c r="N67" i="2"/>
  <c r="O67" i="2" s="1"/>
  <c r="I38" i="2"/>
  <c r="M75" i="2"/>
  <c r="M76" i="2" s="1"/>
  <c r="L14" i="2"/>
  <c r="L11" i="2"/>
  <c r="L8" i="2"/>
  <c r="J70" i="2"/>
  <c r="K70" i="2"/>
  <c r="L70" i="2"/>
  <c r="H71" i="2"/>
  <c r="H67" i="2"/>
  <c r="H65" i="2"/>
  <c r="H63" i="2"/>
  <c r="H58" i="2"/>
  <c r="H52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2" i="2"/>
  <c r="H9" i="2"/>
  <c r="H6" i="2"/>
  <c r="K5" i="2"/>
  <c r="J5" i="2"/>
  <c r="K14" i="2"/>
  <c r="K11" i="2"/>
  <c r="J14" i="2"/>
  <c r="J11" i="2"/>
  <c r="K8" i="2"/>
  <c r="J8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2" i="2"/>
  <c r="I9" i="2"/>
  <c r="I6" i="2"/>
  <c r="I65" i="2"/>
  <c r="I63" i="2"/>
  <c r="I66" i="2"/>
  <c r="I60" i="2"/>
  <c r="I61" i="2"/>
  <c r="I56" i="2"/>
  <c r="I55" i="2"/>
  <c r="I54" i="2"/>
  <c r="I35" i="2"/>
  <c r="I34" i="2"/>
  <c r="I45" i="2"/>
  <c r="I44" i="2"/>
  <c r="I43" i="2"/>
  <c r="I42" i="2"/>
  <c r="I41" i="2"/>
  <c r="I40" i="2"/>
  <c r="I39" i="2"/>
  <c r="I51" i="2"/>
  <c r="I50" i="2"/>
  <c r="I49" i="2"/>
  <c r="I48" i="2"/>
  <c r="I47" i="2"/>
  <c r="N58" i="2" l="1"/>
  <c r="N52" i="2"/>
  <c r="O59" i="2"/>
  <c r="O58" i="2" s="1"/>
  <c r="O56" i="2"/>
  <c r="O52" i="2" s="1"/>
  <c r="O46" i="2"/>
  <c r="O36" i="2" s="1"/>
  <c r="O32" i="2" s="1"/>
  <c r="Q6" i="2"/>
  <c r="I58" i="2"/>
  <c r="N32" i="2"/>
  <c r="N6" i="2" s="1"/>
  <c r="L6" i="2"/>
  <c r="I52" i="2"/>
  <c r="L9" i="2"/>
  <c r="L68" i="2"/>
  <c r="L67" i="2" s="1"/>
  <c r="L12" i="2"/>
  <c r="Q5" i="2" l="1"/>
  <c r="O5" i="2"/>
  <c r="O6" i="2"/>
  <c r="L5" i="2"/>
  <c r="M5" i="2" s="1"/>
  <c r="H5" i="2" s="1"/>
  <c r="I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I32" authorId="0" shapeId="0" xr:uid="{2FDF2BE3-681F-416B-AFD2-F4268C6ACA7A}">
      <text>
        <r>
          <rPr>
            <b/>
            <sz val="9"/>
            <color indexed="81"/>
            <rFont val="Tahoma"/>
            <family val="2"/>
          </rPr>
          <t>Dan:</t>
        </r>
        <r>
          <rPr>
            <sz val="9"/>
            <color indexed="81"/>
            <rFont val="Tahoma"/>
            <family val="2"/>
          </rPr>
          <t xml:space="preserve">
Should be the std. material cost based on the total Std. Matl Cost if current material</t>
        </r>
      </text>
    </comment>
    <comment ref="G36" authorId="0" shapeId="0" xr:uid="{857C4546-69C6-47D1-8CA4-CD67677F5DC2}">
      <text>
        <r>
          <rPr>
            <b/>
            <sz val="9"/>
            <color indexed="81"/>
            <rFont val="Tahoma"/>
            <family val="2"/>
          </rPr>
          <t>Dan:</t>
        </r>
        <r>
          <rPr>
            <sz val="9"/>
            <color indexed="81"/>
            <rFont val="Tahoma"/>
            <family val="2"/>
          </rPr>
          <t xml:space="preserve">
Original computation
From Item Pricing / 1.2 * ExchRate
( 2.5 / 1.2 * 50.74)</t>
        </r>
      </text>
    </comment>
    <comment ref="I36" authorId="0" shapeId="0" xr:uid="{771D0483-D115-4170-81D0-D0BAA7771E65}">
      <text>
        <r>
          <rPr>
            <b/>
            <sz val="9"/>
            <color indexed="81"/>
            <rFont val="Tahoma"/>
            <family val="2"/>
          </rPr>
          <t>Dan:</t>
        </r>
        <r>
          <rPr>
            <sz val="9"/>
            <color indexed="81"/>
            <rFont val="Tahoma"/>
            <family val="2"/>
          </rPr>
          <t xml:space="preserve">
Should be the std. material cost based on the total Std. Matl Cost if current material</t>
        </r>
      </text>
    </comment>
  </commentList>
</comments>
</file>

<file path=xl/sharedStrings.xml><?xml version="1.0" encoding="utf-8"?>
<sst xmlns="http://schemas.openxmlformats.org/spreadsheetml/2006/main" count="426" uniqueCount="187">
  <si>
    <t>Item</t>
  </si>
  <si>
    <t>ItemDesc</t>
  </si>
  <si>
    <t>ItemJob</t>
  </si>
  <si>
    <t>ItemSuffix</t>
  </si>
  <si>
    <t>Matl</t>
  </si>
  <si>
    <t>MatlQty</t>
  </si>
  <si>
    <t>MatlCost</t>
  </si>
  <si>
    <t>MatlPiProcess</t>
  </si>
  <si>
    <t>MatlPiResin</t>
  </si>
  <si>
    <t>FG-SR4-017</t>
  </si>
  <si>
    <t>SR-4-017</t>
  </si>
  <si>
    <t>PI-FG-SR4M02</t>
  </si>
  <si>
    <t>PI-FG-SR4M04</t>
  </si>
  <si>
    <t>PI-FG-SR4M09</t>
  </si>
  <si>
    <t>RM-MC4F4P53</t>
  </si>
  <si>
    <t>RM-S04Z844</t>
  </si>
  <si>
    <t>RM-SB-M229</t>
  </si>
  <si>
    <t>RM-SC29-15</t>
  </si>
  <si>
    <t>RM-SC29-30</t>
  </si>
  <si>
    <t>RM-SR4007</t>
  </si>
  <si>
    <t>RM-SR4012</t>
  </si>
  <si>
    <t>RM-SR4T06</t>
  </si>
  <si>
    <t>RM-SR4T08</t>
  </si>
  <si>
    <t>RM-SR4T10</t>
  </si>
  <si>
    <t>RM-SR4T11</t>
  </si>
  <si>
    <t>SF-SB-0113</t>
  </si>
  <si>
    <t>SF-SB-0385</t>
  </si>
  <si>
    <t>SF-SR4001W001</t>
  </si>
  <si>
    <t>SF-SR4M03</t>
  </si>
  <si>
    <t>SF-SR4M36</t>
  </si>
  <si>
    <t>SF-SR4M93</t>
  </si>
  <si>
    <t>SF-SR4Z109</t>
  </si>
  <si>
    <t>RM-, SC-</t>
  </si>
  <si>
    <t>PI-FG</t>
  </si>
  <si>
    <t>PI-FG-</t>
  </si>
  <si>
    <t>PI-HIDDEN-PROFIT</t>
  </si>
  <si>
    <t xml:space="preserve">SF ADDED </t>
  </si>
  <si>
    <t>LaborHrs * 60 * LaborRate</t>
  </si>
  <si>
    <t>Labor Cost * Overhead Rate</t>
  </si>
  <si>
    <t>Std Labor Cost</t>
  </si>
  <si>
    <t>Std. Overhead Cost</t>
  </si>
  <si>
    <t>RM-STYRO BOARD (.5)</t>
  </si>
  <si>
    <t>RM-FOAMSHEET</t>
  </si>
  <si>
    <t>SC-SR4001W001</t>
  </si>
  <si>
    <t>RM-SR3001</t>
  </si>
  <si>
    <t>PI-FG-SR4M03</t>
  </si>
  <si>
    <t>RM-ZZ-LC-95N</t>
  </si>
  <si>
    <t>RM-SR4T37</t>
  </si>
  <si>
    <t>SC-SR4M36</t>
  </si>
  <si>
    <t>PI-FG-SR4M93</t>
  </si>
  <si>
    <t>RM-ZZ-FA6201-1B</t>
  </si>
  <si>
    <t>RM-A4</t>
  </si>
  <si>
    <t>FG-DK-100D</t>
  </si>
  <si>
    <t>DK-100D</t>
  </si>
  <si>
    <t>PI-FG-MDK3002</t>
  </si>
  <si>
    <t>PI-FG-MDK3003</t>
  </si>
  <si>
    <t>PI-FG-MDK3011</t>
  </si>
  <si>
    <t>RM-4DK3001</t>
  </si>
  <si>
    <t>RM-BA-CR 1632</t>
  </si>
  <si>
    <t>RM-MDK3012</t>
  </si>
  <si>
    <t>RM-MDK3013</t>
  </si>
  <si>
    <t>RM-MDK3016</t>
  </si>
  <si>
    <t>RM-MDK3017</t>
  </si>
  <si>
    <t>RM-PDK3004</t>
  </si>
  <si>
    <t>RM-PDK3014</t>
  </si>
  <si>
    <t>RM-PDK3026</t>
  </si>
  <si>
    <t>RM-PDK3031</t>
  </si>
  <si>
    <t>RM-SB-0261</t>
  </si>
  <si>
    <t>RM-SB-0262</t>
  </si>
  <si>
    <t>RM-SC17-2F2006SZC3</t>
  </si>
  <si>
    <t>RM-SC17-B2006SBZC3</t>
  </si>
  <si>
    <t>RM-ZDK3022</t>
  </si>
  <si>
    <t>SF-3DK3001</t>
  </si>
  <si>
    <t>SF-3DK3003</t>
  </si>
  <si>
    <t>SF-3DK3004</t>
  </si>
  <si>
    <t>SF-PDK3005</t>
  </si>
  <si>
    <t>SF-SB-0316</t>
  </si>
  <si>
    <t>SF-ZDK3027</t>
  </si>
  <si>
    <t>SF-ZDK3034</t>
  </si>
  <si>
    <t>SF-3DK3002</t>
  </si>
  <si>
    <t>RM-ZDK3023</t>
  </si>
  <si>
    <t>RM-ZDK5024</t>
  </si>
  <si>
    <t>RM-7DK3002</t>
  </si>
  <si>
    <t>SF-ZDK3018</t>
  </si>
  <si>
    <t>RM-7DK3003</t>
  </si>
  <si>
    <t>SF-ZDK3019</t>
  </si>
  <si>
    <t>RM-PDK3005</t>
  </si>
  <si>
    <t>PI-FG-MDK3001</t>
  </si>
  <si>
    <t>RM-ZDK3029</t>
  </si>
  <si>
    <t>RM-CP74-104</t>
  </si>
  <si>
    <t>RM-CP74-120</t>
  </si>
  <si>
    <t>RM-DD-1SS184</t>
  </si>
  <si>
    <t>RM-RE41-104</t>
  </si>
  <si>
    <t>RM-RE41-155</t>
  </si>
  <si>
    <t>RM-RE41-684</t>
  </si>
  <si>
    <t>RM-TR-2SA1162Y</t>
  </si>
  <si>
    <t>RM-XL-C002RX-32.768</t>
  </si>
  <si>
    <t>SF-3DK3005</t>
  </si>
  <si>
    <t>RM-7DK3001</t>
  </si>
  <si>
    <t>RM-ALW29S-S</t>
  </si>
  <si>
    <t>RM-EO 1061-V24</t>
  </si>
  <si>
    <t>RM-EPOTEK H20E</t>
  </si>
  <si>
    <t>RM-IC-SH66P13AH-AH824</t>
  </si>
  <si>
    <t>RM-ZDK3018</t>
  </si>
  <si>
    <t>RM-ZDK3019</t>
  </si>
  <si>
    <t>=ItemPrice * 1.2</t>
  </si>
  <si>
    <t>ResinCost (from Vendor Contract Prices)</t>
  </si>
  <si>
    <t>ProcessingCost (from Vendor Contract Prices)</t>
  </si>
  <si>
    <t>=UnitPrice - ResinCost - ProcessingCost</t>
  </si>
  <si>
    <t>ExchRate</t>
  </si>
  <si>
    <t>TOTAL PI COST</t>
  </si>
  <si>
    <t>Current Std MatlCost</t>
  </si>
  <si>
    <r>
      <t xml:space="preserve">=&gt; </t>
    </r>
    <r>
      <rPr>
        <b/>
        <sz val="11"/>
        <color theme="1"/>
        <rFont val="Calibri"/>
        <family val="2"/>
        <scheme val="minor"/>
      </rPr>
      <t>PI Unit Pric</t>
    </r>
    <r>
      <rPr>
        <sz val="11"/>
        <color theme="1"/>
        <rFont val="Calibri"/>
        <family val="2"/>
        <scheme val="minor"/>
      </rPr>
      <t>e = from actual material transaction cost</t>
    </r>
  </si>
  <si>
    <t>Should be
Matl Cost</t>
  </si>
  <si>
    <t>Level 2 parts
Material of SF-3DK3001</t>
  </si>
  <si>
    <t>Level 3 parts
Material of SF-3DK3002</t>
  </si>
  <si>
    <t>Level 2 parts
Material of SF-3DK3003</t>
  </si>
  <si>
    <t>Level 3 part</t>
  </si>
  <si>
    <t>Level 2 parts
Material of 
SF-3DK3004</t>
  </si>
  <si>
    <t xml:space="preserve">FG ADDED </t>
  </si>
  <si>
    <t>current</t>
  </si>
  <si>
    <t>should be:</t>
  </si>
  <si>
    <t>LABOR COST</t>
  </si>
  <si>
    <t>CURRENT LABOR:</t>
  </si>
  <si>
    <t>SHOULD BE LABOR</t>
  </si>
  <si>
    <t>included the labor and overhead cost of SF-3DK3005</t>
  </si>
  <si>
    <t>included the labor cost of SF-ZDK3018</t>
  </si>
  <si>
    <t>labor and overhead cost of SF-3DK3003</t>
  </si>
  <si>
    <t>labor and overhead cost of SF-3DK3004</t>
  </si>
  <si>
    <t>included the labor cost of SF-ZDK3019</t>
  </si>
  <si>
    <t>included the should be labor of SF-3DK3002</t>
  </si>
  <si>
    <t>labor and overhead cost of SF-3DK3001</t>
  </si>
  <si>
    <t>labor and overhead cost of SF-ZDK3018</t>
  </si>
  <si>
    <t>labor and overhead cost of SF-3DK3002</t>
  </si>
  <si>
    <t>labor and overhead cost of SF-3DK3005</t>
  </si>
  <si>
    <t>FG-MWC3:10-5(1)</t>
  </si>
  <si>
    <t>MWC3:10-5(1)</t>
  </si>
  <si>
    <t>PI-FG-MRM005</t>
  </si>
  <si>
    <t>PI-FG-MRM007</t>
  </si>
  <si>
    <t>PI-FG-MRM008</t>
  </si>
  <si>
    <t>PI-FG-MRM011</t>
  </si>
  <si>
    <t>PI-FG-MRM013</t>
  </si>
  <si>
    <t>PI-FG-MRM017</t>
  </si>
  <si>
    <t>PI-FG-MRM025</t>
  </si>
  <si>
    <t>PI-FG-MRM027</t>
  </si>
  <si>
    <t>PI-FG-MRM028</t>
  </si>
  <si>
    <t>RM-MRM037</t>
  </si>
  <si>
    <t>RM-PRM010</t>
  </si>
  <si>
    <t>RM-PRM012</t>
  </si>
  <si>
    <t>RM-PRM015</t>
  </si>
  <si>
    <t>RM-PRM029</t>
  </si>
  <si>
    <t>RM-PRM030</t>
  </si>
  <si>
    <t>RM-PRM048</t>
  </si>
  <si>
    <t>RM-S040331</t>
  </si>
  <si>
    <t>RM-SB-S009</t>
  </si>
  <si>
    <t>RM-SC11-P3012SBZC3</t>
  </si>
  <si>
    <t>RM-SC11-P3015SZC3</t>
  </si>
  <si>
    <t>RM-SC17-2F2008</t>
  </si>
  <si>
    <t>RM-SC17-2F2606</t>
  </si>
  <si>
    <t>RM-SC17-2P2612</t>
  </si>
  <si>
    <t>RM-SC21-55BN</t>
  </si>
  <si>
    <t>RM-SC26-330</t>
  </si>
  <si>
    <t>RM-SC29-40SZC3</t>
  </si>
  <si>
    <t>RM-SRM003</t>
  </si>
  <si>
    <t>RM-TRM006</t>
  </si>
  <si>
    <t>RM-TRM009</t>
  </si>
  <si>
    <t>RM-TRM014</t>
  </si>
  <si>
    <t>RM-TRM036</t>
  </si>
  <si>
    <t>RM-TRM082</t>
  </si>
  <si>
    <t>RM-ZRM103</t>
  </si>
  <si>
    <t>RM-ZRY002</t>
  </si>
  <si>
    <t>RM-ZZ-608ZZ-M3SMLY121</t>
  </si>
  <si>
    <t>SF-MRM002</t>
  </si>
  <si>
    <t>SF-MRM004</t>
  </si>
  <si>
    <t>SF-MRM046</t>
  </si>
  <si>
    <t>SF-MRM096</t>
  </si>
  <si>
    <t>PI-Process Cost</t>
  </si>
  <si>
    <t>PI Resin Cost</t>
  </si>
  <si>
    <t>=item price / 1.2 * ExchRate</t>
  </si>
  <si>
    <t>MatlCost * Qty</t>
  </si>
  <si>
    <t>RM-TRM001</t>
  </si>
  <si>
    <t>SC-MRM002</t>
  </si>
  <si>
    <t>PI Vendor Cost</t>
  </si>
  <si>
    <t>PI Hidden Cost</t>
  </si>
  <si>
    <t>PI-FG-MRM004</t>
  </si>
  <si>
    <t>ExchRate = 50.74</t>
  </si>
  <si>
    <t>Level 4 parts
Material of SF-3DK3005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</si>
</sst>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"/>
    <numFmt numFmtId="165" formatCode="0.0000000"/>
    <numFmt numFmtId="166" formatCode="0.000000000"/>
    <numFmt numFmtId="167" formatCode="0.0000000000"/>
    <numFmt numFmtId="168" formatCode="0.000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/>
    <xf numFmtId="0" fontId="0" fillId="2" borderId="0" xfId="0" applyFill="1"/>
    <xf numFmtId="0" fontId="3" fillId="2" borderId="0" xfId="0" applyFont="1" applyFill="1" applyAlignment="1">
      <alignment horizontal="left" indent="2"/>
    </xf>
    <xf numFmtId="0" fontId="1" fillId="0" borderId="0" xfId="0" applyFont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1" fillId="3" borderId="0" xfId="0" applyFont="1" applyFill="1"/>
    <xf numFmtId="0" fontId="2" fillId="5" borderId="0" xfId="0" quotePrefix="1" applyFont="1" applyFill="1"/>
    <xf numFmtId="0" fontId="2" fillId="2" borderId="0" xfId="0" applyFont="1" applyFill="1"/>
    <xf numFmtId="0" fontId="6" fillId="5" borderId="0" xfId="0" applyFont="1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/>
    <xf numFmtId="0" fontId="1" fillId="5" borderId="0" xfId="0" applyFont="1" applyFill="1"/>
    <xf numFmtId="0" fontId="7" fillId="5" borderId="0" xfId="0" applyFont="1" applyFill="1"/>
    <xf numFmtId="0" fontId="0" fillId="0" borderId="0" xfId="0" applyAlignment="1">
      <alignment wrapText="1"/>
    </xf>
    <xf numFmtId="0" fontId="0" fillId="5" borderId="0" xfId="0" quotePrefix="1" applyFill="1" applyAlignment="1">
      <alignment wrapText="1"/>
    </xf>
    <xf numFmtId="0" fontId="0" fillId="6" borderId="0" xfId="0" applyFill="1"/>
    <xf numFmtId="0" fontId="3" fillId="6" borderId="0" xfId="0" applyFont="1" applyFill="1" applyAlignment="1">
      <alignment horizontal="left" indent="2"/>
    </xf>
    <xf numFmtId="0" fontId="2" fillId="6" borderId="0" xfId="0" applyFont="1" applyFill="1"/>
    <xf numFmtId="0" fontId="5" fillId="5" borderId="0" xfId="0" applyFont="1" applyFill="1" applyAlignment="1">
      <alignment horizontal="center" vertical="center"/>
    </xf>
    <xf numFmtId="0" fontId="5" fillId="2" borderId="0" xfId="0" applyFont="1" applyFill="1"/>
    <xf numFmtId="0" fontId="3" fillId="2" borderId="2" xfId="0" applyFont="1" applyFill="1" applyBorder="1" applyAlignment="1">
      <alignment horizontal="left" indent="2"/>
    </xf>
    <xf numFmtId="0" fontId="0" fillId="2" borderId="2" xfId="0" applyFill="1" applyBorder="1"/>
    <xf numFmtId="0" fontId="0" fillId="2" borderId="3" xfId="0" applyFill="1" applyBorder="1"/>
    <xf numFmtId="0" fontId="3" fillId="2" borderId="0" xfId="0" applyFont="1" applyFill="1" applyBorder="1" applyAlignment="1">
      <alignment horizontal="left" indent="2"/>
    </xf>
    <xf numFmtId="0" fontId="0" fillId="2" borderId="0" xfId="0" applyFill="1" applyBorder="1"/>
    <xf numFmtId="0" fontId="0" fillId="2" borderId="5" xfId="0" applyFill="1" applyBorder="1"/>
    <xf numFmtId="0" fontId="4" fillId="2" borderId="7" xfId="0" applyFont="1" applyFill="1" applyBorder="1" applyAlignment="1">
      <alignment horizontal="left" indent="2"/>
    </xf>
    <xf numFmtId="0" fontId="0" fillId="2" borderId="7" xfId="0" applyFill="1" applyBorder="1"/>
    <xf numFmtId="0" fontId="5" fillId="2" borderId="7" xfId="0" applyFont="1" applyFill="1" applyBorder="1"/>
    <xf numFmtId="0" fontId="1" fillId="2" borderId="7" xfId="0" applyFont="1" applyFill="1" applyBorder="1"/>
    <xf numFmtId="0" fontId="2" fillId="2" borderId="8" xfId="0" applyFont="1" applyFill="1" applyBorder="1"/>
    <xf numFmtId="0" fontId="3" fillId="3" borderId="2" xfId="0" applyFont="1" applyFill="1" applyBorder="1" applyAlignment="1">
      <alignment horizontal="left" indent="4"/>
    </xf>
    <xf numFmtId="0" fontId="0" fillId="3" borderId="2" xfId="0" applyFill="1" applyBorder="1"/>
    <xf numFmtId="0" fontId="0" fillId="3" borderId="3" xfId="0" applyFill="1" applyBorder="1"/>
    <xf numFmtId="0" fontId="3" fillId="3" borderId="0" xfId="0" applyFont="1" applyFill="1" applyBorder="1" applyAlignment="1">
      <alignment horizontal="left" indent="4"/>
    </xf>
    <xf numFmtId="0" fontId="0" fillId="3" borderId="0" xfId="0" applyFill="1" applyBorder="1"/>
    <xf numFmtId="0" fontId="0" fillId="3" borderId="5" xfId="0" applyFill="1" applyBorder="1"/>
    <xf numFmtId="0" fontId="4" fillId="3" borderId="7" xfId="0" applyFont="1" applyFill="1" applyBorder="1" applyAlignment="1">
      <alignment horizontal="left" indent="4"/>
    </xf>
    <xf numFmtId="0" fontId="0" fillId="3" borderId="7" xfId="0" applyFill="1" applyBorder="1"/>
    <xf numFmtId="0" fontId="1" fillId="3" borderId="7" xfId="0" applyFont="1" applyFill="1" applyBorder="1"/>
    <xf numFmtId="0" fontId="2" fillId="3" borderId="8" xfId="0" applyFont="1" applyFill="1" applyBorder="1"/>
    <xf numFmtId="0" fontId="3" fillId="4" borderId="2" xfId="0" applyFont="1" applyFill="1" applyBorder="1" applyAlignment="1">
      <alignment horizontal="left" indent="6"/>
    </xf>
    <xf numFmtId="0" fontId="0" fillId="4" borderId="2" xfId="0" applyFill="1" applyBorder="1"/>
    <xf numFmtId="0" fontId="0" fillId="4" borderId="3" xfId="0" applyFill="1" applyBorder="1"/>
    <xf numFmtId="0" fontId="3" fillId="4" borderId="0" xfId="0" applyFont="1" applyFill="1" applyBorder="1" applyAlignment="1">
      <alignment horizontal="left" indent="6"/>
    </xf>
    <xf numFmtId="0" fontId="0" fillId="4" borderId="0" xfId="0" applyFill="1" applyBorder="1"/>
    <xf numFmtId="0" fontId="0" fillId="4" borderId="5" xfId="0" applyFill="1" applyBorder="1"/>
    <xf numFmtId="0" fontId="3" fillId="4" borderId="7" xfId="0" applyFont="1" applyFill="1" applyBorder="1" applyAlignment="1">
      <alignment horizontal="left" indent="6"/>
    </xf>
    <xf numFmtId="0" fontId="0" fillId="4" borderId="7" xfId="0" applyFill="1" applyBorder="1"/>
    <xf numFmtId="0" fontId="0" fillId="4" borderId="8" xfId="0" applyFill="1" applyBorder="1"/>
    <xf numFmtId="0" fontId="3" fillId="2" borderId="7" xfId="0" applyFont="1" applyFill="1" applyBorder="1" applyAlignment="1">
      <alignment horizontal="left" indent="2"/>
    </xf>
    <xf numFmtId="0" fontId="0" fillId="2" borderId="8" xfId="0" applyFill="1" applyBorder="1"/>
    <xf numFmtId="0" fontId="3" fillId="3" borderId="9" xfId="0" applyFont="1" applyFill="1" applyBorder="1"/>
    <xf numFmtId="0" fontId="3" fillId="3" borderId="10" xfId="0" applyFont="1" applyFill="1" applyBorder="1" applyAlignment="1">
      <alignment horizontal="left" indent="4"/>
    </xf>
    <xf numFmtId="0" fontId="0" fillId="3" borderId="10" xfId="0" applyFill="1" applyBorder="1"/>
    <xf numFmtId="0" fontId="0" fillId="3" borderId="11" xfId="0" applyFill="1" applyBorder="1"/>
    <xf numFmtId="0" fontId="10" fillId="3" borderId="9" xfId="0" applyFont="1" applyFill="1" applyBorder="1"/>
    <xf numFmtId="0" fontId="2" fillId="0" borderId="0" xfId="0" applyFont="1" applyAlignment="1">
      <alignment wrapText="1"/>
    </xf>
    <xf numFmtId="0" fontId="0" fillId="5" borderId="0" xfId="0" applyFill="1"/>
    <xf numFmtId="0" fontId="5" fillId="5" borderId="0" xfId="0" applyFont="1" applyFill="1"/>
    <xf numFmtId="166" fontId="6" fillId="5" borderId="0" xfId="0" applyNumberFormat="1" applyFont="1" applyFill="1"/>
    <xf numFmtId="167" fontId="0" fillId="2" borderId="0" xfId="0" applyNumberFormat="1" applyFill="1"/>
    <xf numFmtId="168" fontId="6" fillId="5" borderId="0" xfId="0" applyNumberFormat="1" applyFont="1" applyFill="1"/>
    <xf numFmtId="0" fontId="3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indent="2"/>
    </xf>
    <xf numFmtId="0" fontId="5" fillId="2" borderId="0" xfId="0" applyFont="1" applyFill="1" applyBorder="1"/>
    <xf numFmtId="0" fontId="1" fillId="2" borderId="0" xfId="0" applyFont="1" applyFill="1" applyBorder="1"/>
    <xf numFmtId="0" fontId="2" fillId="2" borderId="5" xfId="0" applyFont="1" applyFill="1" applyBorder="1"/>
    <xf numFmtId="0" fontId="6" fillId="2" borderId="0" xfId="0" applyFont="1" applyFill="1"/>
    <xf numFmtId="165" fontId="0" fillId="0" borderId="0" xfId="0" applyNumberFormat="1"/>
    <xf numFmtId="164" fontId="2" fillId="5" borderId="0" xfId="0" applyNumberFormat="1" applyFont="1" applyFill="1" applyAlignment="1"/>
    <xf numFmtId="0" fontId="2" fillId="5" borderId="0" xfId="0" applyFont="1" applyFill="1" applyAlignment="1"/>
    <xf numFmtId="166" fontId="5" fillId="5" borderId="0" xfId="0" applyNumberFormat="1" applyFont="1" applyFill="1" applyAlignment="1"/>
    <xf numFmtId="168" fontId="5" fillId="5" borderId="0" xfId="0" applyNumberFormat="1" applyFont="1" applyFill="1" applyAlignment="1"/>
    <xf numFmtId="0" fontId="6" fillId="3" borderId="0" xfId="0" applyFont="1" applyFill="1"/>
    <xf numFmtId="0" fontId="0" fillId="0" borderId="0" xfId="0" applyAlignment="1">
      <alignment vertical="center"/>
    </xf>
    <xf numFmtId="0" fontId="0" fillId="5" borderId="0" xfId="0" quotePrefix="1" applyFill="1" applyAlignment="1">
      <alignment horizontal="center" vertical="center" wrapText="1"/>
    </xf>
    <xf numFmtId="0" fontId="0" fillId="5" borderId="0" xfId="0" applyFill="1" applyAlignment="1">
      <alignment vertical="center"/>
    </xf>
    <xf numFmtId="0" fontId="3" fillId="3" borderId="0" xfId="0" applyFont="1" applyFill="1" applyAlignment="1">
      <alignment horizontal="left" indent="2"/>
    </xf>
    <xf numFmtId="0" fontId="2" fillId="3" borderId="0" xfId="0" applyFont="1" applyFill="1"/>
    <xf numFmtId="0" fontId="0" fillId="6" borderId="0" xfId="0" applyFill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0" fillId="0" borderId="0" xfId="0" applyFont="1"/>
    <xf numFmtId="0" fontId="10" fillId="6" borderId="0" xfId="0" applyFont="1" applyFill="1"/>
    <xf numFmtId="0" fontId="12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/>
    </xf>
    <xf numFmtId="0" fontId="0" fillId="3" borderId="1" xfId="0" applyFill="1" applyBorder="1"/>
    <xf numFmtId="0" fontId="3" fillId="3" borderId="2" xfId="0" applyFont="1" applyFill="1" applyBorder="1" applyAlignment="1">
      <alignment horizontal="left" indent="2"/>
    </xf>
    <xf numFmtId="0" fontId="0" fillId="3" borderId="6" xfId="0" applyFill="1" applyBorder="1"/>
    <xf numFmtId="0" fontId="3" fillId="3" borderId="7" xfId="0" applyFont="1" applyFill="1" applyBorder="1" applyAlignment="1">
      <alignment horizontal="left" indent="2"/>
    </xf>
    <xf numFmtId="0" fontId="0" fillId="3" borderId="8" xfId="0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wrapText="1"/>
    </xf>
    <xf numFmtId="0" fontId="11" fillId="2" borderId="6" xfId="0" applyFont="1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9</xdr:col>
      <xdr:colOff>26276</xdr:colOff>
      <xdr:row>5</xdr:row>
      <xdr:rowOff>45983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61C7C63-F970-4760-8FDA-421D67E13BE4}"/>
            </a:ext>
          </a:extLst>
        </xdr:cNvPr>
        <xdr:cNvSpPr/>
      </xdr:nvSpPr>
      <xdr:spPr>
        <a:xfrm>
          <a:off x="7120759" y="762000"/>
          <a:ext cx="1037896" cy="61748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15</xdr:col>
      <xdr:colOff>19707</xdr:colOff>
      <xdr:row>4</xdr:row>
      <xdr:rowOff>1</xdr:rowOff>
    </xdr:from>
    <xdr:to>
      <xdr:col>17</xdr:col>
      <xdr:colOff>13138</xdr:colOff>
      <xdr:row>5</xdr:row>
      <xdr:rowOff>13139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FD1AE12-2C51-4658-8393-596102D644F8}"/>
            </a:ext>
          </a:extLst>
        </xdr:cNvPr>
        <xdr:cNvSpPr/>
      </xdr:nvSpPr>
      <xdr:spPr>
        <a:xfrm>
          <a:off x="15575017" y="1143001"/>
          <a:ext cx="2364828" cy="20363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035D-4E7C-425A-80E4-14B54433D51B}">
  <dimension ref="A1:L37"/>
  <sheetViews>
    <sheetView zoomScale="130" zoomScaleNormal="130" workbookViewId="0">
      <selection activeCell="A25" sqref="A25:XFD26"/>
    </sheetView>
  </sheetViews>
  <sheetFormatPr defaultRowHeight="14.4" x14ac:dyDescent="0.3"/>
  <cols>
    <col min="1" max="1" width="11.109375" bestFit="1" customWidth="1"/>
    <col min="2" max="2" width="9.33203125" bestFit="1" customWidth="1"/>
    <col min="3" max="3" width="8.109375" bestFit="1" customWidth="1"/>
    <col min="4" max="4" width="10.33203125" bestFit="1" customWidth="1"/>
    <col min="5" max="5" width="20.6640625" bestFit="1" customWidth="1"/>
    <col min="6" max="6" width="8.109375" bestFit="1" customWidth="1"/>
    <col min="7" max="7" width="13.109375" bestFit="1" customWidth="1"/>
    <col min="8" max="8" width="13.5546875" bestFit="1" customWidth="1"/>
    <col min="9" max="9" width="11.5546875" bestFit="1" customWidth="1"/>
    <col min="10" max="10" width="17.5546875" bestFit="1" customWidth="1"/>
    <col min="11" max="11" width="24" bestFit="1" customWidth="1"/>
    <col min="12" max="12" width="25.6640625" bestFit="1" customWidth="1"/>
  </cols>
  <sheetData>
    <row r="1" spans="1:12" x14ac:dyDescent="0.3">
      <c r="L1" s="1"/>
    </row>
    <row r="2" spans="1:12" s="1" customFormat="1" x14ac:dyDescent="0.3">
      <c r="G2" s="1" t="s">
        <v>32</v>
      </c>
      <c r="H2" s="1" t="s">
        <v>34</v>
      </c>
      <c r="I2" s="1" t="s">
        <v>34</v>
      </c>
      <c r="J2" s="1" t="s">
        <v>33</v>
      </c>
      <c r="K2" s="1" t="s">
        <v>37</v>
      </c>
      <c r="L2" s="1" t="s">
        <v>38</v>
      </c>
    </row>
    <row r="3" spans="1:12" s="1" customFormat="1" x14ac:dyDescent="0.3">
      <c r="A3" s="95" t="s">
        <v>0</v>
      </c>
      <c r="B3" s="95" t="s">
        <v>1</v>
      </c>
      <c r="C3" s="95" t="s">
        <v>2</v>
      </c>
      <c r="D3" s="95" t="s">
        <v>3</v>
      </c>
      <c r="E3" s="95" t="s">
        <v>4</v>
      </c>
      <c r="F3" s="95" t="s">
        <v>5</v>
      </c>
      <c r="G3" s="95" t="s">
        <v>6</v>
      </c>
      <c r="H3" s="95" t="s">
        <v>7</v>
      </c>
      <c r="I3" s="95" t="s">
        <v>8</v>
      </c>
      <c r="J3" s="95" t="s">
        <v>35</v>
      </c>
      <c r="K3" s="96" t="s">
        <v>36</v>
      </c>
      <c r="L3" s="96"/>
    </row>
    <row r="4" spans="1:12" s="1" customFormat="1" x14ac:dyDescent="0.3">
      <c r="A4" s="95"/>
      <c r="B4" s="95"/>
      <c r="C4" s="95"/>
      <c r="D4" s="95"/>
      <c r="E4" s="95"/>
      <c r="F4" s="95"/>
      <c r="G4" s="95"/>
      <c r="H4" s="95"/>
      <c r="I4" s="95"/>
      <c r="J4" s="95"/>
      <c r="K4" s="1" t="s">
        <v>39</v>
      </c>
      <c r="L4" s="1" t="s">
        <v>40</v>
      </c>
    </row>
    <row r="5" spans="1:12" x14ac:dyDescent="0.3">
      <c r="A5" t="s">
        <v>9</v>
      </c>
      <c r="B5" t="s">
        <v>10</v>
      </c>
      <c r="C5">
        <v>275</v>
      </c>
      <c r="D5">
        <v>0</v>
      </c>
      <c r="E5" t="s">
        <v>11</v>
      </c>
      <c r="F5">
        <v>1</v>
      </c>
      <c r="G5">
        <v>0</v>
      </c>
      <c r="H5">
        <v>0.77453289999999997</v>
      </c>
      <c r="I5">
        <v>4.0472000000000001E-2</v>
      </c>
    </row>
    <row r="6" spans="1:12" x14ac:dyDescent="0.3">
      <c r="A6" t="s">
        <v>9</v>
      </c>
      <c r="B6" t="s">
        <v>10</v>
      </c>
      <c r="C6">
        <v>275</v>
      </c>
      <c r="D6">
        <v>0</v>
      </c>
      <c r="E6" t="s">
        <v>12</v>
      </c>
      <c r="F6">
        <v>3</v>
      </c>
      <c r="G6">
        <v>0</v>
      </c>
      <c r="H6">
        <v>0.23524349999999999</v>
      </c>
      <c r="I6">
        <v>4.1483800000000001E-2</v>
      </c>
    </row>
    <row r="7" spans="1:12" x14ac:dyDescent="0.3">
      <c r="A7" t="s">
        <v>9</v>
      </c>
      <c r="B7" t="s">
        <v>10</v>
      </c>
      <c r="C7">
        <v>275</v>
      </c>
      <c r="D7">
        <v>0</v>
      </c>
      <c r="E7" t="s">
        <v>13</v>
      </c>
      <c r="F7">
        <v>1</v>
      </c>
      <c r="G7">
        <v>0</v>
      </c>
      <c r="H7">
        <v>1.5217472000000001</v>
      </c>
      <c r="I7">
        <v>4.5379230000000002</v>
      </c>
    </row>
    <row r="8" spans="1:12" x14ac:dyDescent="0.3">
      <c r="A8" t="s">
        <v>9</v>
      </c>
      <c r="B8" t="s">
        <v>10</v>
      </c>
      <c r="C8">
        <v>275</v>
      </c>
      <c r="D8">
        <v>0</v>
      </c>
      <c r="E8" t="s">
        <v>14</v>
      </c>
      <c r="F8">
        <v>1</v>
      </c>
      <c r="G8">
        <v>2.1079166699999998</v>
      </c>
      <c r="H8">
        <v>0</v>
      </c>
      <c r="I8">
        <v>0</v>
      </c>
    </row>
    <row r="9" spans="1:12" x14ac:dyDescent="0.3">
      <c r="A9" t="s">
        <v>9</v>
      </c>
      <c r="B9" t="s">
        <v>10</v>
      </c>
      <c r="C9">
        <v>275</v>
      </c>
      <c r="D9">
        <v>0</v>
      </c>
      <c r="E9" t="s">
        <v>15</v>
      </c>
      <c r="F9">
        <v>1</v>
      </c>
      <c r="G9">
        <v>0.42158332999999998</v>
      </c>
      <c r="H9">
        <v>0</v>
      </c>
      <c r="I9">
        <v>0</v>
      </c>
    </row>
    <row r="10" spans="1:12" x14ac:dyDescent="0.3">
      <c r="A10" t="s">
        <v>9</v>
      </c>
      <c r="B10" t="s">
        <v>10</v>
      </c>
      <c r="C10">
        <v>275</v>
      </c>
      <c r="D10">
        <v>0</v>
      </c>
      <c r="E10" t="s">
        <v>15</v>
      </c>
      <c r="F10">
        <v>1</v>
      </c>
      <c r="G10">
        <v>0.42158332999999998</v>
      </c>
      <c r="H10">
        <v>0</v>
      </c>
      <c r="I10">
        <v>0</v>
      </c>
    </row>
    <row r="11" spans="1:12" x14ac:dyDescent="0.3">
      <c r="A11" t="s">
        <v>9</v>
      </c>
      <c r="B11" t="s">
        <v>10</v>
      </c>
      <c r="C11">
        <v>275</v>
      </c>
      <c r="D11">
        <v>0</v>
      </c>
      <c r="E11" t="s">
        <v>16</v>
      </c>
      <c r="F11">
        <v>0.02</v>
      </c>
      <c r="G11">
        <v>268.54858332999999</v>
      </c>
      <c r="H11">
        <v>0</v>
      </c>
      <c r="I11">
        <v>0</v>
      </c>
    </row>
    <row r="12" spans="1:12" x14ac:dyDescent="0.3">
      <c r="A12" t="s">
        <v>9</v>
      </c>
      <c r="B12" t="s">
        <v>10</v>
      </c>
      <c r="C12">
        <v>275</v>
      </c>
      <c r="D12">
        <v>0</v>
      </c>
      <c r="E12" t="s">
        <v>17</v>
      </c>
      <c r="F12">
        <v>4</v>
      </c>
      <c r="G12">
        <v>0.42158332999999998</v>
      </c>
      <c r="H12">
        <v>0</v>
      </c>
      <c r="I12">
        <v>0</v>
      </c>
    </row>
    <row r="13" spans="1:12" x14ac:dyDescent="0.3">
      <c r="A13" t="s">
        <v>9</v>
      </c>
      <c r="B13" t="s">
        <v>10</v>
      </c>
      <c r="C13">
        <v>275</v>
      </c>
      <c r="D13">
        <v>0</v>
      </c>
      <c r="E13" t="s">
        <v>18</v>
      </c>
      <c r="F13">
        <v>1</v>
      </c>
      <c r="G13">
        <v>1.26475</v>
      </c>
      <c r="H13">
        <v>0</v>
      </c>
      <c r="I13">
        <v>0</v>
      </c>
    </row>
    <row r="14" spans="1:12" x14ac:dyDescent="0.3">
      <c r="A14" t="s">
        <v>9</v>
      </c>
      <c r="B14" t="s">
        <v>10</v>
      </c>
      <c r="C14">
        <v>275</v>
      </c>
      <c r="D14">
        <v>0</v>
      </c>
      <c r="E14" t="s">
        <v>19</v>
      </c>
      <c r="F14">
        <v>1</v>
      </c>
      <c r="G14">
        <v>2.1079166699999998</v>
      </c>
      <c r="H14">
        <v>0</v>
      </c>
      <c r="I14">
        <v>0</v>
      </c>
    </row>
    <row r="15" spans="1:12" x14ac:dyDescent="0.3">
      <c r="A15" t="s">
        <v>9</v>
      </c>
      <c r="B15" t="s">
        <v>10</v>
      </c>
      <c r="C15">
        <v>275</v>
      </c>
      <c r="D15">
        <v>0</v>
      </c>
      <c r="E15" t="s">
        <v>20</v>
      </c>
      <c r="F15">
        <v>1</v>
      </c>
      <c r="G15">
        <v>2.9510833299999999</v>
      </c>
      <c r="H15">
        <v>0</v>
      </c>
      <c r="I15">
        <v>0</v>
      </c>
    </row>
    <row r="16" spans="1:12" x14ac:dyDescent="0.3">
      <c r="A16" t="s">
        <v>9</v>
      </c>
      <c r="B16" t="s">
        <v>10</v>
      </c>
      <c r="C16">
        <v>275</v>
      </c>
      <c r="D16">
        <v>0</v>
      </c>
      <c r="E16" t="s">
        <v>21</v>
      </c>
      <c r="F16">
        <v>1</v>
      </c>
      <c r="G16">
        <v>5.48058333</v>
      </c>
      <c r="H16">
        <v>0</v>
      </c>
      <c r="I16">
        <v>0</v>
      </c>
    </row>
    <row r="17" spans="1:9" x14ac:dyDescent="0.3">
      <c r="A17" t="s">
        <v>9</v>
      </c>
      <c r="B17" t="s">
        <v>10</v>
      </c>
      <c r="C17">
        <v>275</v>
      </c>
      <c r="D17">
        <v>0</v>
      </c>
      <c r="E17" t="s">
        <v>22</v>
      </c>
      <c r="F17">
        <v>1</v>
      </c>
      <c r="G17">
        <v>5.9021666699999997</v>
      </c>
      <c r="H17">
        <v>0</v>
      </c>
      <c r="I17">
        <v>0</v>
      </c>
    </row>
    <row r="18" spans="1:9" x14ac:dyDescent="0.3">
      <c r="A18" t="s">
        <v>9</v>
      </c>
      <c r="B18" t="s">
        <v>10</v>
      </c>
      <c r="C18">
        <v>275</v>
      </c>
      <c r="D18">
        <v>0</v>
      </c>
      <c r="E18" t="s">
        <v>23</v>
      </c>
      <c r="F18">
        <v>1</v>
      </c>
      <c r="G18">
        <v>5.9021666699999997</v>
      </c>
      <c r="H18">
        <v>0</v>
      </c>
      <c r="I18">
        <v>0</v>
      </c>
    </row>
    <row r="19" spans="1:9" x14ac:dyDescent="0.3">
      <c r="A19" t="s">
        <v>9</v>
      </c>
      <c r="B19" t="s">
        <v>10</v>
      </c>
      <c r="C19">
        <v>275</v>
      </c>
      <c r="D19">
        <v>0</v>
      </c>
      <c r="E19" t="s">
        <v>24</v>
      </c>
      <c r="F19">
        <v>1</v>
      </c>
      <c r="G19">
        <v>2.9510833299999999</v>
      </c>
      <c r="H19">
        <v>0</v>
      </c>
      <c r="I19">
        <v>0</v>
      </c>
    </row>
    <row r="20" spans="1:9" x14ac:dyDescent="0.3">
      <c r="A20" t="s">
        <v>9</v>
      </c>
      <c r="B20" t="s">
        <v>10</v>
      </c>
      <c r="C20">
        <v>275</v>
      </c>
      <c r="D20">
        <v>0</v>
      </c>
      <c r="E20" t="s">
        <v>25</v>
      </c>
      <c r="F20">
        <v>1</v>
      </c>
      <c r="G20" s="4">
        <v>8.0488690000000002E-2</v>
      </c>
      <c r="H20">
        <v>0</v>
      </c>
      <c r="I20">
        <v>0</v>
      </c>
    </row>
    <row r="21" spans="1:9" s="2" customFormat="1" x14ac:dyDescent="0.3">
      <c r="E21" s="3" t="s">
        <v>41</v>
      </c>
    </row>
    <row r="22" spans="1:9" x14ac:dyDescent="0.3">
      <c r="A22" t="s">
        <v>9</v>
      </c>
      <c r="B22" t="s">
        <v>10</v>
      </c>
      <c r="C22">
        <v>275</v>
      </c>
      <c r="D22">
        <v>0</v>
      </c>
      <c r="E22" t="s">
        <v>26</v>
      </c>
      <c r="F22">
        <v>0.02</v>
      </c>
      <c r="G22" s="4">
        <v>2.8077450000000002</v>
      </c>
      <c r="H22">
        <v>0</v>
      </c>
      <c r="I22">
        <v>0</v>
      </c>
    </row>
    <row r="23" spans="1:9" s="2" customFormat="1" x14ac:dyDescent="0.3">
      <c r="E23" s="3" t="s">
        <v>42</v>
      </c>
    </row>
    <row r="24" spans="1:9" x14ac:dyDescent="0.3">
      <c r="A24" t="s">
        <v>9</v>
      </c>
      <c r="B24" t="s">
        <v>10</v>
      </c>
      <c r="C24">
        <v>275</v>
      </c>
      <c r="D24">
        <v>0</v>
      </c>
      <c r="E24" t="s">
        <v>27</v>
      </c>
      <c r="F24">
        <v>1</v>
      </c>
      <c r="G24" s="4">
        <v>90.218833329999995</v>
      </c>
      <c r="H24">
        <v>0</v>
      </c>
      <c r="I24">
        <v>0</v>
      </c>
    </row>
    <row r="25" spans="1:9" s="2" customFormat="1" x14ac:dyDescent="0.3">
      <c r="E25" s="3" t="s">
        <v>43</v>
      </c>
    </row>
    <row r="26" spans="1:9" s="2" customFormat="1" x14ac:dyDescent="0.3">
      <c r="E26" s="3" t="s">
        <v>44</v>
      </c>
    </row>
    <row r="27" spans="1:9" x14ac:dyDescent="0.3">
      <c r="A27" t="s">
        <v>9</v>
      </c>
      <c r="B27" t="s">
        <v>10</v>
      </c>
      <c r="C27">
        <v>275</v>
      </c>
      <c r="D27">
        <v>0</v>
      </c>
      <c r="E27" t="s">
        <v>28</v>
      </c>
      <c r="F27">
        <v>1</v>
      </c>
      <c r="G27" s="4">
        <v>1.377313E-2</v>
      </c>
      <c r="H27" s="4">
        <v>0.52967730000000002</v>
      </c>
      <c r="I27" s="4">
        <v>0.1816181</v>
      </c>
    </row>
    <row r="28" spans="1:9" s="2" customFormat="1" x14ac:dyDescent="0.3">
      <c r="E28" s="3" t="s">
        <v>45</v>
      </c>
    </row>
    <row r="29" spans="1:9" s="2" customFormat="1" x14ac:dyDescent="0.3">
      <c r="E29" s="3" t="s">
        <v>46</v>
      </c>
    </row>
    <row r="30" spans="1:9" x14ac:dyDescent="0.3">
      <c r="A30" t="s">
        <v>9</v>
      </c>
      <c r="B30" t="s">
        <v>10</v>
      </c>
      <c r="C30">
        <v>275</v>
      </c>
      <c r="D30">
        <v>0</v>
      </c>
      <c r="E30" t="s">
        <v>29</v>
      </c>
      <c r="F30">
        <v>1</v>
      </c>
      <c r="G30" s="4">
        <v>23.608666670000002</v>
      </c>
      <c r="H30">
        <v>0</v>
      </c>
      <c r="I30">
        <v>0</v>
      </c>
    </row>
    <row r="31" spans="1:9" s="2" customFormat="1" x14ac:dyDescent="0.3">
      <c r="E31" s="3" t="s">
        <v>47</v>
      </c>
    </row>
    <row r="32" spans="1:9" s="2" customFormat="1" x14ac:dyDescent="0.3">
      <c r="E32" s="3" t="s">
        <v>48</v>
      </c>
    </row>
    <row r="33" spans="1:9" x14ac:dyDescent="0.3">
      <c r="A33" t="s">
        <v>9</v>
      </c>
      <c r="B33" t="s">
        <v>10</v>
      </c>
      <c r="C33">
        <v>275</v>
      </c>
      <c r="D33">
        <v>0</v>
      </c>
      <c r="E33" t="s">
        <v>30</v>
      </c>
      <c r="F33">
        <v>3</v>
      </c>
      <c r="G33" s="4">
        <v>0.19991903</v>
      </c>
      <c r="H33" s="4">
        <v>0.26660929999999999</v>
      </c>
      <c r="I33" s="4">
        <v>0.2038777</v>
      </c>
    </row>
    <row r="34" spans="1:9" s="2" customFormat="1" x14ac:dyDescent="0.3">
      <c r="E34" s="3" t="s">
        <v>49</v>
      </c>
    </row>
    <row r="35" spans="1:9" s="2" customFormat="1" x14ac:dyDescent="0.3">
      <c r="E35" s="3" t="s">
        <v>50</v>
      </c>
    </row>
    <row r="36" spans="1:9" x14ac:dyDescent="0.3">
      <c r="A36" t="s">
        <v>9</v>
      </c>
      <c r="B36" t="s">
        <v>10</v>
      </c>
      <c r="C36">
        <v>275</v>
      </c>
      <c r="D36">
        <v>0</v>
      </c>
      <c r="E36" t="s">
        <v>31</v>
      </c>
      <c r="F36">
        <v>0.02</v>
      </c>
      <c r="G36" s="4">
        <v>0.42158332999999998</v>
      </c>
      <c r="H36">
        <v>0</v>
      </c>
      <c r="I36">
        <v>0</v>
      </c>
    </row>
    <row r="37" spans="1:9" s="2" customFormat="1" x14ac:dyDescent="0.3">
      <c r="E37" s="3" t="s">
        <v>51</v>
      </c>
    </row>
  </sheetData>
  <mergeCells count="11">
    <mergeCell ref="A3:A4"/>
    <mergeCell ref="B3:B4"/>
    <mergeCell ref="C3:C4"/>
    <mergeCell ref="D3:D4"/>
    <mergeCell ref="E3:E4"/>
    <mergeCell ref="F3:F4"/>
    <mergeCell ref="K3:L3"/>
    <mergeCell ref="G3:G4"/>
    <mergeCell ref="H3:H4"/>
    <mergeCell ref="I3:I4"/>
    <mergeCell ref="J3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7DE97-EA71-48F5-9709-E46595012C9D}">
  <dimension ref="A1:Q76"/>
  <sheetViews>
    <sheetView tabSelected="1" zoomScale="130" zoomScaleNormal="130" workbookViewId="0">
      <pane xSplit="6" ySplit="4" topLeftCell="N5" activePane="bottomRight" state="frozen"/>
      <selection pane="topRight" activeCell="G1" sqref="G1"/>
      <selection pane="bottomLeft" activeCell="A5" sqref="A5"/>
      <selection pane="bottomRight" activeCell="P9" sqref="P9"/>
    </sheetView>
  </sheetViews>
  <sheetFormatPr defaultRowHeight="14.4" x14ac:dyDescent="0.3"/>
  <cols>
    <col min="1" max="1" width="11.109375" bestFit="1" customWidth="1"/>
    <col min="2" max="2" width="9.33203125" bestFit="1" customWidth="1"/>
    <col min="3" max="3" width="8.109375" bestFit="1" customWidth="1"/>
    <col min="4" max="4" width="10.33203125" bestFit="1" customWidth="1"/>
    <col min="5" max="5" width="29.44140625" bestFit="1" customWidth="1"/>
    <col min="6" max="6" width="8.109375" bestFit="1" customWidth="1"/>
    <col min="7" max="7" width="15.109375" bestFit="1" customWidth="1"/>
    <col min="8" max="8" width="15.109375" customWidth="1"/>
    <col min="9" max="9" width="15.6640625" customWidth="1"/>
    <col min="10" max="10" width="19.5546875" customWidth="1"/>
    <col min="11" max="11" width="19.88671875" customWidth="1"/>
    <col min="12" max="12" width="17.5546875" bestFit="1" customWidth="1"/>
    <col min="13" max="13" width="19.33203125" customWidth="1"/>
    <col min="14" max="14" width="16.33203125" bestFit="1" customWidth="1"/>
    <col min="15" max="15" width="18.109375" bestFit="1" customWidth="1"/>
    <col min="16" max="16" width="17.44140625" bestFit="1" customWidth="1"/>
    <col min="17" max="17" width="18.109375" bestFit="1" customWidth="1"/>
  </cols>
  <sheetData>
    <row r="1" spans="1:17" ht="43.2" x14ac:dyDescent="0.3">
      <c r="G1" s="9" t="s">
        <v>105</v>
      </c>
      <c r="H1" s="9"/>
      <c r="I1" s="9"/>
      <c r="J1" s="16" t="s">
        <v>107</v>
      </c>
      <c r="K1" s="16" t="s">
        <v>106</v>
      </c>
      <c r="L1" s="17" t="s">
        <v>108</v>
      </c>
      <c r="M1" s="17" t="s">
        <v>112</v>
      </c>
      <c r="N1" s="60" t="s">
        <v>37</v>
      </c>
      <c r="O1" s="60" t="s">
        <v>38</v>
      </c>
      <c r="P1" s="60" t="s">
        <v>37</v>
      </c>
      <c r="Q1" s="60" t="s">
        <v>38</v>
      </c>
    </row>
    <row r="2" spans="1:17" s="1" customFormat="1" x14ac:dyDescent="0.3">
      <c r="G2" s="1" t="s">
        <v>32</v>
      </c>
      <c r="J2" s="1" t="s">
        <v>34</v>
      </c>
      <c r="K2" s="1" t="s">
        <v>34</v>
      </c>
      <c r="L2" s="1" t="s">
        <v>33</v>
      </c>
      <c r="N2" s="96" t="s">
        <v>122</v>
      </c>
      <c r="O2" s="96"/>
      <c r="P2" s="96"/>
      <c r="Q2" s="96"/>
    </row>
    <row r="3" spans="1:17" s="1" customFormat="1" x14ac:dyDescent="0.3">
      <c r="A3" s="95" t="s">
        <v>0</v>
      </c>
      <c r="B3" s="95" t="s">
        <v>1</v>
      </c>
      <c r="C3" s="95" t="s">
        <v>2</v>
      </c>
      <c r="D3" s="95" t="s">
        <v>3</v>
      </c>
      <c r="E3" s="95" t="s">
        <v>4</v>
      </c>
      <c r="F3" s="95" t="s">
        <v>5</v>
      </c>
      <c r="G3" s="108" t="s">
        <v>111</v>
      </c>
      <c r="H3" s="108"/>
      <c r="I3" s="109" t="s">
        <v>113</v>
      </c>
      <c r="J3" s="95" t="s">
        <v>7</v>
      </c>
      <c r="K3" s="95" t="s">
        <v>8</v>
      </c>
      <c r="L3" s="95" t="s">
        <v>35</v>
      </c>
      <c r="M3" s="95" t="s">
        <v>110</v>
      </c>
      <c r="N3" s="96" t="s">
        <v>36</v>
      </c>
      <c r="O3" s="96"/>
      <c r="P3" s="96" t="s">
        <v>119</v>
      </c>
      <c r="Q3" s="96"/>
    </row>
    <row r="4" spans="1:17" s="1" customFormat="1" x14ac:dyDescent="0.3">
      <c r="A4" s="95"/>
      <c r="B4" s="95"/>
      <c r="C4" s="95"/>
      <c r="D4" s="95"/>
      <c r="E4" s="95"/>
      <c r="F4" s="95"/>
      <c r="G4" s="108"/>
      <c r="H4" s="108"/>
      <c r="I4" s="109"/>
      <c r="J4" s="95"/>
      <c r="K4" s="95"/>
      <c r="L4" s="95"/>
      <c r="M4" s="95"/>
      <c r="N4" s="1" t="s">
        <v>39</v>
      </c>
      <c r="O4" s="1" t="s">
        <v>40</v>
      </c>
      <c r="P4" s="1" t="s">
        <v>39</v>
      </c>
      <c r="Q4" s="1" t="s">
        <v>40</v>
      </c>
    </row>
    <row r="5" spans="1:17" s="13" customFormat="1" x14ac:dyDescent="0.3">
      <c r="A5" s="12" t="s">
        <v>52</v>
      </c>
      <c r="B5" s="12" t="s">
        <v>53</v>
      </c>
      <c r="C5" s="12"/>
      <c r="D5" s="12"/>
      <c r="E5" s="12"/>
      <c r="F5" s="12"/>
      <c r="G5" s="12"/>
      <c r="H5" s="13">
        <f>SUM(H15:H32,H52,H58,H63,H65,H71)+M5</f>
        <v>254.92959051299999</v>
      </c>
      <c r="I5" s="21">
        <f>SUM(I15:I32,I52,I58,I63,I65,I67,I71)+M5</f>
        <v>239.57527749983421</v>
      </c>
      <c r="J5" s="12">
        <f>SUM(J6,J9,J12,J67)</f>
        <v>9.1484220000000001</v>
      </c>
      <c r="K5" s="12">
        <f t="shared" ref="K5" si="0">SUM(K6,K9,K12,K67)</f>
        <v>2.8363659999999999</v>
      </c>
      <c r="L5" s="12">
        <f>SUM(L6,L9,L12,L67)</f>
        <v>-2.5758080000000003</v>
      </c>
      <c r="M5" s="12">
        <f>J5+K5+L5</f>
        <v>9.4089799999999997</v>
      </c>
      <c r="N5" s="73" t="s">
        <v>123</v>
      </c>
      <c r="O5" s="75">
        <f>SUM(N33,O33,N53,O53,N59,O59,N63,O63,N65,O65,N67,O67,P6,Q6)</f>
        <v>87.740395575000008</v>
      </c>
      <c r="P5" s="74" t="s">
        <v>124</v>
      </c>
      <c r="Q5" s="76">
        <f>SUM(N32,O32,N52,O52,N58,O58,N63,O63,N65,O65,N67,O67,N71,O71)+P6+Q6</f>
        <v>127.54914585</v>
      </c>
    </row>
    <row r="6" spans="1:17" x14ac:dyDescent="0.3">
      <c r="A6" t="s">
        <v>52</v>
      </c>
      <c r="B6" t="s">
        <v>53</v>
      </c>
      <c r="C6">
        <v>31273</v>
      </c>
      <c r="D6">
        <v>0</v>
      </c>
      <c r="E6" t="s">
        <v>54</v>
      </c>
      <c r="F6">
        <v>1</v>
      </c>
      <c r="G6">
        <v>0</v>
      </c>
      <c r="H6">
        <f>G6*F6</f>
        <v>0</v>
      </c>
      <c r="I6">
        <f>G6*F6</f>
        <v>0</v>
      </c>
      <c r="J6" s="1">
        <v>2.6689240000000001</v>
      </c>
      <c r="K6" s="1">
        <v>1.227908</v>
      </c>
      <c r="L6" s="1">
        <f>L8-K8-J8</f>
        <v>-2.3746320000000001</v>
      </c>
      <c r="M6" s="1"/>
      <c r="N6" s="72">
        <f>N32+N52+N58+N63+N65+N67+N71</f>
        <v>22.215113100000003</v>
      </c>
      <c r="O6" s="72">
        <f>O32+O52+O58+O63+O65+O67+O71</f>
        <v>55.537782749999991</v>
      </c>
      <c r="P6">
        <f>(0.105+      0.02633333+      0.00416667)*60*1.75</f>
        <v>14.227500000000001</v>
      </c>
      <c r="Q6">
        <f>P6*2.5</f>
        <v>35.568750000000001</v>
      </c>
    </row>
    <row r="7" spans="1:17" s="18" customFormat="1" x14ac:dyDescent="0.3">
      <c r="G7" s="20" t="s">
        <v>109</v>
      </c>
      <c r="I7" s="18">
        <v>50.74</v>
      </c>
      <c r="J7" s="18">
        <v>5.2600000000000001E-2</v>
      </c>
      <c r="K7" s="18">
        <v>2.4199999999999999E-2</v>
      </c>
      <c r="L7" s="18">
        <v>0.03</v>
      </c>
    </row>
    <row r="8" spans="1:17" s="18" customFormat="1" x14ac:dyDescent="0.3">
      <c r="J8" s="18">
        <f>$I$7*J7</f>
        <v>2.6689240000000001</v>
      </c>
      <c r="K8" s="18">
        <f t="shared" ref="K8" si="1">$I$7*K7</f>
        <v>1.227908</v>
      </c>
      <c r="L8" s="18">
        <f>$I$7*L7</f>
        <v>1.5222</v>
      </c>
    </row>
    <row r="9" spans="1:17" x14ac:dyDescent="0.3">
      <c r="A9" t="s">
        <v>52</v>
      </c>
      <c r="B9" t="s">
        <v>53</v>
      </c>
      <c r="C9">
        <v>31273</v>
      </c>
      <c r="D9">
        <v>0</v>
      </c>
      <c r="E9" t="s">
        <v>55</v>
      </c>
      <c r="F9">
        <v>1</v>
      </c>
      <c r="G9">
        <v>0</v>
      </c>
      <c r="H9">
        <f>G9*F9</f>
        <v>0</v>
      </c>
      <c r="I9">
        <f t="shared" ref="I9:I31" si="2">G9*F9</f>
        <v>0</v>
      </c>
      <c r="J9" s="1">
        <v>2.6638500000000001</v>
      </c>
      <c r="K9" s="1">
        <v>0.13192400000000001</v>
      </c>
      <c r="L9" s="1">
        <f>L11-K11-J11</f>
        <v>0.70528600000000008</v>
      </c>
      <c r="M9" s="1"/>
    </row>
    <row r="10" spans="1:17" s="18" customFormat="1" x14ac:dyDescent="0.3">
      <c r="G10" s="20" t="s">
        <v>109</v>
      </c>
      <c r="I10" s="18">
        <v>50.74</v>
      </c>
      <c r="J10" s="18">
        <v>5.2499999999999998E-2</v>
      </c>
      <c r="K10" s="18">
        <v>2.5999999999999999E-3</v>
      </c>
      <c r="L10" s="18">
        <v>6.9000000000000006E-2</v>
      </c>
    </row>
    <row r="11" spans="1:17" s="18" customFormat="1" x14ac:dyDescent="0.3">
      <c r="J11" s="18">
        <f>$I$10*J10</f>
        <v>2.6638500000000001</v>
      </c>
      <c r="K11" s="18">
        <f t="shared" ref="K11" si="3">$I$10*K10</f>
        <v>0.13192399999999999</v>
      </c>
      <c r="L11" s="18">
        <f>$I$10*L10</f>
        <v>3.5010600000000003</v>
      </c>
    </row>
    <row r="12" spans="1:17" x14ac:dyDescent="0.3">
      <c r="A12" t="s">
        <v>52</v>
      </c>
      <c r="B12" t="s">
        <v>53</v>
      </c>
      <c r="C12">
        <v>31273</v>
      </c>
      <c r="D12">
        <v>0</v>
      </c>
      <c r="E12" t="s">
        <v>56</v>
      </c>
      <c r="F12">
        <v>1</v>
      </c>
      <c r="G12">
        <v>0</v>
      </c>
      <c r="H12">
        <f>G12*F12</f>
        <v>0</v>
      </c>
      <c r="I12">
        <f t="shared" si="2"/>
        <v>0</v>
      </c>
      <c r="J12" s="1">
        <v>1.3040179999999999</v>
      </c>
      <c r="K12" s="1">
        <v>0.25369999999999998</v>
      </c>
      <c r="L12" s="1">
        <f>L14-K14-J14</f>
        <v>1.283722</v>
      </c>
      <c r="M12" s="1"/>
    </row>
    <row r="13" spans="1:17" s="18" customFormat="1" x14ac:dyDescent="0.3">
      <c r="G13" s="20" t="s">
        <v>109</v>
      </c>
      <c r="I13" s="18">
        <v>50.74</v>
      </c>
      <c r="J13" s="18">
        <v>2.5700000000000001E-2</v>
      </c>
      <c r="K13" s="18">
        <v>5.0000000000000001E-3</v>
      </c>
      <c r="L13" s="18">
        <v>5.6000000000000001E-2</v>
      </c>
    </row>
    <row r="14" spans="1:17" s="18" customFormat="1" x14ac:dyDescent="0.3">
      <c r="J14" s="18">
        <f>$I$13*J13</f>
        <v>1.3040180000000001</v>
      </c>
      <c r="K14" s="18">
        <f t="shared" ref="K14" si="4">$I$13*K13</f>
        <v>0.25370000000000004</v>
      </c>
      <c r="L14" s="18">
        <f>$I$13*L13</f>
        <v>2.84144</v>
      </c>
    </row>
    <row r="15" spans="1:17" x14ac:dyDescent="0.3">
      <c r="A15" t="s">
        <v>52</v>
      </c>
      <c r="B15" t="s">
        <v>53</v>
      </c>
      <c r="C15">
        <v>31273</v>
      </c>
      <c r="D15">
        <v>0</v>
      </c>
      <c r="E15" t="s">
        <v>57</v>
      </c>
      <c r="F15">
        <v>1</v>
      </c>
      <c r="G15">
        <v>1.69133333</v>
      </c>
      <c r="H15">
        <f t="shared" ref="H15:H32" si="5">G15*F15</f>
        <v>1.69133333</v>
      </c>
      <c r="I15">
        <f t="shared" si="2"/>
        <v>1.69133333</v>
      </c>
      <c r="J15">
        <v>0</v>
      </c>
      <c r="K15">
        <v>0</v>
      </c>
    </row>
    <row r="16" spans="1:17" x14ac:dyDescent="0.3">
      <c r="A16" t="s">
        <v>52</v>
      </c>
      <c r="B16" t="s">
        <v>53</v>
      </c>
      <c r="C16">
        <v>31273</v>
      </c>
      <c r="D16">
        <v>0</v>
      </c>
      <c r="E16" t="s">
        <v>58</v>
      </c>
      <c r="F16">
        <v>1</v>
      </c>
      <c r="G16">
        <v>9.3023333299999997</v>
      </c>
      <c r="H16">
        <f t="shared" si="5"/>
        <v>9.3023333299999997</v>
      </c>
      <c r="I16">
        <f t="shared" si="2"/>
        <v>9.3023333299999997</v>
      </c>
      <c r="J16">
        <v>0</v>
      </c>
      <c r="K16">
        <v>0</v>
      </c>
    </row>
    <row r="17" spans="1:16" x14ac:dyDescent="0.3">
      <c r="A17" t="s">
        <v>52</v>
      </c>
      <c r="B17" t="s">
        <v>53</v>
      </c>
      <c r="C17">
        <v>31273</v>
      </c>
      <c r="D17">
        <v>0</v>
      </c>
      <c r="E17" t="s">
        <v>59</v>
      </c>
      <c r="F17">
        <v>1</v>
      </c>
      <c r="G17">
        <v>5.0739999999999998</v>
      </c>
      <c r="H17">
        <f t="shared" si="5"/>
        <v>5.0739999999999998</v>
      </c>
      <c r="I17">
        <f t="shared" si="2"/>
        <v>5.0739999999999998</v>
      </c>
      <c r="J17">
        <v>0</v>
      </c>
      <c r="K17">
        <v>0</v>
      </c>
    </row>
    <row r="18" spans="1:16" x14ac:dyDescent="0.3">
      <c r="A18" t="s">
        <v>52</v>
      </c>
      <c r="B18" t="s">
        <v>53</v>
      </c>
      <c r="C18">
        <v>31273</v>
      </c>
      <c r="D18">
        <v>0</v>
      </c>
      <c r="E18" t="s">
        <v>60</v>
      </c>
      <c r="F18">
        <v>1</v>
      </c>
      <c r="G18">
        <v>5.0739999999999998</v>
      </c>
      <c r="H18">
        <f t="shared" si="5"/>
        <v>5.0739999999999998</v>
      </c>
      <c r="I18">
        <f t="shared" si="2"/>
        <v>5.0739999999999998</v>
      </c>
      <c r="J18">
        <v>0</v>
      </c>
      <c r="K18">
        <v>0</v>
      </c>
    </row>
    <row r="19" spans="1:16" x14ac:dyDescent="0.3">
      <c r="A19" t="s">
        <v>52</v>
      </c>
      <c r="B19" t="s">
        <v>53</v>
      </c>
      <c r="C19">
        <v>31273</v>
      </c>
      <c r="D19">
        <v>0</v>
      </c>
      <c r="E19" t="s">
        <v>61</v>
      </c>
      <c r="F19">
        <v>1</v>
      </c>
      <c r="G19">
        <v>13.9535</v>
      </c>
      <c r="H19">
        <f t="shared" si="5"/>
        <v>13.9535</v>
      </c>
      <c r="I19">
        <f t="shared" si="2"/>
        <v>13.9535</v>
      </c>
      <c r="J19">
        <v>0</v>
      </c>
      <c r="K19">
        <v>0</v>
      </c>
    </row>
    <row r="20" spans="1:16" x14ac:dyDescent="0.3">
      <c r="A20" t="s">
        <v>52</v>
      </c>
      <c r="B20" t="s">
        <v>53</v>
      </c>
      <c r="C20">
        <v>31273</v>
      </c>
      <c r="D20">
        <v>0</v>
      </c>
      <c r="E20" t="s">
        <v>62</v>
      </c>
      <c r="F20">
        <v>1</v>
      </c>
      <c r="G20">
        <v>7.1881666700000002</v>
      </c>
      <c r="H20">
        <f t="shared" si="5"/>
        <v>7.1881666700000002</v>
      </c>
      <c r="I20">
        <f t="shared" si="2"/>
        <v>7.1881666700000002</v>
      </c>
      <c r="J20">
        <v>0</v>
      </c>
      <c r="K20">
        <v>0</v>
      </c>
    </row>
    <row r="21" spans="1:16" x14ac:dyDescent="0.3">
      <c r="A21" t="s">
        <v>52</v>
      </c>
      <c r="B21" t="s">
        <v>53</v>
      </c>
      <c r="C21">
        <v>31273</v>
      </c>
      <c r="D21">
        <v>0</v>
      </c>
      <c r="E21" t="s">
        <v>63</v>
      </c>
      <c r="F21">
        <v>2</v>
      </c>
      <c r="G21">
        <v>6.3425000000000002</v>
      </c>
      <c r="H21">
        <f t="shared" si="5"/>
        <v>12.685</v>
      </c>
      <c r="I21">
        <f t="shared" si="2"/>
        <v>12.685</v>
      </c>
      <c r="J21">
        <v>0</v>
      </c>
      <c r="K21">
        <v>0</v>
      </c>
    </row>
    <row r="22" spans="1:16" x14ac:dyDescent="0.3">
      <c r="A22" t="s">
        <v>52</v>
      </c>
      <c r="B22" t="s">
        <v>53</v>
      </c>
      <c r="C22">
        <v>31273</v>
      </c>
      <c r="D22">
        <v>0</v>
      </c>
      <c r="E22" t="s">
        <v>64</v>
      </c>
      <c r="F22">
        <v>2</v>
      </c>
      <c r="G22">
        <v>2.1141666699999999</v>
      </c>
      <c r="H22">
        <f t="shared" si="5"/>
        <v>4.2283333399999998</v>
      </c>
      <c r="I22">
        <f t="shared" si="2"/>
        <v>4.2283333399999998</v>
      </c>
      <c r="J22">
        <v>0</v>
      </c>
      <c r="K22">
        <v>0</v>
      </c>
    </row>
    <row r="23" spans="1:16" x14ac:dyDescent="0.3">
      <c r="A23" t="s">
        <v>52</v>
      </c>
      <c r="B23" t="s">
        <v>53</v>
      </c>
      <c r="C23">
        <v>31273</v>
      </c>
      <c r="D23">
        <v>0</v>
      </c>
      <c r="E23" t="s">
        <v>65</v>
      </c>
      <c r="F23">
        <v>1</v>
      </c>
      <c r="G23">
        <v>1.69133333</v>
      </c>
      <c r="H23">
        <f t="shared" si="5"/>
        <v>1.69133333</v>
      </c>
      <c r="I23">
        <f t="shared" si="2"/>
        <v>1.69133333</v>
      </c>
      <c r="J23">
        <v>0</v>
      </c>
      <c r="K23">
        <v>0</v>
      </c>
    </row>
    <row r="24" spans="1:16" x14ac:dyDescent="0.3">
      <c r="A24" t="s">
        <v>52</v>
      </c>
      <c r="B24" t="s">
        <v>53</v>
      </c>
      <c r="C24">
        <v>31273</v>
      </c>
      <c r="D24">
        <v>0</v>
      </c>
      <c r="E24" t="s">
        <v>66</v>
      </c>
      <c r="F24">
        <v>1</v>
      </c>
      <c r="G24">
        <v>1.2685</v>
      </c>
      <c r="H24">
        <f t="shared" si="5"/>
        <v>1.2685</v>
      </c>
      <c r="I24">
        <f t="shared" si="2"/>
        <v>1.2685</v>
      </c>
      <c r="J24">
        <v>0</v>
      </c>
      <c r="K24">
        <v>0</v>
      </c>
    </row>
    <row r="25" spans="1:16" x14ac:dyDescent="0.3">
      <c r="A25" t="s">
        <v>52</v>
      </c>
      <c r="B25" t="s">
        <v>53</v>
      </c>
      <c r="C25">
        <v>31273</v>
      </c>
      <c r="D25">
        <v>0</v>
      </c>
      <c r="E25" t="s">
        <v>15</v>
      </c>
      <c r="F25">
        <v>1</v>
      </c>
      <c r="G25">
        <v>0.42283333000000001</v>
      </c>
      <c r="H25">
        <f t="shared" si="5"/>
        <v>0.42283333000000001</v>
      </c>
      <c r="I25">
        <f t="shared" si="2"/>
        <v>0.42283333000000001</v>
      </c>
      <c r="J25">
        <v>0</v>
      </c>
      <c r="K25">
        <v>0</v>
      </c>
    </row>
    <row r="26" spans="1:16" x14ac:dyDescent="0.3">
      <c r="A26" t="s">
        <v>52</v>
      </c>
      <c r="B26" t="s">
        <v>53</v>
      </c>
      <c r="C26">
        <v>31273</v>
      </c>
      <c r="D26">
        <v>0</v>
      </c>
      <c r="E26" t="s">
        <v>15</v>
      </c>
      <c r="F26">
        <v>1</v>
      </c>
      <c r="G26">
        <v>0.42283333000000001</v>
      </c>
      <c r="H26">
        <f t="shared" si="5"/>
        <v>0.42283333000000001</v>
      </c>
      <c r="I26">
        <f t="shared" si="2"/>
        <v>0.42283333000000001</v>
      </c>
      <c r="J26">
        <v>0</v>
      </c>
      <c r="K26">
        <v>0</v>
      </c>
    </row>
    <row r="27" spans="1:16" x14ac:dyDescent="0.3">
      <c r="A27" t="s">
        <v>52</v>
      </c>
      <c r="B27" t="s">
        <v>53</v>
      </c>
      <c r="C27">
        <v>31273</v>
      </c>
      <c r="D27">
        <v>0</v>
      </c>
      <c r="E27" t="s">
        <v>67</v>
      </c>
      <c r="F27">
        <v>1</v>
      </c>
      <c r="G27">
        <v>2.9598333299999999</v>
      </c>
      <c r="H27">
        <f t="shared" si="5"/>
        <v>2.9598333299999999</v>
      </c>
      <c r="I27">
        <f t="shared" si="2"/>
        <v>2.9598333299999999</v>
      </c>
      <c r="J27">
        <v>0</v>
      </c>
      <c r="K27">
        <v>0</v>
      </c>
    </row>
    <row r="28" spans="1:16" x14ac:dyDescent="0.3">
      <c r="A28" t="s">
        <v>52</v>
      </c>
      <c r="B28" t="s">
        <v>53</v>
      </c>
      <c r="C28">
        <v>31273</v>
      </c>
      <c r="D28">
        <v>0</v>
      </c>
      <c r="E28" t="s">
        <v>68</v>
      </c>
      <c r="F28">
        <v>0.1</v>
      </c>
      <c r="G28">
        <v>11.416499999999999</v>
      </c>
      <c r="H28">
        <f t="shared" si="5"/>
        <v>1.1416500000000001</v>
      </c>
      <c r="I28">
        <f t="shared" si="2"/>
        <v>1.1416500000000001</v>
      </c>
      <c r="J28">
        <v>0</v>
      </c>
      <c r="K28">
        <v>0</v>
      </c>
    </row>
    <row r="29" spans="1:16" x14ac:dyDescent="0.3">
      <c r="A29" t="s">
        <v>52</v>
      </c>
      <c r="B29" t="s">
        <v>53</v>
      </c>
      <c r="C29">
        <v>31273</v>
      </c>
      <c r="D29">
        <v>0</v>
      </c>
      <c r="E29" t="s">
        <v>69</v>
      </c>
      <c r="F29">
        <v>2</v>
      </c>
      <c r="G29">
        <v>0.42283333000000001</v>
      </c>
      <c r="H29">
        <f t="shared" si="5"/>
        <v>0.84566666000000001</v>
      </c>
      <c r="I29">
        <f t="shared" si="2"/>
        <v>0.84566666000000001</v>
      </c>
      <c r="J29">
        <v>0</v>
      </c>
      <c r="K29">
        <v>0</v>
      </c>
    </row>
    <row r="30" spans="1:16" x14ac:dyDescent="0.3">
      <c r="A30" t="s">
        <v>52</v>
      </c>
      <c r="B30" t="s">
        <v>53</v>
      </c>
      <c r="C30">
        <v>31273</v>
      </c>
      <c r="D30">
        <v>0</v>
      </c>
      <c r="E30" t="s">
        <v>70</v>
      </c>
      <c r="F30">
        <v>3</v>
      </c>
      <c r="G30">
        <v>0.84566666999999995</v>
      </c>
      <c r="H30">
        <f t="shared" si="5"/>
        <v>2.5370000099999999</v>
      </c>
      <c r="I30">
        <f t="shared" si="2"/>
        <v>2.5370000099999999</v>
      </c>
      <c r="J30">
        <v>0</v>
      </c>
      <c r="K30">
        <v>0</v>
      </c>
    </row>
    <row r="31" spans="1:16" x14ac:dyDescent="0.3">
      <c r="A31" t="s">
        <v>52</v>
      </c>
      <c r="B31" t="s">
        <v>53</v>
      </c>
      <c r="C31">
        <v>31273</v>
      </c>
      <c r="D31">
        <v>0</v>
      </c>
      <c r="E31" t="s">
        <v>71</v>
      </c>
      <c r="F31">
        <v>1</v>
      </c>
      <c r="G31">
        <v>3.3826666699999999</v>
      </c>
      <c r="H31">
        <f t="shared" si="5"/>
        <v>3.3826666699999999</v>
      </c>
      <c r="I31">
        <f t="shared" si="2"/>
        <v>3.3826666699999999</v>
      </c>
      <c r="J31">
        <v>0</v>
      </c>
      <c r="K31">
        <v>0</v>
      </c>
    </row>
    <row r="32" spans="1:16" s="14" customFormat="1" x14ac:dyDescent="0.3">
      <c r="A32" s="14" t="s">
        <v>52</v>
      </c>
      <c r="B32" s="14" t="s">
        <v>53</v>
      </c>
      <c r="C32" s="14">
        <v>31273</v>
      </c>
      <c r="D32" s="14">
        <v>0</v>
      </c>
      <c r="E32" s="14" t="s">
        <v>72</v>
      </c>
      <c r="F32" s="14">
        <v>1</v>
      </c>
      <c r="G32" s="14">
        <v>124.71469166</v>
      </c>
      <c r="H32" s="61">
        <f t="shared" si="5"/>
        <v>124.71469166</v>
      </c>
      <c r="I32" s="11">
        <f>SUM(I34:I36)*F32</f>
        <v>87.795878646834211</v>
      </c>
      <c r="K32" s="14">
        <v>0</v>
      </c>
      <c r="M32" s="11" t="s">
        <v>121</v>
      </c>
      <c r="N32" s="14">
        <f>N33+N36</f>
        <v>13.095105450000002</v>
      </c>
      <c r="O32" s="14">
        <f>O33+O36</f>
        <v>32.737763624999999</v>
      </c>
      <c r="P32" s="11" t="s">
        <v>130</v>
      </c>
    </row>
    <row r="33" spans="4:17" s="14" customFormat="1" ht="15" thickBot="1" x14ac:dyDescent="0.35">
      <c r="H33" s="61"/>
      <c r="I33" s="11"/>
      <c r="M33" s="62" t="s">
        <v>120</v>
      </c>
      <c r="N33" s="62">
        <f xml:space="preserve">      0.04705882*60*1.75</f>
        <v>4.9411761000000007</v>
      </c>
      <c r="O33" s="62">
        <f>N33*2.5</f>
        <v>12.352940250000001</v>
      </c>
      <c r="P33" s="14" t="s">
        <v>131</v>
      </c>
    </row>
    <row r="34" spans="4:17" s="2" customFormat="1" x14ac:dyDescent="0.3">
      <c r="D34" s="97" t="s">
        <v>114</v>
      </c>
      <c r="E34" s="23" t="s">
        <v>80</v>
      </c>
      <c r="F34" s="24">
        <v>1</v>
      </c>
      <c r="G34" s="24">
        <v>16.490500000000001</v>
      </c>
      <c r="H34" s="24"/>
      <c r="I34" s="25">
        <f>G34*F34</f>
        <v>16.490500000000001</v>
      </c>
    </row>
    <row r="35" spans="4:17" s="2" customFormat="1" x14ac:dyDescent="0.3">
      <c r="D35" s="98"/>
      <c r="E35" s="26" t="s">
        <v>81</v>
      </c>
      <c r="F35" s="27">
        <v>0.05</v>
      </c>
      <c r="G35" s="27">
        <v>50.317166669999999</v>
      </c>
      <c r="H35" s="27"/>
      <c r="I35" s="28">
        <f>G35*F35</f>
        <v>2.5158583335000002</v>
      </c>
    </row>
    <row r="36" spans="4:17" s="2" customFormat="1" ht="15" thickBot="1" x14ac:dyDescent="0.35">
      <c r="D36" s="99"/>
      <c r="E36" s="29" t="s">
        <v>79</v>
      </c>
      <c r="F36" s="30">
        <v>1</v>
      </c>
      <c r="G36" s="31">
        <v>105.70833333</v>
      </c>
      <c r="H36" s="32"/>
      <c r="I36" s="33">
        <f>SUM(I38:I46)*F36</f>
        <v>68.789520313334208</v>
      </c>
      <c r="M36" s="71" t="s">
        <v>121</v>
      </c>
      <c r="N36" s="10">
        <f>N37+N46</f>
        <v>8.1539293500000003</v>
      </c>
      <c r="O36" s="10">
        <f>O37+O46</f>
        <v>20.384823375</v>
      </c>
      <c r="P36" s="2" t="s">
        <v>125</v>
      </c>
    </row>
    <row r="37" spans="4:17" s="2" customFormat="1" ht="15" thickBot="1" x14ac:dyDescent="0.35">
      <c r="D37" s="66"/>
      <c r="E37" s="67"/>
      <c r="F37" s="27"/>
      <c r="G37" s="68"/>
      <c r="H37" s="69"/>
      <c r="I37" s="70"/>
      <c r="M37" s="22" t="s">
        <v>120</v>
      </c>
      <c r="N37" s="22">
        <f xml:space="preserve">      0.05957647*60*1.75</f>
        <v>6.2555293499999998</v>
      </c>
      <c r="O37" s="22">
        <f>N37*2.5</f>
        <v>15.638823374999999</v>
      </c>
      <c r="P37" s="7" t="s">
        <v>133</v>
      </c>
    </row>
    <row r="38" spans="4:17" s="5" customFormat="1" x14ac:dyDescent="0.3">
      <c r="D38" s="100" t="s">
        <v>115</v>
      </c>
      <c r="E38" s="34" t="s">
        <v>89</v>
      </c>
      <c r="F38" s="35">
        <v>2</v>
      </c>
      <c r="G38" s="35">
        <v>2.1141666699999999</v>
      </c>
      <c r="H38" s="35"/>
      <c r="I38" s="36">
        <f t="shared" ref="I38:I45" si="6">G38*F38</f>
        <v>4.2283333399999998</v>
      </c>
    </row>
    <row r="39" spans="4:17" s="5" customFormat="1" x14ac:dyDescent="0.3">
      <c r="D39" s="101"/>
      <c r="E39" s="37" t="s">
        <v>90</v>
      </c>
      <c r="F39" s="38">
        <v>2</v>
      </c>
      <c r="G39" s="38">
        <v>0.42283333000000001</v>
      </c>
      <c r="H39" s="38"/>
      <c r="I39" s="39">
        <f t="shared" si="6"/>
        <v>0.84566666000000001</v>
      </c>
    </row>
    <row r="40" spans="4:17" s="5" customFormat="1" x14ac:dyDescent="0.3">
      <c r="D40" s="101"/>
      <c r="E40" s="37" t="s">
        <v>91</v>
      </c>
      <c r="F40" s="38">
        <v>2</v>
      </c>
      <c r="G40" s="38">
        <v>3.3826666699999999</v>
      </c>
      <c r="H40" s="38"/>
      <c r="I40" s="39">
        <f t="shared" si="6"/>
        <v>6.7653333399999998</v>
      </c>
    </row>
    <row r="41" spans="4:17" s="5" customFormat="1" x14ac:dyDescent="0.3">
      <c r="D41" s="101"/>
      <c r="E41" s="37" t="s">
        <v>92</v>
      </c>
      <c r="F41" s="38">
        <v>2</v>
      </c>
      <c r="G41" s="38">
        <v>0.42283333000000001</v>
      </c>
      <c r="H41" s="38"/>
      <c r="I41" s="39">
        <f t="shared" si="6"/>
        <v>0.84566666000000001</v>
      </c>
    </row>
    <row r="42" spans="4:17" s="5" customFormat="1" x14ac:dyDescent="0.3">
      <c r="D42" s="101"/>
      <c r="E42" s="37" t="s">
        <v>93</v>
      </c>
      <c r="F42" s="38">
        <v>1</v>
      </c>
      <c r="G42" s="38">
        <v>0.42283333000000001</v>
      </c>
      <c r="H42" s="38"/>
      <c r="I42" s="39">
        <f t="shared" si="6"/>
        <v>0.42283333000000001</v>
      </c>
    </row>
    <row r="43" spans="4:17" s="5" customFormat="1" x14ac:dyDescent="0.3">
      <c r="D43" s="101"/>
      <c r="E43" s="37" t="s">
        <v>94</v>
      </c>
      <c r="F43" s="38">
        <v>1</v>
      </c>
      <c r="G43" s="38">
        <v>0.42283333000000001</v>
      </c>
      <c r="H43" s="38"/>
      <c r="I43" s="39">
        <f t="shared" si="6"/>
        <v>0.42283333000000001</v>
      </c>
    </row>
    <row r="44" spans="4:17" s="5" customFormat="1" x14ac:dyDescent="0.3">
      <c r="D44" s="101"/>
      <c r="E44" s="37" t="s">
        <v>95</v>
      </c>
      <c r="F44" s="38">
        <v>1</v>
      </c>
      <c r="G44" s="38">
        <v>1.2685</v>
      </c>
      <c r="H44" s="38"/>
      <c r="I44" s="39">
        <f t="shared" si="6"/>
        <v>1.2685</v>
      </c>
    </row>
    <row r="45" spans="4:17" s="5" customFormat="1" x14ac:dyDescent="0.3">
      <c r="D45" s="101"/>
      <c r="E45" s="37" t="s">
        <v>96</v>
      </c>
      <c r="F45" s="38">
        <v>1</v>
      </c>
      <c r="G45" s="38">
        <v>5.4968333300000003</v>
      </c>
      <c r="H45" s="38"/>
      <c r="I45" s="39">
        <f t="shared" si="6"/>
        <v>5.4968333300000003</v>
      </c>
    </row>
    <row r="46" spans="4:17" s="5" customFormat="1" ht="15" thickBot="1" x14ac:dyDescent="0.35">
      <c r="D46" s="102"/>
      <c r="E46" s="40" t="s">
        <v>97</v>
      </c>
      <c r="F46" s="41">
        <v>1</v>
      </c>
      <c r="G46" s="42"/>
      <c r="H46" s="42"/>
      <c r="I46" s="43">
        <f>SUM(I47:I51)*F46</f>
        <v>48.493520323334202</v>
      </c>
      <c r="M46" s="8"/>
      <c r="N46" s="8">
        <f xml:space="preserve">      0.01808*60*1.75</f>
        <v>1.8984000000000001</v>
      </c>
      <c r="O46" s="8">
        <f>N46*2.5</f>
        <v>4.7460000000000004</v>
      </c>
      <c r="P46" s="77" t="s">
        <v>134</v>
      </c>
      <c r="Q46" s="8"/>
    </row>
    <row r="47" spans="4:17" s="6" customFormat="1" ht="15" thickBot="1" x14ac:dyDescent="0.35">
      <c r="D47" s="103" t="s">
        <v>186</v>
      </c>
      <c r="E47" s="44" t="s">
        <v>98</v>
      </c>
      <c r="F47" s="45">
        <v>1</v>
      </c>
      <c r="G47" s="45">
        <v>12.685</v>
      </c>
      <c r="H47" s="45">
        <f>((G47/1.2)/1.2)*F47</f>
        <v>8.8090277777777786</v>
      </c>
      <c r="I47" s="46">
        <f>G47*F47</f>
        <v>12.685</v>
      </c>
    </row>
    <row r="48" spans="4:17" s="6" customFormat="1" ht="15" thickBot="1" x14ac:dyDescent="0.35">
      <c r="D48" s="104"/>
      <c r="E48" s="47" t="s">
        <v>99</v>
      </c>
      <c r="F48" s="48">
        <v>2.5999999999999998E-4</v>
      </c>
      <c r="G48" s="48">
        <v>3.3826666699999999</v>
      </c>
      <c r="H48" s="45">
        <f t="shared" ref="H48:H51" si="7">((G48/1.2)/1.2)*F48</f>
        <v>6.1075925986111103E-4</v>
      </c>
      <c r="I48" s="49">
        <f>G48*F48</f>
        <v>8.7949333419999989E-4</v>
      </c>
    </row>
    <row r="49" spans="1:16" s="6" customFormat="1" ht="15" thickBot="1" x14ac:dyDescent="0.35">
      <c r="D49" s="104"/>
      <c r="E49" s="47" t="s">
        <v>100</v>
      </c>
      <c r="F49" s="48">
        <v>0.01</v>
      </c>
      <c r="G49" s="48">
        <v>2004.23</v>
      </c>
      <c r="H49" s="45">
        <f t="shared" si="7"/>
        <v>13.918263888888891</v>
      </c>
      <c r="I49" s="49">
        <f>G49*F49</f>
        <v>20.042300000000001</v>
      </c>
    </row>
    <row r="50" spans="1:16" s="6" customFormat="1" ht="15" thickBot="1" x14ac:dyDescent="0.35">
      <c r="D50" s="104"/>
      <c r="E50" s="47" t="s">
        <v>101</v>
      </c>
      <c r="F50" s="48">
        <v>1E-3</v>
      </c>
      <c r="G50" s="48">
        <v>1389.0074999999999</v>
      </c>
      <c r="H50" s="45">
        <f t="shared" si="7"/>
        <v>0.96458854166666663</v>
      </c>
      <c r="I50" s="49">
        <f>G50*F50</f>
        <v>1.3890075</v>
      </c>
    </row>
    <row r="51" spans="1:16" s="6" customFormat="1" ht="15" thickBot="1" x14ac:dyDescent="0.35">
      <c r="D51" s="105"/>
      <c r="E51" s="50" t="s">
        <v>102</v>
      </c>
      <c r="F51" s="51">
        <v>1</v>
      </c>
      <c r="G51" s="51">
        <v>14.37633333</v>
      </c>
      <c r="H51" s="45">
        <f t="shared" si="7"/>
        <v>9.9835648124999992</v>
      </c>
      <c r="I51" s="52">
        <f>G51*F51</f>
        <v>14.37633333</v>
      </c>
    </row>
    <row r="52" spans="1:16" s="14" customFormat="1" x14ac:dyDescent="0.3">
      <c r="A52" s="14" t="s">
        <v>52</v>
      </c>
      <c r="B52" s="14" t="s">
        <v>53</v>
      </c>
      <c r="C52" s="14">
        <v>31273</v>
      </c>
      <c r="D52" s="14">
        <v>0</v>
      </c>
      <c r="E52" s="14" t="s">
        <v>73</v>
      </c>
      <c r="F52" s="14">
        <v>1</v>
      </c>
      <c r="G52" s="14">
        <v>28.75266667</v>
      </c>
      <c r="H52" s="61">
        <f>G52*F52</f>
        <v>28.75266667</v>
      </c>
      <c r="I52" s="11">
        <f>SUM(I54:I56)</f>
        <v>40.169166669999996</v>
      </c>
      <c r="K52" s="14">
        <v>0</v>
      </c>
      <c r="M52" s="11" t="s">
        <v>121</v>
      </c>
      <c r="N52" s="65">
        <f>N53+N56</f>
        <v>3.36</v>
      </c>
      <c r="O52" s="65">
        <f>O53+O56</f>
        <v>8.3999999999999986</v>
      </c>
      <c r="P52" s="11" t="s">
        <v>126</v>
      </c>
    </row>
    <row r="53" spans="1:16" s="14" customFormat="1" ht="15" thickBot="1" x14ac:dyDescent="0.35">
      <c r="H53" s="61"/>
      <c r="I53" s="11"/>
      <c r="M53" s="62" t="s">
        <v>120</v>
      </c>
      <c r="N53" s="14">
        <f xml:space="preserve">      0.01666667*60*1.75</f>
        <v>1.7500003500000001</v>
      </c>
      <c r="O53" s="14">
        <f>N53*2.5</f>
        <v>4.3750008750000005</v>
      </c>
      <c r="P53" s="14" t="s">
        <v>127</v>
      </c>
    </row>
    <row r="54" spans="1:16" s="2" customFormat="1" x14ac:dyDescent="0.3">
      <c r="D54" s="97" t="s">
        <v>116</v>
      </c>
      <c r="E54" s="23" t="s">
        <v>82</v>
      </c>
      <c r="F54" s="24">
        <v>1</v>
      </c>
      <c r="G54" s="24">
        <v>9.7251666700000001</v>
      </c>
      <c r="H54" s="24"/>
      <c r="I54" s="25">
        <f>G54*F54</f>
        <v>9.7251666700000001</v>
      </c>
    </row>
    <row r="55" spans="1:16" s="2" customFormat="1" x14ac:dyDescent="0.3">
      <c r="D55" s="98"/>
      <c r="E55" s="26" t="s">
        <v>63</v>
      </c>
      <c r="F55" s="27">
        <v>3</v>
      </c>
      <c r="G55" s="27">
        <v>6.3425000000000002</v>
      </c>
      <c r="H55" s="27"/>
      <c r="I55" s="28">
        <f>G55*F55</f>
        <v>19.0275</v>
      </c>
    </row>
    <row r="56" spans="1:16" s="2" customFormat="1" ht="15" thickBot="1" x14ac:dyDescent="0.35">
      <c r="D56" s="99"/>
      <c r="E56" s="53" t="s">
        <v>83</v>
      </c>
      <c r="F56" s="30">
        <v>1</v>
      </c>
      <c r="G56" s="32">
        <v>11.416499999999999</v>
      </c>
      <c r="H56" s="32"/>
      <c r="I56" s="54">
        <f>G56*F56</f>
        <v>11.416499999999999</v>
      </c>
      <c r="N56" s="2">
        <f>0.01533333*60*1.75</f>
        <v>1.6099996499999998</v>
      </c>
      <c r="O56" s="2">
        <f>N56*2.5</f>
        <v>4.024999124999999</v>
      </c>
      <c r="P56" s="2" t="s">
        <v>132</v>
      </c>
    </row>
    <row r="57" spans="1:16" s="5" customFormat="1" ht="15" thickBot="1" x14ac:dyDescent="0.35">
      <c r="D57" s="55" t="s">
        <v>117</v>
      </c>
      <c r="E57" s="56" t="s">
        <v>103</v>
      </c>
      <c r="F57" s="57">
        <v>1</v>
      </c>
      <c r="G57" s="57">
        <v>11.416499999999999</v>
      </c>
      <c r="H57" s="57"/>
      <c r="I57" s="58"/>
    </row>
    <row r="58" spans="1:16" s="14" customFormat="1" x14ac:dyDescent="0.3">
      <c r="A58" s="14" t="s">
        <v>52</v>
      </c>
      <c r="B58" s="14" t="s">
        <v>53</v>
      </c>
      <c r="C58" s="14">
        <v>31273</v>
      </c>
      <c r="E58" s="14" t="s">
        <v>74</v>
      </c>
      <c r="F58" s="14">
        <v>1</v>
      </c>
      <c r="G58" s="14">
        <v>9.7251666700000001</v>
      </c>
      <c r="H58" s="61">
        <f>G58*F58</f>
        <v>9.7251666700000001</v>
      </c>
      <c r="I58" s="11">
        <f>SUM(I60:I61)</f>
        <v>19.87316667</v>
      </c>
      <c r="K58" s="14">
        <v>0</v>
      </c>
      <c r="M58" s="11" t="s">
        <v>121</v>
      </c>
      <c r="N58" s="11">
        <f>N59+N61</f>
        <v>3.4999996499999995</v>
      </c>
      <c r="O58" s="11">
        <f>O59+O61</f>
        <v>8.7499991249999987</v>
      </c>
      <c r="P58" s="11" t="s">
        <v>129</v>
      </c>
    </row>
    <row r="59" spans="1:16" s="14" customFormat="1" ht="15" thickBot="1" x14ac:dyDescent="0.35">
      <c r="H59" s="61"/>
      <c r="I59" s="11"/>
      <c r="M59" s="62" t="s">
        <v>120</v>
      </c>
      <c r="N59" s="62">
        <f>0.018*60*1.75</f>
        <v>1.8899999999999997</v>
      </c>
      <c r="O59" s="62">
        <f>N59*2.5</f>
        <v>4.7249999999999996</v>
      </c>
      <c r="P59" s="14" t="s">
        <v>128</v>
      </c>
    </row>
    <row r="60" spans="1:16" s="2" customFormat="1" ht="18" customHeight="1" x14ac:dyDescent="0.3">
      <c r="D60" s="106" t="s">
        <v>118</v>
      </c>
      <c r="E60" s="23" t="s">
        <v>84</v>
      </c>
      <c r="F60" s="24">
        <v>1</v>
      </c>
      <c r="G60" s="24">
        <v>9.7251666700000001</v>
      </c>
      <c r="H60" s="24"/>
      <c r="I60" s="25">
        <f>G60*F60</f>
        <v>9.7251666700000001</v>
      </c>
    </row>
    <row r="61" spans="1:16" s="2" customFormat="1" ht="18" customHeight="1" thickBot="1" x14ac:dyDescent="0.35">
      <c r="D61" s="107"/>
      <c r="E61" s="53" t="s">
        <v>85</v>
      </c>
      <c r="F61" s="30">
        <v>1</v>
      </c>
      <c r="G61" s="30">
        <v>10.148</v>
      </c>
      <c r="H61" s="30"/>
      <c r="I61" s="54">
        <f>G61*F61</f>
        <v>10.148</v>
      </c>
      <c r="N61" s="2">
        <f>0.01533333*60*1.75</f>
        <v>1.6099996499999998</v>
      </c>
      <c r="O61" s="2">
        <f>N61*2.5</f>
        <v>4.024999124999999</v>
      </c>
    </row>
    <row r="62" spans="1:16" s="5" customFormat="1" ht="15" thickBot="1" x14ac:dyDescent="0.35">
      <c r="D62" s="59" t="s">
        <v>117</v>
      </c>
      <c r="E62" s="56" t="s">
        <v>104</v>
      </c>
      <c r="F62" s="57">
        <v>1</v>
      </c>
      <c r="G62" s="57">
        <v>10.148</v>
      </c>
      <c r="H62" s="57"/>
      <c r="I62" s="58"/>
    </row>
    <row r="63" spans="1:16" s="15" customFormat="1" x14ac:dyDescent="0.3">
      <c r="A63" s="15" t="s">
        <v>52</v>
      </c>
      <c r="B63" s="15" t="s">
        <v>53</v>
      </c>
      <c r="C63" s="15">
        <v>31273</v>
      </c>
      <c r="D63" s="15">
        <v>0</v>
      </c>
      <c r="E63" s="15" t="s">
        <v>75</v>
      </c>
      <c r="F63" s="15">
        <v>1</v>
      </c>
      <c r="G63" s="15">
        <v>7.6109999999999998</v>
      </c>
      <c r="H63" s="15">
        <f>G63*F63</f>
        <v>7.6109999999999998</v>
      </c>
      <c r="I63" s="11">
        <f>G64*F64</f>
        <v>7.6109999999999998</v>
      </c>
      <c r="J63" s="15">
        <v>0</v>
      </c>
      <c r="K63" s="15">
        <v>0</v>
      </c>
      <c r="N63" s="15">
        <v>0</v>
      </c>
      <c r="O63" s="15">
        <v>0</v>
      </c>
    </row>
    <row r="64" spans="1:16" s="2" customFormat="1" x14ac:dyDescent="0.3">
      <c r="E64" s="3" t="s">
        <v>86</v>
      </c>
      <c r="F64" s="2">
        <v>1</v>
      </c>
      <c r="G64" s="2">
        <v>7.6109999999999998</v>
      </c>
    </row>
    <row r="65" spans="1:15" s="15" customFormat="1" x14ac:dyDescent="0.3">
      <c r="A65" s="15" t="s">
        <v>52</v>
      </c>
      <c r="B65" s="15" t="s">
        <v>53</v>
      </c>
      <c r="C65" s="15">
        <v>31273</v>
      </c>
      <c r="D65" s="15">
        <v>0</v>
      </c>
      <c r="E65" s="15" t="s">
        <v>76</v>
      </c>
      <c r="F65" s="15">
        <v>1</v>
      </c>
      <c r="G65" s="15">
        <v>0.38298552000000002</v>
      </c>
      <c r="H65" s="15">
        <f>G65*F65</f>
        <v>0.38298552000000002</v>
      </c>
      <c r="I65" s="11">
        <f>G66*F66</f>
        <v>0.38298552000000008</v>
      </c>
      <c r="J65" s="15">
        <v>0</v>
      </c>
      <c r="K65" s="15">
        <v>0</v>
      </c>
      <c r="N65" s="63">
        <f>ROUNDUP(N66*60*1.75,6)</f>
        <v>1.5441179999999999</v>
      </c>
      <c r="O65" s="11">
        <f>N65*2.5</f>
        <v>3.8602949999999998</v>
      </c>
    </row>
    <row r="66" spans="1:15" s="2" customFormat="1" x14ac:dyDescent="0.3">
      <c r="E66" s="3" t="s">
        <v>42</v>
      </c>
      <c r="F66" s="2">
        <v>1.7000000000000001E-4</v>
      </c>
      <c r="G66" s="2">
        <v>2252.8560000000002</v>
      </c>
      <c r="I66" s="2">
        <f>G66*F66</f>
        <v>0.38298552000000008</v>
      </c>
      <c r="N66" s="64">
        <v>1.4705879999999999E-2</v>
      </c>
    </row>
    <row r="67" spans="1:15" s="15" customFormat="1" x14ac:dyDescent="0.3">
      <c r="A67" s="15" t="s">
        <v>52</v>
      </c>
      <c r="B67" s="15" t="s">
        <v>53</v>
      </c>
      <c r="C67" s="15">
        <v>31273</v>
      </c>
      <c r="D67" s="15">
        <v>0</v>
      </c>
      <c r="E67" s="15" t="s">
        <v>77</v>
      </c>
      <c r="F67" s="15">
        <v>1</v>
      </c>
      <c r="G67" s="15">
        <v>0</v>
      </c>
      <c r="H67" s="15">
        <f>G67*F67</f>
        <v>0</v>
      </c>
      <c r="I67" s="11">
        <v>0</v>
      </c>
      <c r="J67" s="11">
        <v>2.5116299999999998</v>
      </c>
      <c r="K67" s="11">
        <v>1.222834</v>
      </c>
      <c r="L67" s="11">
        <f>L68</f>
        <v>-2.1901840000000004</v>
      </c>
      <c r="M67" s="11"/>
      <c r="N67" s="11">
        <f>N68*60*1.75</f>
        <v>0.71589000000000003</v>
      </c>
      <c r="O67" s="11">
        <f>N67*2.5</f>
        <v>1.789725</v>
      </c>
    </row>
    <row r="68" spans="1:15" s="2" customFormat="1" x14ac:dyDescent="0.3">
      <c r="E68" s="3" t="s">
        <v>87</v>
      </c>
      <c r="F68" s="2">
        <v>1</v>
      </c>
      <c r="G68" s="2">
        <v>0</v>
      </c>
      <c r="J68" s="2">
        <v>2.5116299999999998</v>
      </c>
      <c r="K68" s="2">
        <v>1.222834</v>
      </c>
      <c r="L68" s="2">
        <f>L70-K70-J70</f>
        <v>-2.1901840000000004</v>
      </c>
      <c r="N68" s="2">
        <v>6.8180000000000003E-3</v>
      </c>
    </row>
    <row r="69" spans="1:15" s="18" customFormat="1" x14ac:dyDescent="0.3">
      <c r="E69" s="19"/>
      <c r="G69" s="18" t="s">
        <v>109</v>
      </c>
      <c r="I69" s="18">
        <v>50.74</v>
      </c>
      <c r="J69" s="18">
        <v>4.9500000000000002E-2</v>
      </c>
      <c r="K69" s="18">
        <v>2.41E-2</v>
      </c>
      <c r="L69" s="18">
        <v>3.0435159637366965E-2</v>
      </c>
    </row>
    <row r="70" spans="1:15" s="18" customFormat="1" x14ac:dyDescent="0.3">
      <c r="E70" s="19"/>
      <c r="J70" s="20">
        <f>J69*I69</f>
        <v>2.5116300000000003</v>
      </c>
      <c r="K70" s="20">
        <f>K69*I69</f>
        <v>1.222834</v>
      </c>
      <c r="L70" s="20">
        <f>L69*I69</f>
        <v>1.5442799999999999</v>
      </c>
      <c r="M70" s="20"/>
    </row>
    <row r="71" spans="1:15" s="15" customFormat="1" x14ac:dyDescent="0.3">
      <c r="A71" s="15" t="s">
        <v>52</v>
      </c>
      <c r="B71" s="15" t="s">
        <v>53</v>
      </c>
      <c r="C71" s="15">
        <v>31273</v>
      </c>
      <c r="D71" s="15">
        <v>0</v>
      </c>
      <c r="E71" s="15" t="s">
        <v>78</v>
      </c>
      <c r="F71" s="15">
        <v>1.1000000000000001</v>
      </c>
      <c r="G71" s="15">
        <v>0.42283333000000001</v>
      </c>
      <c r="H71" s="15">
        <f>G71*F71</f>
        <v>0.46511666300000004</v>
      </c>
      <c r="I71" s="11">
        <f>(G72*F72)*F71</f>
        <v>0.46511666300000004</v>
      </c>
      <c r="J71" s="15">
        <v>0</v>
      </c>
      <c r="K71" s="15">
        <v>0</v>
      </c>
      <c r="N71" s="15">
        <v>0</v>
      </c>
      <c r="O71" s="15">
        <v>0</v>
      </c>
    </row>
    <row r="72" spans="1:15" s="2" customFormat="1" x14ac:dyDescent="0.3">
      <c r="E72" s="3" t="s">
        <v>88</v>
      </c>
      <c r="F72" s="2">
        <v>1</v>
      </c>
      <c r="G72" s="2">
        <v>0.42283333000000001</v>
      </c>
    </row>
    <row r="74" spans="1:15" x14ac:dyDescent="0.3">
      <c r="M74">
        <v>308.85599999999999</v>
      </c>
    </row>
    <row r="75" spans="1:15" x14ac:dyDescent="0.3">
      <c r="M75">
        <f>M74/200</f>
        <v>1.5442799999999999</v>
      </c>
    </row>
    <row r="76" spans="1:15" x14ac:dyDescent="0.3">
      <c r="M76">
        <f>M75/50.74</f>
        <v>3.0435159637366965E-2</v>
      </c>
    </row>
  </sheetData>
  <autoFilter ref="A3:O72" xr:uid="{A8F587A8-4B46-4EF0-B969-C7DF2C2A9461}">
    <filterColumn colId="6" showButton="0"/>
    <filterColumn colId="13" showButton="0"/>
  </autoFilter>
  <mergeCells count="20">
    <mergeCell ref="A3:A4"/>
    <mergeCell ref="B3:B4"/>
    <mergeCell ref="C3:C4"/>
    <mergeCell ref="D3:D4"/>
    <mergeCell ref="E3:E4"/>
    <mergeCell ref="D60:D61"/>
    <mergeCell ref="P3:Q3"/>
    <mergeCell ref="J3:J4"/>
    <mergeCell ref="K3:K4"/>
    <mergeCell ref="L3:L4"/>
    <mergeCell ref="N3:O3"/>
    <mergeCell ref="G3:H4"/>
    <mergeCell ref="M3:M4"/>
    <mergeCell ref="I3:I4"/>
    <mergeCell ref="F3:F4"/>
    <mergeCell ref="N2:Q2"/>
    <mergeCell ref="D34:D36"/>
    <mergeCell ref="D38:D46"/>
    <mergeCell ref="D47:D51"/>
    <mergeCell ref="D54:D56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A54DD-56F0-4908-BC5C-5DB8A3180F9E}">
  <dimension ref="A3:R53"/>
  <sheetViews>
    <sheetView zoomScale="130" zoomScaleNormal="130" workbookViewId="0">
      <pane xSplit="6" ySplit="6" topLeftCell="G31" activePane="bottomRight" state="frozen"/>
      <selection pane="topRight" activeCell="G1" sqref="G1"/>
      <selection pane="bottomLeft" activeCell="A7" sqref="A7"/>
      <selection pane="bottomRight" activeCell="G55" sqref="G55"/>
    </sheetView>
  </sheetViews>
  <sheetFormatPr defaultRowHeight="14.4" x14ac:dyDescent="0.3"/>
  <cols>
    <col min="1" max="1" width="16.109375" bestFit="1" customWidth="1"/>
    <col min="2" max="2" width="13.33203125" bestFit="1" customWidth="1"/>
    <col min="3" max="3" width="7.88671875" hidden="1" customWidth="1"/>
    <col min="4" max="4" width="10" hidden="1" customWidth="1"/>
    <col min="5" max="5" width="23" bestFit="1" customWidth="1"/>
    <col min="6" max="6" width="8" bestFit="1" customWidth="1"/>
    <col min="7" max="7" width="17" customWidth="1"/>
    <col min="8" max="8" width="12" bestFit="1" customWidth="1"/>
    <col min="9" max="9" width="15.109375" customWidth="1"/>
    <col min="10" max="11" width="10" bestFit="1" customWidth="1"/>
    <col min="12" max="12" width="8.88671875" style="18"/>
    <col min="15" max="15" width="12.5546875" customWidth="1"/>
    <col min="16" max="16" width="15" customWidth="1"/>
    <col min="17" max="17" width="12.5546875" customWidth="1"/>
    <col min="18" max="18" width="14.6640625" bestFit="1" customWidth="1"/>
  </cols>
  <sheetData>
    <row r="3" spans="1:18" s="85" customFormat="1" ht="24" x14ac:dyDescent="0.25">
      <c r="L3" s="86"/>
      <c r="O3" s="87" t="s">
        <v>37</v>
      </c>
      <c r="P3" s="87" t="s">
        <v>38</v>
      </c>
      <c r="Q3" s="87" t="s">
        <v>37</v>
      </c>
      <c r="R3" s="87" t="s">
        <v>38</v>
      </c>
    </row>
    <row r="4" spans="1:18" x14ac:dyDescent="0.3">
      <c r="O4" s="96" t="s">
        <v>122</v>
      </c>
      <c r="P4" s="96"/>
      <c r="Q4" s="96"/>
      <c r="R4" s="96"/>
    </row>
    <row r="5" spans="1:18" s="88" customFormat="1" x14ac:dyDescent="0.3">
      <c r="A5" s="110" t="s">
        <v>0</v>
      </c>
      <c r="B5" s="110" t="s">
        <v>1</v>
      </c>
      <c r="C5" s="110" t="s">
        <v>2</v>
      </c>
      <c r="D5" s="110" t="s">
        <v>3</v>
      </c>
      <c r="E5" s="110" t="s">
        <v>4</v>
      </c>
      <c r="F5" s="110" t="s">
        <v>5</v>
      </c>
      <c r="G5" s="84"/>
      <c r="H5" s="110" t="s">
        <v>6</v>
      </c>
      <c r="I5" s="110" t="s">
        <v>179</v>
      </c>
      <c r="J5" s="110" t="s">
        <v>176</v>
      </c>
      <c r="K5" s="110" t="s">
        <v>177</v>
      </c>
      <c r="L5" s="112" t="s">
        <v>182</v>
      </c>
      <c r="M5" s="111" t="s">
        <v>183</v>
      </c>
      <c r="N5" s="111" t="s">
        <v>110</v>
      </c>
      <c r="O5" s="96" t="s">
        <v>36</v>
      </c>
      <c r="P5" s="96"/>
      <c r="Q5" s="96" t="s">
        <v>119</v>
      </c>
      <c r="R5" s="96"/>
    </row>
    <row r="6" spans="1:18" s="88" customFormat="1" x14ac:dyDescent="0.3">
      <c r="A6" s="110"/>
      <c r="B6" s="110"/>
      <c r="C6" s="110"/>
      <c r="D6" s="110"/>
      <c r="E6" s="110"/>
      <c r="F6" s="110"/>
      <c r="G6" s="84"/>
      <c r="H6" s="110"/>
      <c r="I6" s="110"/>
      <c r="J6" s="110"/>
      <c r="K6" s="110"/>
      <c r="L6" s="112"/>
      <c r="M6" s="111"/>
      <c r="N6" s="111"/>
      <c r="O6" s="89" t="s">
        <v>39</v>
      </c>
      <c r="P6" s="89" t="s">
        <v>40</v>
      </c>
      <c r="Q6" s="89" t="s">
        <v>39</v>
      </c>
      <c r="R6" s="89" t="s">
        <v>40</v>
      </c>
    </row>
    <row r="7" spans="1:18" x14ac:dyDescent="0.3">
      <c r="A7" t="s">
        <v>135</v>
      </c>
      <c r="B7" t="s">
        <v>136</v>
      </c>
      <c r="C7">
        <v>347</v>
      </c>
      <c r="D7">
        <v>0</v>
      </c>
      <c r="E7" t="s">
        <v>137</v>
      </c>
      <c r="F7">
        <v>5</v>
      </c>
      <c r="H7">
        <v>0</v>
      </c>
      <c r="J7">
        <v>0.77124800000000004</v>
      </c>
      <c r="K7">
        <v>6.5962000000000007E-2</v>
      </c>
    </row>
    <row r="8" spans="1:18" x14ac:dyDescent="0.3">
      <c r="A8" t="s">
        <v>135</v>
      </c>
      <c r="B8" t="s">
        <v>136</v>
      </c>
      <c r="C8">
        <v>347</v>
      </c>
      <c r="D8">
        <v>0</v>
      </c>
      <c r="E8" t="s">
        <v>138</v>
      </c>
      <c r="F8">
        <v>1</v>
      </c>
      <c r="H8">
        <v>0</v>
      </c>
      <c r="J8">
        <v>1.7408893999999999</v>
      </c>
      <c r="K8">
        <v>0.64794980000000002</v>
      </c>
    </row>
    <row r="9" spans="1:18" x14ac:dyDescent="0.3">
      <c r="A9" t="s">
        <v>135</v>
      </c>
      <c r="B9" t="s">
        <v>136</v>
      </c>
      <c r="C9">
        <v>347</v>
      </c>
      <c r="D9">
        <v>0</v>
      </c>
      <c r="E9" t="s">
        <v>139</v>
      </c>
      <c r="F9">
        <v>4</v>
      </c>
      <c r="H9">
        <v>0</v>
      </c>
      <c r="J9">
        <v>0.466808</v>
      </c>
      <c r="K9">
        <v>6.0887999999999998E-2</v>
      </c>
    </row>
    <row r="10" spans="1:18" x14ac:dyDescent="0.3">
      <c r="A10" t="s">
        <v>135</v>
      </c>
      <c r="B10" t="s">
        <v>136</v>
      </c>
      <c r="C10">
        <v>347</v>
      </c>
      <c r="D10">
        <v>0</v>
      </c>
      <c r="E10" t="s">
        <v>140</v>
      </c>
      <c r="F10">
        <v>1</v>
      </c>
      <c r="H10">
        <v>0</v>
      </c>
      <c r="J10">
        <v>2.9094316</v>
      </c>
      <c r="K10">
        <v>1.5440182</v>
      </c>
    </row>
    <row r="11" spans="1:18" x14ac:dyDescent="0.3">
      <c r="A11" t="s">
        <v>135</v>
      </c>
      <c r="B11" t="s">
        <v>136</v>
      </c>
      <c r="C11">
        <v>347</v>
      </c>
      <c r="D11">
        <v>0</v>
      </c>
      <c r="E11" t="s">
        <v>141</v>
      </c>
      <c r="F11">
        <v>1</v>
      </c>
      <c r="H11">
        <v>0</v>
      </c>
      <c r="J11">
        <v>2.9058798000000001</v>
      </c>
      <c r="K11">
        <v>1.2898107999999999</v>
      </c>
    </row>
    <row r="12" spans="1:18" x14ac:dyDescent="0.3">
      <c r="A12" t="s">
        <v>135</v>
      </c>
      <c r="B12" t="s">
        <v>136</v>
      </c>
      <c r="C12">
        <v>347</v>
      </c>
      <c r="D12">
        <v>0</v>
      </c>
      <c r="E12" t="s">
        <v>142</v>
      </c>
      <c r="F12">
        <v>1</v>
      </c>
      <c r="H12">
        <v>0</v>
      </c>
      <c r="J12">
        <v>2.1011434000000002</v>
      </c>
      <c r="K12">
        <v>1.7931516000000001</v>
      </c>
    </row>
    <row r="13" spans="1:18" x14ac:dyDescent="0.3">
      <c r="A13" t="s">
        <v>135</v>
      </c>
      <c r="B13" t="s">
        <v>136</v>
      </c>
      <c r="C13">
        <v>347</v>
      </c>
      <c r="D13">
        <v>0</v>
      </c>
      <c r="E13" t="s">
        <v>143</v>
      </c>
      <c r="F13">
        <v>2</v>
      </c>
      <c r="H13">
        <v>0</v>
      </c>
      <c r="J13">
        <v>1.0142926000000001</v>
      </c>
      <c r="K13">
        <v>0.47797079999999997</v>
      </c>
    </row>
    <row r="14" spans="1:18" x14ac:dyDescent="0.3">
      <c r="A14" t="s">
        <v>135</v>
      </c>
      <c r="B14" t="s">
        <v>136</v>
      </c>
      <c r="C14">
        <v>347</v>
      </c>
      <c r="D14">
        <v>0</v>
      </c>
      <c r="E14" t="s">
        <v>144</v>
      </c>
      <c r="F14">
        <v>1</v>
      </c>
      <c r="H14">
        <v>0</v>
      </c>
      <c r="J14">
        <v>5.8285038</v>
      </c>
      <c r="K14">
        <v>3.3615249999999999</v>
      </c>
    </row>
    <row r="15" spans="1:18" x14ac:dyDescent="0.3">
      <c r="A15" t="s">
        <v>135</v>
      </c>
      <c r="B15" t="s">
        <v>136</v>
      </c>
      <c r="C15">
        <v>347</v>
      </c>
      <c r="D15">
        <v>0</v>
      </c>
      <c r="E15" t="s">
        <v>145</v>
      </c>
      <c r="F15">
        <v>1</v>
      </c>
      <c r="H15">
        <v>0</v>
      </c>
      <c r="J15">
        <v>2.9495162000000001</v>
      </c>
      <c r="K15">
        <v>4.6564097999999996</v>
      </c>
    </row>
    <row r="16" spans="1:18" s="78" customFormat="1" ht="28.8" x14ac:dyDescent="0.3">
      <c r="A16" s="78" t="s">
        <v>135</v>
      </c>
      <c r="B16" s="78" t="s">
        <v>136</v>
      </c>
      <c r="C16" s="78">
        <v>347</v>
      </c>
      <c r="D16" s="78">
        <v>0</v>
      </c>
      <c r="E16" s="78" t="s">
        <v>146</v>
      </c>
      <c r="F16" s="78">
        <v>1</v>
      </c>
      <c r="G16" s="79" t="s">
        <v>178</v>
      </c>
      <c r="H16" s="80">
        <v>3.8054999999999999</v>
      </c>
      <c r="I16" s="80">
        <f>H16*F16</f>
        <v>3.8054999999999999</v>
      </c>
      <c r="J16" s="78">
        <v>0</v>
      </c>
      <c r="K16" s="78">
        <v>0</v>
      </c>
      <c r="L16" s="83"/>
    </row>
    <row r="17" spans="1:11" x14ac:dyDescent="0.3">
      <c r="A17" t="s">
        <v>135</v>
      </c>
      <c r="B17" t="s">
        <v>136</v>
      </c>
      <c r="C17">
        <v>347</v>
      </c>
      <c r="D17">
        <v>0</v>
      </c>
      <c r="E17" t="s">
        <v>147</v>
      </c>
      <c r="F17">
        <v>2</v>
      </c>
      <c r="G17" s="61"/>
      <c r="H17" s="61">
        <v>2.5369999999999999</v>
      </c>
      <c r="I17" s="80">
        <f t="shared" ref="I17:I44" si="0">H17*F17</f>
        <v>5.0739999999999998</v>
      </c>
      <c r="J17">
        <v>0</v>
      </c>
      <c r="K17">
        <v>0</v>
      </c>
    </row>
    <row r="18" spans="1:11" x14ac:dyDescent="0.3">
      <c r="A18" t="s">
        <v>135</v>
      </c>
      <c r="B18" t="s">
        <v>136</v>
      </c>
      <c r="C18">
        <v>347</v>
      </c>
      <c r="D18">
        <v>0</v>
      </c>
      <c r="E18" t="s">
        <v>148</v>
      </c>
      <c r="F18">
        <v>1</v>
      </c>
      <c r="G18" s="61"/>
      <c r="H18" s="61">
        <v>7.6109999999999998</v>
      </c>
      <c r="I18" s="80">
        <f t="shared" si="0"/>
        <v>7.6109999999999998</v>
      </c>
      <c r="J18">
        <v>0</v>
      </c>
      <c r="K18">
        <v>0</v>
      </c>
    </row>
    <row r="19" spans="1:11" x14ac:dyDescent="0.3">
      <c r="A19" t="s">
        <v>135</v>
      </c>
      <c r="B19" t="s">
        <v>136</v>
      </c>
      <c r="C19">
        <v>347</v>
      </c>
      <c r="D19">
        <v>0</v>
      </c>
      <c r="E19" t="s">
        <v>149</v>
      </c>
      <c r="F19">
        <v>1</v>
      </c>
      <c r="G19" s="61"/>
      <c r="H19" s="61">
        <v>2.9598333299999999</v>
      </c>
      <c r="I19" s="80">
        <f t="shared" si="0"/>
        <v>2.9598333299999999</v>
      </c>
      <c r="J19">
        <v>0</v>
      </c>
      <c r="K19">
        <v>0</v>
      </c>
    </row>
    <row r="20" spans="1:11" x14ac:dyDescent="0.3">
      <c r="A20" t="s">
        <v>135</v>
      </c>
      <c r="B20" t="s">
        <v>136</v>
      </c>
      <c r="C20">
        <v>347</v>
      </c>
      <c r="D20">
        <v>0</v>
      </c>
      <c r="E20" t="s">
        <v>150</v>
      </c>
      <c r="F20">
        <v>1</v>
      </c>
      <c r="G20" s="61"/>
      <c r="H20" s="61">
        <v>6.7653333299999998</v>
      </c>
      <c r="I20" s="80">
        <f t="shared" si="0"/>
        <v>6.7653333299999998</v>
      </c>
      <c r="J20">
        <v>0</v>
      </c>
      <c r="K20">
        <v>0</v>
      </c>
    </row>
    <row r="21" spans="1:11" x14ac:dyDescent="0.3">
      <c r="A21" t="s">
        <v>135</v>
      </c>
      <c r="B21" t="s">
        <v>136</v>
      </c>
      <c r="C21">
        <v>347</v>
      </c>
      <c r="D21">
        <v>0</v>
      </c>
      <c r="E21" t="s">
        <v>151</v>
      </c>
      <c r="F21">
        <v>1</v>
      </c>
      <c r="G21" s="61"/>
      <c r="H21" s="61">
        <v>2.9598333299999999</v>
      </c>
      <c r="I21" s="80">
        <f t="shared" si="0"/>
        <v>2.9598333299999999</v>
      </c>
      <c r="J21">
        <v>0</v>
      </c>
      <c r="K21">
        <v>0</v>
      </c>
    </row>
    <row r="22" spans="1:11" x14ac:dyDescent="0.3">
      <c r="A22" t="s">
        <v>135</v>
      </c>
      <c r="B22" t="s">
        <v>136</v>
      </c>
      <c r="C22">
        <v>347</v>
      </c>
      <c r="D22">
        <v>0</v>
      </c>
      <c r="E22" t="s">
        <v>152</v>
      </c>
      <c r="F22">
        <v>1</v>
      </c>
      <c r="G22" s="61"/>
      <c r="H22" s="61">
        <v>21.564499999999999</v>
      </c>
      <c r="I22" s="80">
        <f t="shared" si="0"/>
        <v>21.564499999999999</v>
      </c>
      <c r="J22">
        <v>0</v>
      </c>
      <c r="K22">
        <v>0</v>
      </c>
    </row>
    <row r="23" spans="1:11" x14ac:dyDescent="0.3">
      <c r="A23" t="s">
        <v>135</v>
      </c>
      <c r="B23" t="s">
        <v>136</v>
      </c>
      <c r="C23">
        <v>347</v>
      </c>
      <c r="D23">
        <v>0</v>
      </c>
      <c r="E23" t="s">
        <v>153</v>
      </c>
      <c r="F23">
        <v>1</v>
      </c>
      <c r="G23" s="61"/>
      <c r="H23" s="61">
        <v>0.84566666999999995</v>
      </c>
      <c r="I23" s="80">
        <f t="shared" si="0"/>
        <v>0.84566666999999995</v>
      </c>
      <c r="J23">
        <v>0</v>
      </c>
      <c r="K23">
        <v>0</v>
      </c>
    </row>
    <row r="24" spans="1:11" x14ac:dyDescent="0.3">
      <c r="A24" t="s">
        <v>135</v>
      </c>
      <c r="B24" t="s">
        <v>136</v>
      </c>
      <c r="C24">
        <v>347</v>
      </c>
      <c r="D24">
        <v>0</v>
      </c>
      <c r="E24" t="s">
        <v>15</v>
      </c>
      <c r="F24">
        <v>1</v>
      </c>
      <c r="G24" s="61"/>
      <c r="H24" s="61">
        <v>0.42283333000000001</v>
      </c>
      <c r="I24" s="80">
        <f t="shared" si="0"/>
        <v>0.42283333000000001</v>
      </c>
      <c r="J24">
        <v>0</v>
      </c>
      <c r="K24">
        <v>0</v>
      </c>
    </row>
    <row r="25" spans="1:11" x14ac:dyDescent="0.3">
      <c r="A25" t="s">
        <v>135</v>
      </c>
      <c r="B25" t="s">
        <v>136</v>
      </c>
      <c r="C25">
        <v>347</v>
      </c>
      <c r="D25">
        <v>0</v>
      </c>
      <c r="E25" t="s">
        <v>15</v>
      </c>
      <c r="F25">
        <v>1</v>
      </c>
      <c r="G25" s="61"/>
      <c r="H25" s="61">
        <v>0.42283333000000001</v>
      </c>
      <c r="I25" s="80">
        <f t="shared" si="0"/>
        <v>0.42283333000000001</v>
      </c>
      <c r="J25">
        <v>0</v>
      </c>
      <c r="K25">
        <v>0</v>
      </c>
    </row>
    <row r="26" spans="1:11" x14ac:dyDescent="0.3">
      <c r="A26" t="s">
        <v>135</v>
      </c>
      <c r="B26" t="s">
        <v>136</v>
      </c>
      <c r="C26">
        <v>347</v>
      </c>
      <c r="D26">
        <v>0</v>
      </c>
      <c r="E26" t="s">
        <v>154</v>
      </c>
      <c r="F26">
        <v>1</v>
      </c>
      <c r="G26" s="61"/>
      <c r="H26" s="61">
        <v>1.2685</v>
      </c>
      <c r="I26" s="80">
        <f t="shared" si="0"/>
        <v>1.2685</v>
      </c>
      <c r="J26">
        <v>0</v>
      </c>
      <c r="K26">
        <v>0</v>
      </c>
    </row>
    <row r="27" spans="1:11" x14ac:dyDescent="0.3">
      <c r="A27" t="s">
        <v>135</v>
      </c>
      <c r="B27" t="s">
        <v>136</v>
      </c>
      <c r="C27">
        <v>347</v>
      </c>
      <c r="D27">
        <v>0</v>
      </c>
      <c r="E27" t="s">
        <v>155</v>
      </c>
      <c r="F27">
        <v>2</v>
      </c>
      <c r="G27" s="61"/>
      <c r="H27" s="61">
        <v>0.84566666999999995</v>
      </c>
      <c r="I27" s="80">
        <f t="shared" si="0"/>
        <v>1.6913333399999999</v>
      </c>
      <c r="J27">
        <v>0</v>
      </c>
      <c r="K27">
        <v>0</v>
      </c>
    </row>
    <row r="28" spans="1:11" x14ac:dyDescent="0.3">
      <c r="A28" t="s">
        <v>135</v>
      </c>
      <c r="B28" t="s">
        <v>136</v>
      </c>
      <c r="C28">
        <v>347</v>
      </c>
      <c r="D28">
        <v>0</v>
      </c>
      <c r="E28" t="s">
        <v>156</v>
      </c>
      <c r="F28">
        <v>2</v>
      </c>
      <c r="G28" s="61"/>
      <c r="H28" s="61">
        <v>0.84566666999999995</v>
      </c>
      <c r="I28" s="80">
        <f t="shared" si="0"/>
        <v>1.6913333399999999</v>
      </c>
      <c r="J28">
        <v>0</v>
      </c>
      <c r="K28">
        <v>0</v>
      </c>
    </row>
    <row r="29" spans="1:11" x14ac:dyDescent="0.3">
      <c r="A29" t="s">
        <v>135</v>
      </c>
      <c r="B29" t="s">
        <v>136</v>
      </c>
      <c r="C29">
        <v>347</v>
      </c>
      <c r="D29">
        <v>0</v>
      </c>
      <c r="E29" t="s">
        <v>157</v>
      </c>
      <c r="F29">
        <v>2</v>
      </c>
      <c r="G29" s="61"/>
      <c r="H29" s="61">
        <v>0.42283333000000001</v>
      </c>
      <c r="I29" s="80">
        <f t="shared" si="0"/>
        <v>0.84566666000000001</v>
      </c>
      <c r="J29">
        <v>0</v>
      </c>
      <c r="K29">
        <v>0</v>
      </c>
    </row>
    <row r="30" spans="1:11" x14ac:dyDescent="0.3">
      <c r="A30" t="s">
        <v>135</v>
      </c>
      <c r="B30" t="s">
        <v>136</v>
      </c>
      <c r="C30">
        <v>347</v>
      </c>
      <c r="D30">
        <v>0</v>
      </c>
      <c r="E30" t="s">
        <v>158</v>
      </c>
      <c r="F30">
        <v>4</v>
      </c>
      <c r="G30" s="61"/>
      <c r="H30" s="61">
        <v>0.84566666999999995</v>
      </c>
      <c r="I30" s="80">
        <f t="shared" si="0"/>
        <v>3.3826666799999998</v>
      </c>
      <c r="J30">
        <v>0</v>
      </c>
      <c r="K30">
        <v>0</v>
      </c>
    </row>
    <row r="31" spans="1:11" x14ac:dyDescent="0.3">
      <c r="A31" t="s">
        <v>135</v>
      </c>
      <c r="B31" t="s">
        <v>136</v>
      </c>
      <c r="C31">
        <v>347</v>
      </c>
      <c r="D31">
        <v>0</v>
      </c>
      <c r="E31" t="s">
        <v>159</v>
      </c>
      <c r="F31">
        <v>4</v>
      </c>
      <c r="G31" s="61"/>
      <c r="H31" s="61">
        <v>0.84566666999999995</v>
      </c>
      <c r="I31" s="80">
        <f t="shared" si="0"/>
        <v>3.3826666799999998</v>
      </c>
      <c r="J31">
        <v>0</v>
      </c>
      <c r="K31">
        <v>0</v>
      </c>
    </row>
    <row r="32" spans="1:11" x14ac:dyDescent="0.3">
      <c r="A32" t="s">
        <v>135</v>
      </c>
      <c r="B32" t="s">
        <v>136</v>
      </c>
      <c r="C32">
        <v>347</v>
      </c>
      <c r="D32">
        <v>0</v>
      </c>
      <c r="E32" t="s">
        <v>160</v>
      </c>
      <c r="F32">
        <v>1</v>
      </c>
      <c r="G32" s="61"/>
      <c r="H32" s="61">
        <v>4.2283333299999999</v>
      </c>
      <c r="I32" s="80">
        <f t="shared" si="0"/>
        <v>4.2283333299999999</v>
      </c>
      <c r="J32">
        <v>0</v>
      </c>
      <c r="K32">
        <v>0</v>
      </c>
    </row>
    <row r="33" spans="1:16" x14ac:dyDescent="0.3">
      <c r="A33" t="s">
        <v>135</v>
      </c>
      <c r="B33" t="s">
        <v>136</v>
      </c>
      <c r="C33">
        <v>347</v>
      </c>
      <c r="D33">
        <v>0</v>
      </c>
      <c r="E33" t="s">
        <v>161</v>
      </c>
      <c r="F33">
        <v>4</v>
      </c>
      <c r="G33" s="61"/>
      <c r="H33" s="61">
        <v>0.84566666999999995</v>
      </c>
      <c r="I33" s="80">
        <f t="shared" si="0"/>
        <v>3.3826666799999998</v>
      </c>
      <c r="J33">
        <v>0</v>
      </c>
      <c r="K33">
        <v>0</v>
      </c>
    </row>
    <row r="34" spans="1:16" x14ac:dyDescent="0.3">
      <c r="A34" t="s">
        <v>135</v>
      </c>
      <c r="B34" t="s">
        <v>136</v>
      </c>
      <c r="C34">
        <v>347</v>
      </c>
      <c r="D34">
        <v>0</v>
      </c>
      <c r="E34" t="s">
        <v>18</v>
      </c>
      <c r="F34">
        <v>1</v>
      </c>
      <c r="G34" s="61"/>
      <c r="H34" s="61">
        <v>1.2685</v>
      </c>
      <c r="I34" s="80">
        <f t="shared" si="0"/>
        <v>1.2685</v>
      </c>
      <c r="J34">
        <v>0</v>
      </c>
      <c r="K34">
        <v>0</v>
      </c>
    </row>
    <row r="35" spans="1:16" x14ac:dyDescent="0.3">
      <c r="A35" t="s">
        <v>135</v>
      </c>
      <c r="B35" t="s">
        <v>136</v>
      </c>
      <c r="C35">
        <v>347</v>
      </c>
      <c r="D35">
        <v>0</v>
      </c>
      <c r="E35" t="s">
        <v>162</v>
      </c>
      <c r="F35">
        <v>1</v>
      </c>
      <c r="G35" s="61"/>
      <c r="H35" s="61">
        <v>0.84566666999999995</v>
      </c>
      <c r="I35" s="80">
        <f t="shared" si="0"/>
        <v>0.84566666999999995</v>
      </c>
      <c r="J35">
        <v>0</v>
      </c>
      <c r="K35">
        <v>0</v>
      </c>
    </row>
    <row r="36" spans="1:16" x14ac:dyDescent="0.3">
      <c r="A36" t="s">
        <v>135</v>
      </c>
      <c r="B36" t="s">
        <v>136</v>
      </c>
      <c r="C36">
        <v>347</v>
      </c>
      <c r="D36">
        <v>0</v>
      </c>
      <c r="E36" t="s">
        <v>163</v>
      </c>
      <c r="F36">
        <v>1</v>
      </c>
      <c r="G36" s="61"/>
      <c r="H36" s="61">
        <v>5.9196666699999998</v>
      </c>
      <c r="I36" s="80">
        <f t="shared" si="0"/>
        <v>5.9196666699999998</v>
      </c>
      <c r="J36">
        <v>0</v>
      </c>
      <c r="K36">
        <v>0</v>
      </c>
    </row>
    <row r="37" spans="1:16" x14ac:dyDescent="0.3">
      <c r="A37" t="s">
        <v>135</v>
      </c>
      <c r="B37" t="s">
        <v>136</v>
      </c>
      <c r="C37">
        <v>347</v>
      </c>
      <c r="D37">
        <v>0</v>
      </c>
      <c r="E37" t="s">
        <v>164</v>
      </c>
      <c r="F37">
        <v>1</v>
      </c>
      <c r="G37" s="61"/>
      <c r="H37" s="61">
        <v>12.262166669999999</v>
      </c>
      <c r="I37" s="80">
        <f t="shared" si="0"/>
        <v>12.262166669999999</v>
      </c>
      <c r="J37">
        <v>0</v>
      </c>
      <c r="K37">
        <v>0</v>
      </c>
    </row>
    <row r="38" spans="1:16" x14ac:dyDescent="0.3">
      <c r="A38" t="s">
        <v>135</v>
      </c>
      <c r="B38" t="s">
        <v>136</v>
      </c>
      <c r="C38">
        <v>347</v>
      </c>
      <c r="D38">
        <v>0</v>
      </c>
      <c r="E38" t="s">
        <v>165</v>
      </c>
      <c r="F38">
        <v>1</v>
      </c>
      <c r="G38" s="61"/>
      <c r="H38" s="61">
        <v>7.6109999999999998</v>
      </c>
      <c r="I38" s="80">
        <f t="shared" si="0"/>
        <v>7.6109999999999998</v>
      </c>
      <c r="J38">
        <v>0</v>
      </c>
      <c r="K38">
        <v>0</v>
      </c>
    </row>
    <row r="39" spans="1:16" x14ac:dyDescent="0.3">
      <c r="A39" t="s">
        <v>135</v>
      </c>
      <c r="B39" t="s">
        <v>136</v>
      </c>
      <c r="C39">
        <v>347</v>
      </c>
      <c r="D39">
        <v>0</v>
      </c>
      <c r="E39" t="s">
        <v>166</v>
      </c>
      <c r="F39">
        <v>1</v>
      </c>
      <c r="G39" s="61"/>
      <c r="H39" s="61">
        <v>10.570833329999999</v>
      </c>
      <c r="I39" s="80">
        <f t="shared" si="0"/>
        <v>10.570833329999999</v>
      </c>
      <c r="J39">
        <v>0</v>
      </c>
      <c r="K39">
        <v>0</v>
      </c>
    </row>
    <row r="40" spans="1:16" x14ac:dyDescent="0.3">
      <c r="A40" t="s">
        <v>135</v>
      </c>
      <c r="B40" t="s">
        <v>136</v>
      </c>
      <c r="C40">
        <v>347</v>
      </c>
      <c r="D40">
        <v>0</v>
      </c>
      <c r="E40" t="s">
        <v>167</v>
      </c>
      <c r="F40">
        <v>1</v>
      </c>
      <c r="G40" s="61"/>
      <c r="H40" s="61">
        <v>118.39333333</v>
      </c>
      <c r="I40" s="80">
        <f t="shared" si="0"/>
        <v>118.39333333</v>
      </c>
      <c r="J40">
        <v>0</v>
      </c>
      <c r="K40">
        <v>0</v>
      </c>
    </row>
    <row r="41" spans="1:16" x14ac:dyDescent="0.3">
      <c r="A41" t="s">
        <v>135</v>
      </c>
      <c r="B41" t="s">
        <v>136</v>
      </c>
      <c r="C41">
        <v>347</v>
      </c>
      <c r="D41">
        <v>0</v>
      </c>
      <c r="E41" t="s">
        <v>168</v>
      </c>
      <c r="F41">
        <v>1</v>
      </c>
      <c r="G41" s="61"/>
      <c r="H41" s="61">
        <v>6.7653333299999998</v>
      </c>
      <c r="I41" s="80">
        <f t="shared" si="0"/>
        <v>6.7653333299999998</v>
      </c>
      <c r="J41">
        <v>0</v>
      </c>
      <c r="K41">
        <v>0</v>
      </c>
    </row>
    <row r="42" spans="1:16" x14ac:dyDescent="0.3">
      <c r="A42" t="s">
        <v>135</v>
      </c>
      <c r="B42" t="s">
        <v>136</v>
      </c>
      <c r="C42">
        <v>347</v>
      </c>
      <c r="D42">
        <v>0</v>
      </c>
      <c r="E42" t="s">
        <v>169</v>
      </c>
      <c r="F42">
        <v>1</v>
      </c>
      <c r="G42" s="61"/>
      <c r="H42" s="61">
        <v>4.2283333299999999</v>
      </c>
      <c r="I42" s="80">
        <f t="shared" si="0"/>
        <v>4.2283333299999999</v>
      </c>
      <c r="J42">
        <v>0</v>
      </c>
      <c r="K42">
        <v>0</v>
      </c>
    </row>
    <row r="43" spans="1:16" x14ac:dyDescent="0.3">
      <c r="A43" t="s">
        <v>135</v>
      </c>
      <c r="B43" t="s">
        <v>136</v>
      </c>
      <c r="C43">
        <v>347</v>
      </c>
      <c r="D43">
        <v>0</v>
      </c>
      <c r="E43" t="s">
        <v>170</v>
      </c>
      <c r="F43">
        <v>1</v>
      </c>
      <c r="G43" s="61"/>
      <c r="H43" s="61">
        <v>24.524333330000001</v>
      </c>
      <c r="I43" s="80">
        <f t="shared" si="0"/>
        <v>24.524333330000001</v>
      </c>
      <c r="J43">
        <v>0</v>
      </c>
      <c r="K43">
        <v>0</v>
      </c>
    </row>
    <row r="44" spans="1:16" x14ac:dyDescent="0.3">
      <c r="A44" t="s">
        <v>135</v>
      </c>
      <c r="B44" t="s">
        <v>136</v>
      </c>
      <c r="C44">
        <v>347</v>
      </c>
      <c r="D44">
        <v>0</v>
      </c>
      <c r="E44" t="s">
        <v>171</v>
      </c>
      <c r="F44">
        <v>2</v>
      </c>
      <c r="G44" s="61"/>
      <c r="H44" s="61">
        <v>29.1755</v>
      </c>
      <c r="I44" s="80">
        <f t="shared" si="0"/>
        <v>58.350999999999999</v>
      </c>
      <c r="J44">
        <v>0</v>
      </c>
      <c r="K44">
        <v>0</v>
      </c>
    </row>
    <row r="45" spans="1:16" x14ac:dyDescent="0.3">
      <c r="A45" t="s">
        <v>135</v>
      </c>
      <c r="B45" t="s">
        <v>136</v>
      </c>
      <c r="C45">
        <v>347</v>
      </c>
      <c r="D45">
        <v>0</v>
      </c>
      <c r="E45" t="s">
        <v>172</v>
      </c>
      <c r="F45">
        <v>1</v>
      </c>
      <c r="H45" s="13">
        <v>38.055</v>
      </c>
      <c r="I45" s="80">
        <f>H45*F45</f>
        <v>38.055</v>
      </c>
      <c r="J45">
        <v>0</v>
      </c>
      <c r="K45">
        <v>0</v>
      </c>
      <c r="O45">
        <v>0</v>
      </c>
      <c r="P45">
        <v>0</v>
      </c>
    </row>
    <row r="46" spans="1:16" s="5" customFormat="1" x14ac:dyDescent="0.3">
      <c r="E46" s="81" t="s">
        <v>180</v>
      </c>
      <c r="F46" s="5">
        <v>1</v>
      </c>
      <c r="H46" s="82">
        <v>35.095166669999998</v>
      </c>
      <c r="L46" s="18"/>
    </row>
    <row r="47" spans="1:16" s="5" customFormat="1" x14ac:dyDescent="0.3">
      <c r="E47" s="81" t="s">
        <v>181</v>
      </c>
      <c r="F47" s="5">
        <v>1</v>
      </c>
      <c r="H47" s="82">
        <v>2.9598333299999999</v>
      </c>
      <c r="L47" s="18"/>
    </row>
    <row r="48" spans="1:16" ht="15" thickBot="1" x14ac:dyDescent="0.35">
      <c r="A48" t="s">
        <v>135</v>
      </c>
      <c r="B48" t="s">
        <v>136</v>
      </c>
      <c r="C48">
        <v>347</v>
      </c>
      <c r="D48">
        <v>0</v>
      </c>
      <c r="E48" t="s">
        <v>173</v>
      </c>
      <c r="F48">
        <v>4</v>
      </c>
      <c r="H48">
        <v>0.23696849</v>
      </c>
      <c r="I48">
        <f>H48*F48</f>
        <v>0.94787396000000002</v>
      </c>
      <c r="J48">
        <f>J49*F48</f>
        <v>1.7271896</v>
      </c>
      <c r="K48">
        <f>K49*F48</f>
        <v>6.6814432000000004</v>
      </c>
      <c r="L48" s="18">
        <f>L49*F49</f>
        <v>7.0000000000000007E-2</v>
      </c>
    </row>
    <row r="49" spans="1:12" s="5" customFormat="1" x14ac:dyDescent="0.3">
      <c r="A49" s="90"/>
      <c r="B49" s="35"/>
      <c r="C49" s="35"/>
      <c r="D49" s="35"/>
      <c r="E49" s="91" t="s">
        <v>184</v>
      </c>
      <c r="F49" s="35">
        <v>1</v>
      </c>
      <c r="G49" s="35"/>
      <c r="H49" s="35">
        <v>0</v>
      </c>
      <c r="I49" s="35"/>
      <c r="J49" s="35">
        <v>0.4317974</v>
      </c>
      <c r="K49" s="36">
        <v>1.6703608000000001</v>
      </c>
      <c r="L49" s="18">
        <v>7.0000000000000007E-2</v>
      </c>
    </row>
    <row r="50" spans="1:12" s="5" customFormat="1" ht="15" thickBot="1" x14ac:dyDescent="0.35">
      <c r="A50" s="92"/>
      <c r="B50" s="41"/>
      <c r="C50" s="41"/>
      <c r="D50" s="41"/>
      <c r="E50" s="93"/>
      <c r="F50" s="41"/>
      <c r="G50" s="41"/>
      <c r="H50" s="41" t="s">
        <v>185</v>
      </c>
      <c r="I50" s="41"/>
      <c r="J50" s="41">
        <v>8.5100000000000002E-3</v>
      </c>
      <c r="K50" s="94">
        <v>3.2919999999999998E-2</v>
      </c>
      <c r="L50" s="18">
        <f>L49*50.74</f>
        <v>3.5518000000000005</v>
      </c>
    </row>
    <row r="51" spans="1:12" s="5" customFormat="1" x14ac:dyDescent="0.3">
      <c r="E51" s="81" t="s">
        <v>50</v>
      </c>
      <c r="F51" s="5">
        <v>1.2999999999999999E-4</v>
      </c>
      <c r="H51" s="5">
        <v>1822.8344999999999</v>
      </c>
      <c r="I51" s="5">
        <f>H51*F51</f>
        <v>0.23696848499999998</v>
      </c>
      <c r="J51" s="5">
        <v>0</v>
      </c>
      <c r="K51" s="5">
        <v>0</v>
      </c>
      <c r="L51" s="18"/>
    </row>
    <row r="52" spans="1:12" x14ac:dyDescent="0.3">
      <c r="A52" t="s">
        <v>135</v>
      </c>
      <c r="B52" t="s">
        <v>136</v>
      </c>
      <c r="C52">
        <v>347</v>
      </c>
      <c r="D52">
        <v>0</v>
      </c>
      <c r="E52" t="s">
        <v>174</v>
      </c>
      <c r="F52">
        <v>1</v>
      </c>
      <c r="H52">
        <v>0.23696849</v>
      </c>
      <c r="J52">
        <v>1.6703608000000001</v>
      </c>
      <c r="K52">
        <v>0.4317974</v>
      </c>
    </row>
    <row r="53" spans="1:12" x14ac:dyDescent="0.3">
      <c r="A53" t="s">
        <v>135</v>
      </c>
      <c r="B53" t="s">
        <v>136</v>
      </c>
      <c r="C53">
        <v>347</v>
      </c>
      <c r="D53">
        <v>0</v>
      </c>
      <c r="E53" t="s">
        <v>175</v>
      </c>
      <c r="F53">
        <v>2</v>
      </c>
      <c r="H53">
        <v>119.66183334</v>
      </c>
      <c r="J53">
        <v>0</v>
      </c>
      <c r="K53">
        <v>0</v>
      </c>
    </row>
  </sheetData>
  <mergeCells count="16">
    <mergeCell ref="A5:A6"/>
    <mergeCell ref="B5:B6"/>
    <mergeCell ref="C5:C6"/>
    <mergeCell ref="D5:D6"/>
    <mergeCell ref="O4:R4"/>
    <mergeCell ref="E5:E6"/>
    <mergeCell ref="F5:F6"/>
    <mergeCell ref="H5:H6"/>
    <mergeCell ref="J5:J6"/>
    <mergeCell ref="K5:K6"/>
    <mergeCell ref="I5:I6"/>
    <mergeCell ref="M5:M6"/>
    <mergeCell ref="L5:L6"/>
    <mergeCell ref="N5:N6"/>
    <mergeCell ref="O5:P5"/>
    <mergeCell ref="Q5:R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FG-DK-100D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 Olivier Arca</cp:lastModifiedBy>
  <dcterms:created xsi:type="dcterms:W3CDTF">2020-10-25T12:28:43Z</dcterms:created>
  <dcterms:modified xsi:type="dcterms:W3CDTF">2020-11-03T08:26:46Z</dcterms:modified>
</cp:coreProperties>
</file>